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10.xml" ContentType="application/vnd.ms-excel.controlpropertie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D:\Users\Nilson Rodrigues\Documents\IFFAR\Projeto\FINAL 07 10 2024\orçamento revisado\"/>
    </mc:Choice>
  </mc:AlternateContent>
  <bookViews>
    <workbookView xWindow="28680" yWindow="-120" windowWidth="24240" windowHeight="13020" tabRatio="801" activeTab="4"/>
  </bookViews>
  <sheets>
    <sheet name="MENU" sheetId="15" r:id="rId1"/>
    <sheet name="DADOS" sheetId="2" r:id="rId2"/>
    <sheet name="NOVO" sheetId="3" r:id="rId3"/>
    <sheet name="BDI" sheetId="4" r:id="rId4"/>
    <sheet name="ORÇAMENTO" sheetId="5" r:id="rId5"/>
    <sheet name="CÁLCULO" sheetId="6" r:id="rId6"/>
    <sheet name="EVENTOS" sheetId="7" r:id="rId7"/>
    <sheet name="CRONO" sheetId="8" r:id="rId8"/>
    <sheet name="CRONOPLE" sheetId="9" r:id="rId9"/>
    <sheet name="PLE" sheetId="10" r:id="rId10"/>
    <sheet name="QCI" sheetId="11" r:id="rId11"/>
    <sheet name="BM" sheetId="12" r:id="rId12"/>
    <sheet name="RRE" sheetId="13" r:id="rId13"/>
    <sheet name="OFÍCIO" sheetId="14" r:id="rId14"/>
  </sheets>
  <definedNames>
    <definedName name="_xlnm._FilterDatabase" localSheetId="3" hidden="1">BDI!$I$11:$I$132</definedName>
    <definedName name="_xlnm._FilterDatabase" localSheetId="11" hidden="1">BM!$C$15:$C$192</definedName>
    <definedName name="_xlnm._FilterDatabase" localSheetId="5" hidden="1">CÁLCULO!$C$15:$C$192</definedName>
    <definedName name="_xlnm._FilterDatabase" localSheetId="7" hidden="1">CRONO!$F$13:$F$108</definedName>
    <definedName name="_xlnm._FilterDatabase" localSheetId="8" hidden="1">CRONOPLE!$A$13:$A$15</definedName>
    <definedName name="_xlnm._FilterDatabase" localSheetId="4" hidden="1">ORÇAMENTO!$L$15:$L$192</definedName>
    <definedName name="_xlnm._FilterDatabase" localSheetId="9" hidden="1">PLE!$A$13:$A$79</definedName>
    <definedName name="_xlnm._FilterDatabase" localSheetId="10" hidden="1">QCI!$C$13:$C$25</definedName>
    <definedName name="_xlnm._FilterDatabase" localSheetId="12" hidden="1">RRE!$D$13:$D$30</definedName>
    <definedName name="ACOMPANHAMENTO" hidden="1">IF(VALUE(MENU!$O$4)=2,"BM","PLE")</definedName>
    <definedName name="_xlnm.Print_Area" localSheetId="3">BDI!$J$1:$S$132</definedName>
    <definedName name="_xlnm.Print_Area" localSheetId="11">BM!$D$1:$O$207</definedName>
    <definedName name="_xlnm.Print_Area" localSheetId="5">CÁLCULO!$E$1:$AA$200</definedName>
    <definedName name="_xlnm.Print_Area" localSheetId="7">CRONO!$H$1:$AR$108</definedName>
    <definedName name="_xlnm.Print_Area" localSheetId="0">MENU!$A$1:$I$25</definedName>
    <definedName name="_xlnm.Print_Area" localSheetId="13">OFÍCIO!$A$1:$G$56</definedName>
    <definedName name="_xlnm.Print_Area" localSheetId="4">ORÇAMENTO!$O$1:$Y$209</definedName>
    <definedName name="_xlnm.Print_Area" localSheetId="9">PLE!$B$3:$AG$80</definedName>
    <definedName name="_xlnm.Print_Area" localSheetId="10">QCI!$D$1:$O$37</definedName>
    <definedName name="_xlnm.Print_Area" localSheetId="12">RRE!$E$1:$P$49</definedName>
    <definedName name="AUTOEVENTO" hidden="1">CÁLCULO!$A$12</definedName>
    <definedName name="BDI.Filtro" hidden="1">BDI!$I$11:$I$132</definedName>
    <definedName name="BDI.Opcao" hidden="1">DADOS!$F$18</definedName>
    <definedName name="BDI.TipoObra" hidden="1">BDI!$A$138:$A$146</definedName>
    <definedName name="BM.AFAcumulado" hidden="1">BM!$R1</definedName>
    <definedName name="BM.AFAnterior" hidden="1">BM!$Q1</definedName>
    <definedName name="BM.CaixaColunas" hidden="1">BM!$Q:$Z</definedName>
    <definedName name="BM.Filtro" hidden="1">BM!$C$15:$C$192</definedName>
    <definedName name="BM.firstrow" hidden="1">BM!$15:$15</definedName>
    <definedName name="BM.FormulaMed" hidden="1">BM!$AO$7</definedName>
    <definedName name="BM.lastrow" hidden="1">BM!$192:$192</definedName>
    <definedName name="BM.LinhaPadrão" hidden="1">BM!$14:$14</definedName>
    <definedName name="BM.MaxMed" hidden="1">IF(RegimeExecucao="Global",1,BM!$G1)</definedName>
    <definedName name="BM.MCAIXA.Filter" hidden="1">BM!$C$15:$Z$192</definedName>
    <definedName name="BM.MEDAcumulado" hidden="1">IF(COUNTIF(BM!$AB$13:$AM$13,BM.medicao)&gt;0,SUM(OFFSET(BM!$AB1,0,0,1,MATCH(BM.medicao,BM!$AB$13:$AM$13,0))),0)</definedName>
    <definedName name="BM.MEDAnterior" hidden="1">IF(COUNTIF(BM!$AB$13:$AM$13,BM.medicao-1)&gt;0,SUM(OFFSET(BM!$AB1,0,0,1,MATCH(BM.medicao-1,BM!$AB$13:$AM$13,0))),0)</definedName>
    <definedName name="BM.medicao" hidden="1">OFFSET(BM!$O$7,1,0)</definedName>
    <definedName name="BM.MinMed" hidden="1">IF(RegimeExecucao="Global",-1,-BM!$G1)</definedName>
    <definedName name="BM.TomadorColunas" hidden="1">BM!$AB:$AN</definedName>
    <definedName name="Brasao" hidden="1">OFÍCIO!$B$1</definedName>
    <definedName name="CAIXA.Modo" hidden="1">BM!$A$3</definedName>
    <definedName name="CÁLCULO.AgrupEventos" hidden="1">CÁLCULO!$K1</definedName>
    <definedName name="CÁLCULO.ColunaPadrão" hidden="1">CÁLCULO!$O:$O</definedName>
    <definedName name="CÁLCULO.Filtro" hidden="1">CÁLCULO!$C$15:$C$192</definedName>
    <definedName name="CÁLCULO.firstcol" hidden="1">CÁLCULO!$P:$P</definedName>
    <definedName name="CÁLCULO.firstrow" hidden="1">CÁLCULO!$15:$15</definedName>
    <definedName name="CÁLCULO.Frenterow" hidden="1">CÁLCULO!$12:$12</definedName>
    <definedName name="CÁLCULO.lastcol" hidden="1">CÁLCULO!$AA:$AA</definedName>
    <definedName name="CÁLCULO.lastrow" hidden="1">CÁLCULO!$192:$192</definedName>
    <definedName name="CÁLCULO.LinhaPadrão" hidden="1">CÁLCULO!$14:$14</definedName>
    <definedName name="CÁLCULO.margemrow" hidden="1">CÁLCULO!$200:$200</definedName>
    <definedName name="CÁLCULO.MATRIZ1.ColunaPadrão" hidden="1">CÁLCULO!$AC:$AC</definedName>
    <definedName name="CÁLCULO.MATRIZ1.firstcol" hidden="1">CÁLCULO!$AA:$AA</definedName>
    <definedName name="CÁLCULO.MATRIZ1.lastcol" hidden="1">CÁLCULO!$AL:$AL</definedName>
    <definedName name="CÁLCULO.MATRIZ1.lastrow" hidden="1">CÁLCULO!$192:$192</definedName>
    <definedName name="CÁLCULO.MATRIZ2.ColunaPadrão" hidden="1">CÁLCULO!$AN:$AN</definedName>
    <definedName name="CÁLCULO.MATRIZ2.firstcol" hidden="1">CÁLCULO!$AL:$AL</definedName>
    <definedName name="CÁLCULO.MATRIZ2.lastcol" hidden="1">CÁLCULO!$AW:$AW</definedName>
    <definedName name="CÁLCULO.MATRIZ2.lastrow" hidden="1">CÁLCULO!$192:$192</definedName>
    <definedName name="CÁLCULO.MATRIZ3.ColunaPadrão" hidden="1">CÁLCULO!$AY:$AY</definedName>
    <definedName name="CÁLCULO.MATRIZ3.firstcol" hidden="1">CÁLCULO!$AW:$AW</definedName>
    <definedName name="CÁLCULO.MATRIZ3.lastcol" hidden="1">CÁLCULO!$BH:$BH</definedName>
    <definedName name="CÁLCULO.MATRIZ3.lastrow" hidden="1">CÁLCULO!$192:$192</definedName>
    <definedName name="CÁLCULO.NúmeroDeEventos" hidden="1">IF(AUTOEVENTO&lt;&gt;"manual",MAX(CÁLCULO!$M$15:$M$192),MAX(OFFSET(EVENTOS!$C$14:$C$65,1,0)))</definedName>
    <definedName name="CÁLCULO.NúmeroDeFrentes" hidden="1">COLUMN(CÁLCULO!$AA$15)-COLUMN(CÁLCULO!$Q$15)</definedName>
    <definedName name="CÁLCULO.TotalAdmLocal" hidden="1">IF(AUTOEVENTO="manual",SUMIF(CÁLCULO!$M$15:$M$192,1,ORÇAMENTO!$X$15:$X$192),0)</definedName>
    <definedName name="CRONO.ColunaPadrão" hidden="1">CRONO!$D:$D</definedName>
    <definedName name="CRONO.Filtro" hidden="1">CRONO!$F$13:$F$108</definedName>
    <definedName name="CRONO.FirstCol" hidden="1">CRONO!$S:$S</definedName>
    <definedName name="CRONO.firstrow" hidden="1">CRONO!$13:$13</definedName>
    <definedName name="CRONO.Frenterow" hidden="1">CRONO!$12:$12</definedName>
    <definedName name="CRONO.LastCol" hidden="1">CRONO!$AR:$AR</definedName>
    <definedName name="CRONO.lastrow" hidden="1">CRONO!$103:$103</definedName>
    <definedName name="CRONO.LinhaPadrão" hidden="1">CRONO!$1:$3</definedName>
    <definedName name="CRONO.LinhasNecessarias" hidden="1">COUNTIF(QCI!$B$13:$B$24,"Manual")+COUNTIF(QCI!$B$13:$B$24,"SemiAuto")+COUNT(ORÇAMENTO.ListaCrono)</definedName>
    <definedName name="CRONO.margemrow" hidden="1">CRONO!$108:$108</definedName>
    <definedName name="CRONO.MaxParc" hidden="1">CRONO!$G1048576+CRONO!A1</definedName>
    <definedName name="CRONO.NivelExibicao" hidden="1">CRONO!$G$10</definedName>
    <definedName name="CRONO.Parcela1" hidden="1">CRONO!$T$12:$T$13</definedName>
    <definedName name="CRONOPLE.ColunaPadrão" hidden="1">CRONOPLE!$E:$E</definedName>
    <definedName name="CRONOPLE.FirstCol" hidden="1">CRONOPLE!$F:$F</definedName>
    <definedName name="CRONOPLE.firstrow" hidden="1">CRONOPLE!$15:$15</definedName>
    <definedName name="CRONOPLE.Frenterow" hidden="1">CRONOPLE!$11:$11</definedName>
    <definedName name="CRONOPLE.LastCol" hidden="1">CRONOPLE!$AF:$AF</definedName>
    <definedName name="CRONOPLE.lastrow" hidden="1">CRONOPLE!$65:$65</definedName>
    <definedName name="CRONOPLE.LinhaPadrão" hidden="1">CRONOPLE!$1:$1</definedName>
    <definedName name="CRONOPLE.margemrow" hidden="1">CRONOPLE!$66:$66</definedName>
    <definedName name="CRONOPLE.ValorDoEvento" hidden="1">SUMIF(CÁLCULO!$M$15:$M$192,CRONOPLE!$B1,OFFSET(CÁLCULO!$AA$15:$AA$192,0,CRONOPLE!A$12))</definedName>
    <definedName name="DESONERACAO" hidden="1">IF(OR(Import.Desoneracao="DESONERADO",Import.Desoneracao="SIM"),"SIM","NÃO")</definedName>
    <definedName name="EVENTOS.firstrow" hidden="1">EVENTOS!$15:$15</definedName>
    <definedName name="EVENTOS.lastrow" hidden="1">EVENTOS!$65:$65</definedName>
    <definedName name="EVENTOS.LinhaPadrão" hidden="1">EVENTOS!$14:$14</definedName>
    <definedName name="EVENTOS.Lista" hidden="1">EVENTOS!$C$15:OFFSET(EVENTOS!$C$65,-1,0)</definedName>
    <definedName name="EVENTOS.ListaValidacao" hidden="1">EVENTOS!$B$15:OFFSET(EVENTOS!$B$65,-1,0)</definedName>
    <definedName name="Excel_BuiltIn_Database" hidden="1">TEXT(Import.DataBase,"mm-aaaa")</definedName>
    <definedName name="Import.Apelido" hidden="1">DADOS!$F$16</definedName>
    <definedName name="Import.BDI.Det1" hidden="1">BDI!$S$21:$S$26</definedName>
    <definedName name="Import.BDI.Det2" hidden="1">BDI!$S$61:$S$66</definedName>
    <definedName name="Import.BDI.Det3" hidden="1">BDI!$S$101:$S$106</definedName>
    <definedName name="Import.BDI.ISS" hidden="1">BDI!$R$10:$S$11</definedName>
    <definedName name="Import.BDI.Obs1" hidden="1">BDI!$J$43</definedName>
    <definedName name="Import.BDI.Obs2" hidden="1">BDI!$J$83</definedName>
    <definedName name="Import.BDI.Obs3" hidden="1">BDI!$J$123</definedName>
    <definedName name="Import.BDI.Tipo1" hidden="1">BDI!$J$17</definedName>
    <definedName name="Import.BDI.Tipo2" hidden="1">BDI!$J$57</definedName>
    <definedName name="Import.BDI.Tipo3" hidden="1">BDI!$J$97</definedName>
    <definedName name="Import.BM.Datas" hidden="1">BM!$AB$12:$AM$12</definedName>
    <definedName name="Import.BM.Obs" hidden="1">BM!$D$195</definedName>
    <definedName name="Import.BMAFAcumulado" hidden="1">OFFSET(BM!$R$15,1,0):OFFSET(BM!$R$192,-1,0)</definedName>
    <definedName name="Import.BMArred" hidden="1">BM!$A$9</definedName>
    <definedName name="Import.CNPJ" hidden="1">DADOS!$F$39</definedName>
    <definedName name="Import.Código" hidden="1">OFFSET(ORÇAMENTO!$Q$15,1,0):OFFSET(ORÇAMENTO!$Q$192,-1,0)</definedName>
    <definedName name="Import.Contrapartida" hidden="1">DADOS!$F$10</definedName>
    <definedName name="Import.CPMaxPerc" hidden="1">DADOS!$F$13</definedName>
    <definedName name="Import.CPMinAbsoluta" hidden="1">DADOS!$F$12</definedName>
    <definedName name="Import.CPMinPerc" hidden="1">DADOS!$F$11</definedName>
    <definedName name="Import.CR" hidden="1">DADOS!$F$7</definedName>
    <definedName name="Import.CRONOPLE" hidden="1">OFFSET(CRONOPLE!$F$15,1,1):OFFSET(CRONOPLE!$AF$65,-1,-1)</definedName>
    <definedName name="Import.CTEF" hidden="1">DADOS!$F$37</definedName>
    <definedName name="Import.CustoUnitário" hidden="1">OFFSET(ORÇAMENTO!$U$15,1,0):OFFSET(ORÇAMENTO!$U$192,-1,0)</definedName>
    <definedName name="Import.DataBase" hidden="1">OFFSET(DADOS!$G$19,0,-1)</definedName>
    <definedName name="Import.DataBaseLicit" hidden="1">OFFSET(DADOS!$G$41,0,-1)</definedName>
    <definedName name="Import.DataEmissaoLicit" hidden="1">DADOS!$F$36</definedName>
    <definedName name="Import.DataInicioObra" hidden="1">DADOS!$F$47</definedName>
    <definedName name="Import.DescLote" hidden="1">DADOS!$F$17</definedName>
    <definedName name="Import.Descrição" hidden="1">OFFSET(ORÇAMENTO!$R$15,1,0):OFFSET(ORÇAMENTO!$R$192,-1,0)</definedName>
    <definedName name="Import.Desoneracao" hidden="1">OFFSET(DADOS!$G$18,0,-1)</definedName>
    <definedName name="Import.empresa" hidden="1">DADOS!$F$38</definedName>
    <definedName name="Import.Eventos.Nível" hidden="1">EVENTOS!$C$6</definedName>
    <definedName name="Import.Eventos.Nomes" hidden="1">OFFSET(EVENTOS!$D$15,1,0):OFFSET(EVENTOS!$D$65,-1,0)</definedName>
    <definedName name="Import.Fonte" hidden="1">OFFSET(ORÇAMENTO!$P$15,1,0):OFFSET(ORÇAMENTO!$P$192,-1,0)</definedName>
    <definedName name="Import.FrenteDeObra" hidden="1">CÁLCULO!$Q$12:OFFSET(CÁLCULO!$AA$12,0,-1)</definedName>
    <definedName name="Import.Município" hidden="1">DADOS!$F$6</definedName>
    <definedName name="Import.Nível" hidden="1">OFFSET(ORÇAMENTO!$M$15,1,0):OFFSET(ORÇAMENTO!$M$192,-1,0)</definedName>
    <definedName name="Import.Ofício.Dest" hidden="1">OFÍCIO!$B$11</definedName>
    <definedName name="Import.Ofício.GIGOV" hidden="1">OFÍCIO!$C$11</definedName>
    <definedName name="Import.Ofício.Num" hidden="1">OFÍCIO!$C$6</definedName>
    <definedName name="Import.OpcaoBDI" hidden="1">OFFSET(ORÇAMENTO!$V$15,1,0):OFFSET(ORÇAMENTO!$V$192,-1,0)</definedName>
    <definedName name="Import.ORÇAMENTO.DivRecurso" hidden="1">OFFSET(ORÇAMENTO!$Y$15,1,0):OFFSET(ORÇAMENTO!$Y$192,-1,0)</definedName>
    <definedName name="Import.ORÇAMENTO.Obs" hidden="1">ORÇAMENTO!$O$198</definedName>
    <definedName name="Import.PLE" hidden="1">OFFSET(PLE!$G$15,1,1):OFFSET(PLE!$AG$65,-1,-1)</definedName>
    <definedName name="Import.PLE.Datas" hidden="1">PLE!$I$68:$AF$68</definedName>
    <definedName name="Import.PLQ" hidden="1">OFFSET(CÁLCULO!$P$15,1,1):OFFSET(CÁLCULO!$AA$192,-1,-1)</definedName>
    <definedName name="Import.PLQ.MemCalc" hidden="1">OFFSET(CÁLCULO!$I$15,1,0):OFFSET(CÁLCULO!$I$192,-1,0)</definedName>
    <definedName name="Import.POArred" hidden="1">ORÇAMENTO!$AF$7:$AF$11</definedName>
    <definedName name="IMport.Prefeito" hidden="1">DADOS!$F$28:$F$29</definedName>
    <definedName name="Import.Proponente" hidden="1">DADOS!$F$5</definedName>
    <definedName name="Import.QCI.Divisao" hidden="1">OFFSET(QCI!$V$13,1,0):OFFSET(QCI!$V$24,-1,0)</definedName>
    <definedName name="Import.QCI.ItemInv" hidden="1">OFFSET(QCI!$E$13,1,0):OFFSET(QCI!$E$24,-1,0)</definedName>
    <definedName name="Import.QCI.Obs" hidden="1">QCI!$D$28</definedName>
    <definedName name="Import.QCI.Qtde" hidden="1">OFFSET(QCI!$I$13,1,0):OFFSET(QCI!$I$24,-1,0)</definedName>
    <definedName name="Import.QCI.Situacao" hidden="1">OFFSET(QCI!$H$13,1,0):OFFSET(QCI!$H$24,-1,0)</definedName>
    <definedName name="Import.QCI.SubItemInv" hidden="1">OFFSET(QCI!$F$13,1,0):OFFSET(QCI!$F$24,-1,0)</definedName>
    <definedName name="Import.QCICP" hidden="1">OFFSET(QCI!$W$13,1,0):OFFSET(QCI!$W$24,-1,0)</definedName>
    <definedName name="Import.QCIDesc" hidden="1">OFFSET(QCI!$R$13,1,0):OFFSET(QCI!$R$24,-1,0)</definedName>
    <definedName name="Import.QCIInv" hidden="1">OFFSET(QCI!$U$13,1,0):OFFSET(QCI!$U$24,-1,0)</definedName>
    <definedName name="Import.QCILote" hidden="1">OFFSET(QCI!$T$13,1,0):OFFSET(QCI!$T$24,-1,0)</definedName>
    <definedName name="Import.QCIOutros" hidden="1">OFFSET(QCI!$X$13,1,0):OFFSET(QCI!$X$24,-1,0)</definedName>
    <definedName name="Import.Quantidade" hidden="1">OFFSET(ORÇAMENTO!$AJ$15,1,0):OFFSET(ORÇAMENTO!$AJ$192,-1,0)</definedName>
    <definedName name="import.recurso" hidden="1">DADOS!$F$4</definedName>
    <definedName name="Import.RegimeExecução" hidden="1">OFFSET(DADOS!$G$40,0,-1)</definedName>
    <definedName name="Import.Repasse" hidden="1">DADOS!$F$9</definedName>
    <definedName name="Import.RespFiscalização" hidden="1">DADOS!$F$51:$F$54</definedName>
    <definedName name="Import.RespOrçamento" hidden="1">DADOS!$F$22:$F$24</definedName>
    <definedName name="Import.RRE.Financeiro" hidden="1">RRE!$M$47:$O$49</definedName>
    <definedName name="Import.RRE.Obs" hidden="1">RRE!$E$31</definedName>
    <definedName name="Import.RRE.Social" hidden="1">RRE!$F$47:$G$49</definedName>
    <definedName name="Import.SICONV" hidden="1">DADOS!$F$8</definedName>
    <definedName name="Import.TipoArredondamento" hidden="1">DADOS!$F$31</definedName>
    <definedName name="Import.TransfereGOV" hidden="1">DADOS!$F$8</definedName>
    <definedName name="Import.Unidade" hidden="1">OFFSET(ORÇAMENTO!$S$15,1,0):OFFSET(ORÇAMENTO!$S$192,-1,0)</definedName>
    <definedName name="Import.UnitarioLicitado" hidden="1">OFFSET(ORÇAMENTO!$AL$15,1,0):OFFSET(ORÇAMENTO!$AL$192,-1,0)</definedName>
    <definedName name="MENU.Acompanhamento" hidden="1">MENU!$O$4</definedName>
    <definedName name="Menu.b.bdi" hidden="1">MENU!$C$10</definedName>
    <definedName name="Menu.b.bm" hidden="1">MENU!$G$22</definedName>
    <definedName name="Menu.b.branco" hidden="1">MENU!$G$12</definedName>
    <definedName name="Menu.b.cronolicit" hidden="1">MENU!$G$18</definedName>
    <definedName name="Menu.b.cronoprop" hidden="1">MENU!$E$12</definedName>
    <definedName name="Menu.b.dados" hidden="1">MENU!$E$6</definedName>
    <definedName name="Menu.b.novo" hidden="1">MENU!$G$6</definedName>
    <definedName name="Menu.b.oficio" hidden="1">MENU!$E$24</definedName>
    <definedName name="Menu.b.orçlicit" hidden="1">MENU!$C$18</definedName>
    <definedName name="Menu.b.orçprop" hidden="1">MENU!$E$10</definedName>
    <definedName name="Menu.b.PLE" hidden="1">MENU!$C$22</definedName>
    <definedName name="Menu.b.PLQ" hidden="1">MENU!$G$10</definedName>
    <definedName name="Menu.b.QCIlicit" hidden="1">MENU!$E$18</definedName>
    <definedName name="Menu.b.qciprop" hidden="1">MENU!$C$12</definedName>
    <definedName name="Menu.b.RRE" hidden="1">MENU!$E$22</definedName>
    <definedName name="MENU.CRONO" hidden="1">OFFSET(CRONO!$T$11,1,0)</definedName>
    <definedName name="MENU.CRONOPLE" hidden="1">CRONOPLE!$B$5</definedName>
    <definedName name="MENU.TipoOrçamento" hidden="1">MENU!$O$3</definedName>
    <definedName name="Menu.tit.acompanhamento" hidden="1">MENU!$B$20</definedName>
    <definedName name="Menu.tit.licitacao" hidden="1">MENU!$B$16</definedName>
    <definedName name="Menu.tit.proposta" hidden="1">MENU!$B$8</definedName>
    <definedName name="Objeto" hidden="1">MENU!$J$1</definedName>
    <definedName name="ORÇAMENTO.BancoRef" hidden="1">ORÇAMENTO!$F$8</definedName>
    <definedName name="ORÇAMENTO.CodBarra" hidden="1">IF(ORÇAMENTO.Fonte="Sinapi",SUBSTITUTE(SUBSTITUTE(ORÇAMENTO.Codigo,"/00","/"),"/0","/"),ORÇAMENTO.Codigo)</definedName>
    <definedName name="ORÇAMENTO.Codigo" hidden="1">ORÇAMENTO!$Q1</definedName>
    <definedName name="ORÇAMENTO.ColunaLicit" hidden="1">ORÇAMENTO!$AL$15</definedName>
    <definedName name="ORÇAMENTO.CopyFormat1" hidden="1">ORÇAMENTO!$P$14:$S$14</definedName>
    <definedName name="ORÇAMENTO.CopyFormat2" hidden="1">ORÇAMENTO!$U$14:$V$14</definedName>
    <definedName name="ORÇAMENTO.CustoUnitario" hidden="1">ROUND(ORÇAMENTO!$U1,15-13*ORÇAMENTO!$AF$8)</definedName>
    <definedName name="ORÇAMENTO.Descricao" hidden="1">ORÇAMENTO!$R1</definedName>
    <definedName name="ORÇAMENTO.Filtro" hidden="1">ORÇAMENTO!$L$15:$L$192</definedName>
    <definedName name="ORÇAMENTO.firstrow" hidden="1">ORÇAMENTO!$15:$15</definedName>
    <definedName name="ORÇAMENTO.Fonte" hidden="1">ORÇAMENTO!$P1</definedName>
    <definedName name="ORÇAMENTO.lastrow" hidden="1">ORÇAMENTO!$192:$192</definedName>
    <definedName name="ORÇAMENTO.LinhaPadrão" hidden="1">ORÇAMENTO!$14:$14</definedName>
    <definedName name="ORÇAMENTO.ListaCrono" hidden="1">OFFSET(ORÇAMENTO!$AD$15,1,0):OFFSET(ORÇAMENTO!$AD$192,-1,0)</definedName>
    <definedName name="ORÇAMENTO.MáximoListaCrono" hidden="1">MAX(ORÇAMENTO.ListaCrono)</definedName>
    <definedName name="ORÇAMENTO.Nivel" hidden="1">ORÇAMENTO!$M1</definedName>
    <definedName name="ORÇAMENTO.OpcaoBDI" hidden="1">ORÇAMENTO!$V1</definedName>
    <definedName name="ORÇAMENTO.PasteFormat1" hidden="1">OFFSET(ORÇAMENTO!$P$15,1,0):OFFSET(ORÇAMENTO!$S$192,-1,0)</definedName>
    <definedName name="ORÇAMENTO.PasteFormat2" hidden="1">OFFSET(ORÇAMENTO!$U$15,1,0):OFFSET(ORÇAMENTO!$V$192,-1,0)</definedName>
    <definedName name="ORÇAMENTO.PrecoUnitarioLicitado" hidden="1">ORÇAMENTO!$AL1</definedName>
    <definedName name="ORÇAMENTO.QuantBM" hidden="1">ORÇAMENTO!$AJ1</definedName>
    <definedName name="ORÇAMENTO.RangeQuant" hidden="1">OFFSET(ORÇAMENTO!$T$15,1,0):OFFSET(ORÇAMENTO!$T$192,-1,0)</definedName>
    <definedName name="ORÇAMENTO.SumCPMANUAL" hidden="1">SUMIF(ORÇAMENTO!$Z$15:$Z$192,"CP",ORÇAMENTO!$AA$15:$AA$192)</definedName>
    <definedName name="ORÇAMENTO.SumINVMANUAL" hidden="1">SUMIF(ORÇAMENTO!$Z$15:$Z$192,"RP",ORÇAMENTO!$X$15:$X$192)+SUMIF(ORÇAMENTO!$Z$15:$Z$192,"CP",ORÇAMENTO!$X$15:$X$192)+SUMIF(ORÇAMENTO!$Z$15:$Z$192,"OU",ORÇAMENTO!$X$15:$X$192)</definedName>
    <definedName name="ORÇAMENTO.SumOUTROSMANUAL" hidden="1">SUMIF(ORÇAMENTO!$Z$15:$Z$192,"OU",ORÇAMENTO!$AB$15:$AB$192)</definedName>
    <definedName name="ORÇAMENTO.SumREPASSEMANUAL" hidden="1">ORÇAMENTO.SumINVMANUAL-ORÇAMENTO.SumCPMANUAL-ORÇAMENTO.SumOUTROSMANUAL</definedName>
    <definedName name="ORÇAMENTO.Unidade" hidden="1">ORÇAMENTO!$S1</definedName>
    <definedName name="PLE.ColunaPadrão" hidden="1">PLE!$F:$F</definedName>
    <definedName name="PLE.Filtro" hidden="1">PLE!$A$13:$A$79</definedName>
    <definedName name="PLE.FirstCol" hidden="1">PLE!$G:$G</definedName>
    <definedName name="PLE.firstrow" hidden="1">PLE!$15:$15</definedName>
    <definedName name="PLE.FrenteRow" hidden="1">PLE!$11:$11</definedName>
    <definedName name="PLE.LastCol" hidden="1">PLE!$AG:$AG</definedName>
    <definedName name="PLE.lastrow" hidden="1">PLE!$65:$65</definedName>
    <definedName name="PLE.LinhaPadrão" hidden="1">PLE!$1:$1</definedName>
    <definedName name="PLE.margemrow" hidden="1">PLE!$80:$80</definedName>
    <definedName name="PLE.Medicao" hidden="1">PLE!$J$9</definedName>
    <definedName name="PLE.MEDIÇÕES.firstrow" hidden="1">PLE!$66:$66</definedName>
    <definedName name="PLE.MEDIÇÕES.lastrow" hidden="1">PLE!$74:$74</definedName>
    <definedName name="PLE.MEDIÇÕES.LinhaPadrão" hidden="1">PLE!$66:$73</definedName>
    <definedName name="PLE.ValorDoEvento" hidden="1">SUMIF(CÁLCULO!$M$15:$M$192,PLE!$B1,OFFSET(CÁLCULO!$AA$15:$AA$192,0,PLE!A$12))</definedName>
    <definedName name="PO.ValoresBDI" hidden="1">OFFSET(ORÇAMENTO!$AH$15,1,0):OFFSET(ORÇAMENTO!$AH$192,-1,0)</definedName>
    <definedName name="QCI.CPManual" hidden="1">ROUND(QCI!$W1,2)</definedName>
    <definedName name="QCI.DescManual" hidden="1">QCI!$R1</definedName>
    <definedName name="QCI.Divisao" hidden="1">QCI!$V1</definedName>
    <definedName name="QCI.ExisteManual" hidden="1">(COUNTIF(QCI!$B$13:$B$24,"Manual")+COUNTIF(QCI!$B$13:$B$24,"SemiAuto"))&gt;0</definedName>
    <definedName name="QCI.Filtro" hidden="1">QCI!$C$13:$C$25</definedName>
    <definedName name="QCI.firstrow" hidden="1">QCI!$13:$13</definedName>
    <definedName name="QCI.InvManual" hidden="1">ROUND(QCI!$U1,2)</definedName>
    <definedName name="QCI.ItemInvestimento" hidden="1">OFFSET(DADOS!$J$2,1,0,COUNTA(DADOS!$J:$J)-1,1)</definedName>
    <definedName name="QCI.lastrow" hidden="1">QCI!$24:$24</definedName>
    <definedName name="QCI.LinhaPadrão" hidden="1">QCI!$12:$12</definedName>
    <definedName name="QCI.LoteManual" hidden="1">QCI!$T1</definedName>
    <definedName name="QCI.MaxCPManual" hidden="1">QCI!$O1-QCI!$X1</definedName>
    <definedName name="QCI.MaxOUManual" hidden="1">QCI!$O1-QCI!$W1</definedName>
    <definedName name="QCI.OutrosManual" hidden="1">ROUND(QCI!$X1,2)</definedName>
    <definedName name="QCI.RepasseManual" hidden="1">QCI!$U1</definedName>
    <definedName name="QCI.SubItemInvestimento" hidden="1">OFFSET(DADOS!$A$2,1,MATCH(QCI!$E1,DADOS!$2:$2,0)-1,INDEX(DADOS!$2:$2,MATCH(QCI!$E1,DADOS!$2:$2,0)+1))</definedName>
    <definedName name="QCI.SumCPMANUAL" hidden="1">SUMIF(QCI!$B$13:$B$24,"Manual",QCI!$AA$13:$AA$24)</definedName>
    <definedName name="QCI.SumINVMANUAL" hidden="1">SUMIF(QCI!$B$13:$B$24,"Manual",QCI!$O$13:$O$24)</definedName>
    <definedName name="QCI.SumOUTROSMANUAL" hidden="1">SUMIF(QCI!$B$13:$B$24,"Manual",QCI!$AB$13:$AB$24)</definedName>
    <definedName name="QCI.SumREPASSEMANUAL" hidden="1">QCI.SumINVMANUAL-QCI.CPManual-QCI.OutrosManual</definedName>
    <definedName name="QCI.TotalCP" hidden="1">QCI!$M$24</definedName>
    <definedName name="REFERENCIA.Descricao" hidden="1">IF(ISNUMBER(ORÇAMENTO!$AF1),OFFSET(INDIRECT(ORÇAMENTO.BancoRef),ORÇAMENTO!$AF1-1,3,1),ORÇAMENTO!$AF1)</definedName>
    <definedName name="REFERENCIA.Desonerado" hidden="1">IF(ISNUMBER(ORÇAMENTO!$AF1),VALUE(OFFSET(INDIRECT(ORÇAMENTO.BancoRef),ORÇAMENTO!$AF1-1,5,1)),0)</definedName>
    <definedName name="REFERENCIA.NaoDesonerado" hidden="1">IF(ISNUMBER(ORÇAMENTO!$AF1),VALUE(OFFSET(INDIRECT(ORÇAMENTO.BancoRef),ORÇAMENTO!$AF1-1,6,1)),0)</definedName>
    <definedName name="REFERENCIA.Unidade" hidden="1">IF(ISNUMBER(ORÇAMENTO!$AF1),OFFSET(INDIRECT(ORÇAMENTO.BancoRef),ORÇAMENTO!$AF1-1,4,1),"-")</definedName>
    <definedName name="RegimeExecucao" hidden="1">IF(OR(Import.RegimeExecução="",Import.RegimeExecução="Empreitada por Preço Global",Import.RegimeExecução="Empreitada Integral"),"Global","Unitário")</definedName>
    <definedName name="RRE.CPDiferente" hidden="1">RRE!$Y$26:$Z$27</definedName>
    <definedName name="RRE.Filtro" hidden="1">RRE!$D$13:$D$28</definedName>
    <definedName name="RRE.firstrow" hidden="1">RRE!$13:$13</definedName>
    <definedName name="RRE.lastrow" hidden="1">RRE!$24:$24</definedName>
    <definedName name="RRE.LinhaPadrão" hidden="1">RRE!$12:$12</definedName>
    <definedName name="RRE.MaxCPAcum" hidden="1">RRE!$AD$26</definedName>
    <definedName name="RRE.MaxCPAnt" hidden="1">RRE!$AC$26</definedName>
    <definedName name="RRE.MaxOUAcum" hidden="1">RRE!$AD$27</definedName>
    <definedName name="RRE.MaxOUAnt" hidden="1">RRE!$AC$27</definedName>
    <definedName name="RRE.Numero" hidden="1">OFFSET(RRE!$O$7,0,1)</definedName>
    <definedName name="RRE.VIMeta" hidden="1">RRE!$L1</definedName>
    <definedName name="SENHAGT" hidden="1">"PM3CAIXA"</definedName>
    <definedName name="SomaAgrup" hidden="1">SUMIF(OFFSET(ORÇAMENTO!$C1,1,0,ORÇAMENTO!$D1),"S",OFFSET(ORÇAMENTO!A1,1,0,ORÇAMENTO!$D1))</definedName>
    <definedName name="SomaAgrupBM" hidden="1">SUMIF(OFFSET(BM!$A1,1,0,BM!$B1),"S",OFFSET(BM!A1,1,0,BM!$B1))</definedName>
    <definedName name="TIPOORCAMENTO" hidden="1">IF(VALUE(MENU!$O$3)=2,"Licitado","Proposto")</definedName>
    <definedName name="_xlnm.Print_Titles" localSheetId="3">BDI!$1:$13</definedName>
    <definedName name="_xlnm.Print_Titles" localSheetId="11">BM!$1:$15</definedName>
    <definedName name="_xlnm.Print_Titles" localSheetId="5">CÁLCULO!$E:$H,CÁLCULO!$1:$15</definedName>
    <definedName name="_xlnm.Print_Titles" localSheetId="7">CRONO!$H:$S,CRONO!$1:$13</definedName>
    <definedName name="_xlnm.Print_Titles" localSheetId="4">ORÇAMENTO!$1:$15</definedName>
    <definedName name="_xlnm.Print_Titles" localSheetId="9">PLE!$B:$E,PLE!$1:$13</definedName>
    <definedName name="_xlnm.Print_Titles" localSheetId="10">QCI!$1:$13</definedName>
    <definedName name="_xlnm.Print_Titles" localSheetId="12">RRE!$1:$13</definedName>
    <definedName name="Versao" hidden="1">MENU!$J$2</definedName>
    <definedName name="VTOTAL1" hidden="1">ROUND(ORÇAMENTO!$T1*ORÇAMENTO!$W1,15-13*ORÇAMENTO!$AF$11)</definedName>
    <definedName name="VTOTALBM" hidden="1">IF(BM!$I1=0,0,CHOOSE(MATCH(RegimeExecucao,{"Global","Unitário"},0),ROUND(ROUND(BM!XFB1,15-13*BM!$A$9)/100*BM!$I1,15-13*ORÇAMENTO!$AF$11),ROUND(ROUND(BM!XFB1,15-13*BM!$A$9)*ROUND(BM!$H1,15-13*ORÇAMENTO!$AF$10),15-13*ORÇAMENTO!$AF$11)))</definedName>
    <definedName name="VTOTALMED" hidden="1">BM!$P$14</definedName>
  </definedNames>
  <calcPr calcId="162913"/>
</workbook>
</file>

<file path=xl/calcChain.xml><?xml version="1.0" encoding="utf-8"?>
<calcChain xmlns="http://schemas.openxmlformats.org/spreadsheetml/2006/main">
  <c r="H148" i="12" l="1"/>
  <c r="G148" i="12"/>
  <c r="F148" i="12"/>
  <c r="A148" i="5"/>
  <c r="H147" i="12"/>
  <c r="G147" i="12"/>
  <c r="F147" i="12"/>
  <c r="H146" i="12"/>
  <c r="G146" i="12"/>
  <c r="F146" i="12"/>
  <c r="A147" i="5"/>
  <c r="A146" i="5"/>
  <c r="H121" i="12"/>
  <c r="G121" i="12"/>
  <c r="F121" i="12"/>
  <c r="A121" i="5"/>
  <c r="H183" i="12" l="1"/>
  <c r="G183" i="12"/>
  <c r="F183" i="12"/>
  <c r="A183" i="5"/>
  <c r="H131" i="12" l="1"/>
  <c r="G131" i="12"/>
  <c r="F131" i="12"/>
  <c r="A131" i="5"/>
  <c r="H190" i="12" l="1"/>
  <c r="G190" i="12"/>
  <c r="F190" i="12"/>
  <c r="A190" i="5"/>
  <c r="H89" i="12" l="1"/>
  <c r="G89" i="12"/>
  <c r="F89" i="12"/>
  <c r="A89" i="5"/>
  <c r="H93" i="12"/>
  <c r="G93" i="12"/>
  <c r="F93" i="12"/>
  <c r="H92" i="12"/>
  <c r="G92" i="12"/>
  <c r="F92" i="12"/>
  <c r="H91" i="12"/>
  <c r="G91" i="12"/>
  <c r="F91" i="12"/>
  <c r="H90" i="12"/>
  <c r="G90" i="12"/>
  <c r="F90" i="12"/>
  <c r="A93" i="5"/>
  <c r="A92" i="5"/>
  <c r="A91" i="5"/>
  <c r="A90" i="5"/>
  <c r="H145" i="12"/>
  <c r="G145" i="12"/>
  <c r="F145" i="12"/>
  <c r="A145" i="5"/>
  <c r="H144" i="12"/>
  <c r="G144" i="12"/>
  <c r="F144" i="12"/>
  <c r="H143" i="12"/>
  <c r="G143" i="12"/>
  <c r="F143" i="12"/>
  <c r="H142" i="12"/>
  <c r="G142" i="12"/>
  <c r="F142" i="12"/>
  <c r="H141" i="12"/>
  <c r="G141" i="12"/>
  <c r="F141" i="12"/>
  <c r="H140" i="12"/>
  <c r="G140" i="12"/>
  <c r="F140" i="12"/>
  <c r="A144" i="5"/>
  <c r="A143" i="5"/>
  <c r="A142" i="5"/>
  <c r="A141" i="5"/>
  <c r="A140" i="5"/>
  <c r="H178" i="12"/>
  <c r="G178" i="12"/>
  <c r="F178" i="12"/>
  <c r="H177" i="12"/>
  <c r="G177" i="12"/>
  <c r="F177" i="12"/>
  <c r="H176" i="12"/>
  <c r="G176" i="12"/>
  <c r="F176" i="12"/>
  <c r="H175" i="12"/>
  <c r="G175" i="12"/>
  <c r="F175" i="12"/>
  <c r="A178" i="5"/>
  <c r="A177" i="5"/>
  <c r="A176" i="5"/>
  <c r="A175" i="5"/>
  <c r="H182" i="12" l="1"/>
  <c r="G182" i="12"/>
  <c r="F182" i="12"/>
  <c r="H181" i="12"/>
  <c r="G181" i="12"/>
  <c r="F181" i="12"/>
  <c r="H180" i="12"/>
  <c r="G180" i="12"/>
  <c r="F180" i="12"/>
  <c r="H179" i="12"/>
  <c r="G179" i="12"/>
  <c r="F179" i="12"/>
  <c r="A182" i="5"/>
  <c r="A181" i="5"/>
  <c r="A180" i="5"/>
  <c r="A179" i="5"/>
  <c r="AJ139" i="5" l="1"/>
  <c r="H139" i="12"/>
  <c r="G139" i="12"/>
  <c r="F139" i="12"/>
  <c r="H138" i="12"/>
  <c r="G138" i="12"/>
  <c r="F138" i="12"/>
  <c r="A139" i="5"/>
  <c r="A138" i="5"/>
  <c r="H137" i="12"/>
  <c r="G137" i="12"/>
  <c r="F137" i="12"/>
  <c r="H136" i="12"/>
  <c r="G136" i="12"/>
  <c r="F136" i="12"/>
  <c r="H135" i="12"/>
  <c r="G135" i="12"/>
  <c r="F135" i="12"/>
  <c r="H134" i="12"/>
  <c r="G134" i="12"/>
  <c r="F134" i="12"/>
  <c r="A137" i="5"/>
  <c r="A136" i="5"/>
  <c r="A135" i="5"/>
  <c r="A134" i="5"/>
  <c r="AJ118" i="5"/>
  <c r="AJ115" i="5"/>
  <c r="H128" i="12"/>
  <c r="G128" i="12"/>
  <c r="F128" i="12"/>
  <c r="A128" i="5"/>
  <c r="H119" i="12"/>
  <c r="G119" i="12"/>
  <c r="F119" i="12"/>
  <c r="A119" i="5"/>
  <c r="H118" i="12"/>
  <c r="G118" i="12"/>
  <c r="F118" i="12"/>
  <c r="A118" i="5"/>
  <c r="H125" i="12"/>
  <c r="G125" i="12"/>
  <c r="F125" i="12"/>
  <c r="A125" i="5"/>
  <c r="H133" i="12" l="1"/>
  <c r="G133" i="12"/>
  <c r="F133" i="12"/>
  <c r="H132" i="12"/>
  <c r="G132" i="12"/>
  <c r="F132" i="12"/>
  <c r="H130" i="12"/>
  <c r="G130" i="12"/>
  <c r="F130" i="12"/>
  <c r="H129" i="12"/>
  <c r="G129" i="12"/>
  <c r="F129" i="12"/>
  <c r="A133" i="5"/>
  <c r="A132" i="5"/>
  <c r="A130" i="5"/>
  <c r="A129" i="5"/>
  <c r="H127" i="12"/>
  <c r="G127" i="12"/>
  <c r="F127" i="12"/>
  <c r="H126" i="12"/>
  <c r="G126" i="12"/>
  <c r="F126" i="12"/>
  <c r="A127" i="5"/>
  <c r="A126" i="5"/>
  <c r="AJ73" i="5" l="1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L106" i="8" a="1"/>
  <c r="AL108" i="8" s="1"/>
  <c r="AQ8" i="8"/>
  <c r="AK8" i="8"/>
  <c r="AF8" i="8"/>
  <c r="AQ7" i="8"/>
  <c r="AK7" i="8"/>
  <c r="H25" i="12"/>
  <c r="G25" i="12"/>
  <c r="F25" i="12"/>
  <c r="A25" i="5"/>
  <c r="H24" i="12"/>
  <c r="G24" i="12"/>
  <c r="F24" i="12"/>
  <c r="H23" i="12"/>
  <c r="G23" i="12"/>
  <c r="F23" i="12"/>
  <c r="H22" i="12"/>
  <c r="G22" i="12"/>
  <c r="F22" i="12"/>
  <c r="H21" i="12"/>
  <c r="G21" i="12"/>
  <c r="F21" i="12"/>
  <c r="H20" i="12"/>
  <c r="G20" i="12"/>
  <c r="F20" i="12"/>
  <c r="H19" i="12"/>
  <c r="G19" i="12"/>
  <c r="F19" i="12"/>
  <c r="H18" i="12"/>
  <c r="G18" i="12"/>
  <c r="F18" i="12"/>
  <c r="H17" i="12"/>
  <c r="G17" i="12"/>
  <c r="F17" i="12"/>
  <c r="A24" i="5"/>
  <c r="A23" i="5"/>
  <c r="A22" i="5"/>
  <c r="A21" i="5"/>
  <c r="A20" i="5"/>
  <c r="A19" i="5"/>
  <c r="A18" i="5"/>
  <c r="A17" i="5"/>
  <c r="AH21" i="8" l="1"/>
  <c r="AL106" i="8"/>
  <c r="AL107" i="8"/>
  <c r="H65" i="12" l="1"/>
  <c r="G65" i="12"/>
  <c r="F65" i="12"/>
  <c r="A65" i="5"/>
  <c r="H38" i="12"/>
  <c r="G38" i="12"/>
  <c r="F38" i="12"/>
  <c r="A38" i="5"/>
  <c r="AJ40" i="5"/>
  <c r="AJ41" i="5"/>
  <c r="H41" i="12"/>
  <c r="G41" i="12"/>
  <c r="F41" i="12"/>
  <c r="A41" i="5"/>
  <c r="AJ67" i="5" l="1"/>
  <c r="H67" i="12"/>
  <c r="G67" i="12"/>
  <c r="F67" i="12"/>
  <c r="A67" i="5"/>
  <c r="AJ66" i="5"/>
  <c r="H66" i="12"/>
  <c r="G66" i="12"/>
  <c r="F66" i="12"/>
  <c r="A66" i="5"/>
  <c r="H99" i="12"/>
  <c r="G99" i="12"/>
  <c r="F99" i="12"/>
  <c r="A99" i="5"/>
  <c r="AJ83" i="5" l="1"/>
  <c r="AJ186" i="5"/>
  <c r="H187" i="12"/>
  <c r="G187" i="12"/>
  <c r="F187" i="12"/>
  <c r="A187" i="5"/>
  <c r="H186" i="12"/>
  <c r="G186" i="12"/>
  <c r="F186" i="12"/>
  <c r="H185" i="12"/>
  <c r="G185" i="12"/>
  <c r="F185" i="12"/>
  <c r="H184" i="12"/>
  <c r="G184" i="12"/>
  <c r="F184" i="12"/>
  <c r="A186" i="5"/>
  <c r="A185" i="5"/>
  <c r="A184" i="5"/>
  <c r="AJ191" i="5"/>
  <c r="AJ103" i="5"/>
  <c r="AJ86" i="5" l="1"/>
  <c r="H86" i="12"/>
  <c r="G86" i="12"/>
  <c r="F86" i="12"/>
  <c r="A86" i="5"/>
  <c r="AJ85" i="5"/>
  <c r="H85" i="12"/>
  <c r="G85" i="12"/>
  <c r="F85" i="12"/>
  <c r="A85" i="5"/>
  <c r="H170" i="12"/>
  <c r="G170" i="12"/>
  <c r="F170" i="12"/>
  <c r="H169" i="12"/>
  <c r="G169" i="12"/>
  <c r="F169" i="12"/>
  <c r="H168" i="12"/>
  <c r="G168" i="12"/>
  <c r="F168" i="12"/>
  <c r="H167" i="12"/>
  <c r="G167" i="12"/>
  <c r="F167" i="12"/>
  <c r="A170" i="5"/>
  <c r="A169" i="5"/>
  <c r="A168" i="5"/>
  <c r="A167" i="5"/>
  <c r="H165" i="12"/>
  <c r="G165" i="12"/>
  <c r="F165" i="12"/>
  <c r="H164" i="12"/>
  <c r="G164" i="12"/>
  <c r="F164" i="12"/>
  <c r="H163" i="12"/>
  <c r="G163" i="12"/>
  <c r="F163" i="12"/>
  <c r="H162" i="12"/>
  <c r="G162" i="12"/>
  <c r="F162" i="12"/>
  <c r="H161" i="12"/>
  <c r="G161" i="12"/>
  <c r="F161" i="12"/>
  <c r="A165" i="5"/>
  <c r="A164" i="5"/>
  <c r="A163" i="5"/>
  <c r="A162" i="5"/>
  <c r="A161" i="5"/>
  <c r="AJ157" i="5"/>
  <c r="AJ155" i="5"/>
  <c r="H158" i="12"/>
  <c r="G158" i="12"/>
  <c r="F158" i="12"/>
  <c r="H157" i="12"/>
  <c r="G157" i="12"/>
  <c r="F157" i="12"/>
  <c r="H156" i="12"/>
  <c r="G156" i="12"/>
  <c r="F156" i="12"/>
  <c r="H155" i="12"/>
  <c r="G155" i="12"/>
  <c r="F155" i="12"/>
  <c r="H154" i="12"/>
  <c r="G154" i="12"/>
  <c r="F154" i="12"/>
  <c r="H153" i="12"/>
  <c r="G153" i="12"/>
  <c r="F153" i="12"/>
  <c r="H152" i="12"/>
  <c r="G152" i="12"/>
  <c r="F152" i="12"/>
  <c r="A158" i="5"/>
  <c r="A157" i="5"/>
  <c r="A156" i="5"/>
  <c r="A155" i="5"/>
  <c r="A154" i="5"/>
  <c r="A153" i="5"/>
  <c r="A152" i="5"/>
  <c r="H124" i="12"/>
  <c r="G124" i="12"/>
  <c r="F124" i="12"/>
  <c r="A124" i="5"/>
  <c r="H191" i="12"/>
  <c r="G191" i="12"/>
  <c r="F191" i="12"/>
  <c r="H189" i="12"/>
  <c r="G189" i="12"/>
  <c r="F189" i="12"/>
  <c r="H188" i="12"/>
  <c r="G188" i="12"/>
  <c r="F188" i="12"/>
  <c r="A191" i="5"/>
  <c r="A189" i="5"/>
  <c r="A188" i="5"/>
  <c r="H174" i="12"/>
  <c r="G174" i="12"/>
  <c r="F174" i="12"/>
  <c r="H173" i="12"/>
  <c r="G173" i="12"/>
  <c r="F173" i="12"/>
  <c r="H172" i="12"/>
  <c r="G172" i="12"/>
  <c r="F172" i="12"/>
  <c r="H171" i="12"/>
  <c r="G171" i="12"/>
  <c r="F171" i="12"/>
  <c r="H166" i="12"/>
  <c r="G166" i="12"/>
  <c r="F166" i="12"/>
  <c r="H160" i="12"/>
  <c r="G160" i="12"/>
  <c r="F160" i="12"/>
  <c r="H159" i="12"/>
  <c r="G159" i="12"/>
  <c r="F159" i="12"/>
  <c r="H151" i="12"/>
  <c r="G151" i="12"/>
  <c r="F151" i="12"/>
  <c r="A174" i="5"/>
  <c r="A173" i="5"/>
  <c r="A172" i="5"/>
  <c r="A171" i="5"/>
  <c r="A166" i="5"/>
  <c r="A160" i="5"/>
  <c r="A159" i="5"/>
  <c r="A151" i="5"/>
  <c r="H150" i="12"/>
  <c r="G150" i="12"/>
  <c r="F150" i="12"/>
  <c r="H149" i="12"/>
  <c r="G149" i="12"/>
  <c r="F149" i="12"/>
  <c r="H123" i="12"/>
  <c r="G123" i="12"/>
  <c r="F123" i="12"/>
  <c r="H122" i="12"/>
  <c r="G122" i="12"/>
  <c r="F122" i="12"/>
  <c r="A150" i="5"/>
  <c r="A149" i="5"/>
  <c r="A123" i="5"/>
  <c r="A122" i="5"/>
  <c r="H120" i="12"/>
  <c r="G120" i="12"/>
  <c r="F120" i="12"/>
  <c r="H117" i="12"/>
  <c r="G117" i="12"/>
  <c r="F117" i="12"/>
  <c r="H116" i="12"/>
  <c r="G116" i="12"/>
  <c r="F116" i="12"/>
  <c r="H115" i="12"/>
  <c r="G115" i="12"/>
  <c r="F115" i="12"/>
  <c r="H114" i="12"/>
  <c r="G114" i="12"/>
  <c r="F114" i="12"/>
  <c r="H113" i="12"/>
  <c r="G113" i="12"/>
  <c r="F113" i="12"/>
  <c r="H112" i="12"/>
  <c r="G112" i="12"/>
  <c r="F112" i="12"/>
  <c r="H111" i="12"/>
  <c r="G111" i="12"/>
  <c r="F111" i="12"/>
  <c r="A120" i="5"/>
  <c r="A117" i="5"/>
  <c r="A116" i="5"/>
  <c r="A115" i="5"/>
  <c r="A114" i="5"/>
  <c r="A113" i="5"/>
  <c r="A112" i="5"/>
  <c r="A111" i="5"/>
  <c r="H88" i="12" l="1"/>
  <c r="G88" i="12"/>
  <c r="F88" i="12"/>
  <c r="H87" i="12"/>
  <c r="G87" i="12"/>
  <c r="F87" i="12"/>
  <c r="A88" i="5"/>
  <c r="A87" i="5"/>
  <c r="H37" i="12" l="1"/>
  <c r="G37" i="12"/>
  <c r="F37" i="12"/>
  <c r="A37" i="5"/>
  <c r="H55" i="12"/>
  <c r="G55" i="12"/>
  <c r="F55" i="12"/>
  <c r="A55" i="5"/>
  <c r="H103" i="12" l="1"/>
  <c r="G103" i="12"/>
  <c r="F103" i="12"/>
  <c r="A103" i="5"/>
  <c r="AJ63" i="5"/>
  <c r="AJ62" i="5"/>
  <c r="AJ64" i="5"/>
  <c r="H59" i="12"/>
  <c r="G59" i="12"/>
  <c r="F59" i="12"/>
  <c r="H58" i="12"/>
  <c r="G58" i="12"/>
  <c r="F58" i="12"/>
  <c r="A59" i="5"/>
  <c r="A58" i="5"/>
  <c r="AJ44" i="5"/>
  <c r="AJ43" i="5"/>
  <c r="H50" i="12"/>
  <c r="G50" i="12"/>
  <c r="F50" i="12"/>
  <c r="A50" i="5"/>
  <c r="AJ33" i="5"/>
  <c r="AJ32" i="5"/>
  <c r="H36" i="12"/>
  <c r="G36" i="12"/>
  <c r="F36" i="12"/>
  <c r="A36" i="5"/>
  <c r="AJ101" i="5" l="1"/>
  <c r="AJ102" i="5"/>
  <c r="H84" i="12"/>
  <c r="G84" i="12"/>
  <c r="F84" i="12"/>
  <c r="H83" i="12"/>
  <c r="G83" i="12"/>
  <c r="F83" i="12"/>
  <c r="H82" i="12"/>
  <c r="G82" i="12"/>
  <c r="F82" i="12"/>
  <c r="H81" i="12"/>
  <c r="G81" i="12"/>
  <c r="F81" i="12"/>
  <c r="H80" i="12"/>
  <c r="G80" i="12"/>
  <c r="F80" i="12"/>
  <c r="H79" i="12"/>
  <c r="G79" i="12"/>
  <c r="F79" i="12"/>
  <c r="A84" i="5"/>
  <c r="A83" i="5"/>
  <c r="A82" i="5"/>
  <c r="A81" i="5"/>
  <c r="A80" i="5"/>
  <c r="A79" i="5"/>
  <c r="H110" i="12"/>
  <c r="G110" i="12"/>
  <c r="F110" i="12"/>
  <c r="H109" i="12"/>
  <c r="G109" i="12"/>
  <c r="F109" i="12"/>
  <c r="H108" i="12"/>
  <c r="G108" i="12"/>
  <c r="F108" i="12"/>
  <c r="H107" i="12"/>
  <c r="G107" i="12"/>
  <c r="F107" i="12"/>
  <c r="H106" i="12"/>
  <c r="G106" i="12"/>
  <c r="F106" i="12"/>
  <c r="H105" i="12"/>
  <c r="G105" i="12"/>
  <c r="F105" i="12"/>
  <c r="H104" i="12"/>
  <c r="G104" i="12"/>
  <c r="F104" i="12"/>
  <c r="H102" i="12"/>
  <c r="G102" i="12"/>
  <c r="F102" i="12"/>
  <c r="H101" i="12"/>
  <c r="G101" i="12"/>
  <c r="F101" i="12"/>
  <c r="A110" i="5"/>
  <c r="A109" i="5"/>
  <c r="A108" i="5"/>
  <c r="A107" i="5"/>
  <c r="A106" i="5"/>
  <c r="A105" i="5"/>
  <c r="A104" i="5"/>
  <c r="A102" i="5"/>
  <c r="A101" i="5"/>
  <c r="H98" i="12"/>
  <c r="G98" i="12"/>
  <c r="F98" i="12"/>
  <c r="H97" i="12"/>
  <c r="G97" i="12"/>
  <c r="F97" i="12"/>
  <c r="H96" i="12"/>
  <c r="G96" i="12"/>
  <c r="F96" i="12"/>
  <c r="A98" i="5"/>
  <c r="A97" i="5"/>
  <c r="A96" i="5"/>
  <c r="H74" i="12"/>
  <c r="G74" i="12"/>
  <c r="F74" i="12"/>
  <c r="A74" i="5"/>
  <c r="AJ69" i="5"/>
  <c r="H57" i="12"/>
  <c r="G57" i="12"/>
  <c r="F57" i="12"/>
  <c r="H56" i="12"/>
  <c r="G56" i="12"/>
  <c r="F56" i="12"/>
  <c r="H54" i="12"/>
  <c r="G54" i="12"/>
  <c r="F54" i="12"/>
  <c r="H53" i="12"/>
  <c r="G53" i="12"/>
  <c r="F53" i="12"/>
  <c r="H52" i="12"/>
  <c r="G52" i="12"/>
  <c r="F52" i="12"/>
  <c r="H51" i="12"/>
  <c r="G51" i="12"/>
  <c r="F51" i="12"/>
  <c r="H49" i="12"/>
  <c r="G49" i="12"/>
  <c r="F49" i="12"/>
  <c r="H48" i="12"/>
  <c r="G48" i="12"/>
  <c r="F48" i="12"/>
  <c r="H47" i="12"/>
  <c r="G47" i="12"/>
  <c r="F47" i="12"/>
  <c r="A57" i="5"/>
  <c r="A56" i="5"/>
  <c r="A54" i="5"/>
  <c r="A53" i="5"/>
  <c r="A52" i="5"/>
  <c r="A51" i="5"/>
  <c r="A49" i="5"/>
  <c r="A48" i="5"/>
  <c r="A47" i="5"/>
  <c r="H46" i="12"/>
  <c r="G46" i="12"/>
  <c r="F46" i="12"/>
  <c r="H45" i="12"/>
  <c r="G45" i="12"/>
  <c r="F45" i="12"/>
  <c r="H44" i="12"/>
  <c r="G44" i="12"/>
  <c r="F44" i="12"/>
  <c r="H43" i="12"/>
  <c r="G43" i="12"/>
  <c r="F43" i="12"/>
  <c r="H42" i="12"/>
  <c r="G42" i="12"/>
  <c r="F42" i="12"/>
  <c r="A46" i="5"/>
  <c r="A45" i="5"/>
  <c r="A44" i="5"/>
  <c r="A43" i="5"/>
  <c r="A42" i="5"/>
  <c r="H39" i="12"/>
  <c r="G39" i="12"/>
  <c r="F39" i="12"/>
  <c r="H35" i="12"/>
  <c r="G35" i="12"/>
  <c r="F35" i="12"/>
  <c r="H34" i="12"/>
  <c r="G34" i="12"/>
  <c r="F34" i="12"/>
  <c r="H33" i="12"/>
  <c r="G33" i="12"/>
  <c r="F33" i="12"/>
  <c r="H32" i="12"/>
  <c r="G32" i="12"/>
  <c r="F32" i="12"/>
  <c r="H31" i="12"/>
  <c r="G31" i="12"/>
  <c r="F31" i="12"/>
  <c r="H30" i="12"/>
  <c r="G30" i="12"/>
  <c r="F30" i="12"/>
  <c r="H29" i="12"/>
  <c r="G29" i="12"/>
  <c r="F29" i="12"/>
  <c r="H28" i="12"/>
  <c r="G28" i="12"/>
  <c r="F28" i="12"/>
  <c r="A39" i="5"/>
  <c r="A35" i="5"/>
  <c r="A34" i="5"/>
  <c r="A33" i="5"/>
  <c r="A32" i="5"/>
  <c r="A31" i="5"/>
  <c r="A30" i="5"/>
  <c r="A29" i="5"/>
  <c r="A28" i="5"/>
  <c r="H40" i="12"/>
  <c r="G40" i="12"/>
  <c r="F40" i="12"/>
  <c r="A40" i="5"/>
  <c r="AJ71" i="5" l="1"/>
  <c r="H100" i="12"/>
  <c r="G100" i="12"/>
  <c r="F100" i="12"/>
  <c r="H95" i="12"/>
  <c r="G95" i="12"/>
  <c r="F95" i="12"/>
  <c r="H94" i="12"/>
  <c r="G94" i="12"/>
  <c r="F94" i="12"/>
  <c r="H78" i="12"/>
  <c r="G78" i="12"/>
  <c r="F78" i="12"/>
  <c r="H77" i="12"/>
  <c r="G77" i="12"/>
  <c r="F77" i="12"/>
  <c r="H76" i="12"/>
  <c r="G76" i="12"/>
  <c r="F76" i="12"/>
  <c r="H75" i="12"/>
  <c r="G75" i="12"/>
  <c r="F75" i="12"/>
  <c r="H73" i="12"/>
  <c r="G73" i="12"/>
  <c r="F73" i="12"/>
  <c r="H72" i="12"/>
  <c r="G72" i="12"/>
  <c r="F72" i="12"/>
  <c r="H71" i="12"/>
  <c r="G71" i="12"/>
  <c r="F71" i="12"/>
  <c r="H70" i="12"/>
  <c r="G70" i="12"/>
  <c r="F70" i="12"/>
  <c r="H69" i="12"/>
  <c r="G69" i="12"/>
  <c r="F69" i="12"/>
  <c r="H68" i="12"/>
  <c r="G68" i="12"/>
  <c r="F68" i="12"/>
  <c r="H64" i="12"/>
  <c r="G64" i="12"/>
  <c r="F64" i="12"/>
  <c r="H63" i="12"/>
  <c r="G63" i="12"/>
  <c r="F63" i="12"/>
  <c r="H62" i="12"/>
  <c r="G62" i="12"/>
  <c r="F62" i="12"/>
  <c r="A100" i="5"/>
  <c r="A95" i="5"/>
  <c r="A94" i="5"/>
  <c r="A78" i="5"/>
  <c r="A77" i="5"/>
  <c r="A76" i="5"/>
  <c r="A75" i="5"/>
  <c r="A73" i="5"/>
  <c r="A72" i="5"/>
  <c r="A71" i="5"/>
  <c r="A70" i="5"/>
  <c r="A69" i="5"/>
  <c r="A68" i="5"/>
  <c r="A64" i="5"/>
  <c r="A63" i="5"/>
  <c r="A62" i="5"/>
  <c r="A61" i="5" l="1"/>
  <c r="A60" i="5" l="1"/>
  <c r="A27" i="5" l="1"/>
  <c r="A26" i="5"/>
  <c r="H23" i="13" l="1"/>
  <c r="G23" i="13"/>
  <c r="H22" i="13"/>
  <c r="G22" i="13"/>
  <c r="E22" i="13"/>
  <c r="H21" i="13"/>
  <c r="G21" i="13"/>
  <c r="H20" i="13"/>
  <c r="G20" i="13"/>
  <c r="H19" i="13"/>
  <c r="G19" i="13"/>
  <c r="H18" i="13"/>
  <c r="G18" i="13"/>
  <c r="H17" i="13"/>
  <c r="G17" i="13"/>
  <c r="H16" i="13"/>
  <c r="G16" i="13"/>
  <c r="H15" i="13"/>
  <c r="G15" i="13"/>
  <c r="H14" i="13"/>
  <c r="G14" i="13"/>
  <c r="J23" i="11"/>
  <c r="I23" i="13" s="1"/>
  <c r="D23" i="11"/>
  <c r="E23" i="13" s="1"/>
  <c r="J22" i="11"/>
  <c r="I22" i="13" s="1"/>
  <c r="D22" i="11"/>
  <c r="A22" i="11"/>
  <c r="J21" i="11"/>
  <c r="I21" i="13" s="1"/>
  <c r="D21" i="11"/>
  <c r="A21" i="11" s="1"/>
  <c r="J20" i="11"/>
  <c r="I20" i="13" s="1"/>
  <c r="D20" i="11"/>
  <c r="E20" i="13" s="1"/>
  <c r="A20" i="11"/>
  <c r="J19" i="11"/>
  <c r="I19" i="13" s="1"/>
  <c r="D19" i="11"/>
  <c r="E19" i="13" s="1"/>
  <c r="A19" i="11"/>
  <c r="J18" i="11"/>
  <c r="I18" i="13" s="1"/>
  <c r="D18" i="11"/>
  <c r="E18" i="13" s="1"/>
  <c r="A18" i="11"/>
  <c r="J17" i="11"/>
  <c r="I17" i="13" s="1"/>
  <c r="D17" i="11"/>
  <c r="E17" i="13" s="1"/>
  <c r="J16" i="11"/>
  <c r="I16" i="13" s="1"/>
  <c r="D16" i="11"/>
  <c r="A16" i="11" s="1"/>
  <c r="J15" i="11"/>
  <c r="I15" i="13" s="1"/>
  <c r="D15" i="11"/>
  <c r="A15" i="11" s="1"/>
  <c r="J14" i="11"/>
  <c r="I14" i="13" s="1"/>
  <c r="D14" i="11"/>
  <c r="E14" i="13" s="1"/>
  <c r="A14" i="8"/>
  <c r="A17" i="8" s="1"/>
  <c r="A20" i="8" s="1"/>
  <c r="B16" i="10"/>
  <c r="B17" i="10" s="1"/>
  <c r="B18" i="10" s="1"/>
  <c r="B16" i="9"/>
  <c r="B17" i="9" s="1"/>
  <c r="B18" i="9" s="1"/>
  <c r="B19" i="9" s="1"/>
  <c r="B20" i="9" s="1"/>
  <c r="C16" i="7"/>
  <c r="B16" i="7" s="1"/>
  <c r="C16" i="5"/>
  <c r="C17" i="5" s="1"/>
  <c r="A16" i="5"/>
  <c r="P7" i="13"/>
  <c r="E28" i="14" s="1"/>
  <c r="C15" i="14"/>
  <c r="L4" i="13"/>
  <c r="I5" i="12"/>
  <c r="F4" i="11"/>
  <c r="D7" i="10"/>
  <c r="J8" i="8"/>
  <c r="L5" i="4"/>
  <c r="C14" i="15"/>
  <c r="C52" i="3"/>
  <c r="G5" i="6" a="1"/>
  <c r="G5" i="6" s="1"/>
  <c r="Q5" i="5" a="1"/>
  <c r="Q5" i="5" s="1"/>
  <c r="F9" i="5"/>
  <c r="F8" i="5"/>
  <c r="F25" i="2"/>
  <c r="P85" i="4" s="1"/>
  <c r="C51" i="3"/>
  <c r="C47" i="3"/>
  <c r="C43" i="3"/>
  <c r="C41" i="3"/>
  <c r="C39" i="3"/>
  <c r="S108" i="4"/>
  <c r="S68" i="4"/>
  <c r="S28" i="4"/>
  <c r="E2" i="15"/>
  <c r="C34" i="3"/>
  <c r="C32" i="3"/>
  <c r="Q13" i="6"/>
  <c r="R13" i="6" s="1"/>
  <c r="S13" i="6" s="1"/>
  <c r="T13" i="6" s="1"/>
  <c r="U13" i="6" s="1"/>
  <c r="V13" i="6" s="1"/>
  <c r="W13" i="6" s="1"/>
  <c r="X13" i="6" s="1"/>
  <c r="Y13" i="6" s="1"/>
  <c r="Z13" i="6" s="1"/>
  <c r="A12" i="6"/>
  <c r="AX13" i="6"/>
  <c r="AY13" i="6" s="1"/>
  <c r="AZ13" i="6" s="1"/>
  <c r="AB13" i="6"/>
  <c r="AB12" i="6" s="1"/>
  <c r="AM13" i="6"/>
  <c r="AM12" i="6" s="1"/>
  <c r="H12" i="10"/>
  <c r="H11" i="10" s="1"/>
  <c r="S27" i="4"/>
  <c r="S29" i="4" s="1"/>
  <c r="BG15" i="6"/>
  <c r="BF15" i="6"/>
  <c r="BE15" i="6"/>
  <c r="BD15" i="6"/>
  <c r="BC15" i="6"/>
  <c r="BB15" i="6"/>
  <c r="BA15" i="6"/>
  <c r="AZ15" i="6"/>
  <c r="AY15" i="6"/>
  <c r="AX15" i="6"/>
  <c r="I69" i="10"/>
  <c r="N9" i="10"/>
  <c r="G12" i="9"/>
  <c r="G11" i="9" s="1"/>
  <c r="C20" i="3"/>
  <c r="C22" i="3"/>
  <c r="C24" i="3"/>
  <c r="C26" i="3"/>
  <c r="C28" i="3"/>
  <c r="C19" i="3"/>
  <c r="C15" i="3"/>
  <c r="C14" i="3"/>
  <c r="C12" i="3"/>
  <c r="I36" i="11"/>
  <c r="I35" i="11"/>
  <c r="Z106" i="8" a="1"/>
  <c r="T198" i="6" a="1"/>
  <c r="T200" i="6" s="1"/>
  <c r="I198" i="6" a="1"/>
  <c r="I199" i="6" s="1"/>
  <c r="AB13" i="12"/>
  <c r="AC13" i="12" s="1"/>
  <c r="AD13" i="12" s="1"/>
  <c r="AE13" i="12" s="1"/>
  <c r="AF13" i="12" s="1"/>
  <c r="AG13" i="12" s="1"/>
  <c r="AH13" i="12" s="1"/>
  <c r="AI13" i="12" s="1"/>
  <c r="AJ13" i="12" s="1"/>
  <c r="AK13" i="12" s="1"/>
  <c r="AL13" i="12" s="1"/>
  <c r="AM13" i="12" s="1"/>
  <c r="C2" i="4"/>
  <c r="Z7" i="11"/>
  <c r="U12" i="8"/>
  <c r="V12" i="8" s="1"/>
  <c r="W12" i="8" s="1"/>
  <c r="X12" i="8" s="1"/>
  <c r="Y12" i="8" s="1"/>
  <c r="Z12" i="8" s="1"/>
  <c r="AA12" i="8" s="1"/>
  <c r="AB12" i="8" s="1"/>
  <c r="AC12" i="8" s="1"/>
  <c r="AD12" i="8" s="1"/>
  <c r="AE12" i="8" s="1"/>
  <c r="AF12" i="8" s="1"/>
  <c r="AG12" i="8" s="1"/>
  <c r="AH12" i="8" s="1"/>
  <c r="AI12" i="8" s="1"/>
  <c r="AJ12" i="8" s="1"/>
  <c r="AK12" i="8" s="1"/>
  <c r="AL12" i="8" s="1"/>
  <c r="AM12" i="8" s="1"/>
  <c r="AN12" i="8" s="1"/>
  <c r="AO12" i="8" s="1"/>
  <c r="AP12" i="8" s="1"/>
  <c r="AQ12" i="8" s="1"/>
  <c r="D12" i="8"/>
  <c r="C11" i="10"/>
  <c r="A14" i="5"/>
  <c r="C14" i="5" s="1"/>
  <c r="B14" i="6" s="1"/>
  <c r="AV15" i="6"/>
  <c r="AU15" i="6"/>
  <c r="AT15" i="6"/>
  <c r="AS15" i="6"/>
  <c r="AR15" i="6"/>
  <c r="AQ15" i="6"/>
  <c r="AP15" i="6"/>
  <c r="AO15" i="6"/>
  <c r="AN15" i="6"/>
  <c r="AM15" i="6"/>
  <c r="D12" i="11"/>
  <c r="A12" i="11" s="1"/>
  <c r="L39" i="13"/>
  <c r="F48" i="2"/>
  <c r="S107" i="4"/>
  <c r="S109" i="4" s="1"/>
  <c r="I95" i="4" s="1"/>
  <c r="S67" i="4"/>
  <c r="S69" i="4" s="1"/>
  <c r="I92" i="4" s="1"/>
  <c r="C8" i="4"/>
  <c r="C9" i="4"/>
  <c r="C10" i="4"/>
  <c r="C11" i="4"/>
  <c r="C12" i="4"/>
  <c r="C13" i="4"/>
  <c r="L46" i="13"/>
  <c r="A1" i="8"/>
  <c r="C10" i="15"/>
  <c r="G22" i="15"/>
  <c r="C22" i="15"/>
  <c r="E24" i="15"/>
  <c r="E22" i="15"/>
  <c r="G18" i="15"/>
  <c r="E18" i="15"/>
  <c r="C18" i="15"/>
  <c r="C12" i="15"/>
  <c r="E12" i="15"/>
  <c r="G10" i="15"/>
  <c r="E10" i="15"/>
  <c r="B20" i="15"/>
  <c r="B16" i="15"/>
  <c r="B8" i="15"/>
  <c r="Q8" i="5"/>
  <c r="O1" i="4"/>
  <c r="A3" i="4"/>
  <c r="C3" i="4" s="1"/>
  <c r="J5" i="4"/>
  <c r="N5" i="4"/>
  <c r="J8" i="4"/>
  <c r="C14" i="4"/>
  <c r="A15" i="4"/>
  <c r="C15" i="4" s="1"/>
  <c r="C20" i="4"/>
  <c r="A21" i="4"/>
  <c r="A22" i="4" s="1"/>
  <c r="A23" i="4" s="1"/>
  <c r="A24" i="4" s="1"/>
  <c r="A25" i="4" s="1"/>
  <c r="C25" i="4" s="1"/>
  <c r="J21" i="4"/>
  <c r="R21" i="4"/>
  <c r="J22" i="4"/>
  <c r="R22" i="4"/>
  <c r="J23" i="4"/>
  <c r="R23" i="4"/>
  <c r="J24" i="4"/>
  <c r="R24" i="4"/>
  <c r="J25" i="4"/>
  <c r="R25" i="4"/>
  <c r="C26" i="4"/>
  <c r="A27" i="4"/>
  <c r="C32" i="4"/>
  <c r="A33" i="4"/>
  <c r="A34" i="4" s="1"/>
  <c r="A35" i="4" s="1"/>
  <c r="N35" i="4"/>
  <c r="C38" i="4"/>
  <c r="C39" i="4"/>
  <c r="C40" i="4"/>
  <c r="C41" i="4"/>
  <c r="C42" i="4"/>
  <c r="C43" i="4"/>
  <c r="C44" i="4"/>
  <c r="J38" i="4"/>
  <c r="A45" i="4"/>
  <c r="J40" i="4"/>
  <c r="J45" i="4"/>
  <c r="K50" i="4" a="1"/>
  <c r="K52" i="4" s="1"/>
  <c r="J61" i="4"/>
  <c r="R61" i="4"/>
  <c r="J62" i="4"/>
  <c r="R62" i="4"/>
  <c r="J63" i="4"/>
  <c r="R63" i="4"/>
  <c r="J64" i="4"/>
  <c r="R64" i="4"/>
  <c r="J65" i="4"/>
  <c r="R65" i="4"/>
  <c r="N75" i="4"/>
  <c r="J78" i="4"/>
  <c r="J80" i="4"/>
  <c r="J85" i="4"/>
  <c r="K90" i="4" a="1"/>
  <c r="K92" i="4" s="1"/>
  <c r="J101" i="4"/>
  <c r="R101" i="4"/>
  <c r="J102" i="4"/>
  <c r="R102" i="4"/>
  <c r="J103" i="4"/>
  <c r="R103" i="4"/>
  <c r="J104" i="4"/>
  <c r="R104" i="4"/>
  <c r="J105" i="4"/>
  <c r="R105" i="4"/>
  <c r="N115" i="4"/>
  <c r="J118" i="4"/>
  <c r="J120" i="4"/>
  <c r="J125" i="4"/>
  <c r="K130" i="4" a="1"/>
  <c r="K131" i="4" s="1"/>
  <c r="E2" i="12"/>
  <c r="E1" i="12"/>
  <c r="D5" i="12"/>
  <c r="F5" i="12"/>
  <c r="J5" i="12"/>
  <c r="O5" i="12"/>
  <c r="A7" i="12"/>
  <c r="I7" i="12"/>
  <c r="D8" i="12"/>
  <c r="E8" i="12"/>
  <c r="F8" i="12"/>
  <c r="I8" i="12"/>
  <c r="E10" i="12"/>
  <c r="J12" i="12"/>
  <c r="Q12" i="12"/>
  <c r="V13" i="12"/>
  <c r="W13" i="12"/>
  <c r="X13" i="12"/>
  <c r="D15" i="12"/>
  <c r="AB15" i="12"/>
  <c r="D201" i="12"/>
  <c r="E202" i="12"/>
  <c r="K204" i="12" a="1"/>
  <c r="K206" i="12" s="1"/>
  <c r="F1" i="6"/>
  <c r="F2" i="6"/>
  <c r="E5" i="6"/>
  <c r="I5" i="6"/>
  <c r="K5" i="6"/>
  <c r="S5" i="6"/>
  <c r="U5" i="6"/>
  <c r="O13" i="6"/>
  <c r="O15" i="6" s="1"/>
  <c r="B15" i="6"/>
  <c r="C15" i="6"/>
  <c r="D15" i="6"/>
  <c r="E15" i="6"/>
  <c r="B192" i="6"/>
  <c r="C192" i="6"/>
  <c r="F196" i="6"/>
  <c r="R4" i="8"/>
  <c r="R5" i="8"/>
  <c r="Y7" i="8"/>
  <c r="AE7" i="8"/>
  <c r="H8" i="8"/>
  <c r="K8" i="8"/>
  <c r="T8" i="8"/>
  <c r="Y8" i="8"/>
  <c r="AE8" i="8"/>
  <c r="D13" i="8"/>
  <c r="U13" i="8"/>
  <c r="V13" i="8" s="1"/>
  <c r="W13" i="8" s="1"/>
  <c r="X13" i="8" s="1"/>
  <c r="Y13" i="8" s="1"/>
  <c r="Z13" i="8" s="1"/>
  <c r="AA13" i="8" s="1"/>
  <c r="AB13" i="8" s="1"/>
  <c r="AC13" i="8" s="1"/>
  <c r="AD13" i="8" s="1"/>
  <c r="AE13" i="8" s="1"/>
  <c r="AF13" i="8" s="1"/>
  <c r="AG13" i="8" s="1"/>
  <c r="AH13" i="8" s="1"/>
  <c r="AI13" i="8" s="1"/>
  <c r="AJ13" i="8" s="1"/>
  <c r="AK13" i="8" s="1"/>
  <c r="AL13" i="8" s="1"/>
  <c r="AM13" i="8" s="1"/>
  <c r="AN13" i="8" s="1"/>
  <c r="AO13" i="8" s="1"/>
  <c r="AP13" i="8" s="1"/>
  <c r="AQ13" i="8" s="1"/>
  <c r="S94" i="8"/>
  <c r="S99" i="8"/>
  <c r="H104" i="8"/>
  <c r="B1" i="9"/>
  <c r="E12" i="9"/>
  <c r="E11" i="9" s="1"/>
  <c r="L2" i="2"/>
  <c r="N2" i="2"/>
  <c r="P2" i="2"/>
  <c r="R2" i="2"/>
  <c r="T2" i="2"/>
  <c r="V2" i="2"/>
  <c r="X2" i="2"/>
  <c r="Z2" i="2"/>
  <c r="AB2" i="2"/>
  <c r="AD2" i="2"/>
  <c r="AF2" i="2"/>
  <c r="AH2" i="2"/>
  <c r="AJ2" i="2"/>
  <c r="AL2" i="2"/>
  <c r="AN2" i="2"/>
  <c r="AP2" i="2"/>
  <c r="AR2" i="2"/>
  <c r="E9" i="2"/>
  <c r="C9" i="7"/>
  <c r="C14" i="7"/>
  <c r="B14" i="7" s="1"/>
  <c r="B15" i="7"/>
  <c r="C8" i="3"/>
  <c r="C9" i="3"/>
  <c r="C18" i="14"/>
  <c r="C19" i="14"/>
  <c r="B22" i="14"/>
  <c r="B24" i="14"/>
  <c r="B30" i="14"/>
  <c r="B54" i="14"/>
  <c r="B55" i="14"/>
  <c r="R2" i="5"/>
  <c r="O5" i="5"/>
  <c r="R5" i="5"/>
  <c r="S5" i="5"/>
  <c r="O202" i="5"/>
  <c r="R7" i="5"/>
  <c r="S7" i="5"/>
  <c r="V7" i="5"/>
  <c r="W7" i="5"/>
  <c r="X7" i="5"/>
  <c r="R8" i="5"/>
  <c r="S8" i="5"/>
  <c r="U13" i="5"/>
  <c r="V13" i="5"/>
  <c r="AH13" i="5"/>
  <c r="M15" i="5"/>
  <c r="N15" i="5"/>
  <c r="O15" i="5"/>
  <c r="O205" i="5"/>
  <c r="T207" i="5" a="1"/>
  <c r="T207" i="5" s="1"/>
  <c r="B1" i="10"/>
  <c r="H4" i="10"/>
  <c r="V6" i="10"/>
  <c r="AE6" i="10"/>
  <c r="B7" i="10"/>
  <c r="H7" i="10"/>
  <c r="O7" i="10"/>
  <c r="V7" i="10"/>
  <c r="AE7" i="10"/>
  <c r="F12" i="10"/>
  <c r="F11" i="10" s="1"/>
  <c r="B75" i="10"/>
  <c r="W77" i="10" a="1"/>
  <c r="W78" i="10" s="1"/>
  <c r="D4" i="11"/>
  <c r="G4" i="11"/>
  <c r="J4" i="11"/>
  <c r="M6" i="11"/>
  <c r="D7" i="11"/>
  <c r="L7" i="11"/>
  <c r="M7" i="11"/>
  <c r="N7" i="11"/>
  <c r="J12" i="11"/>
  <c r="I12" i="13" s="1"/>
  <c r="L13" i="11"/>
  <c r="L9" i="11" s="1"/>
  <c r="D33" i="11"/>
  <c r="F1" i="13"/>
  <c r="E4" i="13"/>
  <c r="I4" i="13"/>
  <c r="P4" i="13"/>
  <c r="M6" i="13"/>
  <c r="E7" i="13"/>
  <c r="I7" i="13"/>
  <c r="M7" i="13"/>
  <c r="N7" i="13"/>
  <c r="M11" i="13"/>
  <c r="Y11" i="13"/>
  <c r="G12" i="13"/>
  <c r="H12" i="13"/>
  <c r="J25" i="13"/>
  <c r="AC2" i="13" s="1"/>
  <c r="E35" i="13"/>
  <c r="E39" i="13"/>
  <c r="F40" i="13"/>
  <c r="M40" i="13"/>
  <c r="E41" i="13"/>
  <c r="F41" i="13"/>
  <c r="L41" i="13"/>
  <c r="M41" i="13"/>
  <c r="M42" i="13"/>
  <c r="L43" i="13"/>
  <c r="M43" i="13"/>
  <c r="E46" i="13"/>
  <c r="E48" i="13"/>
  <c r="L48" i="13"/>
  <c r="E49" i="13"/>
  <c r="L49" i="13"/>
  <c r="D199" i="12"/>
  <c r="K50" i="4"/>
  <c r="I15" i="12"/>
  <c r="O15" i="12"/>
  <c r="M15" i="12"/>
  <c r="J15" i="12" s="1"/>
  <c r="K130" i="4"/>
  <c r="C33" i="4"/>
  <c r="W80" i="10"/>
  <c r="K69" i="10"/>
  <c r="M69" i="10" s="1"/>
  <c r="O69" i="10" s="1"/>
  <c r="Q69" i="10" s="1"/>
  <c r="S69" i="10" s="1"/>
  <c r="U69" i="10" s="1"/>
  <c r="W69" i="10" s="1"/>
  <c r="Y69" i="10" s="1"/>
  <c r="AA69" i="10" s="1"/>
  <c r="AC69" i="10" s="1"/>
  <c r="AE69" i="10" s="1"/>
  <c r="C45" i="4"/>
  <c r="A46" i="4"/>
  <c r="A47" i="4" s="1"/>
  <c r="A48" i="4" s="1"/>
  <c r="C48" i="4" s="1"/>
  <c r="A28" i="4"/>
  <c r="A29" i="4" s="1"/>
  <c r="C29" i="4" s="1"/>
  <c r="C27" i="4"/>
  <c r="C34" i="4"/>
  <c r="E12" i="13"/>
  <c r="A49" i="4"/>
  <c r="C49" i="4" s="1"/>
  <c r="O8" i="5"/>
  <c r="B17" i="6" l="1"/>
  <c r="A17" i="6" s="1"/>
  <c r="H17" i="5"/>
  <c r="G17" i="5"/>
  <c r="C18" i="5"/>
  <c r="N17" i="5"/>
  <c r="I17" i="5"/>
  <c r="W17" i="5"/>
  <c r="B17" i="5"/>
  <c r="A17" i="12"/>
  <c r="AE17" i="5"/>
  <c r="O7" i="11"/>
  <c r="A16" i="4"/>
  <c r="F63" i="7"/>
  <c r="N16" i="5"/>
  <c r="D16" i="6" s="1"/>
  <c r="A23" i="11"/>
  <c r="C47" i="4"/>
  <c r="C23" i="4"/>
  <c r="A14" i="11"/>
  <c r="A30" i="4"/>
  <c r="C46" i="4"/>
  <c r="E16" i="13"/>
  <c r="C28" i="4"/>
  <c r="K207" i="12"/>
  <c r="C21" i="4"/>
  <c r="C22" i="4"/>
  <c r="K132" i="4"/>
  <c r="E15" i="13"/>
  <c r="A17" i="11"/>
  <c r="E21" i="13"/>
  <c r="B39" i="14"/>
  <c r="A23" i="8"/>
  <c r="F23" i="7"/>
  <c r="F17" i="7"/>
  <c r="F16" i="7"/>
  <c r="F18" i="7"/>
  <c r="F30" i="7"/>
  <c r="F36" i="7"/>
  <c r="F38" i="7"/>
  <c r="B16" i="5"/>
  <c r="F43" i="7"/>
  <c r="F49" i="7"/>
  <c r="F50" i="7"/>
  <c r="F29" i="7"/>
  <c r="F56" i="7"/>
  <c r="F58" i="7"/>
  <c r="B19" i="10"/>
  <c r="B21" i="9"/>
  <c r="C17" i="7"/>
  <c r="F37" i="7"/>
  <c r="F57" i="7"/>
  <c r="F24" i="7"/>
  <c r="F44" i="7"/>
  <c r="F64" i="7"/>
  <c r="F31" i="7"/>
  <c r="F51" i="7"/>
  <c r="F45" i="7"/>
  <c r="F19" i="7"/>
  <c r="F39" i="7"/>
  <c r="F59" i="7"/>
  <c r="F25" i="7"/>
  <c r="F26" i="7"/>
  <c r="F46" i="7"/>
  <c r="F32" i="7"/>
  <c r="F52" i="7"/>
  <c r="F33" i="7"/>
  <c r="F53" i="7"/>
  <c r="F40" i="7"/>
  <c r="F27" i="7"/>
  <c r="F47" i="7"/>
  <c r="F20" i="7"/>
  <c r="F34" i="7"/>
  <c r="F54" i="7"/>
  <c r="F60" i="7"/>
  <c r="F21" i="7"/>
  <c r="F41" i="7"/>
  <c r="F61" i="7"/>
  <c r="F28" i="7"/>
  <c r="F48" i="7"/>
  <c r="F35" i="7"/>
  <c r="F55" i="7"/>
  <c r="F22" i="7"/>
  <c r="F42" i="7"/>
  <c r="F62" i="7"/>
  <c r="W79" i="10"/>
  <c r="I16" i="5"/>
  <c r="E16" i="12"/>
  <c r="W16" i="5"/>
  <c r="H16" i="12" s="1"/>
  <c r="AE16" i="5"/>
  <c r="F16" i="5"/>
  <c r="F17" i="5" s="1"/>
  <c r="G16" i="5"/>
  <c r="H16" i="5"/>
  <c r="K204" i="12"/>
  <c r="A16" i="12"/>
  <c r="B16" i="6"/>
  <c r="A16" i="6" s="1"/>
  <c r="T209" i="5"/>
  <c r="B37" i="14"/>
  <c r="C14" i="14"/>
  <c r="O7" i="13"/>
  <c r="T199" i="6"/>
  <c r="P125" i="4"/>
  <c r="H107" i="8"/>
  <c r="I200" i="6"/>
  <c r="I198" i="6"/>
  <c r="AX12" i="6"/>
  <c r="AC13" i="6"/>
  <c r="AN13" i="6"/>
  <c r="B14" i="5"/>
  <c r="F14" i="5"/>
  <c r="I80" i="4"/>
  <c r="G15" i="9"/>
  <c r="M15" i="6"/>
  <c r="L35" i="13"/>
  <c r="F14" i="7"/>
  <c r="F15" i="7"/>
  <c r="A15" i="10" s="1"/>
  <c r="H15" i="10"/>
  <c r="N15" i="12"/>
  <c r="I86" i="4"/>
  <c r="I88" i="4"/>
  <c r="I83" i="4"/>
  <c r="S110" i="4"/>
  <c r="H5" i="5" s="1"/>
  <c r="X8" i="5" s="1"/>
  <c r="I55" i="4"/>
  <c r="I69" i="4"/>
  <c r="I12" i="10"/>
  <c r="H12" i="9"/>
  <c r="I12" i="9" s="1"/>
  <c r="I70" i="4"/>
  <c r="I63" i="4"/>
  <c r="I82" i="4"/>
  <c r="I56" i="4"/>
  <c r="I58" i="4"/>
  <c r="I67" i="4"/>
  <c r="L15" i="12"/>
  <c r="K15" i="12" s="1"/>
  <c r="I72" i="4"/>
  <c r="I60" i="4"/>
  <c r="I78" i="4"/>
  <c r="I71" i="4"/>
  <c r="I66" i="4"/>
  <c r="I116" i="4"/>
  <c r="I79" i="4"/>
  <c r="I130" i="4"/>
  <c r="I76" i="4"/>
  <c r="I122" i="4"/>
  <c r="N10" i="12"/>
  <c r="I104" i="4"/>
  <c r="I119" i="4"/>
  <c r="S30" i="4"/>
  <c r="F5" i="5" s="1"/>
  <c r="AH148" i="5" s="1"/>
  <c r="A36" i="4"/>
  <c r="C35" i="4"/>
  <c r="C30" i="4"/>
  <c r="A31" i="4"/>
  <c r="C31" i="4" s="1"/>
  <c r="AZ12" i="6"/>
  <c r="BA13" i="6"/>
  <c r="I112" i="4"/>
  <c r="I117" i="4"/>
  <c r="I126" i="4"/>
  <c r="I121" i="4"/>
  <c r="I96" i="4"/>
  <c r="I109" i="4"/>
  <c r="I105" i="4"/>
  <c r="I115" i="4"/>
  <c r="I98" i="4"/>
  <c r="I125" i="4"/>
  <c r="I113" i="4"/>
  <c r="I111" i="4"/>
  <c r="I101" i="4"/>
  <c r="I132" i="4"/>
  <c r="I108" i="4"/>
  <c r="I103" i="4"/>
  <c r="I129" i="4"/>
  <c r="I100" i="4"/>
  <c r="I127" i="4"/>
  <c r="I124" i="4"/>
  <c r="I107" i="4"/>
  <c r="I106" i="4"/>
  <c r="I94" i="4"/>
  <c r="I118" i="4"/>
  <c r="I131" i="4"/>
  <c r="I128" i="4"/>
  <c r="I114" i="4"/>
  <c r="I102" i="4"/>
  <c r="I120" i="4"/>
  <c r="I97" i="4"/>
  <c r="I123" i="4"/>
  <c r="C24" i="4"/>
  <c r="I110" i="4"/>
  <c r="I99" i="4"/>
  <c r="Z107" i="8"/>
  <c r="Z108" i="8"/>
  <c r="Z106" i="8"/>
  <c r="P45" i="4"/>
  <c r="K14" i="5"/>
  <c r="J14" i="5"/>
  <c r="H14" i="5"/>
  <c r="A14" i="12"/>
  <c r="D14" i="5"/>
  <c r="B14" i="12" s="1"/>
  <c r="AD14" i="5"/>
  <c r="E14" i="5"/>
  <c r="G14" i="5"/>
  <c r="AE14" i="5"/>
  <c r="N14" i="5"/>
  <c r="I62" i="4"/>
  <c r="I74" i="4"/>
  <c r="I68" i="4"/>
  <c r="I61" i="4"/>
  <c r="I64" i="4"/>
  <c r="I87" i="4"/>
  <c r="I89" i="4"/>
  <c r="I57" i="4"/>
  <c r="I73" i="4"/>
  <c r="I93" i="4"/>
  <c r="I85" i="4"/>
  <c r="I84" i="4"/>
  <c r="I77" i="4"/>
  <c r="I65" i="4"/>
  <c r="I54" i="4"/>
  <c r="I59" i="4"/>
  <c r="I90" i="4"/>
  <c r="I81" i="4"/>
  <c r="I75" i="4"/>
  <c r="I91" i="4"/>
  <c r="E205" i="12"/>
  <c r="B78" i="10"/>
  <c r="F199" i="6"/>
  <c r="O208" i="5"/>
  <c r="D36" i="11"/>
  <c r="M8" i="12"/>
  <c r="AO7" i="12"/>
  <c r="AY12" i="6"/>
  <c r="W77" i="10"/>
  <c r="A4" i="4"/>
  <c r="K51" i="4"/>
  <c r="K205" i="12"/>
  <c r="S70" i="4"/>
  <c r="G5" i="5" s="1"/>
  <c r="W8" i="5" s="1"/>
  <c r="K91" i="4"/>
  <c r="T198" i="6"/>
  <c r="K90" i="4"/>
  <c r="T208" i="5"/>
  <c r="AH146" i="5" l="1"/>
  <c r="AH147" i="5"/>
  <c r="AH121" i="5"/>
  <c r="AH131" i="5"/>
  <c r="AH183" i="5"/>
  <c r="AH89" i="5"/>
  <c r="AH190" i="5"/>
  <c r="AH145" i="5"/>
  <c r="AH93" i="5"/>
  <c r="AH92" i="5"/>
  <c r="AH91" i="5"/>
  <c r="AH90" i="5"/>
  <c r="AH144" i="5"/>
  <c r="AH143" i="5"/>
  <c r="AH142" i="5"/>
  <c r="AH141" i="5"/>
  <c r="AH140" i="5"/>
  <c r="AH177" i="5"/>
  <c r="AH175" i="5"/>
  <c r="AH176" i="5"/>
  <c r="AH178" i="5"/>
  <c r="AH182" i="5"/>
  <c r="AH181" i="5"/>
  <c r="AH180" i="5"/>
  <c r="AH179" i="5"/>
  <c r="AH138" i="5"/>
  <c r="AH139" i="5"/>
  <c r="AH128" i="5"/>
  <c r="AH136" i="5"/>
  <c r="AH135" i="5"/>
  <c r="AH134" i="5"/>
  <c r="AH137" i="5"/>
  <c r="AH118" i="5"/>
  <c r="AH119" i="5"/>
  <c r="AH125" i="5"/>
  <c r="AH133" i="5"/>
  <c r="AH132" i="5"/>
  <c r="AH129" i="5"/>
  <c r="AH130" i="5"/>
  <c r="AH25" i="5"/>
  <c r="AH126" i="5"/>
  <c r="AH127" i="5"/>
  <c r="D17" i="6"/>
  <c r="AH65" i="5"/>
  <c r="AH23" i="5"/>
  <c r="AH21" i="5"/>
  <c r="AH24" i="5"/>
  <c r="AH22" i="5"/>
  <c r="AH19" i="5"/>
  <c r="AH17" i="5"/>
  <c r="AN17" i="5" s="1"/>
  <c r="AH20" i="5"/>
  <c r="AH18" i="5"/>
  <c r="E17" i="12"/>
  <c r="F17" i="6"/>
  <c r="A18" i="12"/>
  <c r="B18" i="6"/>
  <c r="J18" i="5"/>
  <c r="F18" i="5"/>
  <c r="B18" i="5"/>
  <c r="C19" i="5"/>
  <c r="AE18" i="5"/>
  <c r="N18" i="5"/>
  <c r="K18" i="5"/>
  <c r="G18" i="5"/>
  <c r="AD18" i="5"/>
  <c r="H18" i="5"/>
  <c r="D18" i="5"/>
  <c r="B18" i="12" s="1"/>
  <c r="AH38" i="5"/>
  <c r="AH41" i="5"/>
  <c r="AH66" i="5"/>
  <c r="AH67" i="5"/>
  <c r="AH99" i="5"/>
  <c r="AH187" i="5"/>
  <c r="AH186" i="5"/>
  <c r="AH184" i="5"/>
  <c r="AH185" i="5"/>
  <c r="AH85" i="5"/>
  <c r="AH86" i="5"/>
  <c r="AH170" i="5"/>
  <c r="AH169" i="5"/>
  <c r="AH167" i="5"/>
  <c r="AH168" i="5"/>
  <c r="AH165" i="5"/>
  <c r="AH164" i="5"/>
  <c r="AH163" i="5"/>
  <c r="AH161" i="5"/>
  <c r="AH162" i="5"/>
  <c r="AH157" i="5"/>
  <c r="AH155" i="5"/>
  <c r="AH153" i="5"/>
  <c r="AH158" i="5"/>
  <c r="AH156" i="5"/>
  <c r="AH154" i="5"/>
  <c r="AH152" i="5"/>
  <c r="AH124" i="5"/>
  <c r="AH189" i="5"/>
  <c r="AH191" i="5"/>
  <c r="AH188" i="5"/>
  <c r="AH174" i="5"/>
  <c r="AH172" i="5"/>
  <c r="AH166" i="5"/>
  <c r="AH159" i="5"/>
  <c r="AH160" i="5"/>
  <c r="AH173" i="5"/>
  <c r="AH151" i="5"/>
  <c r="AH171" i="5"/>
  <c r="AH150" i="5"/>
  <c r="AH149" i="5"/>
  <c r="AH122" i="5"/>
  <c r="AH123" i="5"/>
  <c r="AH117" i="5"/>
  <c r="AH115" i="5"/>
  <c r="AH113" i="5"/>
  <c r="AH111" i="5"/>
  <c r="AH116" i="5"/>
  <c r="AH114" i="5"/>
  <c r="AH120" i="5"/>
  <c r="AH112" i="5"/>
  <c r="AH88" i="5"/>
  <c r="AH87" i="5"/>
  <c r="AH55" i="5"/>
  <c r="AH37" i="5"/>
  <c r="AH103" i="5"/>
  <c r="AH59" i="5"/>
  <c r="AH58" i="5"/>
  <c r="AH50" i="5"/>
  <c r="AH36" i="5"/>
  <c r="AH83" i="5"/>
  <c r="AH84" i="5"/>
  <c r="AH82" i="5"/>
  <c r="AH80" i="5"/>
  <c r="AH81" i="5"/>
  <c r="AH79" i="5"/>
  <c r="AH110" i="5"/>
  <c r="AH108" i="5"/>
  <c r="AH106" i="5"/>
  <c r="AH104" i="5"/>
  <c r="AH101" i="5"/>
  <c r="AH109" i="5"/>
  <c r="AH102" i="5"/>
  <c r="AH107" i="5"/>
  <c r="AH105" i="5"/>
  <c r="AH98" i="5"/>
  <c r="AH97" i="5"/>
  <c r="AH96" i="5"/>
  <c r="AH74" i="5"/>
  <c r="AH57" i="5"/>
  <c r="AH54" i="5"/>
  <c r="AH52" i="5"/>
  <c r="AH56" i="5"/>
  <c r="AH53" i="5"/>
  <c r="AH51" i="5"/>
  <c r="AH48" i="5"/>
  <c r="AH49" i="5"/>
  <c r="AH47" i="5"/>
  <c r="AH45" i="5"/>
  <c r="AH44" i="5"/>
  <c r="AH43" i="5"/>
  <c r="AH46" i="5"/>
  <c r="AH42" i="5"/>
  <c r="AH39" i="5"/>
  <c r="AH34" i="5"/>
  <c r="AH32" i="5"/>
  <c r="AH30" i="5"/>
  <c r="AH35" i="5"/>
  <c r="AH29" i="5"/>
  <c r="AH33" i="5"/>
  <c r="AH31" i="5"/>
  <c r="AH28" i="5"/>
  <c r="AH40" i="5"/>
  <c r="AH100" i="5"/>
  <c r="AH95" i="5"/>
  <c r="AH78" i="5"/>
  <c r="AH76" i="5"/>
  <c r="AH94" i="5"/>
  <c r="AH77" i="5"/>
  <c r="AH75" i="5"/>
  <c r="AH73" i="5"/>
  <c r="AH71" i="5"/>
  <c r="AH69" i="5"/>
  <c r="AH63" i="5"/>
  <c r="AH72" i="5"/>
  <c r="AH70" i="5"/>
  <c r="AH68" i="5"/>
  <c r="AH64" i="5"/>
  <c r="AH62" i="5"/>
  <c r="A17" i="4"/>
  <c r="C16" i="4"/>
  <c r="AH61" i="5"/>
  <c r="AH60" i="5"/>
  <c r="AH26" i="5"/>
  <c r="AH27" i="5"/>
  <c r="E16" i="5"/>
  <c r="E17" i="5" s="1"/>
  <c r="E18" i="5" s="1"/>
  <c r="F16" i="6"/>
  <c r="B42" i="14"/>
  <c r="A26" i="8"/>
  <c r="B17" i="7"/>
  <c r="C18" i="7"/>
  <c r="B22" i="9"/>
  <c r="B20" i="10"/>
  <c r="AD16" i="5"/>
  <c r="AN16" i="6"/>
  <c r="AM16" i="6"/>
  <c r="BG16" i="6"/>
  <c r="BF16" i="6"/>
  <c r="BE16" i="6"/>
  <c r="BC16" i="6"/>
  <c r="BB16" i="6"/>
  <c r="BA16" i="6"/>
  <c r="AZ16" i="6"/>
  <c r="AY16" i="6"/>
  <c r="AX16" i="6"/>
  <c r="BD16" i="6"/>
  <c r="AS16" i="6"/>
  <c r="AR16" i="6"/>
  <c r="AQ16" i="6"/>
  <c r="AP16" i="6"/>
  <c r="AO16" i="6"/>
  <c r="N16" i="6"/>
  <c r="AU16" i="6"/>
  <c r="AT16" i="6"/>
  <c r="M16" i="6"/>
  <c r="AV16" i="6"/>
  <c r="H16" i="6"/>
  <c r="T16" i="5" s="1"/>
  <c r="G16" i="12" s="1"/>
  <c r="G16" i="6"/>
  <c r="AH16" i="5"/>
  <c r="AN16" i="5" s="1"/>
  <c r="AC12" i="6"/>
  <c r="AD13" i="6"/>
  <c r="H11" i="9"/>
  <c r="AO13" i="6"/>
  <c r="AN12" i="6"/>
  <c r="B8" i="14"/>
  <c r="I10" i="13"/>
  <c r="I11" i="9"/>
  <c r="J12" i="9"/>
  <c r="I11" i="10"/>
  <c r="J12" i="10"/>
  <c r="AH14" i="5"/>
  <c r="V8" i="5"/>
  <c r="D14" i="6"/>
  <c r="BB13" i="6"/>
  <c r="C4" i="4"/>
  <c r="A5" i="4"/>
  <c r="J14" i="12"/>
  <c r="L14" i="12"/>
  <c r="C36" i="4"/>
  <c r="A37" i="4"/>
  <c r="C37" i="4" s="1"/>
  <c r="AD17" i="5" l="1"/>
  <c r="BE17" i="6"/>
  <c r="BD17" i="6"/>
  <c r="BC17" i="6"/>
  <c r="AY17" i="6"/>
  <c r="AT17" i="6"/>
  <c r="AP17" i="6"/>
  <c r="H17" i="6"/>
  <c r="T17" i="5" s="1"/>
  <c r="BB17" i="6"/>
  <c r="AX17" i="6"/>
  <c r="AS17" i="6"/>
  <c r="AO17" i="6"/>
  <c r="G17" i="6"/>
  <c r="BG17" i="6"/>
  <c r="BA17" i="6"/>
  <c r="AV17" i="6"/>
  <c r="AR17" i="6"/>
  <c r="AN17" i="6"/>
  <c r="N17" i="6"/>
  <c r="AQ17" i="6"/>
  <c r="M17" i="6"/>
  <c r="BF17" i="6"/>
  <c r="AM17" i="6"/>
  <c r="AU17" i="6"/>
  <c r="AZ17" i="6"/>
  <c r="B19" i="6"/>
  <c r="AD19" i="5"/>
  <c r="H19" i="5"/>
  <c r="D19" i="5"/>
  <c r="B19" i="12" s="1"/>
  <c r="K19" i="5"/>
  <c r="G19" i="5"/>
  <c r="AE19" i="5"/>
  <c r="J19" i="5"/>
  <c r="F19" i="5"/>
  <c r="B19" i="5"/>
  <c r="A19" i="12"/>
  <c r="C20" i="5"/>
  <c r="N19" i="5"/>
  <c r="E19" i="5"/>
  <c r="J18" i="12"/>
  <c r="L18" i="12"/>
  <c r="D18" i="6"/>
  <c r="A18" i="4"/>
  <c r="C17" i="4"/>
  <c r="F26" i="6"/>
  <c r="E26" i="12"/>
  <c r="A14" i="13"/>
  <c r="B14" i="11"/>
  <c r="G14" i="11" s="1"/>
  <c r="F14" i="13" s="1"/>
  <c r="A29" i="8"/>
  <c r="C19" i="7"/>
  <c r="B18" i="7"/>
  <c r="B21" i="10"/>
  <c r="B23" i="9"/>
  <c r="AC16" i="6"/>
  <c r="AB16" i="6"/>
  <c r="AE13" i="6"/>
  <c r="AF13" i="6" s="1"/>
  <c r="AD12" i="6"/>
  <c r="AD16" i="6" s="1"/>
  <c r="AO12" i="6"/>
  <c r="AP13" i="6"/>
  <c r="K12" i="10"/>
  <c r="J11" i="10"/>
  <c r="K12" i="9"/>
  <c r="W14" i="5"/>
  <c r="H14" i="12" s="1"/>
  <c r="AN14" i="5"/>
  <c r="BC13" i="6"/>
  <c r="BB12" i="6"/>
  <c r="A14" i="6"/>
  <c r="N14" i="6" s="1"/>
  <c r="K14" i="12"/>
  <c r="C5" i="4"/>
  <c r="A6" i="4"/>
  <c r="AC3" i="6"/>
  <c r="K18" i="12" l="1"/>
  <c r="A20" i="12"/>
  <c r="B20" i="6"/>
  <c r="J20" i="5"/>
  <c r="F20" i="5"/>
  <c r="B20" i="5"/>
  <c r="K20" i="5"/>
  <c r="AE20" i="5"/>
  <c r="N20" i="5"/>
  <c r="E20" i="5"/>
  <c r="AD20" i="5"/>
  <c r="H20" i="5"/>
  <c r="D20" i="5"/>
  <c r="B20" i="12" s="1"/>
  <c r="G20" i="5"/>
  <c r="AD17" i="6"/>
  <c r="L19" i="12"/>
  <c r="J19" i="12"/>
  <c r="AB17" i="6"/>
  <c r="AC17" i="6"/>
  <c r="H18" i="6"/>
  <c r="T18" i="5" s="1"/>
  <c r="A18" i="6"/>
  <c r="N18" i="6" s="1"/>
  <c r="D19" i="6"/>
  <c r="A19" i="4"/>
  <c r="C19" i="4" s="1"/>
  <c r="C18" i="4"/>
  <c r="C14" i="13"/>
  <c r="K14" i="13" s="1"/>
  <c r="K14" i="11"/>
  <c r="J14" i="13" s="1"/>
  <c r="A32" i="8"/>
  <c r="B22" i="10"/>
  <c r="B24" i="9"/>
  <c r="C20" i="7"/>
  <c r="B19" i="7"/>
  <c r="AD3" i="6"/>
  <c r="AB3" i="6"/>
  <c r="AQ13" i="6"/>
  <c r="L12" i="9"/>
  <c r="K11" i="9"/>
  <c r="M14" i="6"/>
  <c r="AX14" i="6" s="1"/>
  <c r="L12" i="10"/>
  <c r="AF12" i="6"/>
  <c r="AF17" i="6" s="1"/>
  <c r="AG13" i="6"/>
  <c r="A7" i="4"/>
  <c r="C7" i="4" s="1"/>
  <c r="C6" i="4"/>
  <c r="BC12" i="6"/>
  <c r="BD13" i="6"/>
  <c r="A19" i="6" l="1"/>
  <c r="N19" i="6" s="1"/>
  <c r="K19" i="12"/>
  <c r="D20" i="6"/>
  <c r="J20" i="12"/>
  <c r="L20" i="12"/>
  <c r="H19" i="6"/>
  <c r="T19" i="5" s="1"/>
  <c r="M18" i="6"/>
  <c r="A35" i="8"/>
  <c r="C21" i="7"/>
  <c r="B20" i="7"/>
  <c r="B25" i="9"/>
  <c r="B23" i="10"/>
  <c r="AF16" i="6"/>
  <c r="AO14" i="6"/>
  <c r="BD14" i="6"/>
  <c r="AQ12" i="6"/>
  <c r="AR13" i="6"/>
  <c r="AR14" i="6" s="1"/>
  <c r="BE14" i="6"/>
  <c r="AZ14" i="6"/>
  <c r="BC14" i="6"/>
  <c r="BA14" i="6"/>
  <c r="AP14" i="6"/>
  <c r="AQ14" i="6"/>
  <c r="AN14" i="6"/>
  <c r="AM14" i="6"/>
  <c r="AY14" i="6"/>
  <c r="BF14" i="6"/>
  <c r="BG14" i="6"/>
  <c r="L11" i="9"/>
  <c r="M12" i="9"/>
  <c r="BB14" i="6"/>
  <c r="L11" i="10"/>
  <c r="M12" i="10"/>
  <c r="AH13" i="6"/>
  <c r="AG12" i="6"/>
  <c r="BD12" i="6"/>
  <c r="BE13" i="6"/>
  <c r="Z69" i="4"/>
  <c r="Y29" i="4"/>
  <c r="Z21" i="4"/>
  <c r="Y64" i="4"/>
  <c r="X21" i="4"/>
  <c r="Y24" i="4"/>
  <c r="X103" i="4"/>
  <c r="Y102" i="4"/>
  <c r="Y101" i="4"/>
  <c r="Y21" i="4"/>
  <c r="X105" i="4"/>
  <c r="Y103" i="4"/>
  <c r="Z62" i="4"/>
  <c r="X29" i="4"/>
  <c r="X109" i="4"/>
  <c r="X101" i="4"/>
  <c r="Z23" i="4"/>
  <c r="Y62" i="4"/>
  <c r="X62" i="4"/>
  <c r="Z109" i="4"/>
  <c r="Z103" i="4"/>
  <c r="Z102" i="4"/>
  <c r="Z24" i="4"/>
  <c r="X61" i="4"/>
  <c r="Z63" i="4"/>
  <c r="X23" i="4"/>
  <c r="X65" i="4"/>
  <c r="Z105" i="4"/>
  <c r="Y104" i="4"/>
  <c r="Z61" i="4"/>
  <c r="Z29" i="4"/>
  <c r="Y65" i="4"/>
  <c r="Y109" i="4"/>
  <c r="Z104" i="4"/>
  <c r="Y69" i="4"/>
  <c r="X25" i="4"/>
  <c r="Z25" i="4"/>
  <c r="X22" i="4"/>
  <c r="X63" i="4"/>
  <c r="Y25" i="4"/>
  <c r="Y22" i="4"/>
  <c r="Z65" i="4"/>
  <c r="X69" i="4"/>
  <c r="U69" i="4" s="1"/>
  <c r="Y61" i="4"/>
  <c r="X102" i="4"/>
  <c r="X104" i="4"/>
  <c r="X64" i="4"/>
  <c r="Y105" i="4"/>
  <c r="Y63" i="4"/>
  <c r="Z22" i="4"/>
  <c r="Z101" i="4"/>
  <c r="Z64" i="4"/>
  <c r="X24" i="4"/>
  <c r="Y23" i="4"/>
  <c r="A20" i="6" l="1"/>
  <c r="N20" i="6" s="1"/>
  <c r="K20" i="12"/>
  <c r="AR18" i="6"/>
  <c r="AQ18" i="6"/>
  <c r="AX18" i="6"/>
  <c r="BE18" i="6"/>
  <c r="AN18" i="6"/>
  <c r="BD18" i="6"/>
  <c r="AM18" i="6"/>
  <c r="BC18" i="6"/>
  <c r="BB18" i="6"/>
  <c r="AO18" i="6"/>
  <c r="BA18" i="6"/>
  <c r="AZ18" i="6"/>
  <c r="AY18" i="6"/>
  <c r="AP18" i="6"/>
  <c r="C21" i="5"/>
  <c r="AD18" i="6"/>
  <c r="AC18" i="6"/>
  <c r="M19" i="6"/>
  <c r="AG19" i="6" s="1"/>
  <c r="H20" i="6"/>
  <c r="T20" i="5" s="1"/>
  <c r="AG17" i="6"/>
  <c r="AG18" i="6"/>
  <c r="AF18" i="6"/>
  <c r="G27" i="12"/>
  <c r="A38" i="8"/>
  <c r="B24" i="10"/>
  <c r="B26" i="9"/>
  <c r="C22" i="7"/>
  <c r="B21" i="7"/>
  <c r="AG16" i="6"/>
  <c r="U109" i="4"/>
  <c r="K112" i="4" s="1"/>
  <c r="AS13" i="6"/>
  <c r="AR12" i="6"/>
  <c r="M11" i="10"/>
  <c r="N12" i="10"/>
  <c r="M11" i="9"/>
  <c r="N12" i="9"/>
  <c r="AH12" i="6"/>
  <c r="AI13" i="6"/>
  <c r="U29" i="4"/>
  <c r="J72" i="4"/>
  <c r="K72" i="4"/>
  <c r="BF13" i="6"/>
  <c r="BE12" i="6"/>
  <c r="M20" i="6" l="1"/>
  <c r="AR20" i="6" s="1"/>
  <c r="AD19" i="6"/>
  <c r="AC19" i="6"/>
  <c r="AS18" i="6"/>
  <c r="B21" i="6"/>
  <c r="AD21" i="5"/>
  <c r="H21" i="5"/>
  <c r="D21" i="5"/>
  <c r="B21" i="12" s="1"/>
  <c r="J21" i="5"/>
  <c r="F21" i="5"/>
  <c r="B21" i="5"/>
  <c r="K21" i="5"/>
  <c r="E21" i="5"/>
  <c r="C22" i="5"/>
  <c r="AE21" i="5"/>
  <c r="N21" i="5"/>
  <c r="G21" i="5"/>
  <c r="A21" i="12"/>
  <c r="BF18" i="6"/>
  <c r="AH17" i="6"/>
  <c r="AH18" i="6"/>
  <c r="AH19" i="6"/>
  <c r="AP19" i="6"/>
  <c r="AO19" i="6"/>
  <c r="AR19" i="6"/>
  <c r="AQ19" i="6"/>
  <c r="BE19" i="6"/>
  <c r="AN19" i="6"/>
  <c r="BD19" i="6"/>
  <c r="AM19" i="6"/>
  <c r="BC19" i="6"/>
  <c r="BB19" i="6"/>
  <c r="AF19" i="6"/>
  <c r="BA19" i="6"/>
  <c r="AZ19" i="6"/>
  <c r="AS19" i="6"/>
  <c r="AY19" i="6"/>
  <c r="AX19" i="6"/>
  <c r="BF19" i="6"/>
  <c r="A41" i="8"/>
  <c r="B27" i="9"/>
  <c r="B22" i="7"/>
  <c r="C23" i="7"/>
  <c r="B25" i="10"/>
  <c r="AH16" i="6"/>
  <c r="J112" i="4"/>
  <c r="AS14" i="6"/>
  <c r="AT13" i="6"/>
  <c r="AT18" i="6" s="1"/>
  <c r="AS12" i="6"/>
  <c r="O12" i="9"/>
  <c r="N11" i="9"/>
  <c r="O12" i="10"/>
  <c r="N11" i="10"/>
  <c r="AI12" i="6"/>
  <c r="AJ13" i="6"/>
  <c r="K32" i="4"/>
  <c r="J32" i="4"/>
  <c r="BG13" i="6"/>
  <c r="BG18" i="6" s="1"/>
  <c r="BF12" i="6"/>
  <c r="BE20" i="6" l="1"/>
  <c r="BC20" i="6"/>
  <c r="BD20" i="6"/>
  <c r="BF20" i="6"/>
  <c r="AF20" i="6"/>
  <c r="AC20" i="6"/>
  <c r="AG20" i="6"/>
  <c r="AQ20" i="6"/>
  <c r="AN20" i="6"/>
  <c r="BB20" i="6"/>
  <c r="BA20" i="6"/>
  <c r="AS20" i="6"/>
  <c r="AZ20" i="6"/>
  <c r="AY20" i="6"/>
  <c r="AD20" i="6"/>
  <c r="AH20" i="6"/>
  <c r="AM20" i="6"/>
  <c r="AP20" i="6"/>
  <c r="AX20" i="6"/>
  <c r="AO20" i="6"/>
  <c r="D21" i="6"/>
  <c r="A22" i="12"/>
  <c r="B22" i="6"/>
  <c r="J22" i="5"/>
  <c r="F22" i="5"/>
  <c r="B22" i="5"/>
  <c r="C23" i="5"/>
  <c r="AE22" i="5"/>
  <c r="N22" i="5"/>
  <c r="E22" i="5"/>
  <c r="AD22" i="5"/>
  <c r="H22" i="5"/>
  <c r="D22" i="5"/>
  <c r="B22" i="12" s="1"/>
  <c r="G22" i="5"/>
  <c r="K22" i="5"/>
  <c r="AT20" i="6"/>
  <c r="AI17" i="6"/>
  <c r="AI18" i="6"/>
  <c r="AI19" i="6"/>
  <c r="AI20" i="6"/>
  <c r="AT19" i="6"/>
  <c r="BG19" i="6"/>
  <c r="L21" i="12"/>
  <c r="J21" i="12"/>
  <c r="BG20" i="6"/>
  <c r="F61" i="12"/>
  <c r="G60" i="12"/>
  <c r="A44" i="8"/>
  <c r="B26" i="10"/>
  <c r="B23" i="7"/>
  <c r="C24" i="7"/>
  <c r="B28" i="9"/>
  <c r="AI16" i="6"/>
  <c r="AT12" i="6"/>
  <c r="AU13" i="6"/>
  <c r="AT14" i="6"/>
  <c r="P12" i="10"/>
  <c r="O11" i="10"/>
  <c r="O11" i="9"/>
  <c r="P12" i="9"/>
  <c r="AJ12" i="6"/>
  <c r="AK13" i="6"/>
  <c r="AK12" i="6" s="1"/>
  <c r="BG12" i="6"/>
  <c r="K21" i="12" l="1"/>
  <c r="A21" i="6"/>
  <c r="N21" i="6" s="1"/>
  <c r="AK17" i="6"/>
  <c r="AK18" i="6"/>
  <c r="AK19" i="6"/>
  <c r="AK20" i="6"/>
  <c r="AJ17" i="6"/>
  <c r="AJ18" i="6"/>
  <c r="AJ19" i="6"/>
  <c r="AJ20" i="6"/>
  <c r="B23" i="6"/>
  <c r="AD23" i="5"/>
  <c r="H23" i="5"/>
  <c r="D23" i="5"/>
  <c r="B23" i="12" s="1"/>
  <c r="K23" i="5"/>
  <c r="G23" i="5"/>
  <c r="J23" i="5"/>
  <c r="F23" i="5"/>
  <c r="B23" i="5"/>
  <c r="AE23" i="5"/>
  <c r="C24" i="5"/>
  <c r="E23" i="5"/>
  <c r="A23" i="12"/>
  <c r="N23" i="5"/>
  <c r="J22" i="12"/>
  <c r="L22" i="12"/>
  <c r="D22" i="6"/>
  <c r="AU18" i="6"/>
  <c r="AU19" i="6"/>
  <c r="AU20" i="6"/>
  <c r="H21" i="6"/>
  <c r="T21" i="5" s="1"/>
  <c r="G61" i="12"/>
  <c r="A47" i="8"/>
  <c r="A50" i="8" s="1"/>
  <c r="C25" i="7"/>
  <c r="B24" i="7"/>
  <c r="B27" i="10"/>
  <c r="B29" i="9"/>
  <c r="AK16" i="6"/>
  <c r="AJ16" i="6"/>
  <c r="AU12" i="6"/>
  <c r="AV13" i="6"/>
  <c r="AU14" i="6"/>
  <c r="Q12" i="9"/>
  <c r="P11" i="9"/>
  <c r="Q12" i="10"/>
  <c r="P11" i="10"/>
  <c r="C25" i="5" l="1"/>
  <c r="B25" i="6" s="1"/>
  <c r="M21" i="6"/>
  <c r="AY21" i="6" s="1"/>
  <c r="K22" i="12"/>
  <c r="D23" i="6"/>
  <c r="A24" i="12"/>
  <c r="B24" i="6"/>
  <c r="J24" i="5"/>
  <c r="F24" i="5"/>
  <c r="B24" i="5"/>
  <c r="AE24" i="5"/>
  <c r="N24" i="5"/>
  <c r="E24" i="5"/>
  <c r="AD24" i="5"/>
  <c r="H24" i="5"/>
  <c r="D24" i="5"/>
  <c r="B24" i="12" s="1"/>
  <c r="G24" i="5"/>
  <c r="K24" i="5"/>
  <c r="L23" i="12"/>
  <c r="J23" i="12"/>
  <c r="H22" i="6"/>
  <c r="T22" i="5" s="1"/>
  <c r="AV18" i="6"/>
  <c r="AV20" i="6"/>
  <c r="AV19" i="6"/>
  <c r="A22" i="6"/>
  <c r="N22" i="6" s="1"/>
  <c r="A53" i="8"/>
  <c r="A56" i="8" s="1"/>
  <c r="B30" i="9"/>
  <c r="B28" i="10"/>
  <c r="C26" i="7"/>
  <c r="B25" i="7"/>
  <c r="AV12" i="6"/>
  <c r="AV14" i="6"/>
  <c r="Q11" i="10"/>
  <c r="R12" i="10"/>
  <c r="R12" i="9"/>
  <c r="Q11" i="9"/>
  <c r="H25" i="5" l="1"/>
  <c r="G25" i="5"/>
  <c r="E25" i="5"/>
  <c r="F25" i="5"/>
  <c r="J25" i="5"/>
  <c r="D25" i="5"/>
  <c r="B25" i="12" s="1"/>
  <c r="A25" i="12"/>
  <c r="L25" i="12" s="1"/>
  <c r="AE25" i="5"/>
  <c r="K25" i="5"/>
  <c r="N25" i="5"/>
  <c r="D25" i="6" s="1"/>
  <c r="AD25" i="5"/>
  <c r="B25" i="5"/>
  <c r="C26" i="5" s="1"/>
  <c r="BA21" i="6"/>
  <c r="AC21" i="6"/>
  <c r="AQ21" i="6"/>
  <c r="AN21" i="6"/>
  <c r="AD21" i="6"/>
  <c r="AZ21" i="6"/>
  <c r="BG21" i="6"/>
  <c r="BC21" i="6"/>
  <c r="BB21" i="6"/>
  <c r="AT21" i="6"/>
  <c r="AS21" i="6"/>
  <c r="AI21" i="6"/>
  <c r="AO21" i="6"/>
  <c r="AK21" i="6"/>
  <c r="AH21" i="6"/>
  <c r="AX21" i="6"/>
  <c r="AJ21" i="6"/>
  <c r="AV21" i="6"/>
  <c r="AR21" i="6"/>
  <c r="AG21" i="6"/>
  <c r="BE21" i="6"/>
  <c r="AU21" i="6"/>
  <c r="AP21" i="6"/>
  <c r="BD21" i="6"/>
  <c r="BF21" i="6"/>
  <c r="AM21" i="6"/>
  <c r="AF21" i="6"/>
  <c r="K23" i="12"/>
  <c r="A23" i="6"/>
  <c r="M23" i="6" s="1"/>
  <c r="AT23" i="6" s="1"/>
  <c r="D24" i="6"/>
  <c r="H23" i="6"/>
  <c r="T23" i="5" s="1"/>
  <c r="M22" i="6"/>
  <c r="AC22" i="6" s="1"/>
  <c r="J24" i="12"/>
  <c r="L24" i="12"/>
  <c r="A59" i="8"/>
  <c r="B29" i="10"/>
  <c r="C27" i="7"/>
  <c r="B26" i="7"/>
  <c r="B31" i="9"/>
  <c r="R11" i="9"/>
  <c r="S12" i="9"/>
  <c r="R11" i="10"/>
  <c r="S12" i="10"/>
  <c r="G26" i="5" l="1"/>
  <c r="AE26" i="5"/>
  <c r="E26" i="5"/>
  <c r="A26" i="12"/>
  <c r="C27" i="5"/>
  <c r="N27" i="5" s="1"/>
  <c r="D27" i="6" s="1"/>
  <c r="H26" i="5"/>
  <c r="AD26" i="5"/>
  <c r="B26" i="5"/>
  <c r="B26" i="6"/>
  <c r="A26" i="6" s="1"/>
  <c r="F26" i="5"/>
  <c r="I26" i="5"/>
  <c r="W26" i="5"/>
  <c r="H26" i="12" s="1"/>
  <c r="N26" i="5"/>
  <c r="D26" i="6" s="1"/>
  <c r="AN26" i="6" s="1"/>
  <c r="J25" i="12"/>
  <c r="K25" i="12" s="1"/>
  <c r="N23" i="6"/>
  <c r="H25" i="6"/>
  <c r="T25" i="5" s="1"/>
  <c r="A24" i="6"/>
  <c r="N24" i="6" s="1"/>
  <c r="AH23" i="6"/>
  <c r="BD23" i="6"/>
  <c r="AU23" i="6"/>
  <c r="AN23" i="6"/>
  <c r="BE23" i="6"/>
  <c r="AJ23" i="6"/>
  <c r="BB23" i="6"/>
  <c r="AG23" i="6"/>
  <c r="AY23" i="6"/>
  <c r="H24" i="6"/>
  <c r="T24" i="5" s="1"/>
  <c r="AI22" i="6"/>
  <c r="AR23" i="6"/>
  <c r="AO23" i="6"/>
  <c r="BF23" i="6"/>
  <c r="AK23" i="6"/>
  <c r="BC23" i="6"/>
  <c r="AD22" i="6"/>
  <c r="AK22" i="6"/>
  <c r="AZ23" i="6"/>
  <c r="AQ23" i="6"/>
  <c r="AV23" i="6"/>
  <c r="AS23" i="6"/>
  <c r="AP23" i="6"/>
  <c r="BG23" i="6"/>
  <c r="K24" i="12"/>
  <c r="BG22" i="6"/>
  <c r="AP22" i="6"/>
  <c r="AS22" i="6"/>
  <c r="AV22" i="6"/>
  <c r="AZ22" i="6"/>
  <c r="AQ22" i="6"/>
  <c r="BC22" i="6"/>
  <c r="BF22" i="6"/>
  <c r="AO22" i="6"/>
  <c r="AR22" i="6"/>
  <c r="AH22" i="6"/>
  <c r="AY22" i="6"/>
  <c r="AG22" i="6"/>
  <c r="BB22" i="6"/>
  <c r="AJ22" i="6"/>
  <c r="BE22" i="6"/>
  <c r="AN22" i="6"/>
  <c r="BD22" i="6"/>
  <c r="AU22" i="6"/>
  <c r="AT22" i="6"/>
  <c r="AX22" i="6"/>
  <c r="BA22" i="6"/>
  <c r="AM22" i="6"/>
  <c r="AM23" i="6"/>
  <c r="AD23" i="6"/>
  <c r="AI23" i="6"/>
  <c r="BA23" i="6"/>
  <c r="AF23" i="6"/>
  <c r="AX23" i="6"/>
  <c r="AC23" i="6"/>
  <c r="AF22" i="6"/>
  <c r="A62" i="8"/>
  <c r="B30" i="10"/>
  <c r="B32" i="9"/>
  <c r="C28" i="7"/>
  <c r="B27" i="7"/>
  <c r="T12" i="10"/>
  <c r="S11" i="10"/>
  <c r="S11" i="9"/>
  <c r="T12" i="9"/>
  <c r="G27" i="5" l="1"/>
  <c r="AV26" i="6"/>
  <c r="AY26" i="6"/>
  <c r="M26" i="6"/>
  <c r="AP26" i="6"/>
  <c r="BE26" i="6"/>
  <c r="AX26" i="6"/>
  <c r="AR26" i="6"/>
  <c r="AS26" i="6"/>
  <c r="AU26" i="6"/>
  <c r="H26" i="6"/>
  <c r="T26" i="5" s="1"/>
  <c r="G26" i="12" s="1"/>
  <c r="AM26" i="6"/>
  <c r="BA26" i="6"/>
  <c r="J27" i="5"/>
  <c r="F27" i="5"/>
  <c r="D27" i="5"/>
  <c r="B27" i="12" s="1"/>
  <c r="B27" i="5"/>
  <c r="G26" i="6"/>
  <c r="AZ26" i="6"/>
  <c r="BG26" i="6"/>
  <c r="AQ26" i="6"/>
  <c r="N26" i="6"/>
  <c r="BF26" i="6"/>
  <c r="AE27" i="5"/>
  <c r="AD27" i="5"/>
  <c r="BC26" i="6"/>
  <c r="AO26" i="6"/>
  <c r="BD26" i="6"/>
  <c r="AT26" i="6"/>
  <c r="BB26" i="6"/>
  <c r="E27" i="5"/>
  <c r="H27" i="5"/>
  <c r="A27" i="12"/>
  <c r="L27" i="12" s="1"/>
  <c r="B27" i="6"/>
  <c r="A27" i="6" s="1"/>
  <c r="N27" i="6" s="1"/>
  <c r="K27" i="5"/>
  <c r="M24" i="6"/>
  <c r="AY24" i="6" s="1"/>
  <c r="A25" i="6"/>
  <c r="H27" i="6"/>
  <c r="T27" i="5" s="1"/>
  <c r="A65" i="8"/>
  <c r="E68" i="12"/>
  <c r="F68" i="6"/>
  <c r="B33" i="9"/>
  <c r="C29" i="7"/>
  <c r="B28" i="7"/>
  <c r="B31" i="10"/>
  <c r="U12" i="10"/>
  <c r="T11" i="10"/>
  <c r="T11" i="9"/>
  <c r="U12" i="9"/>
  <c r="AJ26" i="6" l="1"/>
  <c r="AD26" i="6"/>
  <c r="AF26" i="6"/>
  <c r="AB26" i="6"/>
  <c r="AC26" i="6"/>
  <c r="AH26" i="6"/>
  <c r="AK26" i="6"/>
  <c r="J27" i="12"/>
  <c r="K27" i="12" s="1"/>
  <c r="AG26" i="6"/>
  <c r="AI26" i="6"/>
  <c r="AX24" i="6"/>
  <c r="AJ24" i="6"/>
  <c r="AU24" i="6"/>
  <c r="AV24" i="6"/>
  <c r="BG24" i="6"/>
  <c r="AR24" i="6"/>
  <c r="AN24" i="6"/>
  <c r="AQ24" i="6"/>
  <c r="AF24" i="6"/>
  <c r="BC24" i="6"/>
  <c r="AG24" i="6"/>
  <c r="AS24" i="6"/>
  <c r="BF24" i="6"/>
  <c r="AM24" i="6"/>
  <c r="BA24" i="6"/>
  <c r="BB24" i="6"/>
  <c r="BD24" i="6"/>
  <c r="AP24" i="6"/>
  <c r="AO24" i="6"/>
  <c r="AT24" i="6"/>
  <c r="AD24" i="6"/>
  <c r="N25" i="6"/>
  <c r="M25" i="6"/>
  <c r="M27" i="6" s="1"/>
  <c r="AY27" i="6" s="1"/>
  <c r="BE24" i="6"/>
  <c r="AZ24" i="6"/>
  <c r="AK24" i="6"/>
  <c r="AH24" i="6"/>
  <c r="AC24" i="6"/>
  <c r="AI24" i="6"/>
  <c r="A68" i="8"/>
  <c r="B34" i="9"/>
  <c r="B32" i="10"/>
  <c r="B29" i="7"/>
  <c r="C30" i="7"/>
  <c r="V12" i="10"/>
  <c r="U11" i="10"/>
  <c r="V12" i="9"/>
  <c r="U11" i="9"/>
  <c r="BE25" i="6" l="1"/>
  <c r="AN25" i="6"/>
  <c r="BD25" i="6"/>
  <c r="AM25" i="6"/>
  <c r="BF25" i="6"/>
  <c r="AO25" i="6"/>
  <c r="AT25" i="6"/>
  <c r="AC25" i="6"/>
  <c r="BA25" i="6"/>
  <c r="AZ25" i="6"/>
  <c r="BB25" i="6"/>
  <c r="BG25" i="6"/>
  <c r="AP25" i="6"/>
  <c r="AV25" i="6"/>
  <c r="AU25" i="6"/>
  <c r="AX25" i="6"/>
  <c r="BC25" i="6"/>
  <c r="AR25" i="6"/>
  <c r="AQ25" i="6"/>
  <c r="AS25" i="6"/>
  <c r="AY25" i="6"/>
  <c r="AF25" i="6"/>
  <c r="AJ25" i="6"/>
  <c r="AH25" i="6"/>
  <c r="AD25" i="6"/>
  <c r="AI25" i="6"/>
  <c r="AG25" i="6"/>
  <c r="AK25" i="6"/>
  <c r="BF27" i="6"/>
  <c r="BE27" i="6"/>
  <c r="AZ27" i="6"/>
  <c r="BC27" i="6"/>
  <c r="AF27" i="6"/>
  <c r="BB27" i="6"/>
  <c r="AC27" i="6"/>
  <c r="AP27" i="6"/>
  <c r="AS27" i="6"/>
  <c r="AO27" i="6"/>
  <c r="AK27" i="6"/>
  <c r="AD27" i="6"/>
  <c r="AN27" i="6"/>
  <c r="AJ27" i="6"/>
  <c r="AH27" i="6"/>
  <c r="AR27" i="6"/>
  <c r="AT27" i="6"/>
  <c r="BA27" i="6"/>
  <c r="AV27" i="6"/>
  <c r="AG27" i="6"/>
  <c r="AU27" i="6"/>
  <c r="AI27" i="6"/>
  <c r="AX27" i="6"/>
  <c r="BD27" i="6"/>
  <c r="AQ27" i="6"/>
  <c r="AM27" i="6"/>
  <c r="BG27" i="6"/>
  <c r="A71" i="8"/>
  <c r="E28" i="12"/>
  <c r="F28" i="6"/>
  <c r="B33" i="10"/>
  <c r="B35" i="9"/>
  <c r="B30" i="7"/>
  <c r="C31" i="7"/>
  <c r="W12" i="9"/>
  <c r="V11" i="9"/>
  <c r="W12" i="10"/>
  <c r="V11" i="10"/>
  <c r="A74" i="8" l="1"/>
  <c r="C32" i="7"/>
  <c r="B31" i="7"/>
  <c r="B36" i="9"/>
  <c r="B34" i="10"/>
  <c r="W11" i="10"/>
  <c r="X12" i="10"/>
  <c r="W11" i="9"/>
  <c r="X12" i="9"/>
  <c r="A77" i="8" l="1"/>
  <c r="B37" i="9"/>
  <c r="B35" i="10"/>
  <c r="B32" i="7"/>
  <c r="C33" i="7"/>
  <c r="X11" i="9"/>
  <c r="Y12" i="9"/>
  <c r="Y12" i="10"/>
  <c r="X11" i="10"/>
  <c r="A80" i="8" l="1"/>
  <c r="E31" i="12"/>
  <c r="F31" i="6"/>
  <c r="B36" i="10"/>
  <c r="C34" i="7"/>
  <c r="B33" i="7"/>
  <c r="B38" i="9"/>
  <c r="Y11" i="10"/>
  <c r="Z12" i="10"/>
  <c r="Y11" i="9"/>
  <c r="Z12" i="9"/>
  <c r="A83" i="8" l="1"/>
  <c r="A86" i="8" s="1"/>
  <c r="A89" i="8" s="1"/>
  <c r="C35" i="7"/>
  <c r="B34" i="7"/>
  <c r="B39" i="9"/>
  <c r="B37" i="10"/>
  <c r="Z11" i="10"/>
  <c r="AA12" i="10"/>
  <c r="Z11" i="9"/>
  <c r="AA12" i="9"/>
  <c r="B35" i="7" l="1"/>
  <c r="C36" i="7"/>
  <c r="B40" i="9"/>
  <c r="B38" i="10"/>
  <c r="AB12" i="10"/>
  <c r="AA11" i="10"/>
  <c r="AB12" i="9"/>
  <c r="AA11" i="9"/>
  <c r="B41" i="9" l="1"/>
  <c r="B39" i="10"/>
  <c r="B36" i="7"/>
  <c r="C37" i="7"/>
  <c r="AB11" i="10"/>
  <c r="AC12" i="10"/>
  <c r="AC12" i="9"/>
  <c r="AB11" i="9"/>
  <c r="E75" i="12" l="1"/>
  <c r="F75" i="6"/>
  <c r="B42" i="9"/>
  <c r="C38" i="7"/>
  <c r="B37" i="7"/>
  <c r="B40" i="10"/>
  <c r="AC11" i="10"/>
  <c r="AD12" i="10"/>
  <c r="AC11" i="9"/>
  <c r="AD12" i="9"/>
  <c r="B41" i="10" l="1"/>
  <c r="C39" i="7"/>
  <c r="B38" i="7"/>
  <c r="B43" i="9"/>
  <c r="AD11" i="9"/>
  <c r="AE12" i="9"/>
  <c r="AE11" i="9" s="1"/>
  <c r="AE12" i="10"/>
  <c r="AD11" i="10"/>
  <c r="F42" i="6" l="1"/>
  <c r="E42" i="12"/>
  <c r="B42" i="10"/>
  <c r="C40" i="7"/>
  <c r="B39" i="7"/>
  <c r="B44" i="9"/>
  <c r="AE11" i="10"/>
  <c r="AF12" i="10"/>
  <c r="AF11" i="10" s="1"/>
  <c r="C28" i="5" l="1"/>
  <c r="B45" i="9"/>
  <c r="C41" i="7"/>
  <c r="B40" i="7"/>
  <c r="B43" i="10"/>
  <c r="B28" i="6" l="1"/>
  <c r="A28" i="6" s="1"/>
  <c r="C29" i="5"/>
  <c r="B28" i="5"/>
  <c r="A28" i="12"/>
  <c r="G28" i="5"/>
  <c r="W28" i="5"/>
  <c r="E28" i="5"/>
  <c r="H28" i="5"/>
  <c r="N28" i="5"/>
  <c r="D28" i="6" s="1"/>
  <c r="AE28" i="5"/>
  <c r="F28" i="5"/>
  <c r="AD28" i="5"/>
  <c r="C42" i="7"/>
  <c r="B41" i="7"/>
  <c r="B44" i="10"/>
  <c r="B46" i="9"/>
  <c r="M28" i="6" l="1"/>
  <c r="AS28" i="6"/>
  <c r="BG28" i="6"/>
  <c r="AO28" i="6"/>
  <c r="AX28" i="6"/>
  <c r="AN28" i="6"/>
  <c r="AT28" i="6"/>
  <c r="AV28" i="6"/>
  <c r="BA28" i="6"/>
  <c r="AR28" i="6"/>
  <c r="AZ28" i="6"/>
  <c r="H28" i="6"/>
  <c r="T28" i="5" s="1"/>
  <c r="AM28" i="6"/>
  <c r="N28" i="6"/>
  <c r="BD28" i="6"/>
  <c r="AU28" i="6"/>
  <c r="AQ28" i="6"/>
  <c r="BB28" i="6"/>
  <c r="G28" i="6"/>
  <c r="AY28" i="6"/>
  <c r="BF28" i="6"/>
  <c r="AP28" i="6"/>
  <c r="BE28" i="6"/>
  <c r="BC28" i="6"/>
  <c r="D29" i="5"/>
  <c r="B29" i="12" s="1"/>
  <c r="J29" i="5"/>
  <c r="H29" i="5"/>
  <c r="F29" i="5"/>
  <c r="A29" i="12"/>
  <c r="G29" i="5"/>
  <c r="AE29" i="5"/>
  <c r="B29" i="5"/>
  <c r="E29" i="5"/>
  <c r="AD29" i="5"/>
  <c r="K29" i="5"/>
  <c r="B29" i="6"/>
  <c r="C30" i="5"/>
  <c r="N29" i="5"/>
  <c r="D29" i="6" s="1"/>
  <c r="B47" i="9"/>
  <c r="B45" i="10"/>
  <c r="B42" i="7"/>
  <c r="C43" i="7"/>
  <c r="AB28" i="6" l="1"/>
  <c r="AJ28" i="6"/>
  <c r="AD28" i="6"/>
  <c r="AI28" i="6"/>
  <c r="AF28" i="6"/>
  <c r="AK28" i="6"/>
  <c r="AC28" i="6"/>
  <c r="AH28" i="6"/>
  <c r="AG28" i="6"/>
  <c r="H29" i="6"/>
  <c r="T29" i="5" s="1"/>
  <c r="F30" i="5"/>
  <c r="K30" i="5"/>
  <c r="H30" i="5"/>
  <c r="G30" i="5"/>
  <c r="A30" i="12"/>
  <c r="AD30" i="5"/>
  <c r="D30" i="5"/>
  <c r="B30" i="12" s="1"/>
  <c r="J30" i="5"/>
  <c r="B30" i="5"/>
  <c r="C31" i="5" s="1"/>
  <c r="N30" i="5"/>
  <c r="D30" i="6" s="1"/>
  <c r="B30" i="6"/>
  <c r="AE30" i="5"/>
  <c r="E30" i="5"/>
  <c r="L29" i="12"/>
  <c r="J29" i="12"/>
  <c r="A29" i="6"/>
  <c r="N29" i="6" s="1"/>
  <c r="B43" i="7"/>
  <c r="C44" i="7"/>
  <c r="B46" i="10"/>
  <c r="B48" i="9"/>
  <c r="K29" i="12" l="1"/>
  <c r="F31" i="5"/>
  <c r="AD31" i="5"/>
  <c r="E31" i="5"/>
  <c r="N31" i="5"/>
  <c r="D31" i="6" s="1"/>
  <c r="AE31" i="5"/>
  <c r="A31" i="12"/>
  <c r="G31" i="5"/>
  <c r="H31" i="5"/>
  <c r="B31" i="6"/>
  <c r="A31" i="6" s="1"/>
  <c r="C32" i="5"/>
  <c r="B31" i="5"/>
  <c r="W31" i="5"/>
  <c r="L30" i="12"/>
  <c r="J30" i="12"/>
  <c r="M29" i="6"/>
  <c r="AG29" i="6" s="1"/>
  <c r="A30" i="6"/>
  <c r="N30" i="6" s="1"/>
  <c r="H30" i="6"/>
  <c r="T30" i="5" s="1"/>
  <c r="B44" i="7"/>
  <c r="C45" i="7"/>
  <c r="B47" i="10"/>
  <c r="B49" i="9"/>
  <c r="K30" i="12" l="1"/>
  <c r="M30" i="6"/>
  <c r="AK30" i="6" s="1"/>
  <c r="AF29" i="6"/>
  <c r="M31" i="6"/>
  <c r="AN31" i="6"/>
  <c r="AU31" i="6"/>
  <c r="BC31" i="6"/>
  <c r="AT31" i="6"/>
  <c r="AM31" i="6"/>
  <c r="N31" i="6"/>
  <c r="H31" i="6"/>
  <c r="T31" i="5" s="1"/>
  <c r="AV31" i="6"/>
  <c r="BB31" i="6"/>
  <c r="AQ31" i="6"/>
  <c r="BF31" i="6"/>
  <c r="BE31" i="6"/>
  <c r="BG31" i="6"/>
  <c r="AX31" i="6"/>
  <c r="AY31" i="6"/>
  <c r="G31" i="6"/>
  <c r="AO31" i="6"/>
  <c r="BD31" i="6"/>
  <c r="BA31" i="6"/>
  <c r="AR31" i="6"/>
  <c r="AS31" i="6"/>
  <c r="AZ31" i="6"/>
  <c r="AP31" i="6"/>
  <c r="AX29" i="6"/>
  <c r="BE29" i="6"/>
  <c r="BF29" i="6"/>
  <c r="AT29" i="6"/>
  <c r="BG29" i="6"/>
  <c r="AV29" i="6"/>
  <c r="AJ29" i="6"/>
  <c r="BD29" i="6"/>
  <c r="AS29" i="6"/>
  <c r="AM29" i="6"/>
  <c r="AQ29" i="6"/>
  <c r="AH29" i="6"/>
  <c r="AK29" i="6"/>
  <c r="AU29" i="6"/>
  <c r="AZ29" i="6"/>
  <c r="AR29" i="6"/>
  <c r="AO29" i="6"/>
  <c r="AY29" i="6"/>
  <c r="BA29" i="6"/>
  <c r="AD29" i="6"/>
  <c r="AP29" i="6"/>
  <c r="AN29" i="6"/>
  <c r="BB29" i="6"/>
  <c r="BC29" i="6"/>
  <c r="AC29" i="6"/>
  <c r="AI29" i="6"/>
  <c r="B32" i="6"/>
  <c r="A32" i="12"/>
  <c r="AE32" i="5"/>
  <c r="H32" i="5"/>
  <c r="AD32" i="5"/>
  <c r="K32" i="5"/>
  <c r="D32" i="5"/>
  <c r="B32" i="12" s="1"/>
  <c r="G32" i="5"/>
  <c r="N32" i="5"/>
  <c r="D32" i="6" s="1"/>
  <c r="E32" i="5"/>
  <c r="B32" i="5"/>
  <c r="F32" i="5"/>
  <c r="C33" i="5"/>
  <c r="J32" i="5"/>
  <c r="B50" i="9"/>
  <c r="B48" i="10"/>
  <c r="C46" i="7"/>
  <c r="B45" i="7"/>
  <c r="AH31" i="6" l="1"/>
  <c r="AK31" i="6"/>
  <c r="AC30" i="6"/>
  <c r="AG30" i="6"/>
  <c r="AJ31" i="6"/>
  <c r="AF30" i="6"/>
  <c r="AO30" i="6"/>
  <c r="AC31" i="6"/>
  <c r="BB30" i="6"/>
  <c r="AV30" i="6"/>
  <c r="AU30" i="6"/>
  <c r="AQ30" i="6"/>
  <c r="AT30" i="6"/>
  <c r="AP30" i="6"/>
  <c r="BG30" i="6"/>
  <c r="AN30" i="6"/>
  <c r="AH30" i="6"/>
  <c r="BF30" i="6"/>
  <c r="AR30" i="6"/>
  <c r="BE30" i="6"/>
  <c r="AX30" i="6"/>
  <c r="AI30" i="6"/>
  <c r="AY30" i="6"/>
  <c r="AD31" i="6"/>
  <c r="AS30" i="6"/>
  <c r="BD30" i="6"/>
  <c r="AJ30" i="6"/>
  <c r="BA30" i="6"/>
  <c r="AM30" i="6"/>
  <c r="AZ30" i="6"/>
  <c r="BC30" i="6"/>
  <c r="AD30" i="6"/>
  <c r="N33" i="5"/>
  <c r="D33" i="6" s="1"/>
  <c r="A33" i="12"/>
  <c r="G33" i="5"/>
  <c r="AE33" i="5"/>
  <c r="C34" i="5"/>
  <c r="J33" i="5"/>
  <c r="K33" i="5"/>
  <c r="F33" i="5"/>
  <c r="B33" i="5"/>
  <c r="E33" i="5"/>
  <c r="AD33" i="5"/>
  <c r="H33" i="5"/>
  <c r="D33" i="5"/>
  <c r="B33" i="12" s="1"/>
  <c r="B33" i="6"/>
  <c r="H32" i="6"/>
  <c r="T32" i="5" s="1"/>
  <c r="A32" i="6"/>
  <c r="N32" i="6" s="1"/>
  <c r="AG31" i="6"/>
  <c r="AI31" i="6"/>
  <c r="AB31" i="6"/>
  <c r="AF31" i="6"/>
  <c r="J32" i="12"/>
  <c r="L32" i="12"/>
  <c r="E45" i="12"/>
  <c r="F45" i="6"/>
  <c r="C47" i="7"/>
  <c r="B46" i="7"/>
  <c r="B49" i="10"/>
  <c r="B51" i="9"/>
  <c r="K32" i="12" l="1"/>
  <c r="M32" i="6"/>
  <c r="AD32" i="6" s="1"/>
  <c r="A33" i="6"/>
  <c r="N33" i="6" s="1"/>
  <c r="L33" i="12"/>
  <c r="J33" i="12"/>
  <c r="B34" i="5"/>
  <c r="AE34" i="5"/>
  <c r="D34" i="5"/>
  <c r="B34" i="12" s="1"/>
  <c r="C35" i="5"/>
  <c r="J34" i="5"/>
  <c r="H34" i="5"/>
  <c r="E34" i="5"/>
  <c r="AD34" i="5"/>
  <c r="A34" i="12"/>
  <c r="B34" i="6"/>
  <c r="F34" i="5"/>
  <c r="G34" i="5"/>
  <c r="K34" i="5"/>
  <c r="N34" i="5"/>
  <c r="D34" i="6" s="1"/>
  <c r="H33" i="6"/>
  <c r="T33" i="5" s="1"/>
  <c r="B50" i="10"/>
  <c r="C48" i="7"/>
  <c r="B47" i="7"/>
  <c r="B52" i="9"/>
  <c r="M33" i="6" l="1"/>
  <c r="AK33" i="6" s="1"/>
  <c r="B35" i="6"/>
  <c r="G35" i="5"/>
  <c r="B35" i="5"/>
  <c r="H35" i="5"/>
  <c r="F35" i="5"/>
  <c r="AE35" i="5"/>
  <c r="AD35" i="5"/>
  <c r="E35" i="5"/>
  <c r="N35" i="5"/>
  <c r="D35" i="6" s="1"/>
  <c r="J35" i="5"/>
  <c r="C36" i="5"/>
  <c r="A35" i="12"/>
  <c r="K35" i="5"/>
  <c r="D35" i="5"/>
  <c r="B35" i="12" s="1"/>
  <c r="AG32" i="6"/>
  <c r="AC32" i="6"/>
  <c r="A34" i="6"/>
  <c r="N34" i="6" s="1"/>
  <c r="BE32" i="6"/>
  <c r="AT32" i="6"/>
  <c r="AZ32" i="6"/>
  <c r="AS32" i="6"/>
  <c r="AU32" i="6"/>
  <c r="AO32" i="6"/>
  <c r="AN32" i="6"/>
  <c r="AV32" i="6"/>
  <c r="AX32" i="6"/>
  <c r="BB32" i="6"/>
  <c r="BA32" i="6"/>
  <c r="AQ32" i="6"/>
  <c r="AP32" i="6"/>
  <c r="AI32" i="6"/>
  <c r="BG32" i="6"/>
  <c r="AM32" i="6"/>
  <c r="BF32" i="6"/>
  <c r="AF32" i="6"/>
  <c r="BC32" i="6"/>
  <c r="BD32" i="6"/>
  <c r="AR32" i="6"/>
  <c r="AJ32" i="6"/>
  <c r="AY32" i="6"/>
  <c r="AK32" i="6"/>
  <c r="H34" i="6"/>
  <c r="T34" i="5" s="1"/>
  <c r="L34" i="12"/>
  <c r="J34" i="12"/>
  <c r="K33" i="12"/>
  <c r="AH32" i="6"/>
  <c r="B53" i="9"/>
  <c r="C49" i="7"/>
  <c r="B48" i="7"/>
  <c r="B51" i="10"/>
  <c r="AG33" i="6" l="1"/>
  <c r="AP33" i="6"/>
  <c r="BG33" i="6"/>
  <c r="AF33" i="6"/>
  <c r="M34" i="6"/>
  <c r="BG34" i="6" s="1"/>
  <c r="AV33" i="6"/>
  <c r="AU33" i="6"/>
  <c r="BD33" i="6"/>
  <c r="AJ33" i="6"/>
  <c r="AH33" i="6"/>
  <c r="AX33" i="6"/>
  <c r="AR33" i="6"/>
  <c r="BE33" i="6"/>
  <c r="AI33" i="6"/>
  <c r="AM33" i="6"/>
  <c r="AO33" i="6"/>
  <c r="AN33" i="6"/>
  <c r="AC33" i="6"/>
  <c r="AZ33" i="6"/>
  <c r="BA33" i="6"/>
  <c r="BF33" i="6"/>
  <c r="BC33" i="6"/>
  <c r="AY33" i="6"/>
  <c r="AS33" i="6"/>
  <c r="BB33" i="6"/>
  <c r="AQ33" i="6"/>
  <c r="AT33" i="6"/>
  <c r="AD33" i="6"/>
  <c r="J35" i="12"/>
  <c r="L35" i="12"/>
  <c r="F36" i="5"/>
  <c r="G36" i="5"/>
  <c r="N36" i="5"/>
  <c r="D36" i="6" s="1"/>
  <c r="AD36" i="5"/>
  <c r="C37" i="5"/>
  <c r="H36" i="5"/>
  <c r="J36" i="5"/>
  <c r="B36" i="5"/>
  <c r="AE36" i="5"/>
  <c r="K36" i="5"/>
  <c r="E36" i="5"/>
  <c r="B36" i="6"/>
  <c r="A36" i="12"/>
  <c r="D36" i="5"/>
  <c r="B36" i="12" s="1"/>
  <c r="K34" i="12"/>
  <c r="H35" i="6"/>
  <c r="T35" i="5" s="1"/>
  <c r="A35" i="6"/>
  <c r="M35" i="6" s="1"/>
  <c r="AU35" i="6" s="1"/>
  <c r="B52" i="10"/>
  <c r="B49" i="7"/>
  <c r="C50" i="7"/>
  <c r="B54" i="9"/>
  <c r="AD34" i="6" l="1"/>
  <c r="AF34" i="6"/>
  <c r="AP34" i="6"/>
  <c r="AR34" i="6"/>
  <c r="AU34" i="6"/>
  <c r="AJ34" i="6"/>
  <c r="AO34" i="6"/>
  <c r="AT34" i="6"/>
  <c r="AH34" i="6"/>
  <c r="AC34" i="6"/>
  <c r="AM34" i="6"/>
  <c r="AZ34" i="6"/>
  <c r="AN34" i="6"/>
  <c r="BB34" i="6"/>
  <c r="BE34" i="6"/>
  <c r="AI34" i="6"/>
  <c r="AG34" i="6"/>
  <c r="AK34" i="6"/>
  <c r="AV34" i="6"/>
  <c r="AQ34" i="6"/>
  <c r="BA34" i="6"/>
  <c r="BF34" i="6"/>
  <c r="BD34" i="6"/>
  <c r="AX34" i="6"/>
  <c r="AS34" i="6"/>
  <c r="BC34" i="6"/>
  <c r="AY34" i="6"/>
  <c r="N35" i="6"/>
  <c r="K35" i="12"/>
  <c r="BA35" i="6"/>
  <c r="AR35" i="6"/>
  <c r="AS35" i="6"/>
  <c r="BD35" i="6"/>
  <c r="AV35" i="6"/>
  <c r="BF35" i="6"/>
  <c r="AF35" i="6"/>
  <c r="AI35" i="6"/>
  <c r="H36" i="6"/>
  <c r="T36" i="5" s="1"/>
  <c r="AJ35" i="6"/>
  <c r="BC35" i="6"/>
  <c r="AD35" i="6"/>
  <c r="BE35" i="6"/>
  <c r="AX35" i="6"/>
  <c r="BG35" i="6"/>
  <c r="AH35" i="6"/>
  <c r="AC35" i="6"/>
  <c r="AN35" i="6"/>
  <c r="AG35" i="6"/>
  <c r="AZ35" i="6"/>
  <c r="L36" i="12"/>
  <c r="J36" i="12"/>
  <c r="E37" i="5"/>
  <c r="N37" i="5"/>
  <c r="D37" i="6" s="1"/>
  <c r="AE37" i="5"/>
  <c r="F37" i="5"/>
  <c r="D37" i="5"/>
  <c r="B37" i="12" s="1"/>
  <c r="B37" i="6"/>
  <c r="J37" i="5"/>
  <c r="K37" i="5"/>
  <c r="H37" i="5"/>
  <c r="B37" i="5"/>
  <c r="A37" i="12"/>
  <c r="AD37" i="5"/>
  <c r="G37" i="5"/>
  <c r="C38" i="5"/>
  <c r="AO35" i="6"/>
  <c r="AQ35" i="6"/>
  <c r="AP35" i="6"/>
  <c r="AT35" i="6"/>
  <c r="AY35" i="6"/>
  <c r="AM35" i="6"/>
  <c r="BB35" i="6"/>
  <c r="AK35" i="6"/>
  <c r="A36" i="6"/>
  <c r="M36" i="6" s="1"/>
  <c r="AP36" i="6" s="1"/>
  <c r="E51" i="12"/>
  <c r="F51" i="6"/>
  <c r="B55" i="9"/>
  <c r="B53" i="10"/>
  <c r="B50" i="7"/>
  <c r="C51" i="7"/>
  <c r="K36" i="12" l="1"/>
  <c r="BE36" i="6"/>
  <c r="AR36" i="6"/>
  <c r="AV36" i="6"/>
  <c r="AM36" i="6"/>
  <c r="AN36" i="6"/>
  <c r="AK36" i="6"/>
  <c r="AH36" i="6"/>
  <c r="AF36" i="6"/>
  <c r="N36" i="6"/>
  <c r="AJ36" i="6"/>
  <c r="BD36" i="6"/>
  <c r="BB36" i="6"/>
  <c r="AZ36" i="6"/>
  <c r="AO36" i="6"/>
  <c r="L37" i="12"/>
  <c r="J37" i="12"/>
  <c r="AD36" i="6"/>
  <c r="AT36" i="6"/>
  <c r="BG36" i="6"/>
  <c r="AQ36" i="6"/>
  <c r="AX36" i="6"/>
  <c r="AI36" i="6"/>
  <c r="BF36" i="6"/>
  <c r="BC36" i="6"/>
  <c r="H38" i="5"/>
  <c r="G38" i="5"/>
  <c r="B38" i="5"/>
  <c r="D38" i="5"/>
  <c r="B38" i="12" s="1"/>
  <c r="N38" i="5"/>
  <c r="D38" i="6" s="1"/>
  <c r="AE38" i="5"/>
  <c r="B38" i="6"/>
  <c r="A38" i="12"/>
  <c r="E38" i="5"/>
  <c r="F38" i="5"/>
  <c r="AD38" i="5"/>
  <c r="K38" i="5"/>
  <c r="J38" i="5"/>
  <c r="C39" i="5"/>
  <c r="A37" i="6"/>
  <c r="N37" i="6" s="1"/>
  <c r="H37" i="6"/>
  <c r="T37" i="5" s="1"/>
  <c r="AU36" i="6"/>
  <c r="AY36" i="6"/>
  <c r="AS36" i="6"/>
  <c r="AC36" i="6"/>
  <c r="AG36" i="6"/>
  <c r="BA36" i="6"/>
  <c r="B54" i="10"/>
  <c r="B56" i="9"/>
  <c r="C52" i="7"/>
  <c r="B51" i="7"/>
  <c r="K37" i="12" l="1"/>
  <c r="L38" i="12"/>
  <c r="J38" i="12"/>
  <c r="D39" i="5"/>
  <c r="B39" i="12" s="1"/>
  <c r="N39" i="5"/>
  <c r="D39" i="6" s="1"/>
  <c r="H39" i="5"/>
  <c r="G39" i="5"/>
  <c r="AE39" i="5"/>
  <c r="K39" i="5"/>
  <c r="F39" i="5"/>
  <c r="A39" i="12"/>
  <c r="AD39" i="5"/>
  <c r="C40" i="5"/>
  <c r="B39" i="5"/>
  <c r="B39" i="6"/>
  <c r="J39" i="5"/>
  <c r="E39" i="5"/>
  <c r="M37" i="6"/>
  <c r="A38" i="6"/>
  <c r="M38" i="6" s="1"/>
  <c r="H38" i="6"/>
  <c r="T38" i="5" s="1"/>
  <c r="C53" i="7"/>
  <c r="B52" i="7"/>
  <c r="B57" i="9"/>
  <c r="B55" i="10"/>
  <c r="K38" i="12" l="1"/>
  <c r="AV38" i="6"/>
  <c r="BD38" i="6"/>
  <c r="AS38" i="6"/>
  <c r="BB38" i="6"/>
  <c r="AX38" i="6"/>
  <c r="BG38" i="6"/>
  <c r="BA38" i="6"/>
  <c r="AZ38" i="6"/>
  <c r="AY38" i="6"/>
  <c r="AP38" i="6"/>
  <c r="AT38" i="6"/>
  <c r="BE38" i="6"/>
  <c r="AO38" i="6"/>
  <c r="AQ38" i="6"/>
  <c r="AR38" i="6"/>
  <c r="BF38" i="6"/>
  <c r="AN38" i="6"/>
  <c r="BC38" i="6"/>
  <c r="AM38" i="6"/>
  <c r="AU38" i="6"/>
  <c r="AJ38" i="6"/>
  <c r="AF38" i="6"/>
  <c r="N38" i="6"/>
  <c r="A40" i="12"/>
  <c r="D40" i="5"/>
  <c r="B40" i="12" s="1"/>
  <c r="B40" i="6"/>
  <c r="E40" i="5"/>
  <c r="H40" i="5"/>
  <c r="C41" i="5"/>
  <c r="AD40" i="5"/>
  <c r="G40" i="5"/>
  <c r="N40" i="5"/>
  <c r="D40" i="6" s="1"/>
  <c r="J40" i="5"/>
  <c r="K40" i="5"/>
  <c r="AE40" i="5"/>
  <c r="B40" i="5"/>
  <c r="F40" i="5"/>
  <c r="H39" i="6"/>
  <c r="T39" i="5" s="1"/>
  <c r="AC38" i="6"/>
  <c r="AG38" i="6"/>
  <c r="AH38" i="6"/>
  <c r="AD38" i="6"/>
  <c r="AI38" i="6"/>
  <c r="A39" i="6"/>
  <c r="N39" i="6" s="1"/>
  <c r="J39" i="12"/>
  <c r="L39" i="12"/>
  <c r="AK38" i="6"/>
  <c r="AI37" i="6"/>
  <c r="AJ37" i="6"/>
  <c r="AP37" i="6"/>
  <c r="AG37" i="6"/>
  <c r="AK37" i="6"/>
  <c r="BF37" i="6"/>
  <c r="AQ37" i="6"/>
  <c r="AY37" i="6"/>
  <c r="BE37" i="6"/>
  <c r="BG37" i="6"/>
  <c r="AH37" i="6"/>
  <c r="AV37" i="6"/>
  <c r="AO37" i="6"/>
  <c r="AR37" i="6"/>
  <c r="AC37" i="6"/>
  <c r="AD37" i="6"/>
  <c r="BA37" i="6"/>
  <c r="AZ37" i="6"/>
  <c r="AU37" i="6"/>
  <c r="AF37" i="6"/>
  <c r="AS37" i="6"/>
  <c r="BC37" i="6"/>
  <c r="AN37" i="6"/>
  <c r="AM37" i="6"/>
  <c r="AT37" i="6"/>
  <c r="BD37" i="6"/>
  <c r="AX37" i="6"/>
  <c r="BB37" i="6"/>
  <c r="B56" i="10"/>
  <c r="B58" i="9"/>
  <c r="C54" i="7"/>
  <c r="B53" i="7"/>
  <c r="K39" i="12" l="1"/>
  <c r="G41" i="5"/>
  <c r="M39" i="6"/>
  <c r="AF39" i="6" s="1"/>
  <c r="H40" i="6"/>
  <c r="T40" i="5" s="1"/>
  <c r="L40" i="12"/>
  <c r="J40" i="12"/>
  <c r="A40" i="6"/>
  <c r="M40" i="6" s="1"/>
  <c r="H41" i="5"/>
  <c r="AD41" i="5"/>
  <c r="J41" i="5"/>
  <c r="B41" i="6"/>
  <c r="F41" i="5"/>
  <c r="D41" i="5"/>
  <c r="B41" i="12" s="1"/>
  <c r="A41" i="12"/>
  <c r="K41" i="5"/>
  <c r="E41" i="5"/>
  <c r="B41" i="5"/>
  <c r="C42" i="5" s="1"/>
  <c r="AE41" i="5"/>
  <c r="N41" i="5"/>
  <c r="D41" i="6" s="1"/>
  <c r="C55" i="7"/>
  <c r="B54" i="7"/>
  <c r="B59" i="9"/>
  <c r="B57" i="10"/>
  <c r="AC40" i="6" l="1"/>
  <c r="K40" i="12"/>
  <c r="AH39" i="6"/>
  <c r="B42" i="6"/>
  <c r="A42" i="6" s="1"/>
  <c r="E42" i="5"/>
  <c r="H42" i="5"/>
  <c r="F42" i="5"/>
  <c r="C43" i="5"/>
  <c r="AE42" i="5"/>
  <c r="B42" i="5"/>
  <c r="AD42" i="5"/>
  <c r="G42" i="5"/>
  <c r="N42" i="5"/>
  <c r="D42" i="6" s="1"/>
  <c r="W42" i="5"/>
  <c r="A42" i="12"/>
  <c r="AH40" i="6"/>
  <c r="BB40" i="6"/>
  <c r="AI40" i="6"/>
  <c r="AT40" i="6"/>
  <c r="AD40" i="6"/>
  <c r="BG40" i="6"/>
  <c r="AM40" i="6"/>
  <c r="AS40" i="6"/>
  <c r="H41" i="6"/>
  <c r="T41" i="5" s="1"/>
  <c r="A41" i="6"/>
  <c r="N41" i="6" s="1"/>
  <c r="AP40" i="6"/>
  <c r="BC40" i="6"/>
  <c r="AR40" i="6"/>
  <c r="AV40" i="6"/>
  <c r="AY40" i="6"/>
  <c r="AQ40" i="6"/>
  <c r="AO40" i="6"/>
  <c r="L41" i="12"/>
  <c r="J41" i="12"/>
  <c r="AX40" i="6"/>
  <c r="AJ40" i="6"/>
  <c r="BE40" i="6"/>
  <c r="AK40" i="6"/>
  <c r="BA40" i="6"/>
  <c r="BD40" i="6"/>
  <c r="AF40" i="6"/>
  <c r="AN40" i="6"/>
  <c r="BF40" i="6"/>
  <c r="AG40" i="6"/>
  <c r="AZ40" i="6"/>
  <c r="AU40" i="6"/>
  <c r="AR39" i="6"/>
  <c r="BA39" i="6"/>
  <c r="AV39" i="6"/>
  <c r="AN39" i="6"/>
  <c r="BG39" i="6"/>
  <c r="AZ39" i="6"/>
  <c r="BC39" i="6"/>
  <c r="AS39" i="6"/>
  <c r="BB39" i="6"/>
  <c r="AY39" i="6"/>
  <c r="AT39" i="6"/>
  <c r="AX39" i="6"/>
  <c r="AP39" i="6"/>
  <c r="AD39" i="6"/>
  <c r="AC39" i="6"/>
  <c r="AM39" i="6"/>
  <c r="BF39" i="6"/>
  <c r="BE39" i="6"/>
  <c r="AJ39" i="6"/>
  <c r="AU39" i="6"/>
  <c r="BD39" i="6"/>
  <c r="AI39" i="6"/>
  <c r="AK39" i="6"/>
  <c r="AO39" i="6"/>
  <c r="AQ39" i="6"/>
  <c r="AG39" i="6"/>
  <c r="B60" i="9"/>
  <c r="B58" i="10"/>
  <c r="C56" i="7"/>
  <c r="B55" i="7"/>
  <c r="K41" i="12" l="1"/>
  <c r="M41" i="6"/>
  <c r="AR41" i="6" s="1"/>
  <c r="BF42" i="6"/>
  <c r="AT42" i="6"/>
  <c r="AO42" i="6"/>
  <c r="BA42" i="6"/>
  <c r="AY42" i="6"/>
  <c r="AU42" i="6"/>
  <c r="N42" i="6"/>
  <c r="BE42" i="6"/>
  <c r="AX42" i="6"/>
  <c r="AQ42" i="6"/>
  <c r="M42" i="6"/>
  <c r="BG42" i="6"/>
  <c r="AV42" i="6"/>
  <c r="AP42" i="6"/>
  <c r="AM42" i="6"/>
  <c r="AS42" i="6"/>
  <c r="H42" i="6"/>
  <c r="T42" i="5" s="1"/>
  <c r="AR42" i="6"/>
  <c r="AZ42" i="6"/>
  <c r="G42" i="6"/>
  <c r="AN42" i="6"/>
  <c r="BC42" i="6"/>
  <c r="BD42" i="6"/>
  <c r="BB42" i="6"/>
  <c r="J43" i="5"/>
  <c r="AE43" i="5"/>
  <c r="N43" i="5"/>
  <c r="D43" i="6" s="1"/>
  <c r="E43" i="5"/>
  <c r="K43" i="5"/>
  <c r="AD43" i="5"/>
  <c r="G43" i="5"/>
  <c r="H43" i="5"/>
  <c r="D43" i="5"/>
  <c r="B43" i="12" s="1"/>
  <c r="A43" i="12"/>
  <c r="B43" i="5"/>
  <c r="F43" i="5"/>
  <c r="B43" i="6"/>
  <c r="C44" i="5"/>
  <c r="B56" i="7"/>
  <c r="C57" i="7"/>
  <c r="B59" i="10"/>
  <c r="B61" i="9"/>
  <c r="AG42" i="6" l="1"/>
  <c r="A43" i="6"/>
  <c r="N43" i="6" s="1"/>
  <c r="AH42" i="6"/>
  <c r="AH41" i="6"/>
  <c r="BC41" i="6"/>
  <c r="AV41" i="6"/>
  <c r="AK42" i="6"/>
  <c r="BA41" i="6"/>
  <c r="AY41" i="6"/>
  <c r="AC42" i="6"/>
  <c r="AB42" i="6"/>
  <c r="AF41" i="6"/>
  <c r="AC41" i="6"/>
  <c r="AI42" i="6"/>
  <c r="AJ42" i="6"/>
  <c r="AJ41" i="6"/>
  <c r="BF41" i="6"/>
  <c r="AM41" i="6"/>
  <c r="AX41" i="6"/>
  <c r="AN41" i="6"/>
  <c r="AK41" i="6"/>
  <c r="AQ41" i="6"/>
  <c r="AD41" i="6"/>
  <c r="AT41" i="6"/>
  <c r="AP41" i="6"/>
  <c r="BG41" i="6"/>
  <c r="AS41" i="6"/>
  <c r="AI41" i="6"/>
  <c r="AZ41" i="6"/>
  <c r="AU41" i="6"/>
  <c r="BE41" i="6"/>
  <c r="AG41" i="6"/>
  <c r="AO41" i="6"/>
  <c r="BD41" i="6"/>
  <c r="BB41" i="6"/>
  <c r="H43" i="6"/>
  <c r="T43" i="5" s="1"/>
  <c r="AF42" i="6"/>
  <c r="AD42" i="6"/>
  <c r="B44" i="6"/>
  <c r="AD44" i="5"/>
  <c r="A44" i="12"/>
  <c r="N44" i="5"/>
  <c r="D44" i="6" s="1"/>
  <c r="K44" i="5"/>
  <c r="G44" i="5"/>
  <c r="E44" i="5"/>
  <c r="D44" i="5"/>
  <c r="B44" i="12" s="1"/>
  <c r="F44" i="5"/>
  <c r="AE44" i="5"/>
  <c r="J44" i="5"/>
  <c r="B44" i="5"/>
  <c r="C45" i="5" s="1"/>
  <c r="H44" i="5"/>
  <c r="J43" i="12"/>
  <c r="L43" i="12"/>
  <c r="B62" i="9"/>
  <c r="B60" i="10"/>
  <c r="B57" i="7"/>
  <c r="C58" i="7"/>
  <c r="M43" i="6" l="1"/>
  <c r="AZ43" i="6" s="1"/>
  <c r="A44" i="6"/>
  <c r="N44" i="6" s="1"/>
  <c r="K43" i="12"/>
  <c r="AD45" i="5"/>
  <c r="G45" i="5"/>
  <c r="F45" i="5"/>
  <c r="C46" i="5"/>
  <c r="E45" i="5"/>
  <c r="N45" i="5"/>
  <c r="D45" i="6" s="1"/>
  <c r="W45" i="5"/>
  <c r="B45" i="5"/>
  <c r="B45" i="6"/>
  <c r="A45" i="6" s="1"/>
  <c r="AE45" i="5"/>
  <c r="A45" i="12"/>
  <c r="H45" i="5"/>
  <c r="H44" i="6"/>
  <c r="T44" i="5" s="1"/>
  <c r="J44" i="12"/>
  <c r="L44" i="12"/>
  <c r="C59" i="7"/>
  <c r="B58" i="7"/>
  <c r="B61" i="10"/>
  <c r="B63" i="9"/>
  <c r="AQ43" i="6" l="1"/>
  <c r="AK43" i="6"/>
  <c r="AJ43" i="6"/>
  <c r="AU43" i="6"/>
  <c r="BB43" i="6"/>
  <c r="AO43" i="6"/>
  <c r="AC43" i="6"/>
  <c r="AP43" i="6"/>
  <c r="AV43" i="6"/>
  <c r="BC43" i="6"/>
  <c r="M44" i="6"/>
  <c r="AJ44" i="6" s="1"/>
  <c r="BF43" i="6"/>
  <c r="AT43" i="6"/>
  <c r="AR43" i="6"/>
  <c r="AM43" i="6"/>
  <c r="BE43" i="6"/>
  <c r="AF43" i="6"/>
  <c r="AS43" i="6"/>
  <c r="BD43" i="6"/>
  <c r="AD43" i="6"/>
  <c r="BA43" i="6"/>
  <c r="AY43" i="6"/>
  <c r="AX43" i="6"/>
  <c r="AI43" i="6"/>
  <c r="AG43" i="6"/>
  <c r="AN43" i="6"/>
  <c r="AH43" i="6"/>
  <c r="BG43" i="6"/>
  <c r="K44" i="12"/>
  <c r="N46" i="5"/>
  <c r="D46" i="6" s="1"/>
  <c r="H46" i="5"/>
  <c r="D46" i="5"/>
  <c r="B46" i="12" s="1"/>
  <c r="A46" i="12"/>
  <c r="F46" i="5"/>
  <c r="AE46" i="5"/>
  <c r="B46" i="5"/>
  <c r="J46" i="5"/>
  <c r="E46" i="5"/>
  <c r="G46" i="5"/>
  <c r="K46" i="5"/>
  <c r="AD46" i="5"/>
  <c r="B46" i="6"/>
  <c r="C47" i="5"/>
  <c r="H45" i="6"/>
  <c r="T45" i="5" s="1"/>
  <c r="AS45" i="6"/>
  <c r="AX45" i="6"/>
  <c r="AR45" i="6"/>
  <c r="AQ45" i="6"/>
  <c r="AY45" i="6"/>
  <c r="AZ45" i="6"/>
  <c r="BC45" i="6"/>
  <c r="AT45" i="6"/>
  <c r="N45" i="6"/>
  <c r="AO45" i="6"/>
  <c r="AM45" i="6"/>
  <c r="AN45" i="6"/>
  <c r="M45" i="6"/>
  <c r="BE45" i="6"/>
  <c r="BB45" i="6"/>
  <c r="AU45" i="6"/>
  <c r="BF45" i="6"/>
  <c r="AV45" i="6"/>
  <c r="G45" i="6"/>
  <c r="BD45" i="6"/>
  <c r="BA45" i="6"/>
  <c r="BG45" i="6"/>
  <c r="AP45" i="6"/>
  <c r="C60" i="7"/>
  <c r="B59" i="7"/>
  <c r="B64" i="9"/>
  <c r="B62" i="10"/>
  <c r="A46" i="6" l="1"/>
  <c r="N46" i="6" s="1"/>
  <c r="BE44" i="6"/>
  <c r="AV44" i="6"/>
  <c r="AG44" i="6"/>
  <c r="BG44" i="6"/>
  <c r="AU44" i="6"/>
  <c r="AY44" i="6"/>
  <c r="AP44" i="6"/>
  <c r="BD44" i="6"/>
  <c r="AM44" i="6"/>
  <c r="BB44" i="6"/>
  <c r="AI44" i="6"/>
  <c r="BC44" i="6"/>
  <c r="AD44" i="6"/>
  <c r="AX44" i="6"/>
  <c r="BA44" i="6"/>
  <c r="AR44" i="6"/>
  <c r="AT44" i="6"/>
  <c r="AK44" i="6"/>
  <c r="AC45" i="6"/>
  <c r="AC44" i="6"/>
  <c r="AS44" i="6"/>
  <c r="AO44" i="6"/>
  <c r="AQ44" i="6"/>
  <c r="BF44" i="6"/>
  <c r="AN44" i="6"/>
  <c r="AF45" i="6"/>
  <c r="AF44" i="6"/>
  <c r="AH44" i="6"/>
  <c r="AZ44" i="6"/>
  <c r="AG45" i="6"/>
  <c r="H46" i="6"/>
  <c r="T46" i="5" s="1"/>
  <c r="AJ45" i="6"/>
  <c r="AH45" i="6"/>
  <c r="AI45" i="6"/>
  <c r="AB45" i="6"/>
  <c r="J46" i="12"/>
  <c r="L46" i="12"/>
  <c r="F47" i="5"/>
  <c r="E47" i="5"/>
  <c r="N47" i="5"/>
  <c r="D47" i="6" s="1"/>
  <c r="H47" i="5"/>
  <c r="AE47" i="5"/>
  <c r="B47" i="6"/>
  <c r="D47" i="5"/>
  <c r="B47" i="12" s="1"/>
  <c r="K47" i="5"/>
  <c r="C48" i="5"/>
  <c r="G47" i="5"/>
  <c r="AD47" i="5"/>
  <c r="B47" i="5"/>
  <c r="A47" i="12"/>
  <c r="J47" i="5"/>
  <c r="AD45" i="6"/>
  <c r="AK45" i="6"/>
  <c r="B63" i="10"/>
  <c r="C61" i="7"/>
  <c r="B60" i="7"/>
  <c r="M46" i="6" l="1"/>
  <c r="BD46" i="6" s="1"/>
  <c r="K46" i="12"/>
  <c r="H47" i="6"/>
  <c r="T47" i="5" s="1"/>
  <c r="A47" i="6"/>
  <c r="L47" i="12"/>
  <c r="J47" i="12"/>
  <c r="D48" i="5"/>
  <c r="B48" i="12" s="1"/>
  <c r="AD48" i="5"/>
  <c r="J48" i="5"/>
  <c r="F48" i="5"/>
  <c r="K48" i="5"/>
  <c r="G48" i="5"/>
  <c r="E48" i="5"/>
  <c r="B48" i="6"/>
  <c r="AE48" i="5"/>
  <c r="N48" i="5"/>
  <c r="D48" i="6" s="1"/>
  <c r="B48" i="5"/>
  <c r="H48" i="5"/>
  <c r="A48" i="12"/>
  <c r="C49" i="5"/>
  <c r="C62" i="7"/>
  <c r="B61" i="7"/>
  <c r="B64" i="10"/>
  <c r="AM46" i="6" l="1"/>
  <c r="AT46" i="6"/>
  <c r="AQ46" i="6"/>
  <c r="BA46" i="6"/>
  <c r="AH46" i="6"/>
  <c r="AN46" i="6"/>
  <c r="AF46" i="6"/>
  <c r="AC46" i="6"/>
  <c r="AD46" i="6"/>
  <c r="AO46" i="6"/>
  <c r="AS46" i="6"/>
  <c r="AY46" i="6"/>
  <c r="AI46" i="6"/>
  <c r="AX46" i="6"/>
  <c r="BB46" i="6"/>
  <c r="AU46" i="6"/>
  <c r="AR46" i="6"/>
  <c r="BF46" i="6"/>
  <c r="BC46" i="6"/>
  <c r="M47" i="6"/>
  <c r="AQ47" i="6" s="1"/>
  <c r="AK46" i="6"/>
  <c r="BG46" i="6"/>
  <c r="AZ46" i="6"/>
  <c r="BE46" i="6"/>
  <c r="AV46" i="6"/>
  <c r="AJ46" i="6"/>
  <c r="AP46" i="6"/>
  <c r="AG46" i="6"/>
  <c r="K47" i="12"/>
  <c r="H48" i="6"/>
  <c r="T48" i="5" s="1"/>
  <c r="L48" i="12"/>
  <c r="J48" i="12"/>
  <c r="A48" i="6"/>
  <c r="M48" i="6" s="1"/>
  <c r="BG48" i="6" s="1"/>
  <c r="G49" i="5"/>
  <c r="N49" i="5"/>
  <c r="D49" i="6" s="1"/>
  <c r="K49" i="5"/>
  <c r="J49" i="5"/>
  <c r="F49" i="5"/>
  <c r="H49" i="5"/>
  <c r="B49" i="5"/>
  <c r="B49" i="6"/>
  <c r="E49" i="5"/>
  <c r="C50" i="5"/>
  <c r="D49" i="5"/>
  <c r="B49" i="12" s="1"/>
  <c r="AE49" i="5"/>
  <c r="A49" i="12"/>
  <c r="AD49" i="5"/>
  <c r="N47" i="6"/>
  <c r="K31" i="5"/>
  <c r="K28" i="5"/>
  <c r="B62" i="7"/>
  <c r="C63" i="7"/>
  <c r="AF47" i="6" l="1"/>
  <c r="AZ47" i="6"/>
  <c r="AP47" i="6"/>
  <c r="AT47" i="6"/>
  <c r="BG47" i="6"/>
  <c r="AV47" i="6"/>
  <c r="AC47" i="6"/>
  <c r="AG47" i="6"/>
  <c r="AJ47" i="6"/>
  <c r="BF47" i="6"/>
  <c r="AI47" i="6"/>
  <c r="BD47" i="6"/>
  <c r="AH47" i="6"/>
  <c r="BA47" i="6"/>
  <c r="AR47" i="6"/>
  <c r="BC47" i="6"/>
  <c r="AD47" i="6"/>
  <c r="BB47" i="6"/>
  <c r="AO47" i="6"/>
  <c r="AM47" i="6"/>
  <c r="AN47" i="6"/>
  <c r="AX47" i="6"/>
  <c r="AK47" i="6"/>
  <c r="AU47" i="6"/>
  <c r="AY47" i="6"/>
  <c r="BE47" i="6"/>
  <c r="AS47" i="6"/>
  <c r="A49" i="6"/>
  <c r="N49" i="6" s="1"/>
  <c r="K48" i="12"/>
  <c r="J49" i="12"/>
  <c r="L49" i="12"/>
  <c r="AC48" i="6"/>
  <c r="AT48" i="6"/>
  <c r="BE48" i="6"/>
  <c r="AO48" i="6"/>
  <c r="AU48" i="6"/>
  <c r="AJ48" i="6"/>
  <c r="BA48" i="6"/>
  <c r="AX48" i="6"/>
  <c r="AI48" i="6"/>
  <c r="AZ48" i="6"/>
  <c r="BC48" i="6"/>
  <c r="AM48" i="6"/>
  <c r="AP48" i="6"/>
  <c r="AF48" i="6"/>
  <c r="AS48" i="6"/>
  <c r="BD48" i="6"/>
  <c r="AR48" i="6"/>
  <c r="AK48" i="6"/>
  <c r="AD48" i="6"/>
  <c r="AH48" i="6"/>
  <c r="AN48" i="6"/>
  <c r="A50" i="12"/>
  <c r="N50" i="5"/>
  <c r="D50" i="6" s="1"/>
  <c r="H50" i="5"/>
  <c r="K50" i="5"/>
  <c r="B50" i="6"/>
  <c r="B50" i="5"/>
  <c r="C51" i="5" s="1"/>
  <c r="F50" i="5"/>
  <c r="D50" i="5"/>
  <c r="B50" i="12" s="1"/>
  <c r="AE50" i="5"/>
  <c r="E50" i="5"/>
  <c r="J50" i="5"/>
  <c r="G50" i="5"/>
  <c r="AD50" i="5"/>
  <c r="H49" i="6"/>
  <c r="BB48" i="6"/>
  <c r="AQ48" i="6"/>
  <c r="AY48" i="6"/>
  <c r="BF48" i="6"/>
  <c r="AV48" i="6"/>
  <c r="N48" i="6"/>
  <c r="AG48" i="6"/>
  <c r="B63" i="7"/>
  <c r="C64" i="7"/>
  <c r="B64" i="7" s="1"/>
  <c r="M49" i="6" l="1"/>
  <c r="AR49" i="6" s="1"/>
  <c r="K49" i="12"/>
  <c r="A50" i="6"/>
  <c r="M50" i="6" s="1"/>
  <c r="BE50" i="6" s="1"/>
  <c r="L50" i="12"/>
  <c r="J50" i="12"/>
  <c r="T49" i="5"/>
  <c r="B51" i="6"/>
  <c r="A51" i="6" s="1"/>
  <c r="AE51" i="5"/>
  <c r="AD51" i="5"/>
  <c r="G51" i="5"/>
  <c r="A51" i="12"/>
  <c r="H51" i="5"/>
  <c r="W51" i="5"/>
  <c r="E51" i="5"/>
  <c r="C52" i="5"/>
  <c r="B51" i="5"/>
  <c r="N51" i="5"/>
  <c r="D51" i="6" s="1"/>
  <c r="F51" i="5"/>
  <c r="H50" i="6"/>
  <c r="T50" i="5" s="1"/>
  <c r="AE12" i="6"/>
  <c r="AE25" i="6" s="1"/>
  <c r="H14" i="6"/>
  <c r="AJ14" i="6" s="1"/>
  <c r="K11" i="10"/>
  <c r="AP12" i="6"/>
  <c r="J11" i="9"/>
  <c r="BA12" i="6"/>
  <c r="BD50" i="6" l="1"/>
  <c r="N50" i="6"/>
  <c r="AG49" i="6"/>
  <c r="AX50" i="6"/>
  <c r="BA49" i="6"/>
  <c r="BG50" i="6"/>
  <c r="AQ49" i="6"/>
  <c r="AD49" i="6"/>
  <c r="BB49" i="6"/>
  <c r="AX49" i="6"/>
  <c r="AZ49" i="6"/>
  <c r="BB50" i="6"/>
  <c r="AO50" i="6"/>
  <c r="AI49" i="6"/>
  <c r="BD49" i="6"/>
  <c r="BE49" i="6"/>
  <c r="AN50" i="6"/>
  <c r="AV50" i="6"/>
  <c r="AF49" i="6"/>
  <c r="AU49" i="6"/>
  <c r="AN49" i="6"/>
  <c r="BC49" i="6"/>
  <c r="AU50" i="6"/>
  <c r="BF50" i="6"/>
  <c r="AR50" i="6"/>
  <c r="AQ50" i="6"/>
  <c r="AH49" i="6"/>
  <c r="AC49" i="6"/>
  <c r="AS49" i="6"/>
  <c r="AV49" i="6"/>
  <c r="AP49" i="6"/>
  <c r="AO49" i="6"/>
  <c r="AY49" i="6"/>
  <c r="AP50" i="6"/>
  <c r="AS50" i="6"/>
  <c r="AM50" i="6"/>
  <c r="AK49" i="6"/>
  <c r="AJ49" i="6"/>
  <c r="AT49" i="6"/>
  <c r="BG49" i="6"/>
  <c r="BF49" i="6"/>
  <c r="AM49" i="6"/>
  <c r="AT50" i="6"/>
  <c r="AZ50" i="6"/>
  <c r="AY50" i="6"/>
  <c r="BA50" i="6"/>
  <c r="BC50" i="6"/>
  <c r="K50" i="12"/>
  <c r="AC50" i="6"/>
  <c r="AI50" i="6"/>
  <c r="AF50" i="6"/>
  <c r="AD50" i="6"/>
  <c r="AK50" i="6"/>
  <c r="AJ50" i="6"/>
  <c r="AH50" i="6"/>
  <c r="AG50" i="6"/>
  <c r="H51" i="6"/>
  <c r="T51" i="5" s="1"/>
  <c r="AP51" i="6"/>
  <c r="AM51" i="6"/>
  <c r="BE51" i="6"/>
  <c r="AU51" i="6"/>
  <c r="BA51" i="6"/>
  <c r="AT51" i="6"/>
  <c r="AQ51" i="6"/>
  <c r="AZ51" i="6"/>
  <c r="AX51" i="6"/>
  <c r="BF51" i="6"/>
  <c r="AS51" i="6"/>
  <c r="BC51" i="6"/>
  <c r="BG51" i="6"/>
  <c r="AR51" i="6"/>
  <c r="G51" i="6"/>
  <c r="BD51" i="6"/>
  <c r="AY51" i="6"/>
  <c r="N51" i="6"/>
  <c r="AO51" i="6"/>
  <c r="BB51" i="6"/>
  <c r="M51" i="6"/>
  <c r="AN51" i="6"/>
  <c r="AV51" i="6"/>
  <c r="AE17" i="6"/>
  <c r="AE18" i="6"/>
  <c r="AE19" i="6"/>
  <c r="AE20" i="6"/>
  <c r="AE21" i="6"/>
  <c r="AE22" i="6"/>
  <c r="AE23" i="6"/>
  <c r="AE24" i="6"/>
  <c r="G52" i="5"/>
  <c r="B52" i="5"/>
  <c r="E52" i="5"/>
  <c r="J52" i="5"/>
  <c r="C53" i="5"/>
  <c r="K52" i="5"/>
  <c r="B52" i="6"/>
  <c r="N52" i="5"/>
  <c r="D52" i="6" s="1"/>
  <c r="AD52" i="5"/>
  <c r="H52" i="5"/>
  <c r="D52" i="5"/>
  <c r="B52" i="12" s="1"/>
  <c r="A52" i="12"/>
  <c r="F52" i="5"/>
  <c r="AE52" i="5"/>
  <c r="AE38" i="6"/>
  <c r="AE41" i="6"/>
  <c r="AE37" i="6"/>
  <c r="AE50" i="6"/>
  <c r="AE36" i="6"/>
  <c r="AE47" i="6"/>
  <c r="AE48" i="6"/>
  <c r="AE49" i="6"/>
  <c r="AE42" i="6"/>
  <c r="AE43" i="6"/>
  <c r="AE44" i="6"/>
  <c r="AE45" i="6"/>
  <c r="AE46" i="6"/>
  <c r="AE28" i="6"/>
  <c r="AE29" i="6"/>
  <c r="AE30" i="6"/>
  <c r="AE31" i="6"/>
  <c r="AE32" i="6"/>
  <c r="AE33" i="6"/>
  <c r="AE34" i="6"/>
  <c r="AE35" i="6"/>
  <c r="AE39" i="6"/>
  <c r="AE40" i="6"/>
  <c r="AE26" i="6"/>
  <c r="AE27" i="6"/>
  <c r="AE16" i="6"/>
  <c r="AK14" i="6"/>
  <c r="T14" i="5"/>
  <c r="AB14" i="6"/>
  <c r="AE14" i="6"/>
  <c r="AD14" i="6"/>
  <c r="AH14" i="6"/>
  <c r="AC14" i="6"/>
  <c r="AG14" i="6"/>
  <c r="AI14" i="6"/>
  <c r="AF14" i="6"/>
  <c r="AB51" i="6" l="1"/>
  <c r="AE51" i="6"/>
  <c r="AG51" i="6"/>
  <c r="AK51" i="6"/>
  <c r="AH51" i="6"/>
  <c r="AC51" i="6"/>
  <c r="AJ51" i="6"/>
  <c r="AI51" i="6"/>
  <c r="AD51" i="6"/>
  <c r="AF51" i="6"/>
  <c r="A52" i="6"/>
  <c r="N52" i="6" s="1"/>
  <c r="G53" i="5"/>
  <c r="B53" i="5"/>
  <c r="A53" i="12"/>
  <c r="N53" i="5"/>
  <c r="D53" i="6" s="1"/>
  <c r="B53" i="6"/>
  <c r="AE53" i="5"/>
  <c r="F53" i="5"/>
  <c r="H53" i="5"/>
  <c r="K53" i="5"/>
  <c r="J53" i="5"/>
  <c r="C54" i="5"/>
  <c r="AD53" i="5"/>
  <c r="E53" i="5"/>
  <c r="D53" i="5"/>
  <c r="B53" i="12" s="1"/>
  <c r="J52" i="12"/>
  <c r="L52" i="12"/>
  <c r="H52" i="6"/>
  <c r="G14" i="12"/>
  <c r="X14" i="5"/>
  <c r="M52" i="6" l="1"/>
  <c r="AP52" i="6" s="1"/>
  <c r="K52" i="12"/>
  <c r="A53" i="6"/>
  <c r="N53" i="6" s="1"/>
  <c r="H53" i="6"/>
  <c r="K54" i="5"/>
  <c r="AD54" i="5"/>
  <c r="J54" i="5"/>
  <c r="B54" i="5"/>
  <c r="G54" i="5"/>
  <c r="H54" i="5"/>
  <c r="E54" i="5"/>
  <c r="AE54" i="5"/>
  <c r="C55" i="5"/>
  <c r="B54" i="6"/>
  <c r="N54" i="5"/>
  <c r="D54" i="6" s="1"/>
  <c r="F54" i="5"/>
  <c r="A54" i="12"/>
  <c r="D54" i="5"/>
  <c r="B54" i="12" s="1"/>
  <c r="J53" i="12"/>
  <c r="L53" i="12"/>
  <c r="T52" i="5"/>
  <c r="I14" i="12"/>
  <c r="L14" i="5"/>
  <c r="I14" i="5"/>
  <c r="Z14" i="5"/>
  <c r="AM14" i="5"/>
  <c r="AN52" i="6" l="1"/>
  <c r="AG52" i="6"/>
  <c r="BF52" i="6"/>
  <c r="AF52" i="6"/>
  <c r="AZ52" i="6"/>
  <c r="AK52" i="6"/>
  <c r="AU52" i="6"/>
  <c r="AH52" i="6"/>
  <c r="AE52" i="6"/>
  <c r="BC52" i="6"/>
  <c r="AS52" i="6"/>
  <c r="AV52" i="6"/>
  <c r="BD52" i="6"/>
  <c r="AI52" i="6"/>
  <c r="AC52" i="6"/>
  <c r="BA52" i="6"/>
  <c r="AM52" i="6"/>
  <c r="AQ52" i="6"/>
  <c r="AJ52" i="6"/>
  <c r="AD52" i="6"/>
  <c r="BE52" i="6"/>
  <c r="AT52" i="6"/>
  <c r="AR52" i="6"/>
  <c r="AO52" i="6"/>
  <c r="AY52" i="6"/>
  <c r="BG52" i="6"/>
  <c r="BB52" i="6"/>
  <c r="AX52" i="6"/>
  <c r="K53" i="12"/>
  <c r="M53" i="6"/>
  <c r="AV53" i="6" s="1"/>
  <c r="A54" i="6"/>
  <c r="N54" i="6" s="1"/>
  <c r="J54" i="12"/>
  <c r="L54" i="12"/>
  <c r="K55" i="5"/>
  <c r="N55" i="5"/>
  <c r="D55" i="6" s="1"/>
  <c r="H55" i="6" s="1"/>
  <c r="T55" i="5" s="1"/>
  <c r="AD55" i="5"/>
  <c r="G55" i="5"/>
  <c r="E55" i="5"/>
  <c r="H55" i="5"/>
  <c r="B55" i="6"/>
  <c r="J55" i="5"/>
  <c r="B55" i="5"/>
  <c r="D55" i="5"/>
  <c r="B55" i="12" s="1"/>
  <c r="C56" i="5"/>
  <c r="A55" i="12"/>
  <c r="F55" i="5"/>
  <c r="AE55" i="5"/>
  <c r="H54" i="6"/>
  <c r="T53" i="5"/>
  <c r="F58" i="6"/>
  <c r="E58" i="12"/>
  <c r="AA14" i="5"/>
  <c r="AB14" i="5"/>
  <c r="O14" i="5"/>
  <c r="C14" i="6"/>
  <c r="O14" i="12"/>
  <c r="M14" i="12"/>
  <c r="C14" i="12"/>
  <c r="AO14" i="12"/>
  <c r="AK53" i="6" l="1"/>
  <c r="AG53" i="6"/>
  <c r="AC53" i="6"/>
  <c r="K54" i="12"/>
  <c r="AD53" i="6"/>
  <c r="BD53" i="6"/>
  <c r="AE53" i="6"/>
  <c r="AF53" i="6"/>
  <c r="BF53" i="6"/>
  <c r="AR53" i="6"/>
  <c r="M54" i="6"/>
  <c r="AQ54" i="6" s="1"/>
  <c r="AX53" i="6"/>
  <c r="AH53" i="6"/>
  <c r="AJ53" i="6"/>
  <c r="AI53" i="6"/>
  <c r="BB53" i="6"/>
  <c r="AM53" i="6"/>
  <c r="AT53" i="6"/>
  <c r="AY53" i="6"/>
  <c r="AU53" i="6"/>
  <c r="AQ53" i="6"/>
  <c r="BC53" i="6"/>
  <c r="BG53" i="6"/>
  <c r="BE53" i="6"/>
  <c r="AS53" i="6"/>
  <c r="AN53" i="6"/>
  <c r="AO53" i="6"/>
  <c r="AZ53" i="6"/>
  <c r="AP53" i="6"/>
  <c r="A55" i="6"/>
  <c r="BA53" i="6"/>
  <c r="J55" i="12"/>
  <c r="L55" i="12"/>
  <c r="T54" i="5"/>
  <c r="AD56" i="5"/>
  <c r="A56" i="12"/>
  <c r="H56" i="5"/>
  <c r="E56" i="5"/>
  <c r="B56" i="5"/>
  <c r="AE56" i="5"/>
  <c r="G56" i="5"/>
  <c r="K56" i="5"/>
  <c r="F56" i="5"/>
  <c r="D56" i="5"/>
  <c r="B56" i="12" s="1"/>
  <c r="C57" i="5"/>
  <c r="N56" i="5"/>
  <c r="D56" i="6" s="1"/>
  <c r="B56" i="6"/>
  <c r="J56" i="5"/>
  <c r="N14" i="12"/>
  <c r="Y14" i="12"/>
  <c r="D14" i="12"/>
  <c r="E14" i="6"/>
  <c r="AJ54" i="6" l="1"/>
  <c r="AC54" i="6"/>
  <c r="AG54" i="6"/>
  <c r="AF54" i="6"/>
  <c r="AK54" i="6"/>
  <c r="AD54" i="6"/>
  <c r="AH54" i="6"/>
  <c r="AE54" i="6"/>
  <c r="BG54" i="6"/>
  <c r="AV54" i="6"/>
  <c r="BB54" i="6"/>
  <c r="AZ54" i="6"/>
  <c r="BD54" i="6"/>
  <c r="BE54" i="6"/>
  <c r="BC54" i="6"/>
  <c r="AP54" i="6"/>
  <c r="AI54" i="6"/>
  <c r="AS54" i="6"/>
  <c r="AX54" i="6"/>
  <c r="AN54" i="6"/>
  <c r="BF54" i="6"/>
  <c r="AO54" i="6"/>
  <c r="AR54" i="6"/>
  <c r="AM54" i="6"/>
  <c r="AU54" i="6"/>
  <c r="BA54" i="6"/>
  <c r="AY54" i="6"/>
  <c r="AT54" i="6"/>
  <c r="K55" i="12"/>
  <c r="A56" i="6"/>
  <c r="N56" i="6" s="1"/>
  <c r="N55" i="6"/>
  <c r="M55" i="6"/>
  <c r="H56" i="6"/>
  <c r="D57" i="5"/>
  <c r="B57" i="12" s="1"/>
  <c r="H57" i="5"/>
  <c r="B57" i="6"/>
  <c r="AD57" i="5"/>
  <c r="E57" i="5"/>
  <c r="K57" i="5"/>
  <c r="F57" i="5"/>
  <c r="G57" i="5"/>
  <c r="J57" i="5"/>
  <c r="A57" i="12"/>
  <c r="AE57" i="5"/>
  <c r="B57" i="5"/>
  <c r="C58" i="5" s="1"/>
  <c r="N57" i="5"/>
  <c r="D57" i="6" s="1"/>
  <c r="L56" i="12"/>
  <c r="J56" i="12"/>
  <c r="W14" i="12"/>
  <c r="X14" i="12"/>
  <c r="M56" i="6" l="1"/>
  <c r="AQ56" i="6" s="1"/>
  <c r="K56" i="12"/>
  <c r="AG55" i="6"/>
  <c r="AI55" i="6"/>
  <c r="BD55" i="6"/>
  <c r="BA55" i="6"/>
  <c r="AO55" i="6"/>
  <c r="BB55" i="6"/>
  <c r="AX55" i="6"/>
  <c r="AD55" i="6"/>
  <c r="AE55" i="6"/>
  <c r="AM55" i="6"/>
  <c r="AZ55" i="6"/>
  <c r="AV55" i="6"/>
  <c r="BG55" i="6"/>
  <c r="AT55" i="6"/>
  <c r="AK55" i="6"/>
  <c r="BE55" i="6"/>
  <c r="BC55" i="6"/>
  <c r="AY55" i="6"/>
  <c r="AU55" i="6"/>
  <c r="AR55" i="6"/>
  <c r="AC55" i="6"/>
  <c r="AJ55" i="6"/>
  <c r="AH55" i="6"/>
  <c r="AN55" i="6"/>
  <c r="AS55" i="6"/>
  <c r="BF55" i="6"/>
  <c r="AP55" i="6"/>
  <c r="AQ55" i="6"/>
  <c r="AF55" i="6"/>
  <c r="L57" i="12"/>
  <c r="J57" i="12"/>
  <c r="H57" i="6"/>
  <c r="T57" i="5" s="1"/>
  <c r="W58" i="5"/>
  <c r="AD58" i="5"/>
  <c r="E58" i="5"/>
  <c r="B58" i="6"/>
  <c r="A58" i="6" s="1"/>
  <c r="A58" i="12"/>
  <c r="B58" i="5"/>
  <c r="F58" i="5"/>
  <c r="C59" i="5"/>
  <c r="AE58" i="5"/>
  <c r="G58" i="5"/>
  <c r="N58" i="5"/>
  <c r="D58" i="6" s="1"/>
  <c r="H58" i="5"/>
  <c r="A57" i="6"/>
  <c r="M57" i="6" s="1"/>
  <c r="AO57" i="6" s="1"/>
  <c r="T56" i="5"/>
  <c r="K42" i="5"/>
  <c r="U14" i="12"/>
  <c r="V14" i="12"/>
  <c r="T14" i="12"/>
  <c r="AN56" i="6" l="1"/>
  <c r="AJ56" i="6"/>
  <c r="AK56" i="6"/>
  <c r="AU56" i="6"/>
  <c r="AC56" i="6"/>
  <c r="AZ56" i="6"/>
  <c r="BD56" i="6"/>
  <c r="AH56" i="6"/>
  <c r="AF56" i="6"/>
  <c r="BG56" i="6"/>
  <c r="BC56" i="6"/>
  <c r="BB56" i="6"/>
  <c r="AO56" i="6"/>
  <c r="AV56" i="6"/>
  <c r="AR56" i="6"/>
  <c r="AD56" i="6"/>
  <c r="AG56" i="6"/>
  <c r="AS56" i="6"/>
  <c r="BF56" i="6"/>
  <c r="AY56" i="6"/>
  <c r="AP56" i="6"/>
  <c r="BA56" i="6"/>
  <c r="AE56" i="6"/>
  <c r="AI56" i="6"/>
  <c r="BE56" i="6"/>
  <c r="AX56" i="6"/>
  <c r="AT56" i="6"/>
  <c r="AM56" i="6"/>
  <c r="AD59" i="5"/>
  <c r="A59" i="12"/>
  <c r="F59" i="5"/>
  <c r="AE59" i="5"/>
  <c r="E59" i="5"/>
  <c r="B59" i="6"/>
  <c r="H59" i="5"/>
  <c r="B59" i="5"/>
  <c r="C60" i="5" s="1"/>
  <c r="D59" i="5"/>
  <c r="B59" i="12" s="1"/>
  <c r="J59" i="5"/>
  <c r="N59" i="5"/>
  <c r="D59" i="6" s="1"/>
  <c r="K59" i="5"/>
  <c r="G59" i="5"/>
  <c r="BD57" i="6"/>
  <c r="AM57" i="6"/>
  <c r="AY57" i="6"/>
  <c r="AF57" i="6"/>
  <c r="AS57" i="6"/>
  <c r="AJ57" i="6"/>
  <c r="AT57" i="6"/>
  <c r="AV57" i="6"/>
  <c r="H58" i="6"/>
  <c r="T58" i="5" s="1"/>
  <c r="G58" i="6"/>
  <c r="N58" i="6"/>
  <c r="M58" i="6"/>
  <c r="BB58" i="6" s="1"/>
  <c r="AP58" i="6"/>
  <c r="BC58" i="6"/>
  <c r="BF58" i="6"/>
  <c r="AU58" i="6"/>
  <c r="AS58" i="6"/>
  <c r="AO58" i="6"/>
  <c r="AM58" i="6"/>
  <c r="AY58" i="6"/>
  <c r="AV58" i="6"/>
  <c r="AT58" i="6"/>
  <c r="BA58" i="6"/>
  <c r="BE58" i="6"/>
  <c r="AZ58" i="6"/>
  <c r="AX58" i="6"/>
  <c r="BD58" i="6"/>
  <c r="AN58" i="6"/>
  <c r="AR58" i="6"/>
  <c r="AQ58" i="6"/>
  <c r="BG58" i="6"/>
  <c r="N57" i="6"/>
  <c r="BB57" i="6"/>
  <c r="AE57" i="6"/>
  <c r="AZ57" i="6"/>
  <c r="BE57" i="6"/>
  <c r="AQ57" i="6"/>
  <c r="AG57" i="6"/>
  <c r="AD57" i="6"/>
  <c r="AP57" i="6"/>
  <c r="BA57" i="6"/>
  <c r="AC57" i="6"/>
  <c r="BG57" i="6"/>
  <c r="AU57" i="6"/>
  <c r="BC57" i="6"/>
  <c r="K57" i="12"/>
  <c r="AX57" i="6"/>
  <c r="AR57" i="6"/>
  <c r="AK57" i="6"/>
  <c r="AH57" i="6"/>
  <c r="AN57" i="6"/>
  <c r="AI57" i="6"/>
  <c r="BF57" i="6"/>
  <c r="AE3" i="6"/>
  <c r="T6" i="6" s="1"/>
  <c r="AD58" i="6" l="1"/>
  <c r="AI58" i="6"/>
  <c r="AC58" i="6"/>
  <c r="AG58" i="6"/>
  <c r="AF58" i="6"/>
  <c r="AJ58" i="6"/>
  <c r="AK58" i="6"/>
  <c r="H60" i="5"/>
  <c r="C61" i="5"/>
  <c r="AE60" i="5"/>
  <c r="B60" i="5"/>
  <c r="N60" i="5"/>
  <c r="D60" i="6" s="1"/>
  <c r="A60" i="12"/>
  <c r="F60" i="5"/>
  <c r="K58" i="5" s="1"/>
  <c r="G60" i="5"/>
  <c r="B60" i="6"/>
  <c r="A60" i="6" s="1"/>
  <c r="AD60" i="5"/>
  <c r="E60" i="5"/>
  <c r="H59" i="6"/>
  <c r="A59" i="6"/>
  <c r="N59" i="6" s="1"/>
  <c r="J59" i="12"/>
  <c r="L59" i="12"/>
  <c r="AE58" i="6"/>
  <c r="AB58" i="6"/>
  <c r="AH58" i="6"/>
  <c r="F66" i="6"/>
  <c r="K26" i="5"/>
  <c r="K59" i="12" l="1"/>
  <c r="T59" i="5"/>
  <c r="AD61" i="5"/>
  <c r="F61" i="5"/>
  <c r="AE61" i="5"/>
  <c r="G61" i="5"/>
  <c r="J61" i="5"/>
  <c r="B61" i="5"/>
  <c r="H61" i="5"/>
  <c r="K61" i="5"/>
  <c r="A61" i="12"/>
  <c r="D61" i="5"/>
  <c r="B61" i="12" s="1"/>
  <c r="C62" i="5"/>
  <c r="B61" i="6"/>
  <c r="N61" i="5"/>
  <c r="D61" i="6" s="1"/>
  <c r="E61" i="5"/>
  <c r="M59" i="6"/>
  <c r="AF59" i="6" s="1"/>
  <c r="BD60" i="6"/>
  <c r="BA60" i="6"/>
  <c r="AR60" i="6"/>
  <c r="AU60" i="6"/>
  <c r="AS60" i="6"/>
  <c r="AM60" i="6"/>
  <c r="AQ60" i="6"/>
  <c r="AN60" i="6"/>
  <c r="BC60" i="6"/>
  <c r="AO60" i="6"/>
  <c r="BG60" i="6"/>
  <c r="BB60" i="6"/>
  <c r="AV60" i="6"/>
  <c r="M60" i="6"/>
  <c r="AZ60" i="6" s="1"/>
  <c r="AP60" i="6"/>
  <c r="H60" i="6"/>
  <c r="T60" i="5" s="1"/>
  <c r="BE60" i="6"/>
  <c r="AT60" i="6"/>
  <c r="AY60" i="6"/>
  <c r="BF60" i="6"/>
  <c r="AX60" i="6"/>
  <c r="N60" i="6"/>
  <c r="E66" i="12"/>
  <c r="AC22" i="13"/>
  <c r="AH18" i="13"/>
  <c r="AD18" i="13"/>
  <c r="AH22" i="13"/>
  <c r="AC18" i="13"/>
  <c r="AG22" i="13"/>
  <c r="AE22" i="13"/>
  <c r="AF18" i="13"/>
  <c r="AD22" i="13"/>
  <c r="AG18" i="13"/>
  <c r="M12" i="6"/>
  <c r="AG16" i="13"/>
  <c r="AC15" i="13"/>
  <c r="AD23" i="13"/>
  <c r="AG21" i="13"/>
  <c r="AH23" i="13"/>
  <c r="AE12" i="13"/>
  <c r="AE21" i="13"/>
  <c r="AH12" i="13"/>
  <c r="AH16" i="13"/>
  <c r="AH21" i="13"/>
  <c r="AF21" i="13"/>
  <c r="AD15" i="13"/>
  <c r="AC16" i="13"/>
  <c r="AH15" i="13"/>
  <c r="AD17" i="13"/>
  <c r="AD16" i="13"/>
  <c r="AF16" i="13"/>
  <c r="AC21" i="13"/>
  <c r="AE15" i="13"/>
  <c r="AG15" i="13"/>
  <c r="AE17" i="13"/>
  <c r="AF17" i="13"/>
  <c r="AH19" i="13"/>
  <c r="AF12" i="13"/>
  <c r="AC17" i="13"/>
  <c r="AC20" i="13"/>
  <c r="AE20" i="13"/>
  <c r="AG19" i="13"/>
  <c r="AC12" i="13"/>
  <c r="AH17" i="13"/>
  <c r="AG20" i="13"/>
  <c r="AH20" i="13"/>
  <c r="AF19" i="13"/>
  <c r="AD19" i="13"/>
  <c r="AC23" i="13"/>
  <c r="AG12" i="13"/>
  <c r="AF20" i="13"/>
  <c r="AE19" i="13"/>
  <c r="AF23" i="13"/>
  <c r="AG23" i="13"/>
  <c r="AF60" i="6" l="1"/>
  <c r="AD60" i="6"/>
  <c r="AC60" i="6"/>
  <c r="AH60" i="6"/>
  <c r="AE60" i="6"/>
  <c r="AI59" i="6"/>
  <c r="AD59" i="6"/>
  <c r="AJ60" i="6"/>
  <c r="AK60" i="6"/>
  <c r="H61" i="6"/>
  <c r="T61" i="5" s="1"/>
  <c r="L61" i="12"/>
  <c r="J61" i="12"/>
  <c r="AC59" i="6"/>
  <c r="AK59" i="6"/>
  <c r="AI60" i="6"/>
  <c r="AG60" i="6"/>
  <c r="A61" i="6"/>
  <c r="M61" i="6" s="1"/>
  <c r="BE61" i="6" s="1"/>
  <c r="AJ59" i="6"/>
  <c r="AH59" i="6"/>
  <c r="BF59" i="6"/>
  <c r="AT59" i="6"/>
  <c r="AN59" i="6"/>
  <c r="AP59" i="6"/>
  <c r="BC59" i="6"/>
  <c r="AU59" i="6"/>
  <c r="AO59" i="6"/>
  <c r="BD59" i="6"/>
  <c r="AS59" i="6"/>
  <c r="AR59" i="6"/>
  <c r="AM59" i="6"/>
  <c r="AV59" i="6"/>
  <c r="BG59" i="6"/>
  <c r="AX59" i="6"/>
  <c r="AQ59" i="6"/>
  <c r="BB59" i="6"/>
  <c r="BA59" i="6"/>
  <c r="AY59" i="6"/>
  <c r="BE59" i="6"/>
  <c r="AZ59" i="6"/>
  <c r="C63" i="5"/>
  <c r="D62" i="5"/>
  <c r="B62" i="12" s="1"/>
  <c r="F62" i="5"/>
  <c r="H62" i="5"/>
  <c r="AE62" i="5"/>
  <c r="J62" i="5"/>
  <c r="N62" i="5"/>
  <c r="D62" i="6" s="1"/>
  <c r="B62" i="6"/>
  <c r="A62" i="12"/>
  <c r="E62" i="5"/>
  <c r="G62" i="5"/>
  <c r="B62" i="5"/>
  <c r="K62" i="5"/>
  <c r="AD62" i="5"/>
  <c r="AE59" i="6"/>
  <c r="AG59" i="6"/>
  <c r="AE14" i="13"/>
  <c r="AH14" i="13"/>
  <c r="A62" i="6" l="1"/>
  <c r="M62" i="6" s="1"/>
  <c r="AQ62" i="6" s="1"/>
  <c r="B63" i="5"/>
  <c r="E63" i="5"/>
  <c r="H63" i="5"/>
  <c r="AM61" i="6"/>
  <c r="AD61" i="6"/>
  <c r="AV61" i="6"/>
  <c r="AH61" i="6"/>
  <c r="BC61" i="6"/>
  <c r="BG61" i="6"/>
  <c r="AI61" i="6"/>
  <c r="L62" i="12"/>
  <c r="J62" i="12"/>
  <c r="D63" i="5"/>
  <c r="B63" i="12" s="1"/>
  <c r="J63" i="5"/>
  <c r="AE63" i="5"/>
  <c r="A63" i="12"/>
  <c r="C64" i="5"/>
  <c r="K63" i="5"/>
  <c r="N63" i="5"/>
  <c r="D63" i="6" s="1"/>
  <c r="B63" i="6"/>
  <c r="AD63" i="5"/>
  <c r="K61" i="12"/>
  <c r="AT61" i="6"/>
  <c r="AE61" i="6"/>
  <c r="BB61" i="6"/>
  <c r="AN61" i="6"/>
  <c r="AO61" i="6"/>
  <c r="BF61" i="6"/>
  <c r="AP61" i="6"/>
  <c r="AQ61" i="6"/>
  <c r="AU61" i="6"/>
  <c r="AG61" i="6"/>
  <c r="AX61" i="6"/>
  <c r="AC61" i="6"/>
  <c r="AY61" i="6"/>
  <c r="AS61" i="6"/>
  <c r="G63" i="5"/>
  <c r="H62" i="6"/>
  <c r="T62" i="5" s="1"/>
  <c r="F63" i="5"/>
  <c r="AR61" i="6"/>
  <c r="AF61" i="6"/>
  <c r="BA61" i="6"/>
  <c r="AZ61" i="6"/>
  <c r="BD61" i="6"/>
  <c r="AK61" i="6"/>
  <c r="AJ61" i="6"/>
  <c r="H63" i="6" l="1"/>
  <c r="T63" i="5" s="1"/>
  <c r="BE62" i="6"/>
  <c r="AI62" i="6"/>
  <c r="BF62" i="6"/>
  <c r="AX62" i="6"/>
  <c r="AN62" i="6"/>
  <c r="BC62" i="6"/>
  <c r="AJ62" i="6"/>
  <c r="AZ62" i="6"/>
  <c r="AE62" i="6"/>
  <c r="AR62" i="6"/>
  <c r="BA62" i="6"/>
  <c r="AC62" i="6"/>
  <c r="BG62" i="6"/>
  <c r="AY62" i="6"/>
  <c r="AH62" i="6"/>
  <c r="AU62" i="6"/>
  <c r="AV62" i="6"/>
  <c r="BD62" i="6"/>
  <c r="AS62" i="6"/>
  <c r="C65" i="5"/>
  <c r="J64" i="5"/>
  <c r="AD64" i="5"/>
  <c r="A64" i="12"/>
  <c r="E64" i="5"/>
  <c r="AE64" i="5"/>
  <c r="N64" i="5"/>
  <c r="D64" i="6" s="1"/>
  <c r="H64" i="5"/>
  <c r="B64" i="6"/>
  <c r="K64" i="5"/>
  <c r="G64" i="5"/>
  <c r="D64" i="5"/>
  <c r="B64" i="12" s="1"/>
  <c r="B64" i="5"/>
  <c r="F64" i="5"/>
  <c r="BB62" i="6"/>
  <c r="AP62" i="6"/>
  <c r="AT62" i="6"/>
  <c r="AO62" i="6"/>
  <c r="AF62" i="6"/>
  <c r="AM62" i="6"/>
  <c r="AG62" i="6"/>
  <c r="AK62" i="6"/>
  <c r="AD62" i="6"/>
  <c r="A63" i="6"/>
  <c r="M63" i="6" s="1"/>
  <c r="BB63" i="6" s="1"/>
  <c r="J63" i="12"/>
  <c r="L63" i="12"/>
  <c r="K62" i="12"/>
  <c r="K63" i="12" l="1"/>
  <c r="L64" i="12"/>
  <c r="J64" i="12"/>
  <c r="BA63" i="6"/>
  <c r="AD63" i="6"/>
  <c r="AX63" i="6"/>
  <c r="AO63" i="6"/>
  <c r="AK63" i="6"/>
  <c r="AC63" i="6"/>
  <c r="AY63" i="6"/>
  <c r="H64" i="6"/>
  <c r="T64" i="5" s="1"/>
  <c r="AQ63" i="6"/>
  <c r="AE63" i="6"/>
  <c r="AN63" i="6"/>
  <c r="AZ63" i="6"/>
  <c r="BG63" i="6"/>
  <c r="AI63" i="6"/>
  <c r="AP63" i="6"/>
  <c r="BC63" i="6"/>
  <c r="BD63" i="6"/>
  <c r="AG63" i="6"/>
  <c r="AM63" i="6"/>
  <c r="AU63" i="6"/>
  <c r="AR63" i="6"/>
  <c r="AV63" i="6"/>
  <c r="A64" i="6"/>
  <c r="M64" i="6" s="1"/>
  <c r="BD64" i="6" s="1"/>
  <c r="B65" i="6"/>
  <c r="A65" i="12"/>
  <c r="E65" i="5"/>
  <c r="AE65" i="5"/>
  <c r="AD65" i="5"/>
  <c r="K65" i="5"/>
  <c r="J65" i="5"/>
  <c r="H65" i="5"/>
  <c r="G65" i="5"/>
  <c r="F65" i="5"/>
  <c r="D65" i="5"/>
  <c r="B65" i="12" s="1"/>
  <c r="N65" i="5"/>
  <c r="D65" i="6" s="1"/>
  <c r="B65" i="5"/>
  <c r="C66" i="5" s="1"/>
  <c r="BE63" i="6"/>
  <c r="AF63" i="6"/>
  <c r="AH63" i="6"/>
  <c r="AT63" i="6"/>
  <c r="AJ63" i="6"/>
  <c r="BF63" i="6"/>
  <c r="AS63" i="6"/>
  <c r="K51" i="5"/>
  <c r="K45" i="5"/>
  <c r="K64" i="12" l="1"/>
  <c r="H65" i="6"/>
  <c r="AJ64" i="6"/>
  <c r="AN64" i="6"/>
  <c r="AF64" i="6"/>
  <c r="AZ64" i="6"/>
  <c r="BB64" i="6"/>
  <c r="AM64" i="6"/>
  <c r="AG64" i="6"/>
  <c r="J65" i="12"/>
  <c r="L65" i="12"/>
  <c r="AY64" i="6"/>
  <c r="BA64" i="6"/>
  <c r="BE64" i="6"/>
  <c r="AV64" i="6"/>
  <c r="AH64" i="6"/>
  <c r="AO64" i="6"/>
  <c r="AC64" i="6"/>
  <c r="AE66" i="5"/>
  <c r="H66" i="5"/>
  <c r="F66" i="5"/>
  <c r="N66" i="5"/>
  <c r="D66" i="6" s="1"/>
  <c r="B66" i="5"/>
  <c r="E66" i="5"/>
  <c r="B66" i="6"/>
  <c r="A66" i="6" s="1"/>
  <c r="AD66" i="5"/>
  <c r="W66" i="5"/>
  <c r="A66" i="12"/>
  <c r="G66" i="5"/>
  <c r="C67" i="5"/>
  <c r="A65" i="6"/>
  <c r="M65" i="6" s="1"/>
  <c r="AE64" i="6"/>
  <c r="BF64" i="6"/>
  <c r="AX64" i="6"/>
  <c r="AQ64" i="6"/>
  <c r="AK64" i="6"/>
  <c r="AD64" i="6"/>
  <c r="AT64" i="6"/>
  <c r="AR64" i="6"/>
  <c r="AP64" i="6"/>
  <c r="BG64" i="6"/>
  <c r="AS64" i="6"/>
  <c r="AU64" i="6"/>
  <c r="BC64" i="6"/>
  <c r="AI64" i="6"/>
  <c r="K65" i="12" l="1"/>
  <c r="AE65" i="6"/>
  <c r="AM65" i="6"/>
  <c r="BC65" i="6"/>
  <c r="AT65" i="6"/>
  <c r="AS65" i="6"/>
  <c r="AQ65" i="6"/>
  <c r="AY65" i="6"/>
  <c r="BD65" i="6"/>
  <c r="AP65" i="6"/>
  <c r="AU65" i="6"/>
  <c r="AR65" i="6"/>
  <c r="AN65" i="6"/>
  <c r="AG65" i="6"/>
  <c r="BF65" i="6"/>
  <c r="AV65" i="6"/>
  <c r="AH65" i="6"/>
  <c r="BA65" i="6"/>
  <c r="AZ65" i="6"/>
  <c r="AO65" i="6"/>
  <c r="BB65" i="6"/>
  <c r="BG65" i="6"/>
  <c r="AX65" i="6"/>
  <c r="BE65" i="6"/>
  <c r="AJ65" i="6"/>
  <c r="F67" i="5"/>
  <c r="K60" i="5"/>
  <c r="AI65" i="6"/>
  <c r="E67" i="5"/>
  <c r="B67" i="5"/>
  <c r="C68" i="5" s="1"/>
  <c r="AD67" i="5"/>
  <c r="N67" i="5"/>
  <c r="D67" i="6" s="1"/>
  <c r="H67" i="5"/>
  <c r="B67" i="6"/>
  <c r="J67" i="5"/>
  <c r="G67" i="5"/>
  <c r="A67" i="12"/>
  <c r="D67" i="5"/>
  <c r="B67" i="12" s="1"/>
  <c r="AE67" i="5"/>
  <c r="K67" i="5"/>
  <c r="G66" i="6"/>
  <c r="M66" i="6"/>
  <c r="AX66" i="6"/>
  <c r="AT66" i="6"/>
  <c r="AR66" i="6"/>
  <c r="BD66" i="6"/>
  <c r="BG66" i="6"/>
  <c r="AZ66" i="6"/>
  <c r="AQ66" i="6"/>
  <c r="AN66" i="6"/>
  <c r="AY66" i="6"/>
  <c r="AV66" i="6"/>
  <c r="AO66" i="6"/>
  <c r="AM66" i="6"/>
  <c r="BA66" i="6"/>
  <c r="H66" i="6"/>
  <c r="T66" i="5" s="1"/>
  <c r="BF66" i="6"/>
  <c r="BC66" i="6"/>
  <c r="BE66" i="6"/>
  <c r="AS66" i="6"/>
  <c r="AP66" i="6"/>
  <c r="BB66" i="6"/>
  <c r="AU66" i="6"/>
  <c r="T65" i="5"/>
  <c r="AF65" i="6"/>
  <c r="AK65" i="6"/>
  <c r="AC65" i="6"/>
  <c r="AD65" i="6"/>
  <c r="AJ66" i="6" l="1"/>
  <c r="AF66" i="6"/>
  <c r="AH66" i="6"/>
  <c r="AD66" i="6"/>
  <c r="AC66" i="6"/>
  <c r="AI66" i="6"/>
  <c r="AG66" i="6"/>
  <c r="A67" i="6"/>
  <c r="M67" i="6" s="1"/>
  <c r="AN67" i="6" s="1"/>
  <c r="AK66" i="6"/>
  <c r="AE66" i="6"/>
  <c r="H67" i="6"/>
  <c r="T67" i="5" s="1"/>
  <c r="AB66" i="6"/>
  <c r="A68" i="12"/>
  <c r="N68" i="5"/>
  <c r="D68" i="6" s="1"/>
  <c r="AE68" i="5"/>
  <c r="H68" i="5"/>
  <c r="E68" i="5"/>
  <c r="B68" i="5"/>
  <c r="C69" i="5"/>
  <c r="W68" i="5"/>
  <c r="B68" i="6"/>
  <c r="A68" i="6" s="1"/>
  <c r="AD68" i="5"/>
  <c r="G68" i="5"/>
  <c r="F68" i="5"/>
  <c r="K66" i="5" s="1"/>
  <c r="J67" i="12"/>
  <c r="L67" i="12"/>
  <c r="K67" i="12" l="1"/>
  <c r="AQ67" i="6"/>
  <c r="AY67" i="6"/>
  <c r="BB67" i="6"/>
  <c r="BC67" i="6"/>
  <c r="AG67" i="6"/>
  <c r="AP67" i="6"/>
  <c r="BE67" i="6"/>
  <c r="AK67" i="6"/>
  <c r="AD67" i="6"/>
  <c r="AI67" i="6"/>
  <c r="H69" i="5"/>
  <c r="A69" i="12"/>
  <c r="B69" i="6"/>
  <c r="N69" i="5"/>
  <c r="D69" i="6" s="1"/>
  <c r="AD69" i="5"/>
  <c r="K69" i="5"/>
  <c r="E69" i="5"/>
  <c r="B69" i="5"/>
  <c r="J69" i="5"/>
  <c r="D69" i="5"/>
  <c r="B69" i="12" s="1"/>
  <c r="C70" i="5"/>
  <c r="AE69" i="5"/>
  <c r="F69" i="5"/>
  <c r="G69" i="5"/>
  <c r="BB68" i="6"/>
  <c r="AP68" i="6"/>
  <c r="BE68" i="6"/>
  <c r="AO68" i="6"/>
  <c r="AM68" i="6"/>
  <c r="BD68" i="6"/>
  <c r="AZ68" i="6"/>
  <c r="AR68" i="6"/>
  <c r="AS68" i="6"/>
  <c r="AU68" i="6"/>
  <c r="AQ68" i="6"/>
  <c r="AY68" i="6"/>
  <c r="H68" i="6"/>
  <c r="T68" i="5" s="1"/>
  <c r="BA68" i="6"/>
  <c r="AN68" i="6"/>
  <c r="BF68" i="6"/>
  <c r="M68" i="6"/>
  <c r="BG68" i="6" s="1"/>
  <c r="AX68" i="6"/>
  <c r="AV68" i="6"/>
  <c r="AT68" i="6"/>
  <c r="G68" i="6"/>
  <c r="BC68" i="6"/>
  <c r="AO67" i="6"/>
  <c r="AS67" i="6"/>
  <c r="AH67" i="6"/>
  <c r="AV67" i="6"/>
  <c r="AU67" i="6"/>
  <c r="AM67" i="6"/>
  <c r="BA67" i="6"/>
  <c r="AR67" i="6"/>
  <c r="AT67" i="6"/>
  <c r="AZ67" i="6"/>
  <c r="BG67" i="6"/>
  <c r="BD67" i="6"/>
  <c r="AX67" i="6"/>
  <c r="AE67" i="6"/>
  <c r="AC67" i="6"/>
  <c r="BF67" i="6"/>
  <c r="AJ67" i="6"/>
  <c r="AF67" i="6"/>
  <c r="AI68" i="6" l="1"/>
  <c r="AK68" i="6"/>
  <c r="A69" i="6"/>
  <c r="M69" i="6" s="1"/>
  <c r="AY69" i="6" s="1"/>
  <c r="AC68" i="6"/>
  <c r="AB68" i="6"/>
  <c r="H69" i="6"/>
  <c r="T69" i="5" s="1"/>
  <c r="K70" i="5"/>
  <c r="H70" i="5"/>
  <c r="A70" i="12"/>
  <c r="B70" i="6"/>
  <c r="F70" i="5"/>
  <c r="B70" i="5"/>
  <c r="E70" i="5"/>
  <c r="AE70" i="5"/>
  <c r="J70" i="5"/>
  <c r="AD70" i="5"/>
  <c r="N70" i="5"/>
  <c r="D70" i="6" s="1"/>
  <c r="C71" i="5"/>
  <c r="D70" i="5"/>
  <c r="B70" i="12" s="1"/>
  <c r="G70" i="5"/>
  <c r="AH68" i="6"/>
  <c r="AG68" i="6"/>
  <c r="AD68" i="6"/>
  <c r="J69" i="12"/>
  <c r="L69" i="12"/>
  <c r="AF68" i="6"/>
  <c r="AE68" i="6"/>
  <c r="AJ68" i="6"/>
  <c r="K69" i="12" l="1"/>
  <c r="AT69" i="6"/>
  <c r="BA69" i="6"/>
  <c r="AH69" i="6"/>
  <c r="AF69" i="6"/>
  <c r="AC69" i="6"/>
  <c r="AQ69" i="6"/>
  <c r="AE69" i="6"/>
  <c r="F71" i="5"/>
  <c r="N71" i="5"/>
  <c r="D71" i="6" s="1"/>
  <c r="B71" i="5"/>
  <c r="C72" i="5"/>
  <c r="B71" i="6"/>
  <c r="D71" i="5"/>
  <c r="B71" i="12" s="1"/>
  <c r="AE71" i="5"/>
  <c r="AD71" i="5"/>
  <c r="E71" i="5"/>
  <c r="A71" i="12"/>
  <c r="H71" i="5"/>
  <c r="K71" i="5"/>
  <c r="J71" i="5"/>
  <c r="G71" i="5"/>
  <c r="A70" i="6"/>
  <c r="M70" i="6" s="1"/>
  <c r="AS70" i="6" s="1"/>
  <c r="AM69" i="6"/>
  <c r="BE69" i="6"/>
  <c r="AD69" i="6"/>
  <c r="AZ69" i="6"/>
  <c r="BB69" i="6"/>
  <c r="BG69" i="6"/>
  <c r="AI69" i="6"/>
  <c r="H70" i="6"/>
  <c r="T70" i="5" s="1"/>
  <c r="J70" i="12"/>
  <c r="L70" i="12"/>
  <c r="BC69" i="6"/>
  <c r="AS69" i="6"/>
  <c r="AK69" i="6"/>
  <c r="AG69" i="6"/>
  <c r="AR69" i="6"/>
  <c r="AN69" i="6"/>
  <c r="BF69" i="6"/>
  <c r="AU69" i="6"/>
  <c r="BD69" i="6"/>
  <c r="AO69" i="6"/>
  <c r="AP69" i="6"/>
  <c r="AV69" i="6"/>
  <c r="AX69" i="6"/>
  <c r="AJ69" i="6"/>
  <c r="E94" i="12"/>
  <c r="F94" i="6"/>
  <c r="AO70" i="6" l="1"/>
  <c r="K70" i="12"/>
  <c r="AX70" i="6"/>
  <c r="AP70" i="6"/>
  <c r="AI70" i="6"/>
  <c r="BC70" i="6"/>
  <c r="AE70" i="6"/>
  <c r="AN70" i="6"/>
  <c r="BD70" i="6"/>
  <c r="BA70" i="6"/>
  <c r="AQ70" i="6"/>
  <c r="A71" i="6"/>
  <c r="M71" i="6" s="1"/>
  <c r="AN71" i="6" s="1"/>
  <c r="AH70" i="6"/>
  <c r="AG70" i="6"/>
  <c r="AD70" i="6"/>
  <c r="AJ70" i="6"/>
  <c r="BG70" i="6"/>
  <c r="AF70" i="6"/>
  <c r="BE70" i="6"/>
  <c r="AM70" i="6"/>
  <c r="AT70" i="6"/>
  <c r="AY70" i="6"/>
  <c r="H72" i="5"/>
  <c r="B72" i="5"/>
  <c r="D72" i="5"/>
  <c r="B72" i="12" s="1"/>
  <c r="A72" i="12"/>
  <c r="N72" i="5"/>
  <c r="D72" i="6" s="1"/>
  <c r="K72" i="5"/>
  <c r="B72" i="6"/>
  <c r="AD72" i="5"/>
  <c r="C73" i="5"/>
  <c r="AE72" i="5"/>
  <c r="E72" i="5"/>
  <c r="F72" i="5"/>
  <c r="G72" i="5"/>
  <c r="J72" i="5"/>
  <c r="AC70" i="6"/>
  <c r="BF70" i="6"/>
  <c r="AZ70" i="6"/>
  <c r="BB70" i="6"/>
  <c r="AK70" i="6"/>
  <c r="AV70" i="6"/>
  <c r="AR70" i="6"/>
  <c r="AU70" i="6"/>
  <c r="J71" i="12"/>
  <c r="L71" i="12"/>
  <c r="H71" i="6"/>
  <c r="T71" i="5" s="1"/>
  <c r="K71" i="12" l="1"/>
  <c r="BF71" i="6"/>
  <c r="AI71" i="6"/>
  <c r="BG71" i="6"/>
  <c r="BC71" i="6"/>
  <c r="AX71" i="6"/>
  <c r="BE71" i="6"/>
  <c r="AQ71" i="6"/>
  <c r="BB71" i="6"/>
  <c r="AE71" i="6"/>
  <c r="AM71" i="6"/>
  <c r="AV71" i="6"/>
  <c r="AP71" i="6"/>
  <c r="AD71" i="6"/>
  <c r="AS71" i="6"/>
  <c r="AF71" i="6"/>
  <c r="AY71" i="6"/>
  <c r="AU71" i="6"/>
  <c r="AO71" i="6"/>
  <c r="BA71" i="6"/>
  <c r="AZ71" i="6"/>
  <c r="AG71" i="6"/>
  <c r="AT71" i="6"/>
  <c r="AH71" i="6"/>
  <c r="AJ71" i="6"/>
  <c r="AK71" i="6"/>
  <c r="BD71" i="6"/>
  <c r="AR71" i="6"/>
  <c r="J73" i="5"/>
  <c r="D73" i="5"/>
  <c r="B73" i="12" s="1"/>
  <c r="AD73" i="5"/>
  <c r="B73" i="5"/>
  <c r="G73" i="5"/>
  <c r="H73" i="5"/>
  <c r="A73" i="12"/>
  <c r="AE73" i="5"/>
  <c r="F73" i="5"/>
  <c r="B73" i="6"/>
  <c r="E73" i="5"/>
  <c r="K73" i="5"/>
  <c r="N73" i="5"/>
  <c r="D73" i="6" s="1"/>
  <c r="C74" i="5"/>
  <c r="H72" i="6"/>
  <c r="T72" i="5" s="1"/>
  <c r="J72" i="12"/>
  <c r="L72" i="12"/>
  <c r="AC71" i="6"/>
  <c r="A72" i="6"/>
  <c r="M72" i="6" s="1"/>
  <c r="BD72" i="6" s="1"/>
  <c r="E79" i="12"/>
  <c r="F79" i="6"/>
  <c r="K72" i="12" l="1"/>
  <c r="AR72" i="6"/>
  <c r="AD72" i="6"/>
  <c r="AX72" i="6"/>
  <c r="AH72" i="6"/>
  <c r="AJ72" i="6"/>
  <c r="BB72" i="6"/>
  <c r="BE72" i="6"/>
  <c r="AS72" i="6"/>
  <c r="AN72" i="6"/>
  <c r="AF72" i="6"/>
  <c r="AV72" i="6"/>
  <c r="AI72" i="6"/>
  <c r="AP72" i="6"/>
  <c r="BG72" i="6"/>
  <c r="BF72" i="6"/>
  <c r="L73" i="12"/>
  <c r="J73" i="12"/>
  <c r="AT72" i="6"/>
  <c r="AK72" i="6"/>
  <c r="AE72" i="6"/>
  <c r="AQ72" i="6"/>
  <c r="AG72" i="6"/>
  <c r="AC72" i="6"/>
  <c r="AM72" i="6"/>
  <c r="J74" i="5"/>
  <c r="B74" i="6"/>
  <c r="E74" i="5"/>
  <c r="AE74" i="5"/>
  <c r="AD74" i="5"/>
  <c r="G74" i="5"/>
  <c r="K74" i="5"/>
  <c r="D74" i="5"/>
  <c r="B74" i="12" s="1"/>
  <c r="F74" i="5"/>
  <c r="A74" i="12"/>
  <c r="H74" i="5"/>
  <c r="B74" i="5"/>
  <c r="N74" i="5"/>
  <c r="D74" i="6" s="1"/>
  <c r="A73" i="6"/>
  <c r="M73" i="6" s="1"/>
  <c r="AM73" i="6" s="1"/>
  <c r="AY72" i="6"/>
  <c r="AO72" i="6"/>
  <c r="AU72" i="6"/>
  <c r="BA72" i="6"/>
  <c r="AZ72" i="6"/>
  <c r="BC72" i="6"/>
  <c r="H73" i="6"/>
  <c r="T73" i="5" s="1"/>
  <c r="K73" i="12" l="1"/>
  <c r="BE73" i="6"/>
  <c r="AU73" i="6"/>
  <c r="BD73" i="6"/>
  <c r="BC73" i="6"/>
  <c r="AP73" i="6"/>
  <c r="AI73" i="6"/>
  <c r="AD73" i="6"/>
  <c r="AQ73" i="6"/>
  <c r="AR73" i="6"/>
  <c r="AK73" i="6"/>
  <c r="AZ73" i="6"/>
  <c r="BG73" i="6"/>
  <c r="AY73" i="6"/>
  <c r="L74" i="12"/>
  <c r="J74" i="12"/>
  <c r="A74" i="6"/>
  <c r="N74" i="6" s="1"/>
  <c r="AO73" i="6"/>
  <c r="BA73" i="6"/>
  <c r="AH73" i="6"/>
  <c r="H74" i="6"/>
  <c r="T74" i="5" s="1"/>
  <c r="C75" i="5"/>
  <c r="AS73" i="6"/>
  <c r="AN73" i="6"/>
  <c r="AJ73" i="6"/>
  <c r="AE73" i="6"/>
  <c r="BF73" i="6"/>
  <c r="AT73" i="6"/>
  <c r="AV73" i="6"/>
  <c r="AC73" i="6"/>
  <c r="AF73" i="6"/>
  <c r="AG73" i="6"/>
  <c r="AX73" i="6"/>
  <c r="BB73" i="6"/>
  <c r="K74" i="12" l="1"/>
  <c r="E75" i="5"/>
  <c r="G75" i="5"/>
  <c r="C76" i="5"/>
  <c r="F75" i="5"/>
  <c r="A75" i="12"/>
  <c r="H75" i="5"/>
  <c r="AE75" i="5"/>
  <c r="B75" i="5"/>
  <c r="B75" i="6"/>
  <c r="A75" i="6" s="1"/>
  <c r="AD75" i="5"/>
  <c r="N75" i="5"/>
  <c r="D75" i="6" s="1"/>
  <c r="W75" i="5"/>
  <c r="M74" i="6"/>
  <c r="AF74" i="6" l="1"/>
  <c r="AR74" i="6"/>
  <c r="AM74" i="6"/>
  <c r="AV74" i="6"/>
  <c r="AU74" i="6"/>
  <c r="BB74" i="6"/>
  <c r="BA74" i="6"/>
  <c r="BD74" i="6"/>
  <c r="BG74" i="6"/>
  <c r="AE74" i="6"/>
  <c r="AO74" i="6"/>
  <c r="AK74" i="6"/>
  <c r="AG74" i="6"/>
  <c r="AT74" i="6"/>
  <c r="AX74" i="6"/>
  <c r="BC74" i="6"/>
  <c r="AQ74" i="6"/>
  <c r="BE74" i="6"/>
  <c r="AI74" i="6"/>
  <c r="AZ74" i="6"/>
  <c r="AD74" i="6"/>
  <c r="AY74" i="6"/>
  <c r="BF74" i="6"/>
  <c r="AS74" i="6"/>
  <c r="AN74" i="6"/>
  <c r="AP74" i="6"/>
  <c r="AC74" i="6"/>
  <c r="AH74" i="6"/>
  <c r="AJ74" i="6"/>
  <c r="BG75" i="6"/>
  <c r="AN75" i="6"/>
  <c r="H75" i="6"/>
  <c r="G75" i="6"/>
  <c r="AS75" i="6"/>
  <c r="AP75" i="6"/>
  <c r="AT75" i="6"/>
  <c r="AO75" i="6"/>
  <c r="AM75" i="6"/>
  <c r="BC75" i="6"/>
  <c r="AQ75" i="6"/>
  <c r="AY75" i="6"/>
  <c r="M75" i="6"/>
  <c r="AU75" i="6" s="1"/>
  <c r="AV75" i="6"/>
  <c r="AZ75" i="6"/>
  <c r="BA75" i="6"/>
  <c r="AX75" i="6"/>
  <c r="BE75" i="6"/>
  <c r="BF75" i="6"/>
  <c r="BD75" i="6"/>
  <c r="BB75" i="6"/>
  <c r="AR75" i="6"/>
  <c r="F76" i="5"/>
  <c r="B76" i="6"/>
  <c r="AE76" i="5"/>
  <c r="C77" i="5"/>
  <c r="AD76" i="5"/>
  <c r="J76" i="5"/>
  <c r="D76" i="5"/>
  <c r="B76" i="12" s="1"/>
  <c r="B76" i="5"/>
  <c r="K76" i="5"/>
  <c r="G76" i="5"/>
  <c r="A76" i="12"/>
  <c r="N76" i="5"/>
  <c r="D76" i="6" s="1"/>
  <c r="H76" i="6" s="1"/>
  <c r="T76" i="5" s="1"/>
  <c r="H76" i="5"/>
  <c r="E76" i="5"/>
  <c r="A76" i="6" l="1"/>
  <c r="M76" i="6" s="1"/>
  <c r="AN76" i="6" s="1"/>
  <c r="T75" i="5"/>
  <c r="AB75" i="6"/>
  <c r="AI75" i="6"/>
  <c r="AF75" i="6"/>
  <c r="AG75" i="6"/>
  <c r="AC75" i="6"/>
  <c r="AJ75" i="6"/>
  <c r="AK75" i="6"/>
  <c r="AD75" i="6"/>
  <c r="C78" i="5"/>
  <c r="D77" i="5"/>
  <c r="B77" i="12" s="1"/>
  <c r="H77" i="5"/>
  <c r="F77" i="5"/>
  <c r="N77" i="5"/>
  <c r="D77" i="6" s="1"/>
  <c r="H77" i="6" s="1"/>
  <c r="T77" i="5" s="1"/>
  <c r="B77" i="5"/>
  <c r="E77" i="5"/>
  <c r="B77" i="6"/>
  <c r="K77" i="5"/>
  <c r="G77" i="5"/>
  <c r="AE77" i="5"/>
  <c r="AD77" i="5"/>
  <c r="J77" i="5"/>
  <c r="A77" i="12"/>
  <c r="L76" i="12"/>
  <c r="J76" i="12"/>
  <c r="AE75" i="6"/>
  <c r="AH75" i="6"/>
  <c r="AZ76" i="6" l="1"/>
  <c r="BF76" i="6"/>
  <c r="AK76" i="6"/>
  <c r="AO76" i="6"/>
  <c r="AD76" i="6"/>
  <c r="AV76" i="6"/>
  <c r="BA76" i="6"/>
  <c r="AP76" i="6"/>
  <c r="AJ76" i="6"/>
  <c r="AX76" i="6"/>
  <c r="AT76" i="6"/>
  <c r="AI76" i="6"/>
  <c r="AY76" i="6"/>
  <c r="BB76" i="6"/>
  <c r="AF76" i="6"/>
  <c r="AE76" i="6"/>
  <c r="AM76" i="6"/>
  <c r="AG76" i="6"/>
  <c r="AR76" i="6"/>
  <c r="BG76" i="6"/>
  <c r="AS76" i="6"/>
  <c r="BD76" i="6"/>
  <c r="AU76" i="6"/>
  <c r="BC76" i="6"/>
  <c r="AQ76" i="6"/>
  <c r="AC76" i="6"/>
  <c r="AH76" i="6"/>
  <c r="BE76" i="6"/>
  <c r="K76" i="12"/>
  <c r="A77" i="6"/>
  <c r="M77" i="6" s="1"/>
  <c r="L77" i="12"/>
  <c r="J77" i="12"/>
  <c r="AD78" i="5"/>
  <c r="N78" i="5"/>
  <c r="D78" i="6" s="1"/>
  <c r="H78" i="6" s="1"/>
  <c r="T78" i="5" s="1"/>
  <c r="D78" i="5"/>
  <c r="B78" i="12" s="1"/>
  <c r="B78" i="5"/>
  <c r="C79" i="5" s="1"/>
  <c r="E78" i="5"/>
  <c r="AE78" i="5"/>
  <c r="A78" i="12"/>
  <c r="F78" i="5"/>
  <c r="K78" i="5"/>
  <c r="B78" i="6"/>
  <c r="G78" i="5"/>
  <c r="J78" i="5"/>
  <c r="H78" i="5"/>
  <c r="A78" i="6" l="1"/>
  <c r="M78" i="6" s="1"/>
  <c r="BD78" i="6" s="1"/>
  <c r="K77" i="12"/>
  <c r="J78" i="12"/>
  <c r="L78" i="12"/>
  <c r="BC77" i="6"/>
  <c r="AY77" i="6"/>
  <c r="BG77" i="6"/>
  <c r="AX77" i="6"/>
  <c r="AT77" i="6"/>
  <c r="AI77" i="6"/>
  <c r="AP77" i="6"/>
  <c r="AC77" i="6"/>
  <c r="BD77" i="6"/>
  <c r="AG77" i="6"/>
  <c r="AQ77" i="6"/>
  <c r="BB77" i="6"/>
  <c r="AM77" i="6"/>
  <c r="BF77" i="6"/>
  <c r="BE77" i="6"/>
  <c r="AE77" i="6"/>
  <c r="AJ77" i="6"/>
  <c r="BA77" i="6"/>
  <c r="AO77" i="6"/>
  <c r="AR77" i="6"/>
  <c r="AD77" i="6"/>
  <c r="AS77" i="6"/>
  <c r="AN77" i="6"/>
  <c r="AH77" i="6"/>
  <c r="AV77" i="6"/>
  <c r="AU77" i="6"/>
  <c r="AZ77" i="6"/>
  <c r="AF77" i="6"/>
  <c r="AK77" i="6"/>
  <c r="A79" i="12"/>
  <c r="F79" i="5"/>
  <c r="N79" i="5"/>
  <c r="D79" i="6" s="1"/>
  <c r="M79" i="6" s="1"/>
  <c r="B79" i="6"/>
  <c r="A79" i="6" s="1"/>
  <c r="AE79" i="5"/>
  <c r="C80" i="5"/>
  <c r="H79" i="5"/>
  <c r="G79" i="5"/>
  <c r="W79" i="5"/>
  <c r="B79" i="5"/>
  <c r="AD79" i="5"/>
  <c r="E79" i="5"/>
  <c r="AO78" i="6" l="1"/>
  <c r="AF78" i="6"/>
  <c r="AC78" i="6"/>
  <c r="AG78" i="6"/>
  <c r="AY78" i="6"/>
  <c r="AJ78" i="6"/>
  <c r="BG78" i="6"/>
  <c r="BA78" i="6"/>
  <c r="K78" i="12"/>
  <c r="AE78" i="6"/>
  <c r="BC78" i="6"/>
  <c r="AK78" i="6"/>
  <c r="AP78" i="6"/>
  <c r="AM78" i="6"/>
  <c r="AH78" i="6"/>
  <c r="BE78" i="6"/>
  <c r="AS78" i="6"/>
  <c r="AT78" i="6"/>
  <c r="AR78" i="6"/>
  <c r="AQ78" i="6"/>
  <c r="AN78" i="6"/>
  <c r="AI78" i="6"/>
  <c r="AX78" i="6"/>
  <c r="AD78" i="6"/>
  <c r="BB78" i="6"/>
  <c r="AU78" i="6"/>
  <c r="AV78" i="6"/>
  <c r="BF78" i="6"/>
  <c r="AZ78" i="6"/>
  <c r="C81" i="5"/>
  <c r="B80" i="5"/>
  <c r="F80" i="5"/>
  <c r="G80" i="5"/>
  <c r="AD80" i="5"/>
  <c r="N80" i="5"/>
  <c r="D80" i="6" s="1"/>
  <c r="H80" i="6" s="1"/>
  <c r="T80" i="5" s="1"/>
  <c r="J80" i="5"/>
  <c r="N79" i="6"/>
  <c r="AU79" i="6"/>
  <c r="A80" i="12"/>
  <c r="J80" i="12" s="1"/>
  <c r="D80" i="5"/>
  <c r="B80" i="12" s="1"/>
  <c r="B80" i="6"/>
  <c r="AE80" i="5"/>
  <c r="H80" i="5"/>
  <c r="K80" i="5"/>
  <c r="AV79" i="6"/>
  <c r="E80" i="5"/>
  <c r="BG79" i="6"/>
  <c r="BE79" i="6"/>
  <c r="AN79" i="6"/>
  <c r="AZ79" i="6"/>
  <c r="AT79" i="6"/>
  <c r="BD79" i="6"/>
  <c r="BC79" i="6"/>
  <c r="AQ79" i="6"/>
  <c r="AR79" i="6"/>
  <c r="BF79" i="6"/>
  <c r="BB79" i="6"/>
  <c r="AY79" i="6"/>
  <c r="G79" i="6"/>
  <c r="AP79" i="6"/>
  <c r="H79" i="6"/>
  <c r="T79" i="5" s="1"/>
  <c r="AM79" i="6"/>
  <c r="AO79" i="6"/>
  <c r="AS79" i="6"/>
  <c r="BA79" i="6"/>
  <c r="AX79" i="6"/>
  <c r="B81" i="6" l="1"/>
  <c r="E81" i="5"/>
  <c r="D81" i="5"/>
  <c r="B81" i="12" s="1"/>
  <c r="H81" i="5"/>
  <c r="J81" i="5"/>
  <c r="K81" i="5"/>
  <c r="A81" i="12"/>
  <c r="J81" i="12" s="1"/>
  <c r="AE81" i="5"/>
  <c r="AD81" i="5"/>
  <c r="C82" i="5"/>
  <c r="N81" i="5"/>
  <c r="D81" i="6" s="1"/>
  <c r="H81" i="6" s="1"/>
  <c r="T81" i="5" s="1"/>
  <c r="G81" i="5"/>
  <c r="B81" i="5"/>
  <c r="F81" i="5"/>
  <c r="A80" i="6"/>
  <c r="M80" i="6" s="1"/>
  <c r="BD80" i="6" s="1"/>
  <c r="AG79" i="6"/>
  <c r="L80" i="12"/>
  <c r="K80" i="12" s="1"/>
  <c r="AD79" i="6"/>
  <c r="AJ79" i="6"/>
  <c r="AB79" i="6"/>
  <c r="AC79" i="6"/>
  <c r="AI79" i="6"/>
  <c r="AE79" i="6"/>
  <c r="AH79" i="6"/>
  <c r="AF79" i="6"/>
  <c r="AK79" i="6"/>
  <c r="L81" i="12" l="1"/>
  <c r="K81" i="12" s="1"/>
  <c r="C83" i="5"/>
  <c r="AD83" i="5" s="1"/>
  <c r="E82" i="5"/>
  <c r="B82" i="6"/>
  <c r="J82" i="5"/>
  <c r="N82" i="5"/>
  <c r="D82" i="6" s="1"/>
  <c r="H82" i="6" s="1"/>
  <c r="T82" i="5" s="1"/>
  <c r="B82" i="5"/>
  <c r="H82" i="5"/>
  <c r="F82" i="5"/>
  <c r="AE82" i="5"/>
  <c r="K82" i="5"/>
  <c r="AD82" i="5"/>
  <c r="A82" i="12"/>
  <c r="J82" i="12" s="1"/>
  <c r="G82" i="5"/>
  <c r="D82" i="5"/>
  <c r="B82" i="12" s="1"/>
  <c r="N80" i="6"/>
  <c r="AC80" i="6"/>
  <c r="AD80" i="6"/>
  <c r="AO80" i="6"/>
  <c r="BB80" i="6"/>
  <c r="AF80" i="6"/>
  <c r="AS80" i="6"/>
  <c r="AG80" i="6"/>
  <c r="BC80" i="6"/>
  <c r="A81" i="6"/>
  <c r="M81" i="6" s="1"/>
  <c r="AM81" i="6" s="1"/>
  <c r="AJ80" i="6"/>
  <c r="AK80" i="6"/>
  <c r="BA80" i="6"/>
  <c r="AN80" i="6"/>
  <c r="AU80" i="6"/>
  <c r="BF80" i="6"/>
  <c r="BE80" i="6"/>
  <c r="AQ80" i="6"/>
  <c r="AE80" i="6"/>
  <c r="AH80" i="6"/>
  <c r="AI80" i="6"/>
  <c r="AR80" i="6"/>
  <c r="AX80" i="6"/>
  <c r="AV80" i="6"/>
  <c r="AM80" i="6"/>
  <c r="AP80" i="6"/>
  <c r="AZ80" i="6"/>
  <c r="BG80" i="6"/>
  <c r="AT80" i="6"/>
  <c r="AY80" i="6"/>
  <c r="AD14" i="13"/>
  <c r="AG14" i="13"/>
  <c r="G83" i="5" l="1"/>
  <c r="A83" i="12"/>
  <c r="J83" i="12" s="1"/>
  <c r="N83" i="5"/>
  <c r="D83" i="6" s="1"/>
  <c r="H83" i="6" s="1"/>
  <c r="T83" i="5" s="1"/>
  <c r="C84" i="5"/>
  <c r="K83" i="5"/>
  <c r="B83" i="6"/>
  <c r="J83" i="5"/>
  <c r="H83" i="5"/>
  <c r="D83" i="5"/>
  <c r="B83" i="12" s="1"/>
  <c r="AE83" i="5"/>
  <c r="F83" i="5"/>
  <c r="B83" i="5"/>
  <c r="E83" i="5"/>
  <c r="L82" i="12"/>
  <c r="K82" i="12" s="1"/>
  <c r="A82" i="6"/>
  <c r="M82" i="6" s="1"/>
  <c r="AM82" i="6" s="1"/>
  <c r="AG81" i="6"/>
  <c r="AX81" i="6"/>
  <c r="N81" i="6"/>
  <c r="AC81" i="6"/>
  <c r="AP81" i="6"/>
  <c r="AE81" i="6"/>
  <c r="BB81" i="6"/>
  <c r="AH81" i="6"/>
  <c r="BF81" i="6"/>
  <c r="AR81" i="6"/>
  <c r="AV81" i="6"/>
  <c r="BC81" i="6"/>
  <c r="AQ81" i="6"/>
  <c r="AZ81" i="6"/>
  <c r="BG81" i="6"/>
  <c r="AN81" i="6"/>
  <c r="AY81" i="6"/>
  <c r="AJ81" i="6"/>
  <c r="AF81" i="6"/>
  <c r="BA81" i="6"/>
  <c r="AK81" i="6"/>
  <c r="BD81" i="6"/>
  <c r="BE81" i="6"/>
  <c r="AS81" i="6"/>
  <c r="AD81" i="6"/>
  <c r="AO81" i="6"/>
  <c r="AT81" i="6"/>
  <c r="AU81" i="6"/>
  <c r="AI81" i="6"/>
  <c r="AC14" i="13"/>
  <c r="G84" i="5" l="1"/>
  <c r="L83" i="12"/>
  <c r="K83" i="12" s="1"/>
  <c r="J84" i="5"/>
  <c r="B84" i="6"/>
  <c r="H84" i="5"/>
  <c r="D84" i="5"/>
  <c r="B84" i="12" s="1"/>
  <c r="F84" i="5"/>
  <c r="AD84" i="5"/>
  <c r="C85" i="5"/>
  <c r="A85" i="12" s="1"/>
  <c r="L85" i="12" s="1"/>
  <c r="E84" i="5"/>
  <c r="K84" i="5"/>
  <c r="B84" i="5"/>
  <c r="A84" i="12"/>
  <c r="J84" i="12" s="1"/>
  <c r="N84" i="5"/>
  <c r="D84" i="6" s="1"/>
  <c r="H84" i="6" s="1"/>
  <c r="T84" i="5" s="1"/>
  <c r="AE84" i="5"/>
  <c r="A83" i="6"/>
  <c r="N83" i="6" s="1"/>
  <c r="AR82" i="6"/>
  <c r="AT82" i="6"/>
  <c r="AY82" i="6"/>
  <c r="AX82" i="6"/>
  <c r="AS82" i="6"/>
  <c r="AK82" i="6"/>
  <c r="AP82" i="6"/>
  <c r="AD82" i="6"/>
  <c r="AE82" i="6"/>
  <c r="AV82" i="6"/>
  <c r="AU82" i="6"/>
  <c r="AI82" i="6"/>
  <c r="BE82" i="6"/>
  <c r="AF82" i="6"/>
  <c r="AJ82" i="6"/>
  <c r="BD82" i="6"/>
  <c r="N82" i="6"/>
  <c r="BA82" i="6"/>
  <c r="AG82" i="6"/>
  <c r="BB82" i="6"/>
  <c r="AQ82" i="6"/>
  <c r="AN82" i="6"/>
  <c r="AC82" i="6"/>
  <c r="AH82" i="6"/>
  <c r="BG82" i="6"/>
  <c r="AO82" i="6"/>
  <c r="BF82" i="6"/>
  <c r="BC82" i="6"/>
  <c r="AZ82" i="6"/>
  <c r="AF14" i="13"/>
  <c r="L84" i="12" l="1"/>
  <c r="K84" i="12" s="1"/>
  <c r="N85" i="5"/>
  <c r="D85" i="6" s="1"/>
  <c r="H85" i="6" s="1"/>
  <c r="T85" i="5" s="1"/>
  <c r="B85" i="6"/>
  <c r="J85" i="5"/>
  <c r="G85" i="5"/>
  <c r="C86" i="5"/>
  <c r="AE86" i="5" s="1"/>
  <c r="AE85" i="5"/>
  <c r="H85" i="5"/>
  <c r="AD85" i="5"/>
  <c r="D85" i="5"/>
  <c r="B85" i="12" s="1"/>
  <c r="K85" i="5"/>
  <c r="F85" i="5"/>
  <c r="E85" i="5"/>
  <c r="B85" i="5"/>
  <c r="J85" i="12"/>
  <c r="K85" i="12" s="1"/>
  <c r="M83" i="6"/>
  <c r="AQ83" i="6" s="1"/>
  <c r="A84" i="6"/>
  <c r="B9" i="9"/>
  <c r="B86" i="5" l="1"/>
  <c r="H86" i="5"/>
  <c r="E86" i="5"/>
  <c r="K86" i="5"/>
  <c r="A86" i="12"/>
  <c r="L86" i="12" s="1"/>
  <c r="F86" i="5"/>
  <c r="N86" i="5"/>
  <c r="D86" i="6" s="1"/>
  <c r="H86" i="6" s="1"/>
  <c r="T86" i="5" s="1"/>
  <c r="D86" i="5"/>
  <c r="B86" i="12" s="1"/>
  <c r="B86" i="6"/>
  <c r="J86" i="5"/>
  <c r="G86" i="5"/>
  <c r="AD86" i="5"/>
  <c r="M84" i="6"/>
  <c r="AU84" i="6" s="1"/>
  <c r="A85" i="6"/>
  <c r="BF83" i="6"/>
  <c r="N84" i="6"/>
  <c r="AM83" i="6"/>
  <c r="AU83" i="6"/>
  <c r="AK83" i="6"/>
  <c r="AO83" i="6"/>
  <c r="AV83" i="6"/>
  <c r="AN83" i="6"/>
  <c r="AX83" i="6"/>
  <c r="AI83" i="6"/>
  <c r="AY83" i="6"/>
  <c r="AP83" i="6"/>
  <c r="AR83" i="6"/>
  <c r="BB83" i="6"/>
  <c r="BC83" i="6"/>
  <c r="AT83" i="6"/>
  <c r="BD83" i="6"/>
  <c r="BG83" i="6"/>
  <c r="BE83" i="6"/>
  <c r="AG83" i="6"/>
  <c r="AZ83" i="6"/>
  <c r="AD83" i="6"/>
  <c r="AH83" i="6"/>
  <c r="AC83" i="6"/>
  <c r="AJ83" i="6"/>
  <c r="BA83" i="6"/>
  <c r="AF83" i="6"/>
  <c r="AE83" i="6"/>
  <c r="AS83" i="6"/>
  <c r="E87" i="12"/>
  <c r="F87" i="6"/>
  <c r="F27" i="12"/>
  <c r="F16" i="12"/>
  <c r="F60" i="12"/>
  <c r="F26" i="12"/>
  <c r="F14" i="12"/>
  <c r="J86" i="12" l="1"/>
  <c r="K86" i="12" s="1"/>
  <c r="A86" i="6"/>
  <c r="M86" i="6" s="1"/>
  <c r="AY84" i="6"/>
  <c r="AE84" i="6"/>
  <c r="AQ84" i="6"/>
  <c r="BG84" i="6"/>
  <c r="AX84" i="6"/>
  <c r="AT84" i="6"/>
  <c r="AM84" i="6"/>
  <c r="AC84" i="6"/>
  <c r="BF84" i="6"/>
  <c r="AZ84" i="6"/>
  <c r="BA84" i="6"/>
  <c r="AD84" i="6"/>
  <c r="AI84" i="6"/>
  <c r="AV84" i="6"/>
  <c r="BD84" i="6"/>
  <c r="AK84" i="6"/>
  <c r="AJ84" i="6"/>
  <c r="AS84" i="6"/>
  <c r="BB84" i="6"/>
  <c r="BE84" i="6"/>
  <c r="AH84" i="6"/>
  <c r="AO84" i="6"/>
  <c r="BC84" i="6"/>
  <c r="AP84" i="6"/>
  <c r="AG84" i="6"/>
  <c r="AR84" i="6"/>
  <c r="AN84" i="6"/>
  <c r="AF84" i="6"/>
  <c r="N85" i="6"/>
  <c r="M85" i="6"/>
  <c r="N86" i="6" l="1"/>
  <c r="C87" i="5"/>
  <c r="G87" i="5" s="1"/>
  <c r="BD86" i="6"/>
  <c r="AM86" i="6"/>
  <c r="BA86" i="6"/>
  <c r="BG86" i="6"/>
  <c r="AP86" i="6"/>
  <c r="AS86" i="6"/>
  <c r="AN86" i="6"/>
  <c r="AZ86" i="6"/>
  <c r="AR86" i="6"/>
  <c r="BC86" i="6"/>
  <c r="BF86" i="6"/>
  <c r="AO86" i="6"/>
  <c r="AE86" i="6"/>
  <c r="AU86" i="6"/>
  <c r="AY86" i="6"/>
  <c r="BB86" i="6"/>
  <c r="BE86" i="6"/>
  <c r="AQ86" i="6"/>
  <c r="AT86" i="6"/>
  <c r="AX86" i="6"/>
  <c r="AV86" i="6"/>
  <c r="AF86" i="6"/>
  <c r="AI86" i="6"/>
  <c r="AC86" i="6"/>
  <c r="AD86" i="6"/>
  <c r="AJ86" i="6"/>
  <c r="AK86" i="6"/>
  <c r="AG86" i="6"/>
  <c r="AH86" i="6"/>
  <c r="BE85" i="6"/>
  <c r="AN85" i="6"/>
  <c r="BD85" i="6"/>
  <c r="AM85" i="6"/>
  <c r="BF85" i="6"/>
  <c r="BG85" i="6"/>
  <c r="AP85" i="6"/>
  <c r="AF85" i="6"/>
  <c r="BA85" i="6"/>
  <c r="AZ85" i="6"/>
  <c r="AX85" i="6"/>
  <c r="BC85" i="6"/>
  <c r="BB85" i="6"/>
  <c r="AV85" i="6"/>
  <c r="AU85" i="6"/>
  <c r="AY85" i="6"/>
  <c r="AS85" i="6"/>
  <c r="AR85" i="6"/>
  <c r="AQ85" i="6"/>
  <c r="AT85" i="6"/>
  <c r="AO85" i="6"/>
  <c r="AG85" i="6"/>
  <c r="AK85" i="6"/>
  <c r="AJ85" i="6"/>
  <c r="AH85" i="6"/>
  <c r="AC85" i="6"/>
  <c r="AD85" i="6"/>
  <c r="AI85" i="6"/>
  <c r="AE85" i="6"/>
  <c r="F100" i="6"/>
  <c r="E100" i="12"/>
  <c r="H60" i="12"/>
  <c r="A87" i="12" l="1"/>
  <c r="B87" i="6"/>
  <c r="A87" i="6" s="1"/>
  <c r="W87" i="5"/>
  <c r="AE87" i="5"/>
  <c r="H87" i="5"/>
  <c r="N87" i="5"/>
  <c r="D87" i="6" s="1"/>
  <c r="AO87" i="6" s="1"/>
  <c r="E87" i="5"/>
  <c r="C88" i="5"/>
  <c r="C89" i="5" s="1"/>
  <c r="B87" i="5"/>
  <c r="AD87" i="5"/>
  <c r="F87" i="5"/>
  <c r="H27" i="12"/>
  <c r="H61" i="12"/>
  <c r="B89" i="6" l="1"/>
  <c r="AD89" i="5"/>
  <c r="D89" i="5"/>
  <c r="B89" i="12" s="1"/>
  <c r="J89" i="5"/>
  <c r="AE89" i="5"/>
  <c r="N89" i="5"/>
  <c r="A89" i="12"/>
  <c r="K89" i="5"/>
  <c r="B88" i="5"/>
  <c r="B89" i="5" s="1"/>
  <c r="AQ87" i="6"/>
  <c r="BB87" i="6"/>
  <c r="BD87" i="6"/>
  <c r="AT87" i="6"/>
  <c r="AY87" i="6"/>
  <c r="AS87" i="6"/>
  <c r="AR87" i="6"/>
  <c r="BF87" i="6"/>
  <c r="BE87" i="6"/>
  <c r="BA87" i="6"/>
  <c r="G87" i="6"/>
  <c r="M87" i="6"/>
  <c r="BG87" i="6" s="1"/>
  <c r="AP87" i="6"/>
  <c r="AM87" i="6"/>
  <c r="AV87" i="6"/>
  <c r="H87" i="6"/>
  <c r="N87" i="6"/>
  <c r="AX87" i="6"/>
  <c r="AU87" i="6"/>
  <c r="AZ87" i="6"/>
  <c r="AN87" i="6"/>
  <c r="BC87" i="6"/>
  <c r="A88" i="12"/>
  <c r="N88" i="5"/>
  <c r="D88" i="6" s="1"/>
  <c r="K88" i="5"/>
  <c r="H88" i="5"/>
  <c r="H89" i="5" s="1"/>
  <c r="B88" i="6"/>
  <c r="AD88" i="5"/>
  <c r="D88" i="5"/>
  <c r="B88" i="12" s="1"/>
  <c r="J88" i="5"/>
  <c r="AE88" i="5"/>
  <c r="E88" i="5"/>
  <c r="E89" i="5" s="1"/>
  <c r="G88" i="5"/>
  <c r="G89" i="5" s="1"/>
  <c r="F88" i="5"/>
  <c r="F89" i="5" s="1"/>
  <c r="AD12" i="13"/>
  <c r="AD20" i="13"/>
  <c r="AC19" i="13"/>
  <c r="AE16" i="13"/>
  <c r="AE23" i="13"/>
  <c r="AE18" i="13"/>
  <c r="AG17" i="13"/>
  <c r="D89" i="6" l="1"/>
  <c r="J89" i="12"/>
  <c r="L89" i="12"/>
  <c r="AH87" i="6"/>
  <c r="AG87" i="6"/>
  <c r="AC87" i="6"/>
  <c r="AE87" i="6"/>
  <c r="AB87" i="6"/>
  <c r="AI87" i="6"/>
  <c r="AD87" i="6"/>
  <c r="AJ87" i="6"/>
  <c r="AF87" i="6"/>
  <c r="T87" i="5"/>
  <c r="AK87" i="6"/>
  <c r="A88" i="6"/>
  <c r="N88" i="6" s="1"/>
  <c r="H88" i="6"/>
  <c r="J88" i="12"/>
  <c r="L88" i="12"/>
  <c r="G60" i="6"/>
  <c r="F60" i="6"/>
  <c r="N65" i="6" s="1"/>
  <c r="E60" i="12"/>
  <c r="A89" i="6" l="1"/>
  <c r="N89" i="6" s="1"/>
  <c r="K89" i="12"/>
  <c r="H89" i="6"/>
  <c r="T89" i="5" s="1"/>
  <c r="N66" i="6"/>
  <c r="N67" i="6"/>
  <c r="M88" i="6"/>
  <c r="AV88" i="6" s="1"/>
  <c r="T88" i="5"/>
  <c r="K88" i="12"/>
  <c r="N61" i="6"/>
  <c r="N62" i="6"/>
  <c r="N63" i="6"/>
  <c r="N64" i="6"/>
  <c r="N68" i="6"/>
  <c r="N69" i="6"/>
  <c r="N70" i="6"/>
  <c r="N71" i="6"/>
  <c r="N72" i="6"/>
  <c r="N73" i="6"/>
  <c r="N75" i="6"/>
  <c r="N76" i="6"/>
  <c r="N77" i="6"/>
  <c r="N78" i="6"/>
  <c r="W60" i="5"/>
  <c r="M89" i="6" l="1"/>
  <c r="AR89" i="6" s="1"/>
  <c r="BE88" i="6"/>
  <c r="AM88" i="6"/>
  <c r="AI88" i="6"/>
  <c r="AP88" i="6"/>
  <c r="AT88" i="6"/>
  <c r="AH88" i="6"/>
  <c r="AR88" i="6"/>
  <c r="AG88" i="6"/>
  <c r="AE88" i="6"/>
  <c r="AF88" i="6"/>
  <c r="AZ88" i="6"/>
  <c r="AO88" i="6"/>
  <c r="BF88" i="6"/>
  <c r="AU88" i="6"/>
  <c r="AQ88" i="6"/>
  <c r="AC88" i="6"/>
  <c r="AK88" i="6"/>
  <c r="AN88" i="6"/>
  <c r="BA88" i="6"/>
  <c r="BG88" i="6"/>
  <c r="AS88" i="6"/>
  <c r="BB88" i="6"/>
  <c r="AD88" i="6"/>
  <c r="AJ88" i="6"/>
  <c r="AY88" i="6"/>
  <c r="AX88" i="6"/>
  <c r="BC88" i="6"/>
  <c r="BD88" i="6"/>
  <c r="AB60" i="6"/>
  <c r="AX89" i="6" l="1"/>
  <c r="AN89" i="6"/>
  <c r="AG89" i="6"/>
  <c r="AF89" i="6"/>
  <c r="BC89" i="6"/>
  <c r="AE89" i="6"/>
  <c r="AQ89" i="6"/>
  <c r="AY89" i="6"/>
  <c r="BG89" i="6"/>
  <c r="AU89" i="6"/>
  <c r="AJ89" i="6"/>
  <c r="AK89" i="6"/>
  <c r="BD89" i="6"/>
  <c r="AT89" i="6"/>
  <c r="AZ89" i="6"/>
  <c r="BB89" i="6"/>
  <c r="AP89" i="6"/>
  <c r="AD89" i="6"/>
  <c r="BA89" i="6"/>
  <c r="BF89" i="6"/>
  <c r="AM89" i="6"/>
  <c r="AC89" i="6"/>
  <c r="AH89" i="6"/>
  <c r="BE89" i="6"/>
  <c r="AS89" i="6"/>
  <c r="AV89" i="6"/>
  <c r="AI89" i="6"/>
  <c r="AO89" i="6"/>
  <c r="C90" i="5"/>
  <c r="B90" i="6" l="1"/>
  <c r="J90" i="5"/>
  <c r="F90" i="5"/>
  <c r="B90" i="5"/>
  <c r="C91" i="5"/>
  <c r="AE90" i="5"/>
  <c r="N90" i="5"/>
  <c r="E90" i="5"/>
  <c r="A90" i="12"/>
  <c r="K90" i="5"/>
  <c r="G90" i="5"/>
  <c r="AD90" i="5"/>
  <c r="H90" i="5"/>
  <c r="D90" i="5"/>
  <c r="B90" i="12" s="1"/>
  <c r="B91" i="6" l="1"/>
  <c r="A91" i="12"/>
  <c r="AD91" i="5"/>
  <c r="H91" i="5"/>
  <c r="D91" i="5"/>
  <c r="B91" i="12" s="1"/>
  <c r="C92" i="5"/>
  <c r="K91" i="5"/>
  <c r="G91" i="5"/>
  <c r="AE91" i="5"/>
  <c r="J91" i="5"/>
  <c r="F91" i="5"/>
  <c r="B91" i="5"/>
  <c r="N91" i="5"/>
  <c r="E91" i="5"/>
  <c r="D90" i="6"/>
  <c r="L90" i="12"/>
  <c r="J90" i="12"/>
  <c r="A90" i="6" l="1"/>
  <c r="N90" i="6" s="1"/>
  <c r="H90" i="6"/>
  <c r="T90" i="5" s="1"/>
  <c r="D91" i="6"/>
  <c r="B92" i="6"/>
  <c r="C93" i="5"/>
  <c r="AE92" i="5"/>
  <c r="J92" i="5"/>
  <c r="F92" i="5"/>
  <c r="B92" i="5"/>
  <c r="N92" i="5"/>
  <c r="E92" i="5"/>
  <c r="A92" i="12"/>
  <c r="K92" i="5"/>
  <c r="AD92" i="5"/>
  <c r="H92" i="5"/>
  <c r="D92" i="5"/>
  <c r="B92" i="12" s="1"/>
  <c r="G92" i="5"/>
  <c r="K90" i="12"/>
  <c r="J91" i="12"/>
  <c r="L91" i="12"/>
  <c r="M90" i="6" l="1"/>
  <c r="AR90" i="6" s="1"/>
  <c r="A91" i="6"/>
  <c r="N91" i="6" s="1"/>
  <c r="K91" i="12"/>
  <c r="L92" i="12"/>
  <c r="J92" i="12"/>
  <c r="H91" i="6"/>
  <c r="T91" i="5" s="1"/>
  <c r="B93" i="6"/>
  <c r="A93" i="12"/>
  <c r="K93" i="5"/>
  <c r="G93" i="5"/>
  <c r="J93" i="5"/>
  <c r="F93" i="5"/>
  <c r="B93" i="5"/>
  <c r="C94" i="5" s="1"/>
  <c r="B94" i="5" s="1"/>
  <c r="N93" i="5"/>
  <c r="E93" i="5"/>
  <c r="AD93" i="5"/>
  <c r="D93" i="5"/>
  <c r="B93" i="12" s="1"/>
  <c r="H93" i="5"/>
  <c r="AE93" i="5"/>
  <c r="D92" i="6"/>
  <c r="BF90" i="6" l="1"/>
  <c r="BG90" i="6"/>
  <c r="BB90" i="6"/>
  <c r="AH90" i="6"/>
  <c r="AF90" i="6"/>
  <c r="AP90" i="6"/>
  <c r="AS90" i="6"/>
  <c r="BE90" i="6"/>
  <c r="AQ90" i="6"/>
  <c r="AN90" i="6"/>
  <c r="A92" i="6"/>
  <c r="M92" i="6" s="1"/>
  <c r="AV92" i="6" s="1"/>
  <c r="AI90" i="6"/>
  <c r="AT90" i="6"/>
  <c r="AM90" i="6"/>
  <c r="AO90" i="6"/>
  <c r="AZ90" i="6"/>
  <c r="AE94" i="5"/>
  <c r="AJ90" i="6"/>
  <c r="AY90" i="6"/>
  <c r="AC90" i="6"/>
  <c r="BD90" i="6"/>
  <c r="BA90" i="6"/>
  <c r="BC90" i="6"/>
  <c r="G94" i="5"/>
  <c r="AK90" i="6"/>
  <c r="C95" i="5"/>
  <c r="N95" i="5" s="1"/>
  <c r="D95" i="6" s="1"/>
  <c r="AV90" i="6"/>
  <c r="B94" i="6"/>
  <c r="A94" i="6" s="1"/>
  <c r="AU90" i="6"/>
  <c r="M91" i="6"/>
  <c r="BA91" i="6" s="1"/>
  <c r="AD90" i="6"/>
  <c r="AX90" i="6"/>
  <c r="AE90" i="6"/>
  <c r="AG90" i="6"/>
  <c r="W94" i="5"/>
  <c r="H94" i="5"/>
  <c r="N94" i="5"/>
  <c r="D94" i="6" s="1"/>
  <c r="BF94" i="6" s="1"/>
  <c r="AD94" i="5"/>
  <c r="F94" i="5"/>
  <c r="K92" i="12"/>
  <c r="A94" i="12"/>
  <c r="E94" i="5"/>
  <c r="H92" i="6"/>
  <c r="T92" i="5" s="1"/>
  <c r="D93" i="6"/>
  <c r="J93" i="12"/>
  <c r="L93" i="12"/>
  <c r="C96" i="5" l="1"/>
  <c r="AD96" i="5" s="1"/>
  <c r="E95" i="5"/>
  <c r="AE95" i="5"/>
  <c r="D95" i="5"/>
  <c r="B95" i="12" s="1"/>
  <c r="N92" i="6"/>
  <c r="A93" i="6"/>
  <c r="N93" i="6" s="1"/>
  <c r="AD91" i="6"/>
  <c r="G95" i="5"/>
  <c r="AO91" i="6"/>
  <c r="AY94" i="6"/>
  <c r="BE94" i="6"/>
  <c r="AU94" i="6"/>
  <c r="BC91" i="6"/>
  <c r="BA94" i="6"/>
  <c r="BD94" i="6"/>
  <c r="H95" i="5"/>
  <c r="B95" i="6"/>
  <c r="A95" i="6" s="1"/>
  <c r="AI91" i="6"/>
  <c r="AQ94" i="6"/>
  <c r="BG94" i="6"/>
  <c r="M94" i="6"/>
  <c r="AR94" i="6" s="1"/>
  <c r="AV94" i="6"/>
  <c r="AO94" i="6"/>
  <c r="AS94" i="6"/>
  <c r="AD95" i="5"/>
  <c r="K95" i="5"/>
  <c r="B95" i="5"/>
  <c r="B96" i="5" s="1"/>
  <c r="AZ91" i="6"/>
  <c r="BB91" i="6"/>
  <c r="AE91" i="6"/>
  <c r="AG91" i="6"/>
  <c r="F95" i="5"/>
  <c r="AP94" i="6"/>
  <c r="BC94" i="6"/>
  <c r="AT94" i="6"/>
  <c r="N94" i="6"/>
  <c r="AN94" i="6"/>
  <c r="G94" i="6"/>
  <c r="AK91" i="6"/>
  <c r="AV91" i="6"/>
  <c r="AY91" i="6"/>
  <c r="AZ94" i="6"/>
  <c r="AX94" i="6"/>
  <c r="H94" i="6"/>
  <c r="T94" i="5" s="1"/>
  <c r="AM94" i="6"/>
  <c r="BB94" i="6"/>
  <c r="A95" i="12"/>
  <c r="L95" i="12" s="1"/>
  <c r="J95" i="5"/>
  <c r="AH91" i="6"/>
  <c r="BF91" i="6"/>
  <c r="AU91" i="6"/>
  <c r="AJ91" i="6"/>
  <c r="BD91" i="6"/>
  <c r="AF91" i="6"/>
  <c r="AN91" i="6"/>
  <c r="AQ91" i="6"/>
  <c r="AP91" i="6"/>
  <c r="AC91" i="6"/>
  <c r="AR91" i="6"/>
  <c r="AM91" i="6"/>
  <c r="AT91" i="6"/>
  <c r="BE91" i="6"/>
  <c r="BG91" i="6"/>
  <c r="AS91" i="6"/>
  <c r="AX91" i="6"/>
  <c r="BF92" i="6"/>
  <c r="BB92" i="6"/>
  <c r="AC92" i="6"/>
  <c r="AO92" i="6"/>
  <c r="AT92" i="6"/>
  <c r="AF92" i="6"/>
  <c r="AJ92" i="6"/>
  <c r="AS92" i="6"/>
  <c r="AK92" i="6"/>
  <c r="BC92" i="6"/>
  <c r="AH92" i="6"/>
  <c r="AZ92" i="6"/>
  <c r="AI92" i="6"/>
  <c r="BA92" i="6"/>
  <c r="AP92" i="6"/>
  <c r="BG92" i="6"/>
  <c r="AM92" i="6"/>
  <c r="BD92" i="6"/>
  <c r="AN92" i="6"/>
  <c r="BE92" i="6"/>
  <c r="AQ92" i="6"/>
  <c r="AR92" i="6"/>
  <c r="K93" i="12"/>
  <c r="H93" i="6"/>
  <c r="T93" i="5" s="1"/>
  <c r="AX92" i="6"/>
  <c r="AG92" i="6"/>
  <c r="AY92" i="6"/>
  <c r="AD92" i="6"/>
  <c r="AU92" i="6"/>
  <c r="AE92" i="6"/>
  <c r="J96" i="5"/>
  <c r="H95" i="6"/>
  <c r="C97" i="5"/>
  <c r="B96" i="6" l="1"/>
  <c r="AE96" i="5"/>
  <c r="K96" i="5"/>
  <c r="N96" i="5"/>
  <c r="D96" i="6" s="1"/>
  <c r="H96" i="6" s="1"/>
  <c r="T96" i="5" s="1"/>
  <c r="E96" i="5"/>
  <c r="E97" i="5" s="1"/>
  <c r="A96" i="12"/>
  <c r="L96" i="12" s="1"/>
  <c r="D96" i="5"/>
  <c r="B96" i="12" s="1"/>
  <c r="F96" i="5"/>
  <c r="F97" i="5" s="1"/>
  <c r="H96" i="5"/>
  <c r="H97" i="5" s="1"/>
  <c r="G96" i="5"/>
  <c r="G97" i="5" s="1"/>
  <c r="M93" i="6"/>
  <c r="BA93" i="6" s="1"/>
  <c r="J95" i="12"/>
  <c r="K95" i="12" s="1"/>
  <c r="AK94" i="6"/>
  <c r="AE94" i="6"/>
  <c r="AG94" i="6"/>
  <c r="AC94" i="6"/>
  <c r="AI94" i="6"/>
  <c r="AJ94" i="6"/>
  <c r="AH94" i="6"/>
  <c r="AF94" i="6"/>
  <c r="AD94" i="6"/>
  <c r="AB94" i="6"/>
  <c r="A96" i="6"/>
  <c r="N96" i="6" s="1"/>
  <c r="N95" i="6"/>
  <c r="T95" i="5"/>
  <c r="AE97" i="5"/>
  <c r="D97" i="5"/>
  <c r="B97" i="12" s="1"/>
  <c r="B97" i="6"/>
  <c r="A97" i="12"/>
  <c r="AD97" i="5"/>
  <c r="J97" i="5"/>
  <c r="N97" i="5"/>
  <c r="D97" i="6" s="1"/>
  <c r="K97" i="5"/>
  <c r="C98" i="5"/>
  <c r="B97" i="5"/>
  <c r="J96" i="12" l="1"/>
  <c r="K96" i="12" s="1"/>
  <c r="BD93" i="6"/>
  <c r="M95" i="6"/>
  <c r="AJ95" i="6" s="1"/>
  <c r="AK93" i="6"/>
  <c r="AY93" i="6"/>
  <c r="AX93" i="6"/>
  <c r="AI93" i="6"/>
  <c r="BF93" i="6"/>
  <c r="AG93" i="6"/>
  <c r="AM93" i="6"/>
  <c r="AH93" i="6"/>
  <c r="AV93" i="6"/>
  <c r="AR93" i="6"/>
  <c r="AF93" i="6"/>
  <c r="BC93" i="6"/>
  <c r="AE93" i="6"/>
  <c r="AQ93" i="6"/>
  <c r="AS93" i="6"/>
  <c r="AZ93" i="6"/>
  <c r="BB93" i="6"/>
  <c r="AU93" i="6"/>
  <c r="AJ93" i="6"/>
  <c r="BE93" i="6"/>
  <c r="BG93" i="6"/>
  <c r="AT93" i="6"/>
  <c r="AD93" i="6"/>
  <c r="AO93" i="6"/>
  <c r="AN93" i="6"/>
  <c r="AP93" i="6"/>
  <c r="AC93" i="6"/>
  <c r="C99" i="5"/>
  <c r="AD99" i="5" s="1"/>
  <c r="A97" i="6"/>
  <c r="M97" i="6" s="1"/>
  <c r="BE97" i="6" s="1"/>
  <c r="H98" i="5"/>
  <c r="B98" i="5"/>
  <c r="J98" i="5"/>
  <c r="N98" i="5"/>
  <c r="D98" i="6" s="1"/>
  <c r="H98" i="6" s="1"/>
  <c r="T98" i="5" s="1"/>
  <c r="K98" i="5"/>
  <c r="F98" i="5"/>
  <c r="G98" i="5"/>
  <c r="AE98" i="5"/>
  <c r="E98" i="5"/>
  <c r="A98" i="12"/>
  <c r="AD98" i="5"/>
  <c r="B98" i="6"/>
  <c r="D98" i="5"/>
  <c r="B98" i="12" s="1"/>
  <c r="J97" i="12"/>
  <c r="L97" i="12"/>
  <c r="H97" i="6"/>
  <c r="T97" i="5" s="1"/>
  <c r="AO95" i="6" l="1"/>
  <c r="AU95" i="6"/>
  <c r="AK95" i="6"/>
  <c r="AZ95" i="6"/>
  <c r="AC95" i="6"/>
  <c r="AD95" i="6"/>
  <c r="AG95" i="6"/>
  <c r="AY95" i="6"/>
  <c r="AM95" i="6"/>
  <c r="AQ95" i="6"/>
  <c r="AI95" i="6"/>
  <c r="AP95" i="6"/>
  <c r="BC95" i="6"/>
  <c r="AR95" i="6"/>
  <c r="BG95" i="6"/>
  <c r="AV95" i="6"/>
  <c r="BA95" i="6"/>
  <c r="BB95" i="6"/>
  <c r="AN95" i="6"/>
  <c r="AS95" i="6"/>
  <c r="BF95" i="6"/>
  <c r="M96" i="6"/>
  <c r="BG96" i="6" s="1"/>
  <c r="AH95" i="6"/>
  <c r="BD95" i="6"/>
  <c r="AX95" i="6"/>
  <c r="AE95" i="6"/>
  <c r="AT95" i="6"/>
  <c r="AF95" i="6"/>
  <c r="BE95" i="6"/>
  <c r="K99" i="5"/>
  <c r="A99" i="12"/>
  <c r="J99" i="12" s="1"/>
  <c r="G99" i="5"/>
  <c r="N99" i="5"/>
  <c r="D99" i="6" s="1"/>
  <c r="D99" i="5"/>
  <c r="B99" i="12" s="1"/>
  <c r="F99" i="5"/>
  <c r="AE99" i="5"/>
  <c r="B99" i="6"/>
  <c r="E99" i="5"/>
  <c r="H99" i="5"/>
  <c r="J99" i="5"/>
  <c r="N97" i="6"/>
  <c r="B99" i="5"/>
  <c r="C100" i="5" s="1"/>
  <c r="AS97" i="6"/>
  <c r="AZ97" i="6"/>
  <c r="BF97" i="6"/>
  <c r="AX97" i="6"/>
  <c r="BG97" i="6"/>
  <c r="AY97" i="6"/>
  <c r="AR97" i="6"/>
  <c r="AO97" i="6"/>
  <c r="AP97" i="6"/>
  <c r="BD97" i="6"/>
  <c r="BB97" i="6"/>
  <c r="AM97" i="6"/>
  <c r="AN97" i="6"/>
  <c r="AQ97" i="6"/>
  <c r="AU97" i="6"/>
  <c r="BC97" i="6"/>
  <c r="AV97" i="6"/>
  <c r="BA97" i="6"/>
  <c r="AT97" i="6"/>
  <c r="K97" i="12"/>
  <c r="A98" i="6"/>
  <c r="N98" i="6" s="1"/>
  <c r="AH97" i="6"/>
  <c r="AD97" i="6"/>
  <c r="AG97" i="6"/>
  <c r="AI97" i="6"/>
  <c r="AC97" i="6"/>
  <c r="AE97" i="6"/>
  <c r="J98" i="12"/>
  <c r="L98" i="12"/>
  <c r="AF97" i="6"/>
  <c r="AJ97" i="6"/>
  <c r="AK97" i="6"/>
  <c r="K75" i="5"/>
  <c r="AG96" i="6" l="1"/>
  <c r="AF96" i="6"/>
  <c r="AP96" i="6"/>
  <c r="AN96" i="6"/>
  <c r="BF96" i="6"/>
  <c r="AS96" i="6"/>
  <c r="AY96" i="6"/>
  <c r="AJ96" i="6"/>
  <c r="BE96" i="6"/>
  <c r="AC96" i="6"/>
  <c r="AX96" i="6"/>
  <c r="AT96" i="6"/>
  <c r="BB96" i="6"/>
  <c r="AO96" i="6"/>
  <c r="AI96" i="6"/>
  <c r="AU96" i="6"/>
  <c r="AV96" i="6"/>
  <c r="AZ96" i="6"/>
  <c r="AH96" i="6"/>
  <c r="BA96" i="6"/>
  <c r="AR96" i="6"/>
  <c r="AQ96" i="6"/>
  <c r="AE96" i="6"/>
  <c r="AD96" i="6"/>
  <c r="AM96" i="6"/>
  <c r="BC96" i="6"/>
  <c r="AK96" i="6"/>
  <c r="BD96" i="6"/>
  <c r="L99" i="12"/>
  <c r="K99" i="12" s="1"/>
  <c r="N100" i="5"/>
  <c r="D100" i="6" s="1"/>
  <c r="AY100" i="6" s="1"/>
  <c r="G100" i="5"/>
  <c r="W100" i="5"/>
  <c r="A100" i="12"/>
  <c r="B100" i="6"/>
  <c r="A100" i="6" s="1"/>
  <c r="E100" i="5"/>
  <c r="AD100" i="5"/>
  <c r="B100" i="5"/>
  <c r="F100" i="5"/>
  <c r="K94" i="5" s="1"/>
  <c r="H99" i="6"/>
  <c r="T99" i="5" s="1"/>
  <c r="H100" i="5"/>
  <c r="AE100" i="5"/>
  <c r="A99" i="6"/>
  <c r="N99" i="6" s="1"/>
  <c r="M98" i="6"/>
  <c r="K98" i="12"/>
  <c r="BB100" i="6" l="1"/>
  <c r="AZ100" i="6"/>
  <c r="BE100" i="6"/>
  <c r="BA100" i="6"/>
  <c r="AN100" i="6"/>
  <c r="AQ100" i="6"/>
  <c r="AS100" i="6"/>
  <c r="BC100" i="6"/>
  <c r="BG100" i="6"/>
  <c r="M100" i="6"/>
  <c r="AX100" i="6"/>
  <c r="AU100" i="6"/>
  <c r="AV100" i="6"/>
  <c r="AT100" i="6"/>
  <c r="AP100" i="6"/>
  <c r="AM100" i="6"/>
  <c r="BD100" i="6"/>
  <c r="AR100" i="6"/>
  <c r="BF100" i="6"/>
  <c r="N100" i="6"/>
  <c r="AO100" i="6"/>
  <c r="G100" i="6"/>
  <c r="H100" i="6"/>
  <c r="C101" i="5"/>
  <c r="M99" i="6"/>
  <c r="AJ99" i="6" s="1"/>
  <c r="AT98" i="6"/>
  <c r="AR98" i="6"/>
  <c r="AN98" i="6"/>
  <c r="AZ98" i="6"/>
  <c r="AQ98" i="6"/>
  <c r="AI98" i="6"/>
  <c r="AY98" i="6"/>
  <c r="AH98" i="6"/>
  <c r="AC98" i="6"/>
  <c r="AU98" i="6"/>
  <c r="AX98" i="6"/>
  <c r="AG98" i="6"/>
  <c r="BE98" i="6"/>
  <c r="AM98" i="6"/>
  <c r="AS98" i="6"/>
  <c r="AV98" i="6"/>
  <c r="BD98" i="6"/>
  <c r="BC98" i="6"/>
  <c r="AK98" i="6"/>
  <c r="BA98" i="6"/>
  <c r="AO98" i="6"/>
  <c r="AP98" i="6"/>
  <c r="AE98" i="6"/>
  <c r="BG98" i="6"/>
  <c r="BF98" i="6"/>
  <c r="AD98" i="6"/>
  <c r="BB98" i="6"/>
  <c r="AF98" i="6"/>
  <c r="AJ98" i="6"/>
  <c r="T100" i="5"/>
  <c r="N40" i="6"/>
  <c r="D101" i="5" l="1"/>
  <c r="B101" i="12" s="1"/>
  <c r="AJ100" i="6"/>
  <c r="B101" i="5"/>
  <c r="AH100" i="6"/>
  <c r="AI100" i="6"/>
  <c r="AC100" i="6"/>
  <c r="AF100" i="6"/>
  <c r="AB100" i="6"/>
  <c r="AD100" i="6"/>
  <c r="AE100" i="6"/>
  <c r="AK100" i="6"/>
  <c r="AG100" i="6"/>
  <c r="A101" i="12"/>
  <c r="L101" i="12" s="1"/>
  <c r="N101" i="5"/>
  <c r="D101" i="6" s="1"/>
  <c r="H101" i="6" s="1"/>
  <c r="T101" i="5" s="1"/>
  <c r="J101" i="5"/>
  <c r="K101" i="5"/>
  <c r="B101" i="6"/>
  <c r="AD101" i="5"/>
  <c r="C102" i="5"/>
  <c r="F101" i="5"/>
  <c r="G101" i="5"/>
  <c r="E101" i="5"/>
  <c r="AE101" i="5"/>
  <c r="H101" i="5"/>
  <c r="AE99" i="6"/>
  <c r="AK99" i="6"/>
  <c r="BE99" i="6"/>
  <c r="AN99" i="6"/>
  <c r="BD99" i="6"/>
  <c r="AM99" i="6"/>
  <c r="BG99" i="6"/>
  <c r="AP99" i="6"/>
  <c r="AS99" i="6"/>
  <c r="BA99" i="6"/>
  <c r="AZ99" i="6"/>
  <c r="BC99" i="6"/>
  <c r="BF99" i="6"/>
  <c r="AO99" i="6"/>
  <c r="AV99" i="6"/>
  <c r="AU99" i="6"/>
  <c r="AY99" i="6"/>
  <c r="BB99" i="6"/>
  <c r="AR99" i="6"/>
  <c r="AQ99" i="6"/>
  <c r="AT99" i="6"/>
  <c r="AX99" i="6"/>
  <c r="AI99" i="6"/>
  <c r="AD99" i="6"/>
  <c r="AC99" i="6"/>
  <c r="AH99" i="6"/>
  <c r="AG99" i="6"/>
  <c r="AF99" i="6"/>
  <c r="K79" i="5"/>
  <c r="I60" i="5"/>
  <c r="J101" i="12" l="1"/>
  <c r="K101" i="12" s="1"/>
  <c r="AD102" i="5"/>
  <c r="D102" i="5"/>
  <c r="B102" i="12" s="1"/>
  <c r="N102" i="5"/>
  <c r="D102" i="6" s="1"/>
  <c r="H102" i="6" s="1"/>
  <c r="T102" i="5" s="1"/>
  <c r="J102" i="5"/>
  <c r="A102" i="12"/>
  <c r="J102" i="12" s="1"/>
  <c r="AE102" i="5"/>
  <c r="K102" i="5"/>
  <c r="H102" i="5"/>
  <c r="E102" i="5"/>
  <c r="C103" i="5"/>
  <c r="B102" i="6"/>
  <c r="G102" i="5"/>
  <c r="B102" i="5"/>
  <c r="F102" i="5"/>
  <c r="A101" i="6"/>
  <c r="M101" i="6" s="1"/>
  <c r="J103" i="5" l="1"/>
  <c r="F103" i="5"/>
  <c r="D103" i="5"/>
  <c r="B103" i="12" s="1"/>
  <c r="A103" i="12"/>
  <c r="J103" i="12" s="1"/>
  <c r="AD103" i="5"/>
  <c r="H103" i="5"/>
  <c r="K103" i="5"/>
  <c r="B103" i="6"/>
  <c r="AE103" i="5"/>
  <c r="N103" i="5"/>
  <c r="D103" i="6" s="1"/>
  <c r="H103" i="6" s="1"/>
  <c r="T103" i="5" s="1"/>
  <c r="B103" i="5"/>
  <c r="C104" i="5" s="1"/>
  <c r="AE104" i="5" s="1"/>
  <c r="L102" i="12"/>
  <c r="K102" i="12" s="1"/>
  <c r="G103" i="5"/>
  <c r="E103" i="5"/>
  <c r="N101" i="6"/>
  <c r="A102" i="6"/>
  <c r="BF101" i="6"/>
  <c r="AS101" i="6"/>
  <c r="AJ101" i="6"/>
  <c r="AT101" i="6"/>
  <c r="AQ101" i="6"/>
  <c r="AH101" i="6"/>
  <c r="BG101" i="6"/>
  <c r="AF101" i="6"/>
  <c r="AX101" i="6"/>
  <c r="AO101" i="6"/>
  <c r="AM101" i="6"/>
  <c r="AC101" i="6"/>
  <c r="AY101" i="6"/>
  <c r="AV101" i="6"/>
  <c r="AZ101" i="6"/>
  <c r="BC101" i="6"/>
  <c r="AR101" i="6"/>
  <c r="AU101" i="6"/>
  <c r="AE101" i="6"/>
  <c r="BB101" i="6"/>
  <c r="AD101" i="6"/>
  <c r="AG101" i="6"/>
  <c r="BD101" i="6"/>
  <c r="BE101" i="6"/>
  <c r="AN101" i="6"/>
  <c r="AI101" i="6"/>
  <c r="BA101" i="6"/>
  <c r="AK101" i="6"/>
  <c r="AP101" i="6"/>
  <c r="L103" i="12" l="1"/>
  <c r="K103" i="12" s="1"/>
  <c r="A103" i="6"/>
  <c r="M103" i="6" s="1"/>
  <c r="N104" i="5"/>
  <c r="D104" i="6" s="1"/>
  <c r="AY104" i="6" s="1"/>
  <c r="B104" i="6"/>
  <c r="A104" i="6" s="1"/>
  <c r="F104" i="5"/>
  <c r="H104" i="5"/>
  <c r="G104" i="5"/>
  <c r="AD104" i="5"/>
  <c r="B104" i="5"/>
  <c r="A104" i="12"/>
  <c r="C105" i="5"/>
  <c r="E104" i="5"/>
  <c r="N102" i="6"/>
  <c r="M102" i="6"/>
  <c r="BD102" i="6" s="1"/>
  <c r="N103" i="6" l="1"/>
  <c r="N105" i="5"/>
  <c r="D105" i="6" s="1"/>
  <c r="H105" i="6" s="1"/>
  <c r="T105" i="5" s="1"/>
  <c r="AT104" i="6"/>
  <c r="N104" i="6"/>
  <c r="BE104" i="6"/>
  <c r="AQ104" i="6"/>
  <c r="BD104" i="6"/>
  <c r="BG104" i="6"/>
  <c r="AR104" i="6"/>
  <c r="H104" i="6"/>
  <c r="AM104" i="6"/>
  <c r="AN104" i="6"/>
  <c r="AU104" i="6"/>
  <c r="AX104" i="6"/>
  <c r="C106" i="5"/>
  <c r="B106" i="6" s="1"/>
  <c r="AS104" i="6"/>
  <c r="BC104" i="6"/>
  <c r="BB104" i="6"/>
  <c r="AZ104" i="6"/>
  <c r="M104" i="6"/>
  <c r="BA104" i="6" s="1"/>
  <c r="AV104" i="6"/>
  <c r="AP104" i="6"/>
  <c r="AO104" i="6"/>
  <c r="BF104" i="6"/>
  <c r="B105" i="5"/>
  <c r="G105" i="5"/>
  <c r="H105" i="5"/>
  <c r="B105" i="6"/>
  <c r="J105" i="5"/>
  <c r="AD105" i="5"/>
  <c r="D105" i="5"/>
  <c r="B105" i="12" s="1"/>
  <c r="AE105" i="5"/>
  <c r="A105" i="12"/>
  <c r="J105" i="12" s="1"/>
  <c r="F105" i="5"/>
  <c r="K105" i="5"/>
  <c r="E105" i="5"/>
  <c r="BC102" i="6"/>
  <c r="AE102" i="6"/>
  <c r="AK102" i="6"/>
  <c r="BF102" i="6"/>
  <c r="AZ102" i="6"/>
  <c r="AY102" i="6"/>
  <c r="AJ102" i="6"/>
  <c r="AH102" i="6"/>
  <c r="AD102" i="6"/>
  <c r="AO102" i="6"/>
  <c r="AC102" i="6"/>
  <c r="AI102" i="6"/>
  <c r="BG102" i="6"/>
  <c r="AQ102" i="6"/>
  <c r="AV102" i="6"/>
  <c r="AG102" i="6"/>
  <c r="AS102" i="6"/>
  <c r="AP102" i="6"/>
  <c r="BB102" i="6"/>
  <c r="AF102" i="6"/>
  <c r="AT102" i="6"/>
  <c r="AN102" i="6"/>
  <c r="AR102" i="6"/>
  <c r="BA102" i="6"/>
  <c r="AX102" i="6"/>
  <c r="AU102" i="6"/>
  <c r="BE102" i="6"/>
  <c r="AM102" i="6"/>
  <c r="BE103" i="6"/>
  <c r="BF103" i="6"/>
  <c r="AY103" i="6"/>
  <c r="AJ103" i="6"/>
  <c r="AE103" i="6"/>
  <c r="AR103" i="6"/>
  <c r="AU103" i="6"/>
  <c r="BA103" i="6"/>
  <c r="BC103" i="6"/>
  <c r="AD103" i="6"/>
  <c r="AV103" i="6"/>
  <c r="AM103" i="6"/>
  <c r="AZ103" i="6"/>
  <c r="AC103" i="6"/>
  <c r="AH103" i="6"/>
  <c r="AX103" i="6"/>
  <c r="AF103" i="6"/>
  <c r="AT103" i="6"/>
  <c r="BG103" i="6"/>
  <c r="AK103" i="6"/>
  <c r="AI103" i="6"/>
  <c r="AQ103" i="6"/>
  <c r="AG103" i="6"/>
  <c r="AN103" i="6"/>
  <c r="BB103" i="6"/>
  <c r="BD103" i="6"/>
  <c r="AS103" i="6"/>
  <c r="AO103" i="6"/>
  <c r="AP103" i="6"/>
  <c r="I94" i="5"/>
  <c r="A105" i="6" l="1"/>
  <c r="M105" i="6" s="1"/>
  <c r="AG105" i="6" s="1"/>
  <c r="K106" i="5"/>
  <c r="H106" i="5"/>
  <c r="AD106" i="5"/>
  <c r="N106" i="5"/>
  <c r="D106" i="6" s="1"/>
  <c r="H106" i="6" s="1"/>
  <c r="T106" i="5" s="1"/>
  <c r="J106" i="5"/>
  <c r="A106" i="12"/>
  <c r="L106" i="12" s="1"/>
  <c r="C107" i="5"/>
  <c r="AF104" i="6"/>
  <c r="AE106" i="5"/>
  <c r="D106" i="5"/>
  <c r="B106" i="12" s="1"/>
  <c r="E106" i="5"/>
  <c r="F106" i="5"/>
  <c r="G106" i="5"/>
  <c r="AJ104" i="6"/>
  <c r="B106" i="5"/>
  <c r="AH104" i="6"/>
  <c r="AD104" i="6"/>
  <c r="AC104" i="6"/>
  <c r="AG104" i="6"/>
  <c r="AB104" i="6"/>
  <c r="T104" i="5"/>
  <c r="AE104" i="6"/>
  <c r="AI104" i="6"/>
  <c r="AK104" i="6"/>
  <c r="L105" i="12"/>
  <c r="K105" i="12" s="1"/>
  <c r="B107" i="5" l="1"/>
  <c r="AQ105" i="6"/>
  <c r="BA105" i="6"/>
  <c r="AF105" i="6"/>
  <c r="AH105" i="6"/>
  <c r="AD105" i="6"/>
  <c r="BD105" i="6"/>
  <c r="BC105" i="6"/>
  <c r="BG105" i="6"/>
  <c r="AC105" i="6"/>
  <c r="BF105" i="6"/>
  <c r="AY105" i="6"/>
  <c r="BE105" i="6"/>
  <c r="AJ105" i="6"/>
  <c r="AX105" i="6"/>
  <c r="AR105" i="6"/>
  <c r="AI105" i="6"/>
  <c r="AV105" i="6"/>
  <c r="AP105" i="6"/>
  <c r="BB105" i="6"/>
  <c r="AS105" i="6"/>
  <c r="AZ105" i="6"/>
  <c r="AO105" i="6"/>
  <c r="AT105" i="6"/>
  <c r="AE105" i="6"/>
  <c r="AU105" i="6"/>
  <c r="AM105" i="6"/>
  <c r="AK105" i="6"/>
  <c r="AN105" i="6"/>
  <c r="B107" i="6"/>
  <c r="AD107" i="5"/>
  <c r="J107" i="5"/>
  <c r="E107" i="5"/>
  <c r="H107" i="5"/>
  <c r="D107" i="5"/>
  <c r="B107" i="12" s="1"/>
  <c r="J106" i="12"/>
  <c r="K106" i="12" s="1"/>
  <c r="A106" i="6"/>
  <c r="M106" i="6" s="1"/>
  <c r="BE106" i="6" s="1"/>
  <c r="G107" i="5"/>
  <c r="AE107" i="5"/>
  <c r="K107" i="5"/>
  <c r="A107" i="12"/>
  <c r="J107" i="12" s="1"/>
  <c r="N107" i="5"/>
  <c r="D107" i="6" s="1"/>
  <c r="H107" i="6" s="1"/>
  <c r="T107" i="5" s="1"/>
  <c r="F107" i="5"/>
  <c r="K87" i="5"/>
  <c r="K100" i="5"/>
  <c r="K68" i="5"/>
  <c r="I79" i="5"/>
  <c r="L107" i="12" l="1"/>
  <c r="K107" i="12" s="1"/>
  <c r="AQ106" i="6"/>
  <c r="BC106" i="6"/>
  <c r="AZ106" i="6"/>
  <c r="AM106" i="6"/>
  <c r="AS106" i="6"/>
  <c r="AD106" i="6"/>
  <c r="AG106" i="6"/>
  <c r="AJ106" i="6"/>
  <c r="AR106" i="6"/>
  <c r="AF106" i="6"/>
  <c r="AH106" i="6"/>
  <c r="BA106" i="6"/>
  <c r="AN106" i="6"/>
  <c r="AK106" i="6"/>
  <c r="AY106" i="6"/>
  <c r="BF106" i="6"/>
  <c r="BB106" i="6"/>
  <c r="AV106" i="6"/>
  <c r="AP106" i="6"/>
  <c r="AE106" i="6"/>
  <c r="AX106" i="6"/>
  <c r="AC106" i="6"/>
  <c r="BD106" i="6"/>
  <c r="AI106" i="6"/>
  <c r="AT106" i="6"/>
  <c r="BG106" i="6"/>
  <c r="AU106" i="6"/>
  <c r="AO106" i="6"/>
  <c r="A107" i="6"/>
  <c r="M107" i="6" s="1"/>
  <c r="AF107" i="6" s="1"/>
  <c r="AQ107" i="6" l="1"/>
  <c r="AX107" i="6"/>
  <c r="BD107" i="6"/>
  <c r="AM107" i="6"/>
  <c r="AJ107" i="6"/>
  <c r="AN107" i="6"/>
  <c r="AC107" i="6"/>
  <c r="BC107" i="6"/>
  <c r="BA107" i="6"/>
  <c r="BG107" i="6"/>
  <c r="AR107" i="6"/>
  <c r="AH107" i="6"/>
  <c r="AD107" i="6"/>
  <c r="AU107" i="6"/>
  <c r="AV107" i="6"/>
  <c r="AS107" i="6"/>
  <c r="AO107" i="6"/>
  <c r="AZ107" i="6"/>
  <c r="AG107" i="6"/>
  <c r="AK107" i="6"/>
  <c r="AP107" i="6"/>
  <c r="AI107" i="6"/>
  <c r="AY107" i="6"/>
  <c r="BE107" i="6"/>
  <c r="BF107" i="6"/>
  <c r="AE107" i="6"/>
  <c r="AT107" i="6"/>
  <c r="BB107" i="6"/>
  <c r="F104" i="6"/>
  <c r="E104" i="12"/>
  <c r="W104" i="5"/>
  <c r="N105" i="6" l="1"/>
  <c r="N106" i="6"/>
  <c r="N107" i="6"/>
  <c r="C108" i="5" l="1"/>
  <c r="H108" i="5" l="1"/>
  <c r="C109" i="5"/>
  <c r="N108" i="5"/>
  <c r="D108" i="6" s="1"/>
  <c r="A108" i="12"/>
  <c r="AD108" i="5"/>
  <c r="E108" i="5"/>
  <c r="G108" i="5"/>
  <c r="B108" i="5"/>
  <c r="B108" i="6"/>
  <c r="A108" i="6" s="1"/>
  <c r="F108" i="5"/>
  <c r="AE108" i="5"/>
  <c r="J109" i="5" l="1"/>
  <c r="C110" i="5"/>
  <c r="A109" i="12"/>
  <c r="AD109" i="5"/>
  <c r="F109" i="5"/>
  <c r="N109" i="5"/>
  <c r="D109" i="6" s="1"/>
  <c r="G109" i="5"/>
  <c r="B109" i="6"/>
  <c r="D109" i="5"/>
  <c r="B109" i="12" s="1"/>
  <c r="E109" i="5"/>
  <c r="AE109" i="5"/>
  <c r="K109" i="5"/>
  <c r="B109" i="5"/>
  <c r="H109" i="5"/>
  <c r="M108" i="6"/>
  <c r="AY108" i="6" s="1"/>
  <c r="H108" i="6"/>
  <c r="T108" i="5" s="1"/>
  <c r="BC108" i="6"/>
  <c r="AZ108" i="6"/>
  <c r="AX108" i="6"/>
  <c r="AV108" i="6"/>
  <c r="BG108" i="6"/>
  <c r="AS108" i="6"/>
  <c r="AP108" i="6"/>
  <c r="AR108" i="6"/>
  <c r="BF108" i="6"/>
  <c r="BE108" i="6"/>
  <c r="AU108" i="6"/>
  <c r="AM108" i="6"/>
  <c r="BD108" i="6"/>
  <c r="AT108" i="6"/>
  <c r="AO108" i="6"/>
  <c r="AQ108" i="6"/>
  <c r="BA108" i="6"/>
  <c r="AN108" i="6"/>
  <c r="BB108" i="6"/>
  <c r="N108" i="6"/>
  <c r="G104" i="6"/>
  <c r="A109" i="6" l="1"/>
  <c r="M109" i="6" s="1"/>
  <c r="AC108" i="6"/>
  <c r="AB108" i="6"/>
  <c r="AD108" i="6"/>
  <c r="AF108" i="6"/>
  <c r="AG108" i="6"/>
  <c r="AJ108" i="6"/>
  <c r="AH108" i="6"/>
  <c r="AI108" i="6"/>
  <c r="AK108" i="6"/>
  <c r="AE108" i="6"/>
  <c r="J109" i="12"/>
  <c r="L109" i="12"/>
  <c r="H109" i="6"/>
  <c r="T109" i="5" s="1"/>
  <c r="A110" i="12"/>
  <c r="AE110" i="5"/>
  <c r="D110" i="5"/>
  <c r="B110" i="12" s="1"/>
  <c r="E110" i="5"/>
  <c r="B110" i="5"/>
  <c r="C111" i="5"/>
  <c r="F110" i="5"/>
  <c r="J110" i="5"/>
  <c r="K110" i="5"/>
  <c r="G110" i="5"/>
  <c r="AD110" i="5"/>
  <c r="N110" i="5"/>
  <c r="D110" i="6" s="1"/>
  <c r="H110" i="5"/>
  <c r="B110" i="6"/>
  <c r="AU109" i="6" l="1"/>
  <c r="AT109" i="6"/>
  <c r="AZ109" i="6"/>
  <c r="BC109" i="6"/>
  <c r="AS109" i="6"/>
  <c r="AF109" i="6"/>
  <c r="AV109" i="6"/>
  <c r="AM109" i="6"/>
  <c r="BB109" i="6"/>
  <c r="AQ109" i="6"/>
  <c r="AJ109" i="6"/>
  <c r="BD109" i="6"/>
  <c r="AN109" i="6"/>
  <c r="AH109" i="6"/>
  <c r="AX109" i="6"/>
  <c r="BG109" i="6"/>
  <c r="AR109" i="6"/>
  <c r="BF109" i="6"/>
  <c r="AD109" i="6"/>
  <c r="AI109" i="6"/>
  <c r="AG109" i="6"/>
  <c r="A110" i="6"/>
  <c r="M110" i="6" s="1"/>
  <c r="BE110" i="6" s="1"/>
  <c r="AE109" i="6"/>
  <c r="AC109" i="6"/>
  <c r="K109" i="12"/>
  <c r="AK109" i="6"/>
  <c r="BA109" i="6"/>
  <c r="L110" i="12"/>
  <c r="J110" i="12"/>
  <c r="H110" i="6"/>
  <c r="T110" i="5" s="1"/>
  <c r="AO109" i="6"/>
  <c r="AP109" i="6"/>
  <c r="AY109" i="6"/>
  <c r="BE109" i="6"/>
  <c r="AE111" i="5"/>
  <c r="J111" i="5"/>
  <c r="F111" i="5"/>
  <c r="AD111" i="5"/>
  <c r="N111" i="5"/>
  <c r="D111" i="6" s="1"/>
  <c r="B111" i="6"/>
  <c r="A111" i="12"/>
  <c r="H111" i="5"/>
  <c r="G111" i="5"/>
  <c r="C112" i="5"/>
  <c r="E111" i="5"/>
  <c r="D111" i="5"/>
  <c r="B111" i="12" s="1"/>
  <c r="B111" i="5"/>
  <c r="K111" i="5"/>
  <c r="F108" i="6"/>
  <c r="E108" i="12"/>
  <c r="W108" i="5"/>
  <c r="K110" i="12" l="1"/>
  <c r="BD110" i="6"/>
  <c r="AP110" i="6"/>
  <c r="AD110" i="6"/>
  <c r="BC110" i="6"/>
  <c r="AZ110" i="6"/>
  <c r="AU110" i="6"/>
  <c r="AY110" i="6"/>
  <c r="AV110" i="6"/>
  <c r="AF110" i="6"/>
  <c r="BB110" i="6"/>
  <c r="BA110" i="6"/>
  <c r="AC110" i="6"/>
  <c r="AO110" i="6"/>
  <c r="AR110" i="6"/>
  <c r="AN110" i="6"/>
  <c r="BG110" i="6"/>
  <c r="AI110" i="6"/>
  <c r="AG110" i="6"/>
  <c r="BF110" i="6"/>
  <c r="AM110" i="6"/>
  <c r="AQ110" i="6"/>
  <c r="AS110" i="6"/>
  <c r="AX110" i="6"/>
  <c r="AK110" i="6"/>
  <c r="AT110" i="6"/>
  <c r="AJ110" i="6"/>
  <c r="AE110" i="6"/>
  <c r="L111" i="12"/>
  <c r="J111" i="12"/>
  <c r="F112" i="5"/>
  <c r="E112" i="5"/>
  <c r="D112" i="5"/>
  <c r="B112" i="12" s="1"/>
  <c r="B112" i="5"/>
  <c r="A112" i="12"/>
  <c r="B112" i="6"/>
  <c r="G112" i="5"/>
  <c r="N112" i="5"/>
  <c r="D112" i="6" s="1"/>
  <c r="C113" i="5"/>
  <c r="J112" i="5"/>
  <c r="K112" i="5"/>
  <c r="AE112" i="5"/>
  <c r="H112" i="5"/>
  <c r="AD112" i="5"/>
  <c r="AH110" i="6"/>
  <c r="A111" i="6"/>
  <c r="N111" i="6" s="1"/>
  <c r="H111" i="6"/>
  <c r="T111" i="5" s="1"/>
  <c r="N110" i="6"/>
  <c r="N109" i="6"/>
  <c r="M111" i="6" l="1"/>
  <c r="AQ111" i="6" s="1"/>
  <c r="K111" i="12"/>
  <c r="A112" i="6"/>
  <c r="N112" i="6" s="1"/>
  <c r="H112" i="6"/>
  <c r="T112" i="5" s="1"/>
  <c r="H113" i="5"/>
  <c r="G113" i="5"/>
  <c r="F113" i="5"/>
  <c r="B113" i="6"/>
  <c r="D113" i="5"/>
  <c r="B113" i="12" s="1"/>
  <c r="B113" i="5"/>
  <c r="J113" i="5"/>
  <c r="AE113" i="5"/>
  <c r="E113" i="5"/>
  <c r="C114" i="5"/>
  <c r="AD113" i="5"/>
  <c r="N113" i="5"/>
  <c r="D113" i="6" s="1"/>
  <c r="K113" i="5"/>
  <c r="A113" i="12"/>
  <c r="L112" i="12"/>
  <c r="J112" i="12"/>
  <c r="AI111" i="6" l="1"/>
  <c r="AS111" i="6"/>
  <c r="AT111" i="6"/>
  <c r="BF111" i="6"/>
  <c r="BG111" i="6"/>
  <c r="AU111" i="6"/>
  <c r="AX111" i="6"/>
  <c r="AO111" i="6"/>
  <c r="AD111" i="6"/>
  <c r="AH111" i="6"/>
  <c r="AE111" i="6"/>
  <c r="AV111" i="6"/>
  <c r="BD111" i="6"/>
  <c r="AG111" i="6"/>
  <c r="AJ111" i="6"/>
  <c r="AZ111" i="6"/>
  <c r="AM111" i="6"/>
  <c r="AK111" i="6"/>
  <c r="BB111" i="6"/>
  <c r="AF111" i="6"/>
  <c r="BC111" i="6"/>
  <c r="AR111" i="6"/>
  <c r="BE111" i="6"/>
  <c r="AY111" i="6"/>
  <c r="AN111" i="6"/>
  <c r="AC111" i="6"/>
  <c r="AP111" i="6"/>
  <c r="BA111" i="6"/>
  <c r="H113" i="6"/>
  <c r="T113" i="5" s="1"/>
  <c r="A113" i="6"/>
  <c r="M113" i="6" s="1"/>
  <c r="K112" i="12"/>
  <c r="J113" i="12"/>
  <c r="L113" i="12"/>
  <c r="B114" i="6"/>
  <c r="C115" i="5"/>
  <c r="N114" i="5"/>
  <c r="D114" i="6" s="1"/>
  <c r="J114" i="5"/>
  <c r="AE114" i="5"/>
  <c r="AD114" i="5"/>
  <c r="D114" i="5"/>
  <c r="B114" i="12" s="1"/>
  <c r="A114" i="12"/>
  <c r="B114" i="5"/>
  <c r="E114" i="5"/>
  <c r="H114" i="5"/>
  <c r="K114" i="5"/>
  <c r="G114" i="5"/>
  <c r="F114" i="5"/>
  <c r="M112" i="6"/>
  <c r="K113" i="12" l="1"/>
  <c r="A114" i="6"/>
  <c r="M114" i="6" s="1"/>
  <c r="AV114" i="6" s="1"/>
  <c r="AF113" i="6"/>
  <c r="AH113" i="6"/>
  <c r="AD113" i="6"/>
  <c r="AY113" i="6"/>
  <c r="AN113" i="6"/>
  <c r="BF113" i="6"/>
  <c r="AT113" i="6"/>
  <c r="AS113" i="6"/>
  <c r="BE113" i="6"/>
  <c r="AP113" i="6"/>
  <c r="BB113" i="6"/>
  <c r="AQ113" i="6"/>
  <c r="AV113" i="6"/>
  <c r="AO113" i="6"/>
  <c r="AU113" i="6"/>
  <c r="BC113" i="6"/>
  <c r="AK113" i="6"/>
  <c r="AZ113" i="6"/>
  <c r="BD113" i="6"/>
  <c r="AC113" i="6"/>
  <c r="AM113" i="6"/>
  <c r="BA113" i="6"/>
  <c r="AR113" i="6"/>
  <c r="AX113" i="6"/>
  <c r="BG113" i="6"/>
  <c r="BD112" i="6"/>
  <c r="BG112" i="6"/>
  <c r="AP112" i="6"/>
  <c r="AY112" i="6"/>
  <c r="AK112" i="6"/>
  <c r="AU112" i="6"/>
  <c r="AC112" i="6"/>
  <c r="BF112" i="6"/>
  <c r="AN112" i="6"/>
  <c r="AZ112" i="6"/>
  <c r="AM112" i="6"/>
  <c r="AQ112" i="6"/>
  <c r="AG112" i="6"/>
  <c r="BA112" i="6"/>
  <c r="BB112" i="6"/>
  <c r="AS112" i="6"/>
  <c r="AT112" i="6"/>
  <c r="AV112" i="6"/>
  <c r="AR112" i="6"/>
  <c r="AX112" i="6"/>
  <c r="BE112" i="6"/>
  <c r="AO112" i="6"/>
  <c r="BC112" i="6"/>
  <c r="AF112" i="6"/>
  <c r="H114" i="6"/>
  <c r="T114" i="5" s="1"/>
  <c r="N113" i="6"/>
  <c r="AE113" i="6"/>
  <c r="AI113" i="6"/>
  <c r="AI112" i="6"/>
  <c r="N115" i="5"/>
  <c r="D115" i="6" s="1"/>
  <c r="D115" i="5"/>
  <c r="B115" i="12" s="1"/>
  <c r="A115" i="12"/>
  <c r="E115" i="5"/>
  <c r="F115" i="5"/>
  <c r="AD115" i="5"/>
  <c r="K115" i="5"/>
  <c r="G115" i="5"/>
  <c r="J115" i="5"/>
  <c r="AE115" i="5"/>
  <c r="H115" i="5"/>
  <c r="B115" i="5"/>
  <c r="B115" i="6"/>
  <c r="C116" i="5"/>
  <c r="AJ113" i="6"/>
  <c r="AH112" i="6"/>
  <c r="AE112" i="6"/>
  <c r="AG113" i="6"/>
  <c r="AJ112" i="6"/>
  <c r="J114" i="12"/>
  <c r="L114" i="12"/>
  <c r="AD112" i="6"/>
  <c r="N114" i="6" l="1"/>
  <c r="K114" i="12"/>
  <c r="AQ114" i="6"/>
  <c r="AC114" i="6"/>
  <c r="AM114" i="6"/>
  <c r="BA114" i="6"/>
  <c r="AP114" i="6"/>
  <c r="A115" i="6"/>
  <c r="M115" i="6" s="1"/>
  <c r="BG115" i="6" s="1"/>
  <c r="BG114" i="6"/>
  <c r="AJ114" i="6"/>
  <c r="BD114" i="6"/>
  <c r="AR114" i="6"/>
  <c r="BC114" i="6"/>
  <c r="AS114" i="6"/>
  <c r="AF114" i="6"/>
  <c r="AU114" i="6"/>
  <c r="AX114" i="6"/>
  <c r="L115" i="12"/>
  <c r="J115" i="12"/>
  <c r="A116" i="12"/>
  <c r="J116" i="5"/>
  <c r="AE116" i="5"/>
  <c r="AD116" i="5"/>
  <c r="B116" i="6"/>
  <c r="K116" i="5"/>
  <c r="B116" i="5"/>
  <c r="E116" i="5"/>
  <c r="G116" i="5"/>
  <c r="C117" i="5"/>
  <c r="C118" i="5" s="1"/>
  <c r="C119" i="5" s="1"/>
  <c r="D116" i="5"/>
  <c r="B116" i="12" s="1"/>
  <c r="F116" i="5"/>
  <c r="N116" i="5"/>
  <c r="D116" i="6" s="1"/>
  <c r="H116" i="5"/>
  <c r="AY114" i="6"/>
  <c r="AT114" i="6"/>
  <c r="AO114" i="6"/>
  <c r="AH114" i="6"/>
  <c r="BE114" i="6"/>
  <c r="AI114" i="6"/>
  <c r="AD114" i="6"/>
  <c r="H115" i="6"/>
  <c r="T115" i="5" s="1"/>
  <c r="AE114" i="6"/>
  <c r="BB114" i="6"/>
  <c r="AZ114" i="6"/>
  <c r="BF114" i="6"/>
  <c r="AN114" i="6"/>
  <c r="AK114" i="6"/>
  <c r="AG114" i="6"/>
  <c r="B119" i="6" l="1"/>
  <c r="AD119" i="5"/>
  <c r="D119" i="5"/>
  <c r="B119" i="12" s="1"/>
  <c r="A119" i="12"/>
  <c r="K119" i="5"/>
  <c r="AE119" i="5"/>
  <c r="J119" i="5"/>
  <c r="N119" i="5"/>
  <c r="B118" i="6"/>
  <c r="AD118" i="5"/>
  <c r="D118" i="5"/>
  <c r="B118" i="12" s="1"/>
  <c r="A118" i="12"/>
  <c r="K118" i="5"/>
  <c r="AE118" i="5"/>
  <c r="J118" i="5"/>
  <c r="N118" i="5"/>
  <c r="AE115" i="6"/>
  <c r="BF115" i="6"/>
  <c r="BA115" i="6"/>
  <c r="AM115" i="6"/>
  <c r="N115" i="6"/>
  <c r="AQ115" i="6"/>
  <c r="BE115" i="6"/>
  <c r="BD115" i="6"/>
  <c r="AO115" i="6"/>
  <c r="AP115" i="6"/>
  <c r="AS115" i="6"/>
  <c r="AV115" i="6"/>
  <c r="AR115" i="6"/>
  <c r="AX115" i="6"/>
  <c r="AZ115" i="6"/>
  <c r="BB115" i="6"/>
  <c r="BC115" i="6"/>
  <c r="AN115" i="6"/>
  <c r="AU115" i="6"/>
  <c r="AY115" i="6"/>
  <c r="AT115" i="6"/>
  <c r="AH115" i="6"/>
  <c r="AC115" i="6"/>
  <c r="AF115" i="6"/>
  <c r="AJ115" i="6"/>
  <c r="AG115" i="6"/>
  <c r="AD115" i="6"/>
  <c r="AI115" i="6"/>
  <c r="AK115" i="6"/>
  <c r="K115" i="12"/>
  <c r="B117" i="6"/>
  <c r="E117" i="5"/>
  <c r="E118" i="5" s="1"/>
  <c r="E119" i="5" s="1"/>
  <c r="K117" i="5"/>
  <c r="F117" i="5"/>
  <c r="F118" i="5" s="1"/>
  <c r="F119" i="5" s="1"/>
  <c r="AD117" i="5"/>
  <c r="G117" i="5"/>
  <c r="G118" i="5" s="1"/>
  <c r="G119" i="5" s="1"/>
  <c r="A117" i="12"/>
  <c r="N117" i="5"/>
  <c r="D117" i="6" s="1"/>
  <c r="AE117" i="5"/>
  <c r="H117" i="5"/>
  <c r="H118" i="5" s="1"/>
  <c r="H119" i="5" s="1"/>
  <c r="J117" i="5"/>
  <c r="D117" i="5"/>
  <c r="B117" i="12" s="1"/>
  <c r="B117" i="5"/>
  <c r="B118" i="5" s="1"/>
  <c r="B119" i="5" s="1"/>
  <c r="H116" i="6"/>
  <c r="T116" i="5" s="1"/>
  <c r="A116" i="6"/>
  <c r="M116" i="6" s="1"/>
  <c r="L116" i="12"/>
  <c r="J116" i="12"/>
  <c r="J119" i="12" l="1"/>
  <c r="L119" i="12"/>
  <c r="D119" i="6"/>
  <c r="D118" i="6"/>
  <c r="J118" i="12"/>
  <c r="L118" i="12"/>
  <c r="AI116" i="6"/>
  <c r="K116" i="12"/>
  <c r="AR116" i="6"/>
  <c r="AP116" i="6"/>
  <c r="BG116" i="6"/>
  <c r="AF116" i="6"/>
  <c r="BE116" i="6"/>
  <c r="BC116" i="6"/>
  <c r="AO116" i="6"/>
  <c r="AC116" i="6"/>
  <c r="J117" i="12"/>
  <c r="L117" i="12"/>
  <c r="BB116" i="6"/>
  <c r="AY116" i="6"/>
  <c r="AQ116" i="6"/>
  <c r="AH116" i="6"/>
  <c r="AK116" i="6"/>
  <c r="BA116" i="6"/>
  <c r="AN116" i="6"/>
  <c r="AX116" i="6"/>
  <c r="BD116" i="6"/>
  <c r="AJ116" i="6"/>
  <c r="AV116" i="6"/>
  <c r="AG116" i="6"/>
  <c r="AS116" i="6"/>
  <c r="AT116" i="6"/>
  <c r="N116" i="6"/>
  <c r="AZ116" i="6"/>
  <c r="AE116" i="6"/>
  <c r="AM116" i="6"/>
  <c r="AU116" i="6"/>
  <c r="BF116" i="6"/>
  <c r="AD116" i="6"/>
  <c r="H117" i="6"/>
  <c r="T117" i="5" s="1"/>
  <c r="A117" i="6"/>
  <c r="M117" i="6" s="1"/>
  <c r="AZ117" i="6" s="1"/>
  <c r="I104" i="5"/>
  <c r="K118" i="12" l="1"/>
  <c r="K119" i="12"/>
  <c r="H119" i="6"/>
  <c r="T119" i="5" s="1"/>
  <c r="A118" i="6"/>
  <c r="H118" i="6"/>
  <c r="T118" i="5" s="1"/>
  <c r="K117" i="12"/>
  <c r="AC117" i="6"/>
  <c r="AI117" i="6"/>
  <c r="AP117" i="6"/>
  <c r="BD117" i="6"/>
  <c r="AR117" i="6"/>
  <c r="AV117" i="6"/>
  <c r="AD117" i="6"/>
  <c r="AN117" i="6"/>
  <c r="BC117" i="6"/>
  <c r="AT117" i="6"/>
  <c r="BG117" i="6"/>
  <c r="AK117" i="6"/>
  <c r="AO117" i="6"/>
  <c r="AF117" i="6"/>
  <c r="N117" i="6"/>
  <c r="AG117" i="6"/>
  <c r="AX117" i="6"/>
  <c r="AM117" i="6"/>
  <c r="AY117" i="6"/>
  <c r="AQ117" i="6"/>
  <c r="AH117" i="6"/>
  <c r="BE117" i="6"/>
  <c r="C120" i="5"/>
  <c r="AU117" i="6"/>
  <c r="BB117" i="6"/>
  <c r="AE117" i="6"/>
  <c r="BF117" i="6"/>
  <c r="BA117" i="6"/>
  <c r="AS117" i="6"/>
  <c r="AJ117" i="6"/>
  <c r="I42" i="5"/>
  <c r="N118" i="6" l="1"/>
  <c r="A119" i="6"/>
  <c r="M118" i="6"/>
  <c r="AR118" i="6" s="1"/>
  <c r="H120" i="5"/>
  <c r="A120" i="12"/>
  <c r="J120" i="5"/>
  <c r="N120" i="5"/>
  <c r="D120" i="6" s="1"/>
  <c r="D120" i="5"/>
  <c r="B120" i="12" s="1"/>
  <c r="AE120" i="5"/>
  <c r="B120" i="6"/>
  <c r="F120" i="5"/>
  <c r="E120" i="5"/>
  <c r="C121" i="5"/>
  <c r="K120" i="5"/>
  <c r="B120" i="5"/>
  <c r="AD120" i="5"/>
  <c r="G120" i="5"/>
  <c r="E149" i="12"/>
  <c r="F149" i="6"/>
  <c r="I45" i="5"/>
  <c r="B121" i="6" l="1"/>
  <c r="AD121" i="5"/>
  <c r="D121" i="5"/>
  <c r="B121" i="12" s="1"/>
  <c r="A121" i="12"/>
  <c r="K121" i="5"/>
  <c r="J121" i="5"/>
  <c r="AE121" i="5"/>
  <c r="N121" i="5"/>
  <c r="AJ118" i="6"/>
  <c r="N119" i="6"/>
  <c r="M119" i="6"/>
  <c r="AO118" i="6"/>
  <c r="BG118" i="6"/>
  <c r="BE118" i="6"/>
  <c r="AX118" i="6"/>
  <c r="BA118" i="6"/>
  <c r="AK118" i="6"/>
  <c r="BF118" i="6"/>
  <c r="AZ118" i="6"/>
  <c r="AD118" i="6"/>
  <c r="BD118" i="6"/>
  <c r="AI118" i="6"/>
  <c r="AE118" i="6"/>
  <c r="AS118" i="6"/>
  <c r="AN118" i="6"/>
  <c r="AT118" i="6"/>
  <c r="BB118" i="6"/>
  <c r="AV118" i="6"/>
  <c r="AF118" i="6"/>
  <c r="AG118" i="6"/>
  <c r="AQ118" i="6"/>
  <c r="AM118" i="6"/>
  <c r="AC118" i="6"/>
  <c r="AH118" i="6"/>
  <c r="AP118" i="6"/>
  <c r="AU118" i="6"/>
  <c r="BC118" i="6"/>
  <c r="AY118" i="6"/>
  <c r="H120" i="6"/>
  <c r="T120" i="5" s="1"/>
  <c r="B121" i="5"/>
  <c r="E121" i="5"/>
  <c r="F121" i="5"/>
  <c r="G121" i="5"/>
  <c r="H121" i="5"/>
  <c r="J120" i="12"/>
  <c r="L120" i="12"/>
  <c r="I75" i="5"/>
  <c r="J121" i="12" l="1"/>
  <c r="L121" i="12"/>
  <c r="D121" i="6"/>
  <c r="A120" i="6"/>
  <c r="M120" i="6" s="1"/>
  <c r="AY120" i="6" s="1"/>
  <c r="BE119" i="6"/>
  <c r="AN119" i="6"/>
  <c r="BD119" i="6"/>
  <c r="AM119" i="6"/>
  <c r="BF119" i="6"/>
  <c r="AO119" i="6"/>
  <c r="AT119" i="6"/>
  <c r="AC119" i="6"/>
  <c r="BA119" i="6"/>
  <c r="AZ119" i="6"/>
  <c r="BB119" i="6"/>
  <c r="BG119" i="6"/>
  <c r="AP119" i="6"/>
  <c r="AV119" i="6"/>
  <c r="AU119" i="6"/>
  <c r="AX119" i="6"/>
  <c r="BC119" i="6"/>
  <c r="AR119" i="6"/>
  <c r="AQ119" i="6"/>
  <c r="AS119" i="6"/>
  <c r="AY119" i="6"/>
  <c r="AG119" i="6"/>
  <c r="AK119" i="6"/>
  <c r="AI119" i="6"/>
  <c r="AF119" i="6"/>
  <c r="AD119" i="6"/>
  <c r="AJ119" i="6"/>
  <c r="AE119" i="6"/>
  <c r="AH119" i="6"/>
  <c r="K120" i="12"/>
  <c r="I51" i="5"/>
  <c r="K121" i="12" l="1"/>
  <c r="H121" i="6"/>
  <c r="T121" i="5" s="1"/>
  <c r="BA120" i="6"/>
  <c r="AH120" i="6"/>
  <c r="AZ120" i="6"/>
  <c r="BG120" i="6"/>
  <c r="AK120" i="6"/>
  <c r="AT120" i="6"/>
  <c r="AP120" i="6"/>
  <c r="AQ120" i="6"/>
  <c r="N120" i="6"/>
  <c r="AD120" i="6"/>
  <c r="AO120" i="6"/>
  <c r="BD120" i="6"/>
  <c r="BE120" i="6"/>
  <c r="AJ120" i="6"/>
  <c r="AG120" i="6"/>
  <c r="AM120" i="6"/>
  <c r="AS120" i="6"/>
  <c r="AR120" i="6"/>
  <c r="BC120" i="6"/>
  <c r="AI120" i="6"/>
  <c r="AC120" i="6"/>
  <c r="AF120" i="6"/>
  <c r="AE120" i="6"/>
  <c r="AX120" i="6"/>
  <c r="AV120" i="6"/>
  <c r="AN120" i="6"/>
  <c r="BB120" i="6"/>
  <c r="AU120" i="6"/>
  <c r="BF120" i="6"/>
  <c r="C122" i="5"/>
  <c r="A121" i="6" l="1"/>
  <c r="D122" i="5"/>
  <c r="B122" i="12" s="1"/>
  <c r="J122" i="5"/>
  <c r="B122" i="6"/>
  <c r="K122" i="5"/>
  <c r="F122" i="5"/>
  <c r="E122" i="5"/>
  <c r="AD122" i="5"/>
  <c r="G122" i="5"/>
  <c r="B122" i="5"/>
  <c r="H122" i="5"/>
  <c r="C123" i="5"/>
  <c r="AE122" i="5"/>
  <c r="A122" i="12"/>
  <c r="N122" i="5"/>
  <c r="D122" i="6" s="1"/>
  <c r="N121" i="6" l="1"/>
  <c r="M121" i="6"/>
  <c r="C124" i="5"/>
  <c r="B123" i="6"/>
  <c r="K123" i="5"/>
  <c r="AD123" i="5"/>
  <c r="B123" i="5"/>
  <c r="E123" i="5"/>
  <c r="J123" i="5"/>
  <c r="AE123" i="5"/>
  <c r="H123" i="5"/>
  <c r="F123" i="5"/>
  <c r="N123" i="5"/>
  <c r="D123" i="6" s="1"/>
  <c r="D123" i="5"/>
  <c r="B123" i="12" s="1"/>
  <c r="A123" i="12"/>
  <c r="G123" i="5"/>
  <c r="H122" i="6"/>
  <c r="T122" i="5" s="1"/>
  <c r="J122" i="12"/>
  <c r="L122" i="12"/>
  <c r="AJ121" i="6" l="1"/>
  <c r="BA121" i="6"/>
  <c r="AZ121" i="6"/>
  <c r="AO121" i="6"/>
  <c r="BC121" i="6"/>
  <c r="BF121" i="6"/>
  <c r="AV121" i="6"/>
  <c r="AU121" i="6"/>
  <c r="AY121" i="6"/>
  <c r="AX121" i="6"/>
  <c r="AR121" i="6"/>
  <c r="AQ121" i="6"/>
  <c r="AT121" i="6"/>
  <c r="AS121" i="6"/>
  <c r="BE121" i="6"/>
  <c r="AN121" i="6"/>
  <c r="BD121" i="6"/>
  <c r="AM121" i="6"/>
  <c r="BB121" i="6"/>
  <c r="BG121" i="6"/>
  <c r="AP121" i="6"/>
  <c r="AE121" i="6"/>
  <c r="AI121" i="6"/>
  <c r="AG121" i="6"/>
  <c r="AC121" i="6"/>
  <c r="AF121" i="6"/>
  <c r="AK121" i="6"/>
  <c r="AD121" i="6"/>
  <c r="AH121" i="6"/>
  <c r="A122" i="6"/>
  <c r="N122" i="6" s="1"/>
  <c r="C125" i="5"/>
  <c r="C126" i="5" s="1"/>
  <c r="H124" i="5"/>
  <c r="B124" i="5"/>
  <c r="K122" i="12"/>
  <c r="L123" i="12"/>
  <c r="J123" i="12"/>
  <c r="A124" i="12"/>
  <c r="AD124" i="5"/>
  <c r="K124" i="5"/>
  <c r="D124" i="5"/>
  <c r="B124" i="12" s="1"/>
  <c r="J124" i="5"/>
  <c r="AE124" i="5"/>
  <c r="B124" i="6"/>
  <c r="N124" i="5"/>
  <c r="D124" i="6" s="1"/>
  <c r="H123" i="6"/>
  <c r="T123" i="5" s="1"/>
  <c r="G124" i="5"/>
  <c r="F124" i="5"/>
  <c r="E124" i="5"/>
  <c r="E171" i="12"/>
  <c r="F171" i="6"/>
  <c r="M122" i="6" l="1"/>
  <c r="BE122" i="6" s="1"/>
  <c r="A123" i="6"/>
  <c r="N123" i="6" s="1"/>
  <c r="C127" i="5"/>
  <c r="A127" i="12" s="1"/>
  <c r="B126" i="6"/>
  <c r="A126" i="12"/>
  <c r="L126" i="12" s="1"/>
  <c r="N126" i="5"/>
  <c r="D126" i="6" s="1"/>
  <c r="J126" i="5"/>
  <c r="D126" i="5"/>
  <c r="B126" i="12" s="1"/>
  <c r="AE126" i="5"/>
  <c r="K126" i="5"/>
  <c r="AD126" i="5"/>
  <c r="B125" i="6"/>
  <c r="AD125" i="5"/>
  <c r="H125" i="5"/>
  <c r="H126" i="5" s="1"/>
  <c r="D125" i="5"/>
  <c r="B125" i="12" s="1"/>
  <c r="A125" i="12"/>
  <c r="K125" i="5"/>
  <c r="J125" i="5"/>
  <c r="F125" i="5"/>
  <c r="F126" i="5" s="1"/>
  <c r="B125" i="5"/>
  <c r="B126" i="5" s="1"/>
  <c r="AE125" i="5"/>
  <c r="N125" i="5"/>
  <c r="E125" i="5"/>
  <c r="E126" i="5" s="1"/>
  <c r="G125" i="5"/>
  <c r="G126" i="5" s="1"/>
  <c r="K123" i="12"/>
  <c r="H124" i="6"/>
  <c r="T124" i="5" s="1"/>
  <c r="L124" i="12"/>
  <c r="J124" i="12"/>
  <c r="BC122" i="6" l="1"/>
  <c r="BD122" i="6"/>
  <c r="BF122" i="6"/>
  <c r="AR122" i="6"/>
  <c r="AC122" i="6"/>
  <c r="AI122" i="6"/>
  <c r="AS122" i="6"/>
  <c r="AH122" i="6"/>
  <c r="AQ122" i="6"/>
  <c r="AX122" i="6"/>
  <c r="AD122" i="6"/>
  <c r="AM122" i="6"/>
  <c r="AF122" i="6"/>
  <c r="AV122" i="6"/>
  <c r="AK122" i="6"/>
  <c r="AE122" i="6"/>
  <c r="BA122" i="6"/>
  <c r="BG122" i="6"/>
  <c r="AY122" i="6"/>
  <c r="AO122" i="6"/>
  <c r="BB122" i="6"/>
  <c r="AT122" i="6"/>
  <c r="AN122" i="6"/>
  <c r="AJ122" i="6"/>
  <c r="AU122" i="6"/>
  <c r="AP122" i="6"/>
  <c r="AZ122" i="6"/>
  <c r="AG122" i="6"/>
  <c r="A124" i="6"/>
  <c r="M124" i="6" s="1"/>
  <c r="BF124" i="6" s="1"/>
  <c r="M123" i="6"/>
  <c r="AZ123" i="6" s="1"/>
  <c r="J126" i="12"/>
  <c r="K126" i="12" s="1"/>
  <c r="AD127" i="5"/>
  <c r="AE127" i="5"/>
  <c r="J127" i="5"/>
  <c r="B127" i="6"/>
  <c r="H127" i="5"/>
  <c r="D127" i="5"/>
  <c r="B127" i="12" s="1"/>
  <c r="G127" i="5"/>
  <c r="B127" i="5"/>
  <c r="F127" i="5"/>
  <c r="K127" i="5"/>
  <c r="N127" i="5"/>
  <c r="D127" i="6" s="1"/>
  <c r="E127" i="5"/>
  <c r="J125" i="12"/>
  <c r="L125" i="12"/>
  <c r="D125" i="6"/>
  <c r="H126" i="6"/>
  <c r="T126" i="5" s="1"/>
  <c r="J127" i="12"/>
  <c r="L127" i="12"/>
  <c r="K124" i="12"/>
  <c r="AX124" i="6" l="1"/>
  <c r="A125" i="6"/>
  <c r="A126" i="6" s="1"/>
  <c r="M126" i="6" s="1"/>
  <c r="AR126" i="6" s="1"/>
  <c r="N124" i="6"/>
  <c r="AK124" i="6"/>
  <c r="AI124" i="6"/>
  <c r="AY124" i="6"/>
  <c r="BC124" i="6"/>
  <c r="BA124" i="6"/>
  <c r="AH124" i="6"/>
  <c r="AM124" i="6"/>
  <c r="AO124" i="6"/>
  <c r="AP124" i="6"/>
  <c r="AS124" i="6"/>
  <c r="AG124" i="6"/>
  <c r="AJ124" i="6"/>
  <c r="AU124" i="6"/>
  <c r="AZ124" i="6"/>
  <c r="BG124" i="6"/>
  <c r="AQ124" i="6"/>
  <c r="AR124" i="6"/>
  <c r="BE124" i="6"/>
  <c r="AV124" i="6"/>
  <c r="BD124" i="6"/>
  <c r="AE124" i="6"/>
  <c r="AF124" i="6"/>
  <c r="AC124" i="6"/>
  <c r="BB124" i="6"/>
  <c r="AN124" i="6"/>
  <c r="AD124" i="6"/>
  <c r="AT124" i="6"/>
  <c r="BG123" i="6"/>
  <c r="AC123" i="6"/>
  <c r="AG123" i="6"/>
  <c r="AK123" i="6"/>
  <c r="AS123" i="6"/>
  <c r="AJ123" i="6"/>
  <c r="AD123" i="6"/>
  <c r="BD123" i="6"/>
  <c r="AN123" i="6"/>
  <c r="AI123" i="6"/>
  <c r="AR123" i="6"/>
  <c r="BF123" i="6"/>
  <c r="AV123" i="6"/>
  <c r="AQ123" i="6"/>
  <c r="AP123" i="6"/>
  <c r="AO123" i="6"/>
  <c r="AX123" i="6"/>
  <c r="AY123" i="6"/>
  <c r="BC123" i="6"/>
  <c r="AM123" i="6"/>
  <c r="AU123" i="6"/>
  <c r="AT123" i="6"/>
  <c r="BA123" i="6"/>
  <c r="AF123" i="6"/>
  <c r="BE123" i="6"/>
  <c r="AE123" i="6"/>
  <c r="AH123" i="6"/>
  <c r="BB123" i="6"/>
  <c r="K125" i="12"/>
  <c r="H125" i="6"/>
  <c r="T125" i="5" s="1"/>
  <c r="K127" i="12"/>
  <c r="H127" i="6"/>
  <c r="T127" i="5" s="1"/>
  <c r="A127" i="6" l="1"/>
  <c r="N127" i="6" s="1"/>
  <c r="AE126" i="6"/>
  <c r="AP126" i="6"/>
  <c r="AD126" i="6"/>
  <c r="AC126" i="6"/>
  <c r="AH126" i="6"/>
  <c r="AO126" i="6"/>
  <c r="BA126" i="6"/>
  <c r="AM126" i="6"/>
  <c r="AQ126" i="6"/>
  <c r="AZ126" i="6"/>
  <c r="AT126" i="6"/>
  <c r="AG126" i="6"/>
  <c r="AF126" i="6"/>
  <c r="AK126" i="6"/>
  <c r="BF126" i="6"/>
  <c r="AV126" i="6"/>
  <c r="BD126" i="6"/>
  <c r="BE126" i="6"/>
  <c r="M125" i="6"/>
  <c r="BE125" i="6" s="1"/>
  <c r="AJ126" i="6"/>
  <c r="N126" i="6"/>
  <c r="AI126" i="6"/>
  <c r="BC126" i="6"/>
  <c r="AS126" i="6"/>
  <c r="AN126" i="6"/>
  <c r="AY126" i="6"/>
  <c r="N125" i="6"/>
  <c r="BB126" i="6"/>
  <c r="AU126" i="6"/>
  <c r="BG126" i="6"/>
  <c r="AX126" i="6"/>
  <c r="M127" i="6" l="1"/>
  <c r="AE127" i="6" s="1"/>
  <c r="BD125" i="6"/>
  <c r="AS125" i="6"/>
  <c r="AH125" i="6"/>
  <c r="AO125" i="6"/>
  <c r="AD125" i="6"/>
  <c r="AJ125" i="6"/>
  <c r="AC125" i="6"/>
  <c r="BA125" i="6"/>
  <c r="BG125" i="6"/>
  <c r="AI125" i="6"/>
  <c r="AK125" i="6"/>
  <c r="AE125" i="6"/>
  <c r="AG125" i="6"/>
  <c r="AQ125" i="6"/>
  <c r="AX125" i="6"/>
  <c r="AM125" i="6"/>
  <c r="BC125" i="6"/>
  <c r="AV125" i="6"/>
  <c r="AY125" i="6"/>
  <c r="AR125" i="6"/>
  <c r="AT125" i="6"/>
  <c r="AN125" i="6"/>
  <c r="AP125" i="6"/>
  <c r="AZ125" i="6"/>
  <c r="BF125" i="6"/>
  <c r="AU125" i="6"/>
  <c r="BB125" i="6"/>
  <c r="AF125" i="6"/>
  <c r="AZ127" i="6" l="1"/>
  <c r="AN127" i="6"/>
  <c r="BB127" i="6"/>
  <c r="BD127" i="6"/>
  <c r="AD127" i="6"/>
  <c r="BG127" i="6"/>
  <c r="AX127" i="6"/>
  <c r="AK127" i="6"/>
  <c r="AY127" i="6"/>
  <c r="AI127" i="6"/>
  <c r="AO127" i="6"/>
  <c r="AS127" i="6"/>
  <c r="AU127" i="6"/>
  <c r="AT127" i="6"/>
  <c r="BF127" i="6"/>
  <c r="BA127" i="6"/>
  <c r="AQ127" i="6"/>
  <c r="AP127" i="6"/>
  <c r="AR127" i="6"/>
  <c r="AF127" i="6"/>
  <c r="AH127" i="6"/>
  <c r="AC127" i="6"/>
  <c r="AV127" i="6"/>
  <c r="BC127" i="6"/>
  <c r="AJ127" i="6"/>
  <c r="BE127" i="6"/>
  <c r="AM127" i="6"/>
  <c r="AG127" i="6"/>
  <c r="C128" i="5" l="1"/>
  <c r="B128" i="6" l="1"/>
  <c r="AD128" i="5"/>
  <c r="D128" i="5"/>
  <c r="B128" i="12" s="1"/>
  <c r="A128" i="12"/>
  <c r="K128" i="5"/>
  <c r="AE128" i="5"/>
  <c r="J128" i="5"/>
  <c r="N128" i="5"/>
  <c r="G128" i="5"/>
  <c r="F128" i="5"/>
  <c r="B128" i="5"/>
  <c r="E128" i="5"/>
  <c r="H128" i="5"/>
  <c r="C129" i="5"/>
  <c r="J128" i="12" l="1"/>
  <c r="L128" i="12"/>
  <c r="D128" i="6"/>
  <c r="B129" i="6"/>
  <c r="C130" i="5"/>
  <c r="C131" i="5" s="1"/>
  <c r="AE129" i="5"/>
  <c r="N129" i="5"/>
  <c r="J129" i="5"/>
  <c r="AD129" i="5"/>
  <c r="D129" i="5"/>
  <c r="B129" i="12" s="1"/>
  <c r="K129" i="5"/>
  <c r="A129" i="12"/>
  <c r="F129" i="5"/>
  <c r="G129" i="5"/>
  <c r="E129" i="5"/>
  <c r="H129" i="5"/>
  <c r="I100" i="5"/>
  <c r="I87" i="5"/>
  <c r="I108" i="5"/>
  <c r="B131" i="6" l="1"/>
  <c r="J131" i="5"/>
  <c r="AD131" i="5"/>
  <c r="D131" i="5"/>
  <c r="B131" i="12" s="1"/>
  <c r="A131" i="12"/>
  <c r="AE131" i="5"/>
  <c r="N131" i="5"/>
  <c r="K131" i="5"/>
  <c r="K128" i="12"/>
  <c r="H128" i="6"/>
  <c r="T128" i="5" s="1"/>
  <c r="A130" i="12"/>
  <c r="B130" i="6"/>
  <c r="K130" i="5"/>
  <c r="G130" i="5"/>
  <c r="G131" i="5" s="1"/>
  <c r="J130" i="5"/>
  <c r="F130" i="5"/>
  <c r="F131" i="5" s="1"/>
  <c r="AD130" i="5"/>
  <c r="H130" i="5"/>
  <c r="H131" i="5" s="1"/>
  <c r="D130" i="5"/>
  <c r="B130" i="12" s="1"/>
  <c r="C132" i="5"/>
  <c r="AE130" i="5"/>
  <c r="N130" i="5"/>
  <c r="E130" i="5"/>
  <c r="E131" i="5" s="1"/>
  <c r="L129" i="12"/>
  <c r="J129" i="12"/>
  <c r="D129" i="6"/>
  <c r="B129" i="5"/>
  <c r="B130" i="5" s="1"/>
  <c r="B131" i="5" s="1"/>
  <c r="F159" i="6"/>
  <c r="E159" i="12"/>
  <c r="J131" i="12" l="1"/>
  <c r="L131" i="12"/>
  <c r="D131" i="6"/>
  <c r="A128" i="6"/>
  <c r="K129" i="12"/>
  <c r="B132" i="6"/>
  <c r="C133" i="5"/>
  <c r="C134" i="5" s="1"/>
  <c r="AE132" i="5"/>
  <c r="N132" i="5"/>
  <c r="E132" i="5"/>
  <c r="AD132" i="5"/>
  <c r="H132" i="5"/>
  <c r="D132" i="5"/>
  <c r="B132" i="12" s="1"/>
  <c r="J132" i="5"/>
  <c r="B132" i="5"/>
  <c r="K132" i="5"/>
  <c r="G132" i="5"/>
  <c r="A132" i="12"/>
  <c r="F132" i="5"/>
  <c r="J130" i="12"/>
  <c r="L130" i="12"/>
  <c r="H129" i="6"/>
  <c r="T129" i="5" s="1"/>
  <c r="D130" i="6"/>
  <c r="K131" i="12" l="1"/>
  <c r="H131" i="6"/>
  <c r="T131" i="5" s="1"/>
  <c r="C135" i="5"/>
  <c r="AD134" i="5"/>
  <c r="N134" i="5"/>
  <c r="J134" i="5"/>
  <c r="B134" i="6"/>
  <c r="D134" i="5"/>
  <c r="B134" i="12" s="1"/>
  <c r="AE134" i="5"/>
  <c r="K134" i="5"/>
  <c r="A134" i="12"/>
  <c r="A129" i="6"/>
  <c r="N129" i="6" s="1"/>
  <c r="N128" i="6"/>
  <c r="M128" i="6"/>
  <c r="K130" i="12"/>
  <c r="H130" i="6"/>
  <c r="T130" i="5" s="1"/>
  <c r="A133" i="12"/>
  <c r="B133" i="6"/>
  <c r="K133" i="5"/>
  <c r="G133" i="5"/>
  <c r="G134" i="5" s="1"/>
  <c r="J133" i="5"/>
  <c r="F133" i="5"/>
  <c r="F134" i="5" s="1"/>
  <c r="B133" i="5"/>
  <c r="B134" i="5" s="1"/>
  <c r="AD133" i="5"/>
  <c r="H133" i="5"/>
  <c r="H134" i="5" s="1"/>
  <c r="AE133" i="5"/>
  <c r="N133" i="5"/>
  <c r="E133" i="5"/>
  <c r="E134" i="5" s="1"/>
  <c r="D133" i="5"/>
  <c r="B133" i="12" s="1"/>
  <c r="D132" i="6"/>
  <c r="L132" i="12"/>
  <c r="J132" i="12"/>
  <c r="I68" i="5"/>
  <c r="I66" i="5"/>
  <c r="L134" i="12" l="1"/>
  <c r="J134" i="12"/>
  <c r="D134" i="6"/>
  <c r="A135" i="12"/>
  <c r="C136" i="5"/>
  <c r="AE135" i="5"/>
  <c r="N135" i="5"/>
  <c r="E135" i="5"/>
  <c r="AD135" i="5"/>
  <c r="H135" i="5"/>
  <c r="J135" i="5"/>
  <c r="B135" i="6"/>
  <c r="G135" i="5"/>
  <c r="B135" i="5"/>
  <c r="D135" i="5"/>
  <c r="B135" i="12" s="1"/>
  <c r="K135" i="5"/>
  <c r="F135" i="5"/>
  <c r="A130" i="6"/>
  <c r="M129" i="6"/>
  <c r="AR129" i="6" s="1"/>
  <c r="BE128" i="6"/>
  <c r="AN128" i="6"/>
  <c r="BD128" i="6"/>
  <c r="AM128" i="6"/>
  <c r="BF128" i="6"/>
  <c r="AO128" i="6"/>
  <c r="AT128" i="6"/>
  <c r="BA128" i="6"/>
  <c r="AZ128" i="6"/>
  <c r="BB128" i="6"/>
  <c r="BG128" i="6"/>
  <c r="AP128" i="6"/>
  <c r="AV128" i="6"/>
  <c r="AU128" i="6"/>
  <c r="AX128" i="6"/>
  <c r="BC128" i="6"/>
  <c r="AR128" i="6"/>
  <c r="AQ128" i="6"/>
  <c r="AS128" i="6"/>
  <c r="AY128" i="6"/>
  <c r="AG128" i="6"/>
  <c r="AD128" i="6"/>
  <c r="AJ128" i="6"/>
  <c r="AE128" i="6"/>
  <c r="AH128" i="6"/>
  <c r="AC128" i="6"/>
  <c r="AK128" i="6"/>
  <c r="AI128" i="6"/>
  <c r="AF128" i="6"/>
  <c r="K132" i="12"/>
  <c r="D133" i="6"/>
  <c r="H132" i="6"/>
  <c r="T132" i="5" s="1"/>
  <c r="J133" i="12"/>
  <c r="L133" i="12"/>
  <c r="N130" i="6" l="1"/>
  <c r="A131" i="6"/>
  <c r="A132" i="6" s="1"/>
  <c r="N132" i="6" s="1"/>
  <c r="K134" i="12"/>
  <c r="H134" i="6"/>
  <c r="T134" i="5" s="1"/>
  <c r="K136" i="5"/>
  <c r="G136" i="5"/>
  <c r="B136" i="6"/>
  <c r="C137" i="5"/>
  <c r="C138" i="5" s="1"/>
  <c r="J136" i="5"/>
  <c r="E136" i="5"/>
  <c r="F136" i="5"/>
  <c r="AE136" i="5"/>
  <c r="D136" i="5"/>
  <c r="B136" i="12" s="1"/>
  <c r="AD136" i="5"/>
  <c r="N136" i="5"/>
  <c r="H136" i="5"/>
  <c r="B136" i="5"/>
  <c r="A136" i="12"/>
  <c r="D135" i="6"/>
  <c r="J135" i="12"/>
  <c r="L135" i="12"/>
  <c r="AC129" i="6"/>
  <c r="AY129" i="6"/>
  <c r="AH129" i="6"/>
  <c r="BF129" i="6"/>
  <c r="AJ129" i="6"/>
  <c r="BA129" i="6"/>
  <c r="AT129" i="6"/>
  <c r="BC129" i="6"/>
  <c r="BE129" i="6"/>
  <c r="BG129" i="6"/>
  <c r="M130" i="6"/>
  <c r="BA130" i="6" s="1"/>
  <c r="AD129" i="6"/>
  <c r="AQ129" i="6"/>
  <c r="AS129" i="6"/>
  <c r="AX129" i="6"/>
  <c r="AG129" i="6"/>
  <c r="AU129" i="6"/>
  <c r="AZ129" i="6"/>
  <c r="AP129" i="6"/>
  <c r="AF129" i="6"/>
  <c r="BB129" i="6"/>
  <c r="AM129" i="6"/>
  <c r="AE129" i="6"/>
  <c r="AO129" i="6"/>
  <c r="AV129" i="6"/>
  <c r="AN129" i="6"/>
  <c r="AI129" i="6"/>
  <c r="AK129" i="6"/>
  <c r="BD129" i="6"/>
  <c r="K133" i="12"/>
  <c r="H133" i="6"/>
  <c r="T133" i="5" s="1"/>
  <c r="M131" i="6" l="1"/>
  <c r="N131" i="6"/>
  <c r="AD138" i="5"/>
  <c r="B138" i="6"/>
  <c r="N138" i="5"/>
  <c r="C139" i="5"/>
  <c r="C140" i="5" s="1"/>
  <c r="D138" i="5"/>
  <c r="B138" i="12" s="1"/>
  <c r="A138" i="12"/>
  <c r="K138" i="5"/>
  <c r="AE138" i="5"/>
  <c r="J138" i="5"/>
  <c r="K135" i="12"/>
  <c r="D136" i="6"/>
  <c r="J137" i="5"/>
  <c r="F137" i="5"/>
  <c r="F138" i="5" s="1"/>
  <c r="B137" i="5"/>
  <c r="B138" i="5" s="1"/>
  <c r="A137" i="12"/>
  <c r="AE137" i="5"/>
  <c r="N137" i="5"/>
  <c r="E137" i="5"/>
  <c r="E138" i="5" s="1"/>
  <c r="B137" i="6"/>
  <c r="K137" i="5"/>
  <c r="AD137" i="5"/>
  <c r="H137" i="5"/>
  <c r="H138" i="5" s="1"/>
  <c r="G137" i="5"/>
  <c r="G138" i="5" s="1"/>
  <c r="D137" i="5"/>
  <c r="B137" i="12" s="1"/>
  <c r="H135" i="6"/>
  <c r="T135" i="5" s="1"/>
  <c r="L136" i="12"/>
  <c r="J136" i="12"/>
  <c r="A133" i="6"/>
  <c r="A134" i="6" s="1"/>
  <c r="M132" i="6"/>
  <c r="AT132" i="6" s="1"/>
  <c r="AM130" i="6"/>
  <c r="AY130" i="6"/>
  <c r="AP130" i="6"/>
  <c r="AN130" i="6"/>
  <c r="BB130" i="6"/>
  <c r="AE130" i="6"/>
  <c r="AT130" i="6"/>
  <c r="AG130" i="6"/>
  <c r="AO130" i="6"/>
  <c r="AX130" i="6"/>
  <c r="AR130" i="6"/>
  <c r="AD130" i="6"/>
  <c r="AC130" i="6"/>
  <c r="BF130" i="6"/>
  <c r="AV130" i="6"/>
  <c r="AS130" i="6"/>
  <c r="AU130" i="6"/>
  <c r="AJ130" i="6"/>
  <c r="AQ130" i="6"/>
  <c r="AZ130" i="6"/>
  <c r="BD130" i="6"/>
  <c r="AF130" i="6"/>
  <c r="BG130" i="6"/>
  <c r="BE130" i="6"/>
  <c r="AI130" i="6"/>
  <c r="BC130" i="6"/>
  <c r="AK130" i="6"/>
  <c r="AH130" i="6"/>
  <c r="BE131" i="6" l="1"/>
  <c r="AN131" i="6"/>
  <c r="BG131" i="6"/>
  <c r="AP131" i="6"/>
  <c r="AQ131" i="6"/>
  <c r="AS131" i="6"/>
  <c r="BA131" i="6"/>
  <c r="BC131" i="6"/>
  <c r="BD131" i="6"/>
  <c r="AM131" i="6"/>
  <c r="BF131" i="6"/>
  <c r="AO131" i="6"/>
  <c r="AV131" i="6"/>
  <c r="AY131" i="6"/>
  <c r="AZ131" i="6"/>
  <c r="BB131" i="6"/>
  <c r="AR131" i="6"/>
  <c r="AT131" i="6"/>
  <c r="AC131" i="6"/>
  <c r="AU131" i="6"/>
  <c r="AD131" i="6"/>
  <c r="AX131" i="6"/>
  <c r="AF131" i="6"/>
  <c r="AJ131" i="6"/>
  <c r="AK131" i="6"/>
  <c r="AE131" i="6"/>
  <c r="AH131" i="6"/>
  <c r="AI131" i="6"/>
  <c r="AG131" i="6"/>
  <c r="B140" i="6"/>
  <c r="A140" i="12"/>
  <c r="K140" i="5"/>
  <c r="C141" i="5"/>
  <c r="AE140" i="5"/>
  <c r="N140" i="5"/>
  <c r="D140" i="5"/>
  <c r="B140" i="12" s="1"/>
  <c r="AD140" i="5"/>
  <c r="J140" i="5"/>
  <c r="D138" i="6"/>
  <c r="L138" i="12"/>
  <c r="J138" i="12"/>
  <c r="J139" i="5"/>
  <c r="F139" i="5"/>
  <c r="F140" i="5" s="1"/>
  <c r="B139" i="5"/>
  <c r="B140" i="5" s="1"/>
  <c r="A139" i="12"/>
  <c r="AE139" i="5"/>
  <c r="N139" i="5"/>
  <c r="E139" i="5"/>
  <c r="E140" i="5" s="1"/>
  <c r="B139" i="6"/>
  <c r="AD139" i="5"/>
  <c r="D139" i="5"/>
  <c r="B139" i="12" s="1"/>
  <c r="K139" i="5"/>
  <c r="H139" i="5"/>
  <c r="H140" i="5" s="1"/>
  <c r="G139" i="5"/>
  <c r="G140" i="5" s="1"/>
  <c r="K136" i="12"/>
  <c r="J137" i="12"/>
  <c r="L137" i="12"/>
  <c r="H136" i="6"/>
  <c r="T136" i="5" s="1"/>
  <c r="A135" i="6"/>
  <c r="N134" i="6"/>
  <c r="M134" i="6"/>
  <c r="D137" i="6"/>
  <c r="N133" i="6"/>
  <c r="M133" i="6"/>
  <c r="AG133" i="6" s="1"/>
  <c r="AR132" i="6"/>
  <c r="AV132" i="6"/>
  <c r="AY132" i="6"/>
  <c r="AJ132" i="6"/>
  <c r="BD132" i="6"/>
  <c r="BE132" i="6"/>
  <c r="AP132" i="6"/>
  <c r="AZ132" i="6"/>
  <c r="AM132" i="6"/>
  <c r="AE132" i="6"/>
  <c r="BB132" i="6"/>
  <c r="AH132" i="6"/>
  <c r="BG132" i="6"/>
  <c r="BA132" i="6"/>
  <c r="AQ132" i="6"/>
  <c r="AX132" i="6"/>
  <c r="AS132" i="6"/>
  <c r="BC132" i="6"/>
  <c r="AK132" i="6"/>
  <c r="AO132" i="6"/>
  <c r="AG132" i="6"/>
  <c r="AD132" i="6"/>
  <c r="BF132" i="6"/>
  <c r="AU132" i="6"/>
  <c r="AN132" i="6"/>
  <c r="AF132" i="6"/>
  <c r="AC132" i="6"/>
  <c r="AI132" i="6"/>
  <c r="F188" i="6"/>
  <c r="E188" i="12"/>
  <c r="D140" i="6" l="1"/>
  <c r="J140" i="12"/>
  <c r="L140" i="12"/>
  <c r="B141" i="6"/>
  <c r="C142" i="5"/>
  <c r="AE141" i="5"/>
  <c r="N141" i="5"/>
  <c r="E141" i="5"/>
  <c r="K141" i="5"/>
  <c r="G141" i="5"/>
  <c r="A141" i="12"/>
  <c r="D141" i="5"/>
  <c r="B141" i="12" s="1"/>
  <c r="AD141" i="5"/>
  <c r="H141" i="5"/>
  <c r="F141" i="5"/>
  <c r="J141" i="5"/>
  <c r="B141" i="5"/>
  <c r="K138" i="12"/>
  <c r="D139" i="6"/>
  <c r="J139" i="12"/>
  <c r="L139" i="12"/>
  <c r="H138" i="6"/>
  <c r="T138" i="5" s="1"/>
  <c r="K137" i="12"/>
  <c r="AY134" i="6"/>
  <c r="BB134" i="6"/>
  <c r="BD134" i="6"/>
  <c r="BA134" i="6"/>
  <c r="AZ134" i="6"/>
  <c r="BE134" i="6"/>
  <c r="AT134" i="6"/>
  <c r="AX134" i="6"/>
  <c r="AU134" i="6"/>
  <c r="AR134" i="6"/>
  <c r="AQ134" i="6"/>
  <c r="AV134" i="6"/>
  <c r="BG134" i="6"/>
  <c r="AP134" i="6"/>
  <c r="AS134" i="6"/>
  <c r="AM134" i="6"/>
  <c r="AI134" i="6"/>
  <c r="AH134" i="6"/>
  <c r="AN134" i="6"/>
  <c r="BC134" i="6"/>
  <c r="BF134" i="6"/>
  <c r="AO134" i="6"/>
  <c r="AD134" i="6"/>
  <c r="AE134" i="6"/>
  <c r="AJ134" i="6"/>
  <c r="AG134" i="6"/>
  <c r="AK134" i="6"/>
  <c r="AF134" i="6"/>
  <c r="AC134" i="6"/>
  <c r="A136" i="6"/>
  <c r="N135" i="6"/>
  <c r="M135" i="6"/>
  <c r="H137" i="6"/>
  <c r="T137" i="5" s="1"/>
  <c r="AU133" i="6"/>
  <c r="BG133" i="6"/>
  <c r="BB133" i="6"/>
  <c r="AE133" i="6"/>
  <c r="AO133" i="6"/>
  <c r="AH133" i="6"/>
  <c r="AT133" i="6"/>
  <c r="AF133" i="6"/>
  <c r="AC133" i="6"/>
  <c r="BF133" i="6"/>
  <c r="AX133" i="6"/>
  <c r="BC133" i="6"/>
  <c r="AN133" i="6"/>
  <c r="BD133" i="6"/>
  <c r="AY133" i="6"/>
  <c r="AS133" i="6"/>
  <c r="AD133" i="6"/>
  <c r="AM133" i="6"/>
  <c r="AV133" i="6"/>
  <c r="AZ133" i="6"/>
  <c r="AQ133" i="6"/>
  <c r="BE133" i="6"/>
  <c r="BA133" i="6"/>
  <c r="AP133" i="6"/>
  <c r="AK133" i="6"/>
  <c r="AR133" i="6"/>
  <c r="AJ133" i="6"/>
  <c r="AI133" i="6"/>
  <c r="K140" i="12" l="1"/>
  <c r="L141" i="12"/>
  <c r="J141" i="12"/>
  <c r="H140" i="6"/>
  <c r="T140" i="5" s="1"/>
  <c r="B142" i="6"/>
  <c r="A142" i="12"/>
  <c r="K142" i="5"/>
  <c r="G142" i="5"/>
  <c r="C143" i="5"/>
  <c r="AE142" i="5"/>
  <c r="N142" i="5"/>
  <c r="E142" i="5"/>
  <c r="D142" i="5"/>
  <c r="B142" i="12" s="1"/>
  <c r="AD142" i="5"/>
  <c r="H142" i="5"/>
  <c r="J142" i="5"/>
  <c r="B142" i="5"/>
  <c r="F142" i="5"/>
  <c r="D141" i="6"/>
  <c r="K139" i="12"/>
  <c r="H139" i="6"/>
  <c r="T139" i="5" s="1"/>
  <c r="N136" i="6"/>
  <c r="M136" i="6"/>
  <c r="A137" i="6"/>
  <c r="A138" i="6" s="1"/>
  <c r="AY135" i="6"/>
  <c r="BB135" i="6"/>
  <c r="BE135" i="6"/>
  <c r="AN135" i="6"/>
  <c r="BD135" i="6"/>
  <c r="AU135" i="6"/>
  <c r="AT135" i="6"/>
  <c r="AC135" i="6"/>
  <c r="AX135" i="6"/>
  <c r="AF135" i="6"/>
  <c r="BA135" i="6"/>
  <c r="AI135" i="6"/>
  <c r="AM135" i="6"/>
  <c r="AD135" i="6"/>
  <c r="BG135" i="6"/>
  <c r="AP135" i="6"/>
  <c r="AS135" i="6"/>
  <c r="AV135" i="6"/>
  <c r="AE135" i="6"/>
  <c r="AZ135" i="6"/>
  <c r="AQ135" i="6"/>
  <c r="BC135" i="6"/>
  <c r="BF135" i="6"/>
  <c r="AO135" i="6"/>
  <c r="AR135" i="6"/>
  <c r="AH135" i="6"/>
  <c r="AK135" i="6"/>
  <c r="AJ135" i="6"/>
  <c r="AG135" i="6"/>
  <c r="B143" i="6" l="1"/>
  <c r="C144" i="5"/>
  <c r="C145" i="5" s="1"/>
  <c r="C146" i="5" s="1"/>
  <c r="AE143" i="5"/>
  <c r="N143" i="5"/>
  <c r="E143" i="5"/>
  <c r="A143" i="12"/>
  <c r="K143" i="5"/>
  <c r="G143" i="5"/>
  <c r="D143" i="5"/>
  <c r="B143" i="12" s="1"/>
  <c r="AD143" i="5"/>
  <c r="H143" i="5"/>
  <c r="F143" i="5"/>
  <c r="J143" i="5"/>
  <c r="B143" i="5"/>
  <c r="D142" i="6"/>
  <c r="J142" i="12"/>
  <c r="L142" i="12"/>
  <c r="K141" i="12"/>
  <c r="H141" i="6"/>
  <c r="T141" i="5" s="1"/>
  <c r="N138" i="6"/>
  <c r="M138" i="6"/>
  <c r="A139" i="6"/>
  <c r="A140" i="6" s="1"/>
  <c r="N137" i="6"/>
  <c r="M137" i="6"/>
  <c r="BC136" i="6"/>
  <c r="BF136" i="6"/>
  <c r="AO136" i="6"/>
  <c r="AR136" i="6"/>
  <c r="AH136" i="6"/>
  <c r="AY136" i="6"/>
  <c r="BB136" i="6"/>
  <c r="AJ136" i="6"/>
  <c r="BE136" i="6"/>
  <c r="AN136" i="6"/>
  <c r="AU136" i="6"/>
  <c r="BD136" i="6"/>
  <c r="AT136" i="6"/>
  <c r="AX136" i="6"/>
  <c r="BA136" i="6"/>
  <c r="AM136" i="6"/>
  <c r="BG136" i="6"/>
  <c r="AP136" i="6"/>
  <c r="AS136" i="6"/>
  <c r="AV136" i="6"/>
  <c r="AE136" i="6"/>
  <c r="AQ136" i="6"/>
  <c r="AZ136" i="6"/>
  <c r="AF136" i="6"/>
  <c r="AC136" i="6"/>
  <c r="AG136" i="6"/>
  <c r="AD136" i="6"/>
  <c r="AK136" i="6"/>
  <c r="AI136" i="6"/>
  <c r="AD146" i="5" l="1"/>
  <c r="D146" i="5"/>
  <c r="B146" i="12" s="1"/>
  <c r="K146" i="5"/>
  <c r="N146" i="5"/>
  <c r="B146" i="6"/>
  <c r="J146" i="5"/>
  <c r="A146" i="12"/>
  <c r="C147" i="5"/>
  <c r="C148" i="5" s="1"/>
  <c r="AE146" i="5"/>
  <c r="B145" i="6"/>
  <c r="AD145" i="5"/>
  <c r="D145" i="5"/>
  <c r="B145" i="12" s="1"/>
  <c r="A145" i="12"/>
  <c r="K145" i="5"/>
  <c r="N145" i="5"/>
  <c r="J145" i="5"/>
  <c r="AE145" i="5"/>
  <c r="K142" i="12"/>
  <c r="B144" i="6"/>
  <c r="A144" i="12"/>
  <c r="K144" i="5"/>
  <c r="G144" i="5"/>
  <c r="G145" i="5" s="1"/>
  <c r="G146" i="5" s="1"/>
  <c r="F144" i="5"/>
  <c r="F145" i="5" s="1"/>
  <c r="F146" i="5" s="1"/>
  <c r="AE144" i="5"/>
  <c r="D144" i="5"/>
  <c r="B144" i="12" s="1"/>
  <c r="H144" i="5"/>
  <c r="H145" i="5" s="1"/>
  <c r="H146" i="5" s="1"/>
  <c r="N144" i="5"/>
  <c r="B144" i="5"/>
  <c r="B145" i="5" s="1"/>
  <c r="AD144" i="5"/>
  <c r="J144" i="5"/>
  <c r="E144" i="5"/>
  <c r="E145" i="5" s="1"/>
  <c r="E146" i="5" s="1"/>
  <c r="D143" i="6"/>
  <c r="N140" i="6"/>
  <c r="M140" i="6"/>
  <c r="A141" i="6"/>
  <c r="H142" i="6"/>
  <c r="T142" i="5" s="1"/>
  <c r="L143" i="12"/>
  <c r="J143" i="12"/>
  <c r="BC138" i="6"/>
  <c r="AK138" i="6"/>
  <c r="BF138" i="6"/>
  <c r="AO138" i="6"/>
  <c r="AR138" i="6"/>
  <c r="AZ138" i="6"/>
  <c r="AY138" i="6"/>
  <c r="BB138" i="6"/>
  <c r="BE138" i="6"/>
  <c r="AN138" i="6"/>
  <c r="AU138" i="6"/>
  <c r="AT138" i="6"/>
  <c r="AC138" i="6"/>
  <c r="AX138" i="6"/>
  <c r="AF138" i="6"/>
  <c r="BA138" i="6"/>
  <c r="AI138" i="6"/>
  <c r="AD138" i="6"/>
  <c r="BD138" i="6"/>
  <c r="BG138" i="6"/>
  <c r="AP138" i="6"/>
  <c r="AS138" i="6"/>
  <c r="AV138" i="6"/>
  <c r="AE138" i="6"/>
  <c r="AQ138" i="6"/>
  <c r="AM138" i="6"/>
  <c r="AH138" i="6"/>
  <c r="AJ138" i="6"/>
  <c r="AG138" i="6"/>
  <c r="N139" i="6"/>
  <c r="M139" i="6"/>
  <c r="AY137" i="6"/>
  <c r="AG137" i="6"/>
  <c r="BB137" i="6"/>
  <c r="AJ137" i="6"/>
  <c r="BE137" i="6"/>
  <c r="AN137" i="6"/>
  <c r="BD137" i="6"/>
  <c r="AU137" i="6"/>
  <c r="AT137" i="6"/>
  <c r="AX137" i="6"/>
  <c r="BA137" i="6"/>
  <c r="AI137" i="6"/>
  <c r="AM137" i="6"/>
  <c r="AD137" i="6"/>
  <c r="BG137" i="6"/>
  <c r="AP137" i="6"/>
  <c r="AS137" i="6"/>
  <c r="AV137" i="6"/>
  <c r="AE137" i="6"/>
  <c r="AZ137" i="6"/>
  <c r="AQ137" i="6"/>
  <c r="BC137" i="6"/>
  <c r="AK137" i="6"/>
  <c r="BF137" i="6"/>
  <c r="AO137" i="6"/>
  <c r="AR137" i="6"/>
  <c r="AH137" i="6"/>
  <c r="AF137" i="6"/>
  <c r="AC137" i="6"/>
  <c r="A148" i="12" l="1"/>
  <c r="K148" i="5"/>
  <c r="AD148" i="5"/>
  <c r="D148" i="5"/>
  <c r="B148" i="12" s="1"/>
  <c r="J148" i="5"/>
  <c r="AE148" i="5"/>
  <c r="N148" i="5"/>
  <c r="B148" i="6"/>
  <c r="D146" i="6"/>
  <c r="J147" i="5"/>
  <c r="F147" i="5"/>
  <c r="F148" i="5" s="1"/>
  <c r="A147" i="12"/>
  <c r="AE147" i="5"/>
  <c r="N147" i="5"/>
  <c r="E147" i="5"/>
  <c r="E148" i="5" s="1"/>
  <c r="B147" i="6"/>
  <c r="AD147" i="5"/>
  <c r="H147" i="5"/>
  <c r="H148" i="5" s="1"/>
  <c r="D147" i="5"/>
  <c r="B147" i="12" s="1"/>
  <c r="K147" i="5"/>
  <c r="G147" i="5"/>
  <c r="G148" i="5" s="1"/>
  <c r="L146" i="12"/>
  <c r="J146" i="12"/>
  <c r="B146" i="5"/>
  <c r="B147" i="5" s="1"/>
  <c r="D145" i="6"/>
  <c r="J145" i="12"/>
  <c r="L145" i="12"/>
  <c r="K143" i="12"/>
  <c r="BA140" i="6"/>
  <c r="AZ140" i="6"/>
  <c r="AX140" i="6"/>
  <c r="BC140" i="6"/>
  <c r="BB140" i="6"/>
  <c r="AY140" i="6"/>
  <c r="AV140" i="6"/>
  <c r="AU140" i="6"/>
  <c r="AO140" i="6"/>
  <c r="AT140" i="6"/>
  <c r="AS140" i="6"/>
  <c r="AP140" i="6"/>
  <c r="AR140" i="6"/>
  <c r="AQ140" i="6"/>
  <c r="BG140" i="6"/>
  <c r="BE140" i="6"/>
  <c r="AN140" i="6"/>
  <c r="BD140" i="6"/>
  <c r="AM140" i="6"/>
  <c r="BF140" i="6"/>
  <c r="AK140" i="6"/>
  <c r="AI140" i="6"/>
  <c r="AF140" i="6"/>
  <c r="AD140" i="6"/>
  <c r="AG140" i="6"/>
  <c r="AC140" i="6"/>
  <c r="AJ140" i="6"/>
  <c r="AE140" i="6"/>
  <c r="AH140" i="6"/>
  <c r="H143" i="6"/>
  <c r="T143" i="5" s="1"/>
  <c r="D144" i="6"/>
  <c r="A142" i="6"/>
  <c r="N141" i="6"/>
  <c r="M141" i="6"/>
  <c r="J144" i="12"/>
  <c r="L144" i="12"/>
  <c r="BG139" i="6"/>
  <c r="AP139" i="6"/>
  <c r="AS139" i="6"/>
  <c r="AV139" i="6"/>
  <c r="AE139" i="6"/>
  <c r="AZ139" i="6"/>
  <c r="AU139" i="6"/>
  <c r="BC139" i="6"/>
  <c r="BF139" i="6"/>
  <c r="AO139" i="6"/>
  <c r="AR139" i="6"/>
  <c r="AY139" i="6"/>
  <c r="BB139" i="6"/>
  <c r="BE139" i="6"/>
  <c r="AN139" i="6"/>
  <c r="BD139" i="6"/>
  <c r="AQ139" i="6"/>
  <c r="AT139" i="6"/>
  <c r="AX139" i="6"/>
  <c r="BA139" i="6"/>
  <c r="AM139" i="6"/>
  <c r="AF139" i="6"/>
  <c r="AG139" i="6"/>
  <c r="AH139" i="6"/>
  <c r="AC139" i="6"/>
  <c r="AK139" i="6"/>
  <c r="AI139" i="6"/>
  <c r="AJ139" i="6"/>
  <c r="AD139" i="6"/>
  <c r="D148" i="6" l="1"/>
  <c r="L148" i="12"/>
  <c r="J148" i="12"/>
  <c r="B148" i="5"/>
  <c r="C149" i="5" s="1"/>
  <c r="K146" i="12"/>
  <c r="J147" i="12"/>
  <c r="L147" i="12"/>
  <c r="H146" i="6"/>
  <c r="T146" i="5" s="1"/>
  <c r="D147" i="6"/>
  <c r="K145" i="12"/>
  <c r="H145" i="6"/>
  <c r="T145" i="5" s="1"/>
  <c r="K144" i="12"/>
  <c r="A143" i="6"/>
  <c r="N142" i="6"/>
  <c r="M142" i="6"/>
  <c r="BA141" i="6"/>
  <c r="AH141" i="6"/>
  <c r="AX141" i="6"/>
  <c r="BB141" i="6"/>
  <c r="AY141" i="6"/>
  <c r="AV141" i="6"/>
  <c r="AU141" i="6"/>
  <c r="AO141" i="6"/>
  <c r="AT141" i="6"/>
  <c r="AS141" i="6"/>
  <c r="AR141" i="6"/>
  <c r="AQ141" i="6"/>
  <c r="AF141" i="6"/>
  <c r="AK141" i="6"/>
  <c r="AJ141" i="6"/>
  <c r="AP141" i="6"/>
  <c r="BE141" i="6"/>
  <c r="AN141" i="6"/>
  <c r="BD141" i="6"/>
  <c r="AM141" i="6"/>
  <c r="BF141" i="6"/>
  <c r="AI141" i="6"/>
  <c r="AZ141" i="6"/>
  <c r="BC141" i="6"/>
  <c r="BG141" i="6"/>
  <c r="AC141" i="6"/>
  <c r="AG141" i="6"/>
  <c r="AD141" i="6"/>
  <c r="AE141" i="6"/>
  <c r="H144" i="6"/>
  <c r="T144" i="5" s="1"/>
  <c r="K104" i="5"/>
  <c r="F149" i="5" l="1"/>
  <c r="AD149" i="5"/>
  <c r="E149" i="5"/>
  <c r="W149" i="5"/>
  <c r="A149" i="12"/>
  <c r="I149" i="5"/>
  <c r="B149" i="6"/>
  <c r="A149" i="6" s="1"/>
  <c r="H149" i="5"/>
  <c r="C150" i="5"/>
  <c r="A150" i="12" s="1"/>
  <c r="J150" i="12" s="1"/>
  <c r="AE149" i="5"/>
  <c r="G149" i="5"/>
  <c r="B149" i="5"/>
  <c r="N149" i="5"/>
  <c r="D149" i="6" s="1"/>
  <c r="AX149" i="6" s="1"/>
  <c r="K148" i="12"/>
  <c r="H148" i="6"/>
  <c r="T148" i="5" s="1"/>
  <c r="K147" i="12"/>
  <c r="H147" i="6"/>
  <c r="T147" i="5" s="1"/>
  <c r="AQ142" i="6"/>
  <c r="AK142" i="6"/>
  <c r="BE142" i="6"/>
  <c r="AN142" i="6"/>
  <c r="BD142" i="6"/>
  <c r="AM142" i="6"/>
  <c r="BF142" i="6"/>
  <c r="BA142" i="6"/>
  <c r="AI142" i="6"/>
  <c r="AZ142" i="6"/>
  <c r="AH142" i="6"/>
  <c r="AX142" i="6"/>
  <c r="BC142" i="6"/>
  <c r="BB142" i="6"/>
  <c r="AY142" i="6"/>
  <c r="AP142" i="6"/>
  <c r="AV142" i="6"/>
  <c r="AE142" i="6"/>
  <c r="AU142" i="6"/>
  <c r="AD142" i="6"/>
  <c r="AO142" i="6"/>
  <c r="AT142" i="6"/>
  <c r="AS142" i="6"/>
  <c r="AG142" i="6"/>
  <c r="AR142" i="6"/>
  <c r="AF142" i="6"/>
  <c r="AJ142" i="6"/>
  <c r="BG142" i="6"/>
  <c r="AC142" i="6"/>
  <c r="N143" i="6"/>
  <c r="M143" i="6"/>
  <c r="A144" i="6"/>
  <c r="A145" i="6" s="1"/>
  <c r="A146" i="6" s="1"/>
  <c r="N149" i="6" l="1"/>
  <c r="E150" i="5"/>
  <c r="BF149" i="6"/>
  <c r="AT149" i="6"/>
  <c r="N150" i="5"/>
  <c r="D150" i="6" s="1"/>
  <c r="H150" i="6" s="1"/>
  <c r="T150" i="5" s="1"/>
  <c r="AM149" i="6"/>
  <c r="AQ149" i="6"/>
  <c r="J150" i="5"/>
  <c r="H149" i="6"/>
  <c r="T149" i="5" s="1"/>
  <c r="B150" i="6"/>
  <c r="BC149" i="6"/>
  <c r="AS149" i="6"/>
  <c r="BA149" i="6"/>
  <c r="AD150" i="5"/>
  <c r="B150" i="5"/>
  <c r="H150" i="5"/>
  <c r="L150" i="12"/>
  <c r="K150" i="12" s="1"/>
  <c r="AY149" i="6"/>
  <c r="F150" i="5"/>
  <c r="BE149" i="6"/>
  <c r="AE150" i="5"/>
  <c r="BD149" i="6"/>
  <c r="K150" i="5"/>
  <c r="AR149" i="6"/>
  <c r="D150" i="5"/>
  <c r="B150" i="12" s="1"/>
  <c r="AN149" i="6"/>
  <c r="G150" i="5"/>
  <c r="AP149" i="6"/>
  <c r="C151" i="5"/>
  <c r="C152" i="5" s="1"/>
  <c r="M149" i="6"/>
  <c r="AZ149" i="6"/>
  <c r="AU149" i="6"/>
  <c r="BB149" i="6"/>
  <c r="BG149" i="6"/>
  <c r="G149" i="6"/>
  <c r="AO149" i="6"/>
  <c r="AV149" i="6"/>
  <c r="A147" i="6"/>
  <c r="A148" i="6" s="1"/>
  <c r="M146" i="6"/>
  <c r="N146" i="6"/>
  <c r="N145" i="6"/>
  <c r="M145" i="6"/>
  <c r="N144" i="6"/>
  <c r="M144" i="6"/>
  <c r="AV143" i="6"/>
  <c r="AE143" i="6"/>
  <c r="AU143" i="6"/>
  <c r="AD143" i="6"/>
  <c r="AO143" i="6"/>
  <c r="AK143" i="6"/>
  <c r="AS143" i="6"/>
  <c r="BG143" i="6"/>
  <c r="AR143" i="6"/>
  <c r="AQ143" i="6"/>
  <c r="AY143" i="6"/>
  <c r="BE143" i="6"/>
  <c r="AN143" i="6"/>
  <c r="BD143" i="6"/>
  <c r="AM143" i="6"/>
  <c r="BF143" i="6"/>
  <c r="BC143" i="6"/>
  <c r="BA143" i="6"/>
  <c r="AZ143" i="6"/>
  <c r="AX143" i="6"/>
  <c r="AT143" i="6"/>
  <c r="BB143" i="6"/>
  <c r="AP143" i="6"/>
  <c r="AG143" i="6"/>
  <c r="AC143" i="6"/>
  <c r="AH143" i="6"/>
  <c r="AF143" i="6"/>
  <c r="AJ143" i="6"/>
  <c r="AI143" i="6"/>
  <c r="N151" i="5" l="1"/>
  <c r="D151" i="6" s="1"/>
  <c r="H151" i="6" s="1"/>
  <c r="T151" i="5" s="1"/>
  <c r="AK149" i="6"/>
  <c r="AI149" i="6"/>
  <c r="AC149" i="6"/>
  <c r="AF149" i="6"/>
  <c r="F151" i="5"/>
  <c r="A151" i="12"/>
  <c r="A150" i="6"/>
  <c r="N150" i="6" s="1"/>
  <c r="AJ149" i="6"/>
  <c r="B151" i="5"/>
  <c r="AE149" i="6"/>
  <c r="AG149" i="6"/>
  <c r="G151" i="5"/>
  <c r="G152" i="5" s="1"/>
  <c r="AB149" i="6"/>
  <c r="AH149" i="6"/>
  <c r="E151" i="5"/>
  <c r="E152" i="5" s="1"/>
  <c r="AD149" i="6"/>
  <c r="B152" i="5"/>
  <c r="C153" i="5"/>
  <c r="J153" i="5" s="1"/>
  <c r="B152" i="6"/>
  <c r="A152" i="12"/>
  <c r="L152" i="12" s="1"/>
  <c r="N152" i="5"/>
  <c r="D152" i="6" s="1"/>
  <c r="H152" i="6" s="1"/>
  <c r="T152" i="5" s="1"/>
  <c r="K152" i="5"/>
  <c r="J152" i="5"/>
  <c r="AD152" i="5"/>
  <c r="AE152" i="5"/>
  <c r="D152" i="5"/>
  <c r="B152" i="12" s="1"/>
  <c r="H151" i="5"/>
  <c r="H152" i="5" s="1"/>
  <c r="K151" i="5"/>
  <c r="B151" i="6"/>
  <c r="D151" i="5"/>
  <c r="B151" i="12" s="1"/>
  <c r="F152" i="5"/>
  <c r="AE151" i="5"/>
  <c r="AD151" i="5"/>
  <c r="J151" i="5"/>
  <c r="M148" i="6"/>
  <c r="N148" i="6"/>
  <c r="BG146" i="6"/>
  <c r="AP146" i="6"/>
  <c r="AS146" i="6"/>
  <c r="BE146" i="6"/>
  <c r="AN146" i="6"/>
  <c r="BD146" i="6"/>
  <c r="AM146" i="6"/>
  <c r="BC146" i="6"/>
  <c r="AK146" i="6"/>
  <c r="BF146" i="6"/>
  <c r="AO146" i="6"/>
  <c r="BA146" i="6"/>
  <c r="AI146" i="6"/>
  <c r="AZ146" i="6"/>
  <c r="AD146" i="6"/>
  <c r="AY146" i="6"/>
  <c r="AG146" i="6"/>
  <c r="BB146" i="6"/>
  <c r="AJ146" i="6"/>
  <c r="AH146" i="6"/>
  <c r="AV146" i="6"/>
  <c r="AE146" i="6"/>
  <c r="AU146" i="6"/>
  <c r="AT146" i="6"/>
  <c r="AC146" i="6"/>
  <c r="AX146" i="6"/>
  <c r="AF146" i="6"/>
  <c r="AR146" i="6"/>
  <c r="AQ146" i="6"/>
  <c r="M147" i="6"/>
  <c r="N147" i="6"/>
  <c r="AR145" i="6"/>
  <c r="AQ145" i="6"/>
  <c r="AS145" i="6"/>
  <c r="AY145" i="6"/>
  <c r="BE145" i="6"/>
  <c r="AN145" i="6"/>
  <c r="BD145" i="6"/>
  <c r="AM145" i="6"/>
  <c r="BF145" i="6"/>
  <c r="AO145" i="6"/>
  <c r="AT145" i="6"/>
  <c r="BA145" i="6"/>
  <c r="AZ145" i="6"/>
  <c r="BB145" i="6"/>
  <c r="BG145" i="6"/>
  <c r="AP145" i="6"/>
  <c r="AV145" i="6"/>
  <c r="AU145" i="6"/>
  <c r="AX145" i="6"/>
  <c r="BC145" i="6"/>
  <c r="AK145" i="6"/>
  <c r="AI145" i="6"/>
  <c r="AF145" i="6"/>
  <c r="AC145" i="6"/>
  <c r="AD145" i="6"/>
  <c r="AJ145" i="6"/>
  <c r="AG145" i="6"/>
  <c r="AE145" i="6"/>
  <c r="AH145" i="6"/>
  <c r="BA144" i="6"/>
  <c r="AZ144" i="6"/>
  <c r="AX144" i="6"/>
  <c r="BC144" i="6"/>
  <c r="BB144" i="6"/>
  <c r="AV144" i="6"/>
  <c r="AU144" i="6"/>
  <c r="AO144" i="6"/>
  <c r="AT144" i="6"/>
  <c r="AS144" i="6"/>
  <c r="AY144" i="6"/>
  <c r="BF144" i="6"/>
  <c r="AC144" i="6"/>
  <c r="BG144" i="6"/>
  <c r="AR144" i="6"/>
  <c r="AQ144" i="6"/>
  <c r="AP144" i="6"/>
  <c r="BE144" i="6"/>
  <c r="AN144" i="6"/>
  <c r="BD144" i="6"/>
  <c r="AM144" i="6"/>
  <c r="AF144" i="6"/>
  <c r="AD144" i="6"/>
  <c r="AE144" i="6"/>
  <c r="AG144" i="6"/>
  <c r="AI144" i="6"/>
  <c r="AJ144" i="6"/>
  <c r="AK144" i="6"/>
  <c r="AH144" i="6"/>
  <c r="J152" i="12" l="1"/>
  <c r="G153" i="5"/>
  <c r="B153" i="5"/>
  <c r="N153" i="5"/>
  <c r="D153" i="6" s="1"/>
  <c r="H153" i="6" s="1"/>
  <c r="A151" i="6"/>
  <c r="N151" i="6" s="1"/>
  <c r="B153" i="6"/>
  <c r="M150" i="6"/>
  <c r="AD150" i="6" s="1"/>
  <c r="AE153" i="5"/>
  <c r="E153" i="5"/>
  <c r="L151" i="12"/>
  <c r="J151" i="12"/>
  <c r="K153" i="5"/>
  <c r="C154" i="5"/>
  <c r="N154" i="5" s="1"/>
  <c r="D154" i="6" s="1"/>
  <c r="F153" i="5"/>
  <c r="A153" i="12"/>
  <c r="L153" i="12" s="1"/>
  <c r="AD153" i="5"/>
  <c r="D153" i="5"/>
  <c r="B153" i="12" s="1"/>
  <c r="H153" i="5"/>
  <c r="AU148" i="6"/>
  <c r="AY148" i="6"/>
  <c r="AG148" i="6"/>
  <c r="BB148" i="6"/>
  <c r="AJ148" i="6"/>
  <c r="BE148" i="6"/>
  <c r="AN148" i="6"/>
  <c r="AQ148" i="6"/>
  <c r="AT148" i="6"/>
  <c r="AX148" i="6"/>
  <c r="BA148" i="6"/>
  <c r="AI148" i="6"/>
  <c r="BD148" i="6"/>
  <c r="AM148" i="6"/>
  <c r="BG148" i="6"/>
  <c r="AP148" i="6"/>
  <c r="AS148" i="6"/>
  <c r="AV148" i="6"/>
  <c r="AE148" i="6"/>
  <c r="AZ148" i="6"/>
  <c r="BC148" i="6"/>
  <c r="BF148" i="6"/>
  <c r="AO148" i="6"/>
  <c r="AR148" i="6"/>
  <c r="AK148" i="6"/>
  <c r="AF148" i="6"/>
  <c r="AH148" i="6"/>
  <c r="AC148" i="6"/>
  <c r="AD148" i="6"/>
  <c r="BG147" i="6"/>
  <c r="AP147" i="6"/>
  <c r="AS147" i="6"/>
  <c r="BA147" i="6"/>
  <c r="AI147" i="6"/>
  <c r="AZ147" i="6"/>
  <c r="AH147" i="6"/>
  <c r="BC147" i="6"/>
  <c r="BF147" i="6"/>
  <c r="AO147" i="6"/>
  <c r="AV147" i="6"/>
  <c r="AU147" i="6"/>
  <c r="AY147" i="6"/>
  <c r="BB147" i="6"/>
  <c r="AR147" i="6"/>
  <c r="AQ147" i="6"/>
  <c r="AT147" i="6"/>
  <c r="AX147" i="6"/>
  <c r="BE147" i="6"/>
  <c r="AN147" i="6"/>
  <c r="BD147" i="6"/>
  <c r="AM147" i="6"/>
  <c r="AC147" i="6"/>
  <c r="AE147" i="6"/>
  <c r="AJ147" i="6"/>
  <c r="AK147" i="6"/>
  <c r="AG147" i="6"/>
  <c r="AF147" i="6"/>
  <c r="AD147" i="6"/>
  <c r="K152" i="12"/>
  <c r="M151" i="6"/>
  <c r="AE154" i="5"/>
  <c r="J153" i="12" l="1"/>
  <c r="AT150" i="6"/>
  <c r="BG150" i="6"/>
  <c r="BB150" i="6"/>
  <c r="AC150" i="6"/>
  <c r="AV150" i="6"/>
  <c r="A152" i="6"/>
  <c r="N152" i="6" s="1"/>
  <c r="AP150" i="6"/>
  <c r="AX150" i="6"/>
  <c r="F154" i="5"/>
  <c r="G154" i="5"/>
  <c r="AD154" i="5"/>
  <c r="K151" i="12"/>
  <c r="AO150" i="6"/>
  <c r="BC150" i="6"/>
  <c r="AK150" i="6"/>
  <c r="BA150" i="6"/>
  <c r="AN150" i="6"/>
  <c r="AF150" i="6"/>
  <c r="AQ150" i="6"/>
  <c r="AR150" i="6"/>
  <c r="AG150" i="6"/>
  <c r="AZ150" i="6"/>
  <c r="AM150" i="6"/>
  <c r="BD150" i="6"/>
  <c r="BF150" i="6"/>
  <c r="AS150" i="6"/>
  <c r="AI150" i="6"/>
  <c r="AU150" i="6"/>
  <c r="AJ150" i="6"/>
  <c r="AH150" i="6"/>
  <c r="BE150" i="6"/>
  <c r="AY150" i="6"/>
  <c r="AE150" i="6"/>
  <c r="A153" i="6"/>
  <c r="N153" i="6" s="1"/>
  <c r="B154" i="5"/>
  <c r="B154" i="6"/>
  <c r="H154" i="5"/>
  <c r="K154" i="5"/>
  <c r="J154" i="5"/>
  <c r="E154" i="5"/>
  <c r="C155" i="5"/>
  <c r="N155" i="5" s="1"/>
  <c r="D155" i="6" s="1"/>
  <c r="D154" i="5"/>
  <c r="B154" i="12" s="1"/>
  <c r="A154" i="12"/>
  <c r="L154" i="12" s="1"/>
  <c r="K153" i="12"/>
  <c r="H154" i="6"/>
  <c r="T154" i="5" s="1"/>
  <c r="AF151" i="6"/>
  <c r="BA151" i="6"/>
  <c r="BF151" i="6"/>
  <c r="AI151" i="6"/>
  <c r="AM151" i="6"/>
  <c r="AP151" i="6"/>
  <c r="AK151" i="6"/>
  <c r="AO151" i="6"/>
  <c r="BG151" i="6"/>
  <c r="AZ151" i="6"/>
  <c r="AS151" i="6"/>
  <c r="AC151" i="6"/>
  <c r="AE151" i="6"/>
  <c r="AJ151" i="6"/>
  <c r="BE151" i="6"/>
  <c r="AU151" i="6"/>
  <c r="AD151" i="6"/>
  <c r="AX151" i="6"/>
  <c r="AR151" i="6"/>
  <c r="AH151" i="6"/>
  <c r="AG151" i="6"/>
  <c r="AT151" i="6"/>
  <c r="BB151" i="6"/>
  <c r="AN151" i="6"/>
  <c r="BC151" i="6"/>
  <c r="BD151" i="6"/>
  <c r="AQ151" i="6"/>
  <c r="AV151" i="6"/>
  <c r="AY151" i="6"/>
  <c r="T153" i="5"/>
  <c r="F155" i="5" l="1"/>
  <c r="M152" i="6"/>
  <c r="J154" i="12"/>
  <c r="M153" i="6"/>
  <c r="BD153" i="6" s="1"/>
  <c r="A154" i="6"/>
  <c r="M154" i="6" s="1"/>
  <c r="AP154" i="6" s="1"/>
  <c r="D155" i="5"/>
  <c r="B155" i="12" s="1"/>
  <c r="J155" i="5"/>
  <c r="E155" i="5"/>
  <c r="AE155" i="5"/>
  <c r="H155" i="5"/>
  <c r="G155" i="5"/>
  <c r="B155" i="6"/>
  <c r="A155" i="6" s="1"/>
  <c r="N155" i="6" s="1"/>
  <c r="B155" i="5"/>
  <c r="AD155" i="5"/>
  <c r="A155" i="12"/>
  <c r="J155" i="12" s="1"/>
  <c r="C156" i="5"/>
  <c r="J156" i="5" s="1"/>
  <c r="K155" i="5"/>
  <c r="K154" i="12"/>
  <c r="L155" i="12"/>
  <c r="H155" i="6"/>
  <c r="BE152" i="6" l="1"/>
  <c r="AT152" i="6"/>
  <c r="AM152" i="6"/>
  <c r="AS152" i="6"/>
  <c r="BB152" i="6"/>
  <c r="BC152" i="6"/>
  <c r="AU152" i="6"/>
  <c r="BD152" i="6"/>
  <c r="AV152" i="6"/>
  <c r="BF152" i="6"/>
  <c r="AR152" i="6"/>
  <c r="AG152" i="6"/>
  <c r="AP152" i="6"/>
  <c r="AK152" i="6"/>
  <c r="AC152" i="6"/>
  <c r="BG152" i="6"/>
  <c r="AJ152" i="6"/>
  <c r="AD152" i="6"/>
  <c r="BA152" i="6"/>
  <c r="AE152" i="6"/>
  <c r="AI152" i="6"/>
  <c r="AH152" i="6"/>
  <c r="AQ152" i="6"/>
  <c r="AN152" i="6"/>
  <c r="AO152" i="6"/>
  <c r="AF152" i="6"/>
  <c r="AZ152" i="6"/>
  <c r="AX152" i="6"/>
  <c r="AY152" i="6"/>
  <c r="AE156" i="5"/>
  <c r="AM154" i="6"/>
  <c r="AN154" i="6"/>
  <c r="BG154" i="6"/>
  <c r="AH154" i="6"/>
  <c r="BA154" i="6"/>
  <c r="BE154" i="6"/>
  <c r="AD154" i="6"/>
  <c r="D156" i="5"/>
  <c r="B156" i="12" s="1"/>
  <c r="AZ154" i="6"/>
  <c r="AY154" i="6"/>
  <c r="AK154" i="6"/>
  <c r="AS154" i="6"/>
  <c r="AE154" i="6"/>
  <c r="AO154" i="6"/>
  <c r="AT154" i="6"/>
  <c r="BD154" i="6"/>
  <c r="AQ154" i="6"/>
  <c r="BB154" i="6"/>
  <c r="C157" i="5"/>
  <c r="K157" i="5" s="1"/>
  <c r="AF154" i="6"/>
  <c r="AG154" i="6"/>
  <c r="AU154" i="6"/>
  <c r="AJ154" i="6"/>
  <c r="AI154" i="6"/>
  <c r="N154" i="6"/>
  <c r="AX154" i="6"/>
  <c r="BF154" i="6"/>
  <c r="N156" i="5"/>
  <c r="D156" i="6" s="1"/>
  <c r="H156" i="6" s="1"/>
  <c r="K156" i="5"/>
  <c r="A156" i="12"/>
  <c r="J156" i="12" s="1"/>
  <c r="AQ153" i="6"/>
  <c r="AZ153" i="6"/>
  <c r="BB153" i="6"/>
  <c r="BA153" i="6"/>
  <c r="AT153" i="6"/>
  <c r="AG153" i="6"/>
  <c r="AF153" i="6"/>
  <c r="E156" i="5"/>
  <c r="B156" i="6"/>
  <c r="AD156" i="5"/>
  <c r="H156" i="5"/>
  <c r="BC154" i="6"/>
  <c r="AC154" i="6"/>
  <c r="AR154" i="6"/>
  <c r="AV154" i="6"/>
  <c r="AR153" i="6"/>
  <c r="BG153" i="6"/>
  <c r="AY153" i="6"/>
  <c r="AO153" i="6"/>
  <c r="BE153" i="6"/>
  <c r="AJ153" i="6"/>
  <c r="AH153" i="6"/>
  <c r="AC153" i="6"/>
  <c r="AM153" i="6"/>
  <c r="AU153" i="6"/>
  <c r="AS153" i="6"/>
  <c r="BC153" i="6"/>
  <c r="BF153" i="6"/>
  <c r="AE153" i="6"/>
  <c r="AD153" i="6"/>
  <c r="F156" i="5"/>
  <c r="G156" i="5"/>
  <c r="AX153" i="6"/>
  <c r="AP153" i="6"/>
  <c r="AN153" i="6"/>
  <c r="AV153" i="6"/>
  <c r="AI153" i="6"/>
  <c r="AK153" i="6"/>
  <c r="B156" i="5"/>
  <c r="M155" i="6"/>
  <c r="AS155" i="6" s="1"/>
  <c r="K155" i="12"/>
  <c r="T155" i="5"/>
  <c r="F184" i="6"/>
  <c r="E184" i="12"/>
  <c r="A156" i="6" l="1"/>
  <c r="N156" i="6" s="1"/>
  <c r="L156" i="12"/>
  <c r="K156" i="12" s="1"/>
  <c r="A157" i="12"/>
  <c r="J157" i="12" s="1"/>
  <c r="J157" i="5"/>
  <c r="B157" i="5"/>
  <c r="G157" i="5"/>
  <c r="E157" i="5"/>
  <c r="AD157" i="5"/>
  <c r="D157" i="5"/>
  <c r="B157" i="12" s="1"/>
  <c r="H157" i="5"/>
  <c r="B157" i="6"/>
  <c r="F157" i="5"/>
  <c r="N157" i="5"/>
  <c r="D157" i="6" s="1"/>
  <c r="A157" i="6" s="1"/>
  <c r="N157" i="6" s="1"/>
  <c r="C158" i="5"/>
  <c r="D158" i="5" s="1"/>
  <c r="B158" i="12" s="1"/>
  <c r="AE157" i="5"/>
  <c r="AG155" i="6"/>
  <c r="BD155" i="6"/>
  <c r="BC155" i="6"/>
  <c r="AR155" i="6"/>
  <c r="AK155" i="6"/>
  <c r="AN155" i="6"/>
  <c r="AQ155" i="6"/>
  <c r="AX155" i="6"/>
  <c r="BA155" i="6"/>
  <c r="BG155" i="6"/>
  <c r="AC155" i="6"/>
  <c r="AF155" i="6"/>
  <c r="AD155" i="6"/>
  <c r="AP155" i="6"/>
  <c r="AY155" i="6"/>
  <c r="AJ155" i="6"/>
  <c r="AH155" i="6"/>
  <c r="AU155" i="6"/>
  <c r="AM155" i="6"/>
  <c r="AO155" i="6"/>
  <c r="AT155" i="6"/>
  <c r="BE155" i="6"/>
  <c r="AE155" i="6"/>
  <c r="AI155" i="6"/>
  <c r="AV155" i="6"/>
  <c r="BB155" i="6"/>
  <c r="AZ155" i="6"/>
  <c r="BF155" i="6"/>
  <c r="T156" i="5"/>
  <c r="H158" i="5"/>
  <c r="B158" i="5"/>
  <c r="C159" i="5" s="1"/>
  <c r="K158" i="5"/>
  <c r="L157" i="12"/>
  <c r="G158" i="5" l="1"/>
  <c r="J158" i="5"/>
  <c r="A158" i="12"/>
  <c r="AE158" i="5"/>
  <c r="B158" i="6"/>
  <c r="N158" i="5"/>
  <c r="D158" i="6" s="1"/>
  <c r="AD158" i="5"/>
  <c r="E158" i="5"/>
  <c r="E159" i="5" s="1"/>
  <c r="M156" i="6"/>
  <c r="AY156" i="6" s="1"/>
  <c r="F158" i="5"/>
  <c r="F159" i="5" s="1"/>
  <c r="H157" i="6"/>
  <c r="T157" i="5" s="1"/>
  <c r="M157" i="6"/>
  <c r="A158" i="6"/>
  <c r="N158" i="6" s="1"/>
  <c r="K157" i="12"/>
  <c r="H159" i="5"/>
  <c r="A159" i="12"/>
  <c r="C160" i="5"/>
  <c r="W159" i="5"/>
  <c r="B159" i="6"/>
  <c r="A159" i="6" s="1"/>
  <c r="AE159" i="5"/>
  <c r="N159" i="5"/>
  <c r="D159" i="6" s="1"/>
  <c r="B159" i="5"/>
  <c r="I159" i="5"/>
  <c r="AD159" i="5"/>
  <c r="G159" i="5"/>
  <c r="H158" i="6"/>
  <c r="J158" i="12"/>
  <c r="L158" i="12"/>
  <c r="AN156" i="6" l="1"/>
  <c r="AD156" i="6"/>
  <c r="AJ156" i="6"/>
  <c r="AZ156" i="6"/>
  <c r="AF156" i="6"/>
  <c r="AC156" i="6"/>
  <c r="AE156" i="6"/>
  <c r="BD156" i="6"/>
  <c r="AK156" i="6"/>
  <c r="AM156" i="6"/>
  <c r="AH156" i="6"/>
  <c r="AF157" i="6"/>
  <c r="BF156" i="6"/>
  <c r="BC156" i="6"/>
  <c r="AR156" i="6"/>
  <c r="AV156" i="6"/>
  <c r="AP156" i="6"/>
  <c r="BG156" i="6"/>
  <c r="BA156" i="6"/>
  <c r="AG156" i="6"/>
  <c r="AS156" i="6"/>
  <c r="BB156" i="6"/>
  <c r="AO156" i="6"/>
  <c r="AQ156" i="6"/>
  <c r="AX156" i="6"/>
  <c r="AI156" i="6"/>
  <c r="BE156" i="6"/>
  <c r="AU156" i="6"/>
  <c r="AT156" i="6"/>
  <c r="M158" i="6"/>
  <c r="BB158" i="6" s="1"/>
  <c r="AV157" i="6"/>
  <c r="AE157" i="6"/>
  <c r="AZ157" i="6"/>
  <c r="AJ157" i="6"/>
  <c r="AO157" i="6"/>
  <c r="AR157" i="6"/>
  <c r="BA157" i="6"/>
  <c r="AC157" i="6"/>
  <c r="AU157" i="6"/>
  <c r="AX157" i="6"/>
  <c r="AD157" i="6"/>
  <c r="BC157" i="6"/>
  <c r="BD157" i="6"/>
  <c r="BG157" i="6"/>
  <c r="AG157" i="6"/>
  <c r="AI157" i="6"/>
  <c r="AN157" i="6"/>
  <c r="AP157" i="6"/>
  <c r="BB157" i="6"/>
  <c r="BF157" i="6"/>
  <c r="AM157" i="6"/>
  <c r="AH157" i="6"/>
  <c r="AK157" i="6"/>
  <c r="AY157" i="6"/>
  <c r="AS157" i="6"/>
  <c r="BE157" i="6"/>
  <c r="AQ157" i="6"/>
  <c r="AT157" i="6"/>
  <c r="BA159" i="6"/>
  <c r="BB159" i="6"/>
  <c r="BF159" i="6"/>
  <c r="BC159" i="6"/>
  <c r="M159" i="6"/>
  <c r="AV159" i="6" s="1"/>
  <c r="AP159" i="6"/>
  <c r="AS159" i="6"/>
  <c r="AT159" i="6"/>
  <c r="H159" i="6"/>
  <c r="T159" i="5" s="1"/>
  <c r="BD159" i="6"/>
  <c r="AR159" i="6"/>
  <c r="AZ159" i="6"/>
  <c r="AX159" i="6"/>
  <c r="AU159" i="6"/>
  <c r="AO159" i="6"/>
  <c r="N159" i="6"/>
  <c r="BE159" i="6"/>
  <c r="AY159" i="6"/>
  <c r="BG159" i="6"/>
  <c r="AM159" i="6"/>
  <c r="AN159" i="6"/>
  <c r="AQ159" i="6"/>
  <c r="G159" i="6"/>
  <c r="J160" i="5"/>
  <c r="G160" i="5"/>
  <c r="K160" i="5"/>
  <c r="AD160" i="5"/>
  <c r="AE160" i="5"/>
  <c r="N160" i="5"/>
  <c r="D160" i="6" s="1"/>
  <c r="E160" i="5"/>
  <c r="B160" i="5"/>
  <c r="B160" i="6"/>
  <c r="C161" i="5"/>
  <c r="A160" i="12"/>
  <c r="F160" i="5"/>
  <c r="D160" i="5"/>
  <c r="B160" i="12" s="1"/>
  <c r="H160" i="5"/>
  <c r="T158" i="5"/>
  <c r="K158" i="12"/>
  <c r="AK158" i="6" l="1"/>
  <c r="AP158" i="6"/>
  <c r="AH158" i="6"/>
  <c r="AI158" i="6"/>
  <c r="AM158" i="6"/>
  <c r="AV158" i="6"/>
  <c r="AE158" i="6"/>
  <c r="AC158" i="6"/>
  <c r="BE158" i="6"/>
  <c r="AD158" i="6"/>
  <c r="AF158" i="6"/>
  <c r="AU158" i="6"/>
  <c r="BF158" i="6"/>
  <c r="AJ158" i="6"/>
  <c r="AG158" i="6"/>
  <c r="AX158" i="6"/>
  <c r="AS158" i="6"/>
  <c r="AZ158" i="6"/>
  <c r="BG158" i="6"/>
  <c r="BC158" i="6"/>
  <c r="BD158" i="6"/>
  <c r="AQ158" i="6"/>
  <c r="AT158" i="6"/>
  <c r="AR158" i="6"/>
  <c r="AN158" i="6"/>
  <c r="AO158" i="6"/>
  <c r="AY158" i="6"/>
  <c r="BA158" i="6"/>
  <c r="AB159" i="6"/>
  <c r="AJ159" i="6"/>
  <c r="AF159" i="6"/>
  <c r="AH159" i="6"/>
  <c r="AG159" i="6"/>
  <c r="J160" i="12"/>
  <c r="L160" i="12"/>
  <c r="AD159" i="6"/>
  <c r="AI159" i="6"/>
  <c r="AK159" i="6"/>
  <c r="D161" i="5"/>
  <c r="B161" i="12" s="1"/>
  <c r="A161" i="12"/>
  <c r="B161" i="6"/>
  <c r="F161" i="5"/>
  <c r="K161" i="5"/>
  <c r="N161" i="5"/>
  <c r="D161" i="6" s="1"/>
  <c r="AD161" i="5"/>
  <c r="B161" i="5"/>
  <c r="H161" i="5"/>
  <c r="C162" i="5"/>
  <c r="E161" i="5"/>
  <c r="J161" i="5"/>
  <c r="G161" i="5"/>
  <c r="AE161" i="5"/>
  <c r="H160" i="6"/>
  <c r="T160" i="5" s="1"/>
  <c r="A160" i="6"/>
  <c r="M160" i="6" s="1"/>
  <c r="AM160" i="6" s="1"/>
  <c r="AC159" i="6"/>
  <c r="AE159" i="6"/>
  <c r="K160" i="12" l="1"/>
  <c r="AR160" i="6"/>
  <c r="BE160" i="6"/>
  <c r="AC160" i="6"/>
  <c r="AT160" i="6"/>
  <c r="BF160" i="6"/>
  <c r="AX160" i="6"/>
  <c r="AZ160" i="6"/>
  <c r="A161" i="6"/>
  <c r="N161" i="6" s="1"/>
  <c r="BB160" i="6"/>
  <c r="AO160" i="6"/>
  <c r="BC160" i="6"/>
  <c r="BA160" i="6"/>
  <c r="AV160" i="6"/>
  <c r="AE160" i="6"/>
  <c r="AF160" i="6"/>
  <c r="G162" i="5"/>
  <c r="AD162" i="5"/>
  <c r="C163" i="5"/>
  <c r="F162" i="5"/>
  <c r="AE162" i="5"/>
  <c r="A162" i="12"/>
  <c r="N162" i="5"/>
  <c r="D162" i="6" s="1"/>
  <c r="E162" i="5"/>
  <c r="B162" i="6"/>
  <c r="H162" i="5"/>
  <c r="J162" i="5"/>
  <c r="K162" i="5"/>
  <c r="D162" i="5"/>
  <c r="B162" i="12" s="1"/>
  <c r="B162" i="5"/>
  <c r="H161" i="6"/>
  <c r="L161" i="12"/>
  <c r="J161" i="12"/>
  <c r="AP160" i="6"/>
  <c r="AI160" i="6"/>
  <c r="AN160" i="6"/>
  <c r="AS160" i="6"/>
  <c r="AY160" i="6"/>
  <c r="AU160" i="6"/>
  <c r="AQ160" i="6"/>
  <c r="AK160" i="6"/>
  <c r="BG160" i="6"/>
  <c r="AD160" i="6"/>
  <c r="AH160" i="6"/>
  <c r="N160" i="6"/>
  <c r="BD160" i="6"/>
  <c r="AJ160" i="6"/>
  <c r="AG160" i="6"/>
  <c r="M161" i="6" l="1"/>
  <c r="BG161" i="6" s="1"/>
  <c r="K161" i="12"/>
  <c r="A162" i="6"/>
  <c r="N162" i="6" s="1"/>
  <c r="T161" i="5"/>
  <c r="H162" i="6"/>
  <c r="B163" i="5"/>
  <c r="AD163" i="5"/>
  <c r="A163" i="12"/>
  <c r="G163" i="5"/>
  <c r="K163" i="5"/>
  <c r="N163" i="5"/>
  <c r="D163" i="6" s="1"/>
  <c r="D163" i="5"/>
  <c r="B163" i="12" s="1"/>
  <c r="F163" i="5"/>
  <c r="H163" i="5"/>
  <c r="AE163" i="5"/>
  <c r="B163" i="6"/>
  <c r="E163" i="5"/>
  <c r="C164" i="5"/>
  <c r="J163" i="5"/>
  <c r="L162" i="12"/>
  <c r="J162" i="12"/>
  <c r="M162" i="6" l="1"/>
  <c r="AH162" i="6" s="1"/>
  <c r="AH161" i="6"/>
  <c r="AE161" i="6"/>
  <c r="AD161" i="6"/>
  <c r="AS161" i="6"/>
  <c r="AY161" i="6"/>
  <c r="BF161" i="6"/>
  <c r="BC161" i="6"/>
  <c r="AU161" i="6"/>
  <c r="AC161" i="6"/>
  <c r="AG161" i="6"/>
  <c r="BE161" i="6"/>
  <c r="AT161" i="6"/>
  <c r="BD161" i="6"/>
  <c r="AN161" i="6"/>
  <c r="AX161" i="6"/>
  <c r="AJ161" i="6"/>
  <c r="AF161" i="6"/>
  <c r="AM161" i="6"/>
  <c r="AO161" i="6"/>
  <c r="BB161" i="6"/>
  <c r="AP161" i="6"/>
  <c r="AZ161" i="6"/>
  <c r="AI161" i="6"/>
  <c r="AK161" i="6"/>
  <c r="BA161" i="6"/>
  <c r="AV161" i="6"/>
  <c r="AR161" i="6"/>
  <c r="AQ161" i="6"/>
  <c r="K162" i="12"/>
  <c r="A163" i="6"/>
  <c r="N163" i="6" s="1"/>
  <c r="J163" i="12"/>
  <c r="L163" i="12"/>
  <c r="T162" i="5"/>
  <c r="H163" i="6"/>
  <c r="H164" i="5"/>
  <c r="K164" i="5"/>
  <c r="AE164" i="5"/>
  <c r="A164" i="12"/>
  <c r="G164" i="5"/>
  <c r="N164" i="5"/>
  <c r="D164" i="6" s="1"/>
  <c r="J164" i="5"/>
  <c r="B164" i="6"/>
  <c r="C165" i="5"/>
  <c r="E164" i="5"/>
  <c r="D164" i="5"/>
  <c r="B164" i="12" s="1"/>
  <c r="B164" i="5"/>
  <c r="F164" i="5"/>
  <c r="AD164" i="5"/>
  <c r="K17" i="5"/>
  <c r="AI162" i="6" l="1"/>
  <c r="AF162" i="6"/>
  <c r="AJ162" i="6"/>
  <c r="AX162" i="6"/>
  <c r="AC162" i="6"/>
  <c r="AR162" i="6"/>
  <c r="BG162" i="6"/>
  <c r="BC162" i="6"/>
  <c r="BE162" i="6"/>
  <c r="AK162" i="6"/>
  <c r="AT162" i="6"/>
  <c r="AV162" i="6"/>
  <c r="AN162" i="6"/>
  <c r="AO162" i="6"/>
  <c r="BF162" i="6"/>
  <c r="AE162" i="6"/>
  <c r="BB162" i="6"/>
  <c r="BA162" i="6"/>
  <c r="AQ162" i="6"/>
  <c r="AU162" i="6"/>
  <c r="AY162" i="6"/>
  <c r="AG162" i="6"/>
  <c r="AD162" i="6"/>
  <c r="AP162" i="6"/>
  <c r="AZ162" i="6"/>
  <c r="AM162" i="6"/>
  <c r="BD162" i="6"/>
  <c r="AS162" i="6"/>
  <c r="K163" i="12"/>
  <c r="H164" i="6"/>
  <c r="M163" i="6"/>
  <c r="AJ163" i="6" s="1"/>
  <c r="F165" i="5"/>
  <c r="J165" i="5"/>
  <c r="B165" i="6"/>
  <c r="AD165" i="5"/>
  <c r="A165" i="12"/>
  <c r="AE165" i="5"/>
  <c r="H165" i="5"/>
  <c r="D165" i="5"/>
  <c r="B165" i="12" s="1"/>
  <c r="N165" i="5"/>
  <c r="D165" i="6" s="1"/>
  <c r="G165" i="5"/>
  <c r="C166" i="5"/>
  <c r="K165" i="5"/>
  <c r="E165" i="5"/>
  <c r="B165" i="5"/>
  <c r="T163" i="5"/>
  <c r="A164" i="6"/>
  <c r="N164" i="6" s="1"/>
  <c r="L164" i="12"/>
  <c r="J164" i="12"/>
  <c r="K164" i="12" l="1"/>
  <c r="AD163" i="6"/>
  <c r="AI163" i="6"/>
  <c r="AK163" i="6"/>
  <c r="AG163" i="6"/>
  <c r="H165" i="6"/>
  <c r="T165" i="5" s="1"/>
  <c r="L165" i="12"/>
  <c r="J165" i="12"/>
  <c r="BA163" i="6"/>
  <c r="AP163" i="6"/>
  <c r="AZ163" i="6"/>
  <c r="AX163" i="6"/>
  <c r="BC163" i="6"/>
  <c r="AM163" i="6"/>
  <c r="BB163" i="6"/>
  <c r="BG163" i="6"/>
  <c r="BF163" i="6"/>
  <c r="AO163" i="6"/>
  <c r="AV163" i="6"/>
  <c r="BE163" i="6"/>
  <c r="AQ163" i="6"/>
  <c r="AS163" i="6"/>
  <c r="AT163" i="6"/>
  <c r="BD163" i="6"/>
  <c r="AY163" i="6"/>
  <c r="AN163" i="6"/>
  <c r="AR163" i="6"/>
  <c r="AU163" i="6"/>
  <c r="AH163" i="6"/>
  <c r="AE163" i="6"/>
  <c r="AE166" i="5"/>
  <c r="D166" i="5"/>
  <c r="B166" i="12" s="1"/>
  <c r="H166" i="5"/>
  <c r="A166" i="12"/>
  <c r="G166" i="5"/>
  <c r="K166" i="5"/>
  <c r="J166" i="5"/>
  <c r="N166" i="5"/>
  <c r="D166" i="6" s="1"/>
  <c r="C167" i="5"/>
  <c r="AD166" i="5"/>
  <c r="B166" i="5"/>
  <c r="B166" i="6"/>
  <c r="E166" i="5"/>
  <c r="F166" i="5"/>
  <c r="A165" i="6"/>
  <c r="M165" i="6" s="1"/>
  <c r="AS165" i="6" s="1"/>
  <c r="M164" i="6"/>
  <c r="AD164" i="6" s="1"/>
  <c r="AC163" i="6"/>
  <c r="AF163" i="6"/>
  <c r="T164" i="5"/>
  <c r="K165" i="12" l="1"/>
  <c r="AJ164" i="6"/>
  <c r="AF164" i="6"/>
  <c r="B167" i="5"/>
  <c r="F167" i="5"/>
  <c r="H167" i="5"/>
  <c r="C168" i="5"/>
  <c r="N167" i="5"/>
  <c r="D167" i="6" s="1"/>
  <c r="A167" i="12"/>
  <c r="AE167" i="5"/>
  <c r="G167" i="5"/>
  <c r="B167" i="6"/>
  <c r="AD167" i="5"/>
  <c r="J167" i="5"/>
  <c r="D167" i="5"/>
  <c r="B167" i="12" s="1"/>
  <c r="K167" i="5"/>
  <c r="E167" i="5"/>
  <c r="AE165" i="6"/>
  <c r="BF165" i="6"/>
  <c r="AF165" i="6"/>
  <c r="AO165" i="6"/>
  <c r="AU165" i="6"/>
  <c r="AJ165" i="6"/>
  <c r="BC165" i="6"/>
  <c r="AK164" i="6"/>
  <c r="AO164" i="6"/>
  <c r="AM164" i="6"/>
  <c r="AZ164" i="6"/>
  <c r="BF164" i="6"/>
  <c r="BC164" i="6"/>
  <c r="AN164" i="6"/>
  <c r="BG164" i="6"/>
  <c r="AU164" i="6"/>
  <c r="AP164" i="6"/>
  <c r="AS164" i="6"/>
  <c r="AX164" i="6"/>
  <c r="AY164" i="6"/>
  <c r="AQ164" i="6"/>
  <c r="BE164" i="6"/>
  <c r="AR164" i="6"/>
  <c r="AT164" i="6"/>
  <c r="AV164" i="6"/>
  <c r="BD164" i="6"/>
  <c r="BB164" i="6"/>
  <c r="BA164" i="6"/>
  <c r="A166" i="6"/>
  <c r="M166" i="6" s="1"/>
  <c r="AO166" i="6" s="1"/>
  <c r="H166" i="6"/>
  <c r="T166" i="5" s="1"/>
  <c r="L166" i="12"/>
  <c r="J166" i="12"/>
  <c r="AZ165" i="6"/>
  <c r="AM165" i="6"/>
  <c r="AY165" i="6"/>
  <c r="BA165" i="6"/>
  <c r="AX165" i="6"/>
  <c r="AP165" i="6"/>
  <c r="BB165" i="6"/>
  <c r="N165" i="6"/>
  <c r="AI165" i="6"/>
  <c r="AT165" i="6"/>
  <c r="AV165" i="6"/>
  <c r="BE165" i="6"/>
  <c r="AK165" i="6"/>
  <c r="BD165" i="6"/>
  <c r="AR165" i="6"/>
  <c r="AC164" i="6"/>
  <c r="AH164" i="6"/>
  <c r="AG164" i="6"/>
  <c r="AI164" i="6"/>
  <c r="AE164" i="6"/>
  <c r="AD165" i="6"/>
  <c r="AQ165" i="6"/>
  <c r="AC165" i="6"/>
  <c r="AN165" i="6"/>
  <c r="AH165" i="6"/>
  <c r="AG165" i="6"/>
  <c r="BG165" i="6"/>
  <c r="AD166" i="6" l="1"/>
  <c r="AI166" i="6"/>
  <c r="BE166" i="6"/>
  <c r="BG166" i="6"/>
  <c r="BC166" i="6"/>
  <c r="AF166" i="6"/>
  <c r="AZ166" i="6"/>
  <c r="K166" i="12"/>
  <c r="AY166" i="6"/>
  <c r="AV166" i="6"/>
  <c r="AE166" i="6"/>
  <c r="AM166" i="6"/>
  <c r="N166" i="6"/>
  <c r="AX166" i="6"/>
  <c r="BB166" i="6"/>
  <c r="L167" i="12"/>
  <c r="J167" i="12"/>
  <c r="AC166" i="6"/>
  <c r="AT166" i="6"/>
  <c r="AH166" i="6"/>
  <c r="AU166" i="6"/>
  <c r="AP166" i="6"/>
  <c r="AK166" i="6"/>
  <c r="BF166" i="6"/>
  <c r="AG166" i="6"/>
  <c r="A167" i="6"/>
  <c r="M167" i="6" s="1"/>
  <c r="AQ167" i="6" s="1"/>
  <c r="H167" i="6"/>
  <c r="T167" i="5" s="1"/>
  <c r="AN166" i="6"/>
  <c r="AJ166" i="6"/>
  <c r="BD166" i="6"/>
  <c r="BA166" i="6"/>
  <c r="AQ166" i="6"/>
  <c r="AS166" i="6"/>
  <c r="AR166" i="6"/>
  <c r="K168" i="5"/>
  <c r="C169" i="5"/>
  <c r="D168" i="5"/>
  <c r="B168" i="12" s="1"/>
  <c r="H168" i="5"/>
  <c r="J168" i="5"/>
  <c r="F168" i="5"/>
  <c r="N168" i="5"/>
  <c r="D168" i="6" s="1"/>
  <c r="A168" i="12"/>
  <c r="B168" i="6"/>
  <c r="AE168" i="5"/>
  <c r="E168" i="5"/>
  <c r="AD168" i="5"/>
  <c r="B168" i="5"/>
  <c r="G168" i="5"/>
  <c r="N167" i="6" l="1"/>
  <c r="AS167" i="6"/>
  <c r="AM167" i="6"/>
  <c r="AG167" i="6"/>
  <c r="BF167" i="6"/>
  <c r="BE167" i="6"/>
  <c r="AP167" i="6"/>
  <c r="AR167" i="6"/>
  <c r="AV167" i="6"/>
  <c r="AY167" i="6"/>
  <c r="AT167" i="6"/>
  <c r="AO167" i="6"/>
  <c r="BC167" i="6"/>
  <c r="AD167" i="6"/>
  <c r="BB167" i="6"/>
  <c r="BD167" i="6"/>
  <c r="AZ167" i="6"/>
  <c r="BG167" i="6"/>
  <c r="H168" i="6"/>
  <c r="T168" i="5" s="1"/>
  <c r="AI167" i="6"/>
  <c r="AJ167" i="6"/>
  <c r="G169" i="5"/>
  <c r="A169" i="12"/>
  <c r="C170" i="5"/>
  <c r="B169" i="6"/>
  <c r="N169" i="5"/>
  <c r="D169" i="6" s="1"/>
  <c r="B169" i="5"/>
  <c r="J169" i="5"/>
  <c r="D169" i="5"/>
  <c r="B169" i="12" s="1"/>
  <c r="AD169" i="5"/>
  <c r="F169" i="5"/>
  <c r="H169" i="5"/>
  <c r="K169" i="5"/>
  <c r="E169" i="5"/>
  <c r="AE169" i="5"/>
  <c r="J168" i="12"/>
  <c r="L168" i="12"/>
  <c r="AC167" i="6"/>
  <c r="AH167" i="6"/>
  <c r="A168" i="6"/>
  <c r="M168" i="6" s="1"/>
  <c r="AE167" i="6"/>
  <c r="AX167" i="6"/>
  <c r="AU167" i="6"/>
  <c r="AN167" i="6"/>
  <c r="AK167" i="6"/>
  <c r="AF167" i="6"/>
  <c r="BA167" i="6"/>
  <c r="K167" i="12"/>
  <c r="AK168" i="6" l="1"/>
  <c r="K168" i="12"/>
  <c r="B170" i="6"/>
  <c r="B170" i="5"/>
  <c r="C171" i="5" s="1"/>
  <c r="AD170" i="5"/>
  <c r="F170" i="5"/>
  <c r="J170" i="5"/>
  <c r="AE170" i="5"/>
  <c r="N170" i="5"/>
  <c r="D170" i="6" s="1"/>
  <c r="G170" i="5"/>
  <c r="K170" i="5"/>
  <c r="E170" i="5"/>
  <c r="D170" i="5"/>
  <c r="B170" i="12" s="1"/>
  <c r="A170" i="12"/>
  <c r="H170" i="5"/>
  <c r="AF168" i="6"/>
  <c r="AX168" i="6"/>
  <c r="AY168" i="6"/>
  <c r="AR168" i="6"/>
  <c r="AD168" i="6"/>
  <c r="AH168" i="6"/>
  <c r="AO168" i="6"/>
  <c r="J169" i="12"/>
  <c r="L169" i="12"/>
  <c r="BC168" i="6"/>
  <c r="BD168" i="6"/>
  <c r="BG168" i="6"/>
  <c r="AV168" i="6"/>
  <c r="AM168" i="6"/>
  <c r="AE168" i="6"/>
  <c r="AS168" i="6"/>
  <c r="AG168" i="6"/>
  <c r="H169" i="6"/>
  <c r="AQ168" i="6"/>
  <c r="AI168" i="6"/>
  <c r="AU168" i="6"/>
  <c r="AN168" i="6"/>
  <c r="AT168" i="6"/>
  <c r="AJ168" i="6"/>
  <c r="AP168" i="6"/>
  <c r="AZ168" i="6"/>
  <c r="A169" i="6"/>
  <c r="N169" i="6" s="1"/>
  <c r="BE168" i="6"/>
  <c r="BA168" i="6"/>
  <c r="N168" i="6"/>
  <c r="BB168" i="6"/>
  <c r="BF168" i="6"/>
  <c r="AC168" i="6"/>
  <c r="K169" i="12" l="1"/>
  <c r="M169" i="6"/>
  <c r="AE169" i="6" s="1"/>
  <c r="L170" i="12"/>
  <c r="J170" i="12"/>
  <c r="T169" i="5"/>
  <c r="H170" i="6"/>
  <c r="B171" i="6"/>
  <c r="A171" i="6" s="1"/>
  <c r="G171" i="5"/>
  <c r="H171" i="5"/>
  <c r="F171" i="5"/>
  <c r="K159" i="5" s="1"/>
  <c r="W171" i="5"/>
  <c r="B171" i="5"/>
  <c r="A171" i="12"/>
  <c r="AD171" i="5"/>
  <c r="I171" i="5"/>
  <c r="E171" i="5"/>
  <c r="AE171" i="5"/>
  <c r="N171" i="5"/>
  <c r="D171" i="6" s="1"/>
  <c r="C172" i="5"/>
  <c r="A170" i="6"/>
  <c r="N170" i="6" s="1"/>
  <c r="K108" i="5"/>
  <c r="T170" i="5" l="1"/>
  <c r="AK169" i="6"/>
  <c r="AH169" i="6"/>
  <c r="C173" i="5"/>
  <c r="K172" i="5"/>
  <c r="A172" i="12"/>
  <c r="E172" i="5"/>
  <c r="B172" i="5"/>
  <c r="AD172" i="5"/>
  <c r="F172" i="5"/>
  <c r="J172" i="5"/>
  <c r="D172" i="5"/>
  <c r="B172" i="12" s="1"/>
  <c r="B172" i="6"/>
  <c r="H172" i="5"/>
  <c r="N172" i="5"/>
  <c r="D172" i="6" s="1"/>
  <c r="G172" i="5"/>
  <c r="AE172" i="5"/>
  <c r="AJ169" i="6"/>
  <c r="AI169" i="6"/>
  <c r="BE171" i="6"/>
  <c r="AN171" i="6"/>
  <c r="BF171" i="6"/>
  <c r="AV171" i="6"/>
  <c r="AT171" i="6"/>
  <c r="AU171" i="6"/>
  <c r="G171" i="6"/>
  <c r="AQ171" i="6"/>
  <c r="BA171" i="6"/>
  <c r="AS171" i="6"/>
  <c r="AM171" i="6"/>
  <c r="AO171" i="6"/>
  <c r="BC171" i="6"/>
  <c r="AR171" i="6"/>
  <c r="N171" i="6"/>
  <c r="BD171" i="6"/>
  <c r="AX171" i="6"/>
  <c r="BB171" i="6"/>
  <c r="AP171" i="6"/>
  <c r="AY171" i="6"/>
  <c r="BG171" i="6"/>
  <c r="M171" i="6"/>
  <c r="AZ171" i="6"/>
  <c r="H171" i="6"/>
  <c r="T171" i="5" s="1"/>
  <c r="M170" i="6"/>
  <c r="AG170" i="6" s="1"/>
  <c r="AC169" i="6"/>
  <c r="K170" i="12"/>
  <c r="AF169" i="6"/>
  <c r="BG169" i="6"/>
  <c r="BF169" i="6"/>
  <c r="BC169" i="6"/>
  <c r="AR169" i="6"/>
  <c r="AP169" i="6"/>
  <c r="AY169" i="6"/>
  <c r="BB169" i="6"/>
  <c r="AM169" i="6"/>
  <c r="AO169" i="6"/>
  <c r="BD169" i="6"/>
  <c r="AZ169" i="6"/>
  <c r="BE169" i="6"/>
  <c r="AN169" i="6"/>
  <c r="AV169" i="6"/>
  <c r="AS169" i="6"/>
  <c r="AT169" i="6"/>
  <c r="AU169" i="6"/>
  <c r="BA169" i="6"/>
  <c r="AQ169" i="6"/>
  <c r="AX169" i="6"/>
  <c r="AG169" i="6"/>
  <c r="AD169" i="6"/>
  <c r="E175" i="12"/>
  <c r="E179" i="12"/>
  <c r="AC171" i="6" l="1"/>
  <c r="AG171" i="6"/>
  <c r="AH171" i="6"/>
  <c r="AK171" i="6"/>
  <c r="AJ171" i="6"/>
  <c r="AI171" i="6"/>
  <c r="AF171" i="6"/>
  <c r="H173" i="5"/>
  <c r="E173" i="5"/>
  <c r="F173" i="5"/>
  <c r="A173" i="12"/>
  <c r="C174" i="5"/>
  <c r="B173" i="5"/>
  <c r="B173" i="6"/>
  <c r="D173" i="5"/>
  <c r="B173" i="12" s="1"/>
  <c r="AE173" i="5"/>
  <c r="N173" i="5"/>
  <c r="D173" i="6" s="1"/>
  <c r="AD173" i="5"/>
  <c r="K173" i="5"/>
  <c r="G173" i="5"/>
  <c r="J173" i="5"/>
  <c r="AI170" i="6"/>
  <c r="AJ170" i="6"/>
  <c r="AE171" i="6"/>
  <c r="AD171" i="6"/>
  <c r="H172" i="6"/>
  <c r="AD170" i="6"/>
  <c r="AF170" i="6"/>
  <c r="AQ170" i="6"/>
  <c r="BE170" i="6"/>
  <c r="AZ170" i="6"/>
  <c r="BF170" i="6"/>
  <c r="AX170" i="6"/>
  <c r="BD170" i="6"/>
  <c r="AV170" i="6"/>
  <c r="AY170" i="6"/>
  <c r="AR170" i="6"/>
  <c r="AO170" i="6"/>
  <c r="BC170" i="6"/>
  <c r="AM170" i="6"/>
  <c r="AU170" i="6"/>
  <c r="AP170" i="6"/>
  <c r="AT170" i="6"/>
  <c r="BG170" i="6"/>
  <c r="AS170" i="6"/>
  <c r="BA170" i="6"/>
  <c r="BB170" i="6"/>
  <c r="AN170" i="6"/>
  <c r="AB171" i="6"/>
  <c r="L172" i="12"/>
  <c r="J172" i="12"/>
  <c r="AH170" i="6"/>
  <c r="AC170" i="6"/>
  <c r="A172" i="6"/>
  <c r="N172" i="6" s="1"/>
  <c r="AE170" i="6"/>
  <c r="AK170" i="6"/>
  <c r="F175" i="6"/>
  <c r="F179" i="6"/>
  <c r="K172" i="12" l="1"/>
  <c r="E174" i="5"/>
  <c r="J174" i="5"/>
  <c r="G174" i="5"/>
  <c r="H174" i="5"/>
  <c r="B174" i="6"/>
  <c r="D174" i="5"/>
  <c r="B174" i="12" s="1"/>
  <c r="F174" i="5"/>
  <c r="N174" i="5"/>
  <c r="D174" i="6" s="1"/>
  <c r="A174" i="12"/>
  <c r="B174" i="5"/>
  <c r="C175" i="5" s="1"/>
  <c r="AE174" i="5"/>
  <c r="AD174" i="5"/>
  <c r="K174" i="5"/>
  <c r="M172" i="6"/>
  <c r="AH172" i="6" s="1"/>
  <c r="J173" i="12"/>
  <c r="L173" i="12"/>
  <c r="T172" i="5"/>
  <c r="A173" i="6"/>
  <c r="N173" i="6" s="1"/>
  <c r="H173" i="6"/>
  <c r="I31" i="5"/>
  <c r="I58" i="5"/>
  <c r="I28" i="5"/>
  <c r="K173" i="12" l="1"/>
  <c r="M173" i="6"/>
  <c r="AE173" i="6" s="1"/>
  <c r="AE172" i="6"/>
  <c r="AK172" i="6"/>
  <c r="H174" i="6"/>
  <c r="T174" i="5" s="1"/>
  <c r="T173" i="5"/>
  <c r="AG172" i="6"/>
  <c r="AJ172" i="6"/>
  <c r="AS172" i="6"/>
  <c r="AV172" i="6"/>
  <c r="AN172" i="6"/>
  <c r="BA172" i="6"/>
  <c r="BB172" i="6"/>
  <c r="BE172" i="6"/>
  <c r="AX172" i="6"/>
  <c r="AY172" i="6"/>
  <c r="AQ172" i="6"/>
  <c r="AR172" i="6"/>
  <c r="BC172" i="6"/>
  <c r="AO172" i="6"/>
  <c r="AZ172" i="6"/>
  <c r="BG172" i="6"/>
  <c r="AM172" i="6"/>
  <c r="AP172" i="6"/>
  <c r="BF172" i="6"/>
  <c r="AU172" i="6"/>
  <c r="AT172" i="6"/>
  <c r="BD172" i="6"/>
  <c r="AE175" i="5"/>
  <c r="N175" i="5"/>
  <c r="D175" i="6" s="1"/>
  <c r="H175" i="5"/>
  <c r="C176" i="5"/>
  <c r="B175" i="6"/>
  <c r="A175" i="6" s="1"/>
  <c r="G175" i="5"/>
  <c r="AD175" i="5"/>
  <c r="A175" i="12"/>
  <c r="E175" i="5"/>
  <c r="W175" i="5"/>
  <c r="F175" i="5"/>
  <c r="B175" i="5"/>
  <c r="AI172" i="6"/>
  <c r="AC172" i="6"/>
  <c r="AF172" i="6"/>
  <c r="AD172" i="6"/>
  <c r="L174" i="12"/>
  <c r="J174" i="12"/>
  <c r="A174" i="6"/>
  <c r="M174" i="6" s="1"/>
  <c r="AV174" i="6" s="1"/>
  <c r="AF173" i="6" l="1"/>
  <c r="K174" i="12"/>
  <c r="AG173" i="6"/>
  <c r="G176" i="5"/>
  <c r="G175" i="6"/>
  <c r="N175" i="6"/>
  <c r="M175" i="6"/>
  <c r="BG175" i="6" s="1"/>
  <c r="H175" i="6"/>
  <c r="T175" i="5" s="1"/>
  <c r="AQ175" i="6"/>
  <c r="AV175" i="6"/>
  <c r="AR175" i="6"/>
  <c r="AP175" i="6"/>
  <c r="AN175" i="6"/>
  <c r="BD175" i="6"/>
  <c r="BE175" i="6"/>
  <c r="AT175" i="6"/>
  <c r="AM175" i="6"/>
  <c r="AU175" i="6"/>
  <c r="AS175" i="6"/>
  <c r="AY175" i="6"/>
  <c r="AZ175" i="6"/>
  <c r="BC175" i="6"/>
  <c r="BB175" i="6"/>
  <c r="AO175" i="6"/>
  <c r="AX175" i="6"/>
  <c r="BA175" i="6"/>
  <c r="BF175" i="6"/>
  <c r="AI173" i="6"/>
  <c r="AM174" i="6"/>
  <c r="AC174" i="6"/>
  <c r="AS174" i="6"/>
  <c r="BA174" i="6"/>
  <c r="AE174" i="6"/>
  <c r="AR174" i="6"/>
  <c r="AT174" i="6"/>
  <c r="AD174" i="6"/>
  <c r="AJ174" i="6"/>
  <c r="BB174" i="6"/>
  <c r="AZ174" i="6"/>
  <c r="AN174" i="6"/>
  <c r="BD174" i="6"/>
  <c r="BC174" i="6"/>
  <c r="AY174" i="6"/>
  <c r="AK173" i="6"/>
  <c r="BG173" i="6"/>
  <c r="AQ173" i="6"/>
  <c r="AZ173" i="6"/>
  <c r="AX173" i="6"/>
  <c r="AP173" i="6"/>
  <c r="AV173" i="6"/>
  <c r="AM173" i="6"/>
  <c r="BA173" i="6"/>
  <c r="AN173" i="6"/>
  <c r="AR173" i="6"/>
  <c r="BF173" i="6"/>
  <c r="AS173" i="6"/>
  <c r="AO173" i="6"/>
  <c r="BC173" i="6"/>
  <c r="BB173" i="6"/>
  <c r="AT173" i="6"/>
  <c r="BE173" i="6"/>
  <c r="AY173" i="6"/>
  <c r="BD173" i="6"/>
  <c r="AU173" i="6"/>
  <c r="AD176" i="5"/>
  <c r="B176" i="5"/>
  <c r="K176" i="5"/>
  <c r="N176" i="5"/>
  <c r="D176" i="6" s="1"/>
  <c r="E176" i="5"/>
  <c r="F176" i="5"/>
  <c r="AE176" i="5"/>
  <c r="A176" i="12"/>
  <c r="D176" i="5"/>
  <c r="B176" i="12" s="1"/>
  <c r="J176" i="5"/>
  <c r="B176" i="6"/>
  <c r="H176" i="5"/>
  <c r="C177" i="5"/>
  <c r="AC173" i="6"/>
  <c r="AD173" i="6"/>
  <c r="BE174" i="6"/>
  <c r="AI174" i="6"/>
  <c r="AG174" i="6"/>
  <c r="AX174" i="6"/>
  <c r="AQ174" i="6"/>
  <c r="AK174" i="6"/>
  <c r="BF174" i="6"/>
  <c r="AH173" i="6"/>
  <c r="AJ173" i="6"/>
  <c r="AO174" i="6"/>
  <c r="N174" i="6"/>
  <c r="BG174" i="6"/>
  <c r="AU174" i="6"/>
  <c r="AP174" i="6"/>
  <c r="AF174" i="6"/>
  <c r="AH174" i="6"/>
  <c r="AH175" i="6" l="1"/>
  <c r="AG175" i="6"/>
  <c r="A176" i="6"/>
  <c r="N176" i="6" s="1"/>
  <c r="D177" i="5"/>
  <c r="B177" i="12" s="1"/>
  <c r="K177" i="5"/>
  <c r="E177" i="5"/>
  <c r="G177" i="5"/>
  <c r="J177" i="5"/>
  <c r="B177" i="5"/>
  <c r="A177" i="12"/>
  <c r="N177" i="5"/>
  <c r="D177" i="6" s="1"/>
  <c r="AD177" i="5"/>
  <c r="B177" i="6"/>
  <c r="H177" i="5"/>
  <c r="F177" i="5"/>
  <c r="C178" i="5"/>
  <c r="AE177" i="5"/>
  <c r="J176" i="12"/>
  <c r="L176" i="12"/>
  <c r="H176" i="6"/>
  <c r="T176" i="5" s="1"/>
  <c r="AE175" i="6"/>
  <c r="AI175" i="6"/>
  <c r="AC175" i="6"/>
  <c r="AF175" i="6"/>
  <c r="AK175" i="6"/>
  <c r="AJ175" i="6"/>
  <c r="AB175" i="6"/>
  <c r="AD175" i="6"/>
  <c r="M176" i="6" l="1"/>
  <c r="AT176" i="6" s="1"/>
  <c r="K176" i="12"/>
  <c r="A177" i="6"/>
  <c r="H177" i="6"/>
  <c r="T177" i="5" s="1"/>
  <c r="L177" i="12"/>
  <c r="J177" i="12"/>
  <c r="F178" i="5"/>
  <c r="N178" i="5"/>
  <c r="D178" i="6" s="1"/>
  <c r="E178" i="5"/>
  <c r="A178" i="12"/>
  <c r="B178" i="6"/>
  <c r="G178" i="5"/>
  <c r="J178" i="5"/>
  <c r="AE178" i="5"/>
  <c r="D178" i="5"/>
  <c r="B178" i="12" s="1"/>
  <c r="B178" i="5"/>
  <c r="C179" i="5" s="1"/>
  <c r="K178" i="5"/>
  <c r="AD178" i="5"/>
  <c r="H178" i="5"/>
  <c r="M177" i="6" l="1"/>
  <c r="BF177" i="6" s="1"/>
  <c r="BB176" i="6"/>
  <c r="AG176" i="6"/>
  <c r="AN176" i="6"/>
  <c r="AD176" i="6"/>
  <c r="AK176" i="6"/>
  <c r="BA176" i="6"/>
  <c r="AI176" i="6"/>
  <c r="AS176" i="6"/>
  <c r="AE176" i="6"/>
  <c r="BC176" i="6"/>
  <c r="AC176" i="6"/>
  <c r="AQ176" i="6"/>
  <c r="AH176" i="6"/>
  <c r="BE176" i="6"/>
  <c r="AM176" i="6"/>
  <c r="AZ176" i="6"/>
  <c r="BG176" i="6"/>
  <c r="AP176" i="6"/>
  <c r="AO176" i="6"/>
  <c r="AY176" i="6"/>
  <c r="AR176" i="6"/>
  <c r="AX176" i="6"/>
  <c r="AJ176" i="6"/>
  <c r="AU176" i="6"/>
  <c r="BD176" i="6"/>
  <c r="AF176" i="6"/>
  <c r="AV176" i="6"/>
  <c r="BF176" i="6"/>
  <c r="N177" i="6"/>
  <c r="L178" i="12"/>
  <c r="J178" i="12"/>
  <c r="K177" i="12"/>
  <c r="W179" i="5"/>
  <c r="E179" i="5"/>
  <c r="H179" i="5"/>
  <c r="G179" i="5"/>
  <c r="AE179" i="5"/>
  <c r="B179" i="5"/>
  <c r="A179" i="12"/>
  <c r="C180" i="5"/>
  <c r="F179" i="5"/>
  <c r="K175" i="5" s="1"/>
  <c r="AD179" i="5"/>
  <c r="N179" i="5"/>
  <c r="D179" i="6" s="1"/>
  <c r="B179" i="6"/>
  <c r="A179" i="6" s="1"/>
  <c r="A178" i="6"/>
  <c r="N178" i="6" s="1"/>
  <c r="H178" i="6"/>
  <c r="T178" i="5" s="1"/>
  <c r="BE177" i="6" l="1"/>
  <c r="AT177" i="6"/>
  <c r="AP177" i="6"/>
  <c r="BD177" i="6"/>
  <c r="AO177" i="6"/>
  <c r="BC177" i="6"/>
  <c r="AC177" i="6"/>
  <c r="AX177" i="6"/>
  <c r="AY177" i="6"/>
  <c r="AZ177" i="6"/>
  <c r="AR177" i="6"/>
  <c r="BA177" i="6"/>
  <c r="BG177" i="6"/>
  <c r="AG177" i="6"/>
  <c r="AH177" i="6"/>
  <c r="AI177" i="6"/>
  <c r="AJ177" i="6"/>
  <c r="AM177" i="6"/>
  <c r="AN177" i="6"/>
  <c r="AS177" i="6"/>
  <c r="AK177" i="6"/>
  <c r="AU177" i="6"/>
  <c r="AD177" i="6"/>
  <c r="AV177" i="6"/>
  <c r="AE177" i="6"/>
  <c r="AQ177" i="6"/>
  <c r="AF177" i="6"/>
  <c r="BB177" i="6"/>
  <c r="M178" i="6"/>
  <c r="BG178" i="6" s="1"/>
  <c r="K178" i="12"/>
  <c r="D180" i="5"/>
  <c r="B180" i="12" s="1"/>
  <c r="B180" i="6"/>
  <c r="AD180" i="5"/>
  <c r="J180" i="5"/>
  <c r="N180" i="5"/>
  <c r="D180" i="6" s="1"/>
  <c r="A180" i="12"/>
  <c r="AE180" i="5"/>
  <c r="K180" i="5"/>
  <c r="G180" i="5"/>
  <c r="F180" i="5"/>
  <c r="B180" i="5"/>
  <c r="E180" i="5"/>
  <c r="H180" i="5"/>
  <c r="C181" i="5"/>
  <c r="H179" i="6"/>
  <c r="T179" i="5" s="1"/>
  <c r="BE179" i="6"/>
  <c r="AU179" i="6"/>
  <c r="BC179" i="6"/>
  <c r="BG179" i="6"/>
  <c r="AS179" i="6"/>
  <c r="BD179" i="6"/>
  <c r="BB179" i="6"/>
  <c r="M179" i="6"/>
  <c r="AN179" i="6"/>
  <c r="AM179" i="6"/>
  <c r="AV179" i="6"/>
  <c r="AT179" i="6"/>
  <c r="AY179" i="6"/>
  <c r="AO179" i="6"/>
  <c r="AZ179" i="6"/>
  <c r="G179" i="6"/>
  <c r="BF179" i="6"/>
  <c r="AR179" i="6"/>
  <c r="AP179" i="6"/>
  <c r="BA179" i="6"/>
  <c r="AQ179" i="6"/>
  <c r="AX179" i="6"/>
  <c r="N179" i="6"/>
  <c r="K149" i="5"/>
  <c r="BF178" i="6" l="1"/>
  <c r="AF178" i="6"/>
  <c r="AI178" i="6"/>
  <c r="AZ178" i="6"/>
  <c r="AJ178" i="6"/>
  <c r="BE178" i="6"/>
  <c r="AX178" i="6"/>
  <c r="AM178" i="6"/>
  <c r="BB178" i="6"/>
  <c r="AN178" i="6"/>
  <c r="AV178" i="6"/>
  <c r="AO178" i="6"/>
  <c r="BC178" i="6"/>
  <c r="AR178" i="6"/>
  <c r="AS178" i="6"/>
  <c r="AC178" i="6"/>
  <c r="AD178" i="6"/>
  <c r="AU178" i="6"/>
  <c r="AT178" i="6"/>
  <c r="BA178" i="6"/>
  <c r="AP178" i="6"/>
  <c r="AH178" i="6"/>
  <c r="AE178" i="6"/>
  <c r="AK178" i="6"/>
  <c r="AY178" i="6"/>
  <c r="AG178" i="6"/>
  <c r="AQ178" i="6"/>
  <c r="BD178" i="6"/>
  <c r="AJ179" i="6"/>
  <c r="AF179" i="6"/>
  <c r="AE179" i="6"/>
  <c r="AD179" i="6"/>
  <c r="AG179" i="6"/>
  <c r="AD181" i="5"/>
  <c r="AE181" i="5"/>
  <c r="B181" i="6"/>
  <c r="D181" i="5"/>
  <c r="B181" i="12" s="1"/>
  <c r="A181" i="12"/>
  <c r="N181" i="5"/>
  <c r="D181" i="6" s="1"/>
  <c r="J181" i="5"/>
  <c r="K181" i="5"/>
  <c r="C182" i="5"/>
  <c r="C183" i="5" s="1"/>
  <c r="E181" i="5"/>
  <c r="F181" i="5"/>
  <c r="G181" i="5"/>
  <c r="H181" i="5"/>
  <c r="B181" i="5"/>
  <c r="L180" i="12"/>
  <c r="J180" i="12"/>
  <c r="A180" i="6"/>
  <c r="N180" i="6" s="1"/>
  <c r="AH179" i="6"/>
  <c r="H180" i="6"/>
  <c r="T180" i="5" s="1"/>
  <c r="AI179" i="6"/>
  <c r="AB179" i="6"/>
  <c r="AC179" i="6"/>
  <c r="AK179" i="6"/>
  <c r="B183" i="6" l="1"/>
  <c r="AD183" i="5"/>
  <c r="D183" i="5"/>
  <c r="B183" i="12" s="1"/>
  <c r="K183" i="5"/>
  <c r="J183" i="5"/>
  <c r="AE183" i="5"/>
  <c r="N183" i="5"/>
  <c r="A183" i="12"/>
  <c r="K180" i="12"/>
  <c r="A181" i="6"/>
  <c r="N181" i="6" s="1"/>
  <c r="H181" i="6"/>
  <c r="T181" i="5" s="1"/>
  <c r="B182" i="6"/>
  <c r="N182" i="5"/>
  <c r="D182" i="6" s="1"/>
  <c r="A182" i="12"/>
  <c r="D182" i="5"/>
  <c r="B182" i="12" s="1"/>
  <c r="J182" i="5"/>
  <c r="B182" i="5"/>
  <c r="E182" i="5"/>
  <c r="E183" i="5" s="1"/>
  <c r="K182" i="5"/>
  <c r="G182" i="5"/>
  <c r="G183" i="5" s="1"/>
  <c r="AE182" i="5"/>
  <c r="F182" i="5"/>
  <c r="F183" i="5" s="1"/>
  <c r="H182" i="5"/>
  <c r="H183" i="5" s="1"/>
  <c r="AD182" i="5"/>
  <c r="J181" i="12"/>
  <c r="L181" i="12"/>
  <c r="M180" i="6"/>
  <c r="AE180" i="6" s="1"/>
  <c r="D183" i="6" l="1"/>
  <c r="J183" i="12"/>
  <c r="L183" i="12"/>
  <c r="B183" i="5"/>
  <c r="C184" i="5" s="1"/>
  <c r="A182" i="6"/>
  <c r="M182" i="6" s="1"/>
  <c r="AC180" i="6"/>
  <c r="M181" i="6"/>
  <c r="AK181" i="6" s="1"/>
  <c r="AJ180" i="6"/>
  <c r="AY180" i="6"/>
  <c r="BE180" i="6"/>
  <c r="AS180" i="6"/>
  <c r="AN180" i="6"/>
  <c r="AT180" i="6"/>
  <c r="BF180" i="6"/>
  <c r="BA180" i="6"/>
  <c r="AF180" i="6"/>
  <c r="AQ180" i="6"/>
  <c r="BB180" i="6"/>
  <c r="AO180" i="6"/>
  <c r="BC180" i="6"/>
  <c r="AU180" i="6"/>
  <c r="BG180" i="6"/>
  <c r="AP180" i="6"/>
  <c r="BD180" i="6"/>
  <c r="AH180" i="6"/>
  <c r="AV180" i="6"/>
  <c r="AD180" i="6"/>
  <c r="AM180" i="6"/>
  <c r="AZ180" i="6"/>
  <c r="AX180" i="6"/>
  <c r="AG180" i="6"/>
  <c r="AR180" i="6"/>
  <c r="K181" i="12"/>
  <c r="L182" i="12"/>
  <c r="J182" i="12"/>
  <c r="AK180" i="6"/>
  <c r="AI180" i="6"/>
  <c r="H182" i="6"/>
  <c r="T182" i="5" s="1"/>
  <c r="K183" i="12" l="1"/>
  <c r="A183" i="6"/>
  <c r="N183" i="6" s="1"/>
  <c r="N184" i="5"/>
  <c r="D184" i="6" s="1"/>
  <c r="AP184" i="6" s="1"/>
  <c r="G184" i="5"/>
  <c r="B184" i="5"/>
  <c r="AE184" i="5"/>
  <c r="E184" i="5"/>
  <c r="H184" i="5"/>
  <c r="F184" i="5"/>
  <c r="K171" i="5" s="1"/>
  <c r="W184" i="5"/>
  <c r="C185" i="5"/>
  <c r="J185" i="5" s="1"/>
  <c r="B184" i="6"/>
  <c r="A184" i="6" s="1"/>
  <c r="AD184" i="5"/>
  <c r="A184" i="12"/>
  <c r="I184" i="5"/>
  <c r="H183" i="6"/>
  <c r="T183" i="5" s="1"/>
  <c r="N182" i="6"/>
  <c r="BB182" i="6"/>
  <c r="BA182" i="6"/>
  <c r="BD182" i="6"/>
  <c r="AX182" i="6"/>
  <c r="AO182" i="6"/>
  <c r="AR182" i="6"/>
  <c r="BF182" i="6"/>
  <c r="AU182" i="6"/>
  <c r="AV182" i="6"/>
  <c r="AS182" i="6"/>
  <c r="AG182" i="6"/>
  <c r="AZ182" i="6"/>
  <c r="AT182" i="6"/>
  <c r="BE182" i="6"/>
  <c r="AY182" i="6"/>
  <c r="BG182" i="6"/>
  <c r="AP182" i="6"/>
  <c r="AM182" i="6"/>
  <c r="AN182" i="6"/>
  <c r="AQ182" i="6"/>
  <c r="BC182" i="6"/>
  <c r="AK182" i="6"/>
  <c r="AE182" i="6"/>
  <c r="AJ182" i="6"/>
  <c r="AD182" i="6"/>
  <c r="AI182" i="6"/>
  <c r="AC182" i="6"/>
  <c r="AH182" i="6"/>
  <c r="K182" i="12"/>
  <c r="AJ181" i="6"/>
  <c r="AH181" i="6"/>
  <c r="AF182" i="6"/>
  <c r="BG181" i="6"/>
  <c r="AN181" i="6"/>
  <c r="AX181" i="6"/>
  <c r="BF181" i="6"/>
  <c r="AC181" i="6"/>
  <c r="AD181" i="6"/>
  <c r="AO181" i="6"/>
  <c r="AZ181" i="6"/>
  <c r="AQ181" i="6"/>
  <c r="AM181" i="6"/>
  <c r="AU181" i="6"/>
  <c r="AT181" i="6"/>
  <c r="BD181" i="6"/>
  <c r="BC181" i="6"/>
  <c r="BA181" i="6"/>
  <c r="AY181" i="6"/>
  <c r="AP181" i="6"/>
  <c r="BB181" i="6"/>
  <c r="AF181" i="6"/>
  <c r="AV181" i="6"/>
  <c r="BE181" i="6"/>
  <c r="AG181" i="6"/>
  <c r="AE181" i="6"/>
  <c r="AS181" i="6"/>
  <c r="AI181" i="6"/>
  <c r="AR181" i="6"/>
  <c r="AF22" i="13"/>
  <c r="AD21" i="13"/>
  <c r="K179" i="5" l="1"/>
  <c r="BE184" i="6"/>
  <c r="BA184" i="6"/>
  <c r="M184" i="6"/>
  <c r="AR184" i="6" s="1"/>
  <c r="D185" i="5"/>
  <c r="B185" i="12" s="1"/>
  <c r="BC184" i="6"/>
  <c r="N185" i="5"/>
  <c r="D185" i="6" s="1"/>
  <c r="H185" i="6" s="1"/>
  <c r="T185" i="5" s="1"/>
  <c r="AV184" i="6"/>
  <c r="AD185" i="5"/>
  <c r="G184" i="6"/>
  <c r="AU184" i="6"/>
  <c r="N184" i="6"/>
  <c r="AQ184" i="6"/>
  <c r="C186" i="5"/>
  <c r="AD186" i="5" s="1"/>
  <c r="AE185" i="5"/>
  <c r="BG184" i="6"/>
  <c r="H184" i="6"/>
  <c r="T184" i="5" s="1"/>
  <c r="K185" i="5"/>
  <c r="AO184" i="6"/>
  <c r="AZ184" i="6"/>
  <c r="AN184" i="6"/>
  <c r="BF184" i="6"/>
  <c r="BB184" i="6"/>
  <c r="AT184" i="6"/>
  <c r="H185" i="5"/>
  <c r="E185" i="5"/>
  <c r="G185" i="5"/>
  <c r="AX184" i="6"/>
  <c r="BD184" i="6"/>
  <c r="AM184" i="6"/>
  <c r="AS184" i="6"/>
  <c r="AY184" i="6"/>
  <c r="B185" i="6"/>
  <c r="A185" i="12"/>
  <c r="J185" i="12" s="1"/>
  <c r="M183" i="6"/>
  <c r="AR183" i="6" s="1"/>
  <c r="B185" i="5"/>
  <c r="F185" i="5"/>
  <c r="A185" i="6" l="1"/>
  <c r="N185" i="6" s="1"/>
  <c r="K186" i="5"/>
  <c r="AI184" i="6"/>
  <c r="B186" i="6"/>
  <c r="AH184" i="6"/>
  <c r="L185" i="12"/>
  <c r="K185" i="12" s="1"/>
  <c r="J186" i="5"/>
  <c r="E186" i="5"/>
  <c r="D186" i="5"/>
  <c r="B186" i="12" s="1"/>
  <c r="N186" i="5"/>
  <c r="D186" i="6" s="1"/>
  <c r="A186" i="12"/>
  <c r="L186" i="12" s="1"/>
  <c r="H186" i="5"/>
  <c r="AE186" i="5"/>
  <c r="B186" i="5"/>
  <c r="AG184" i="6"/>
  <c r="AJ184" i="6"/>
  <c r="AC184" i="6"/>
  <c r="AE184" i="6"/>
  <c r="AB184" i="6"/>
  <c r="G186" i="5"/>
  <c r="C187" i="5"/>
  <c r="K187" i="5" s="1"/>
  <c r="AK184" i="6"/>
  <c r="AF184" i="6"/>
  <c r="F186" i="5"/>
  <c r="AD184" i="6"/>
  <c r="AN183" i="6"/>
  <c r="AK183" i="6"/>
  <c r="AG183" i="6"/>
  <c r="AV183" i="6"/>
  <c r="BG183" i="6"/>
  <c r="AZ183" i="6"/>
  <c r="BF183" i="6"/>
  <c r="AU183" i="6"/>
  <c r="BB183" i="6"/>
  <c r="AE183" i="6"/>
  <c r="AX183" i="6"/>
  <c r="AP183" i="6"/>
  <c r="AF183" i="6"/>
  <c r="AH183" i="6"/>
  <c r="AO183" i="6"/>
  <c r="AD183" i="6"/>
  <c r="AJ183" i="6"/>
  <c r="AQ183" i="6"/>
  <c r="AM183" i="6"/>
  <c r="AS183" i="6"/>
  <c r="AI183" i="6"/>
  <c r="AC183" i="6"/>
  <c r="BE183" i="6"/>
  <c r="BC183" i="6"/>
  <c r="BA183" i="6"/>
  <c r="AY183" i="6"/>
  <c r="BD183" i="6"/>
  <c r="AT183" i="6"/>
  <c r="M185" i="6" l="1"/>
  <c r="AI185" i="6" s="1"/>
  <c r="A186" i="6"/>
  <c r="N186" i="6" s="1"/>
  <c r="AE187" i="5"/>
  <c r="J186" i="12"/>
  <c r="K186" i="12" s="1"/>
  <c r="H186" i="6"/>
  <c r="T186" i="5" s="1"/>
  <c r="G187" i="5"/>
  <c r="F187" i="5"/>
  <c r="B187" i="6"/>
  <c r="N187" i="5"/>
  <c r="D187" i="6" s="1"/>
  <c r="H187" i="6" s="1"/>
  <c r="T187" i="5" s="1"/>
  <c r="B187" i="5"/>
  <c r="C188" i="5" s="1"/>
  <c r="W188" i="5" s="1"/>
  <c r="J187" i="5"/>
  <c r="H187" i="5"/>
  <c r="D187" i="5"/>
  <c r="B187" i="12" s="1"/>
  <c r="A187" i="12"/>
  <c r="J187" i="12" s="1"/>
  <c r="E187" i="5"/>
  <c r="AD187" i="5"/>
  <c r="M186" i="6"/>
  <c r="AE185" i="6" l="1"/>
  <c r="AC185" i="6"/>
  <c r="BE185" i="6"/>
  <c r="AX185" i="6"/>
  <c r="AR185" i="6"/>
  <c r="AF185" i="6"/>
  <c r="AM185" i="6"/>
  <c r="AN185" i="6"/>
  <c r="AH185" i="6"/>
  <c r="AQ185" i="6"/>
  <c r="AD185" i="6"/>
  <c r="AG185" i="6"/>
  <c r="AP185" i="6"/>
  <c r="AU185" i="6"/>
  <c r="AY185" i="6"/>
  <c r="BC185" i="6"/>
  <c r="BD185" i="6"/>
  <c r="AO185" i="6"/>
  <c r="AT185" i="6"/>
  <c r="AV185" i="6"/>
  <c r="AJ185" i="6"/>
  <c r="AS185" i="6"/>
  <c r="AK185" i="6"/>
  <c r="AZ185" i="6"/>
  <c r="BB185" i="6"/>
  <c r="BF185" i="6"/>
  <c r="BA185" i="6"/>
  <c r="BG185" i="6"/>
  <c r="C189" i="5"/>
  <c r="C190" i="5" s="1"/>
  <c r="A190" i="12" s="1"/>
  <c r="AD188" i="5"/>
  <c r="H188" i="5"/>
  <c r="I188" i="5"/>
  <c r="F188" i="5"/>
  <c r="K184" i="5" s="1"/>
  <c r="L187" i="12"/>
  <c r="K187" i="12" s="1"/>
  <c r="G188" i="5"/>
  <c r="A188" i="12"/>
  <c r="N188" i="5"/>
  <c r="D188" i="6" s="1"/>
  <c r="BB188" i="6" s="1"/>
  <c r="AE188" i="5"/>
  <c r="A187" i="6"/>
  <c r="M187" i="6" s="1"/>
  <c r="AV187" i="6" s="1"/>
  <c r="B188" i="6"/>
  <c r="A188" i="6" s="1"/>
  <c r="B188" i="5"/>
  <c r="B189" i="5" s="1"/>
  <c r="B190" i="5" s="1"/>
  <c r="E188" i="5"/>
  <c r="AV186" i="6"/>
  <c r="AH186" i="6"/>
  <c r="AT186" i="6"/>
  <c r="AS186" i="6"/>
  <c r="AK186" i="6"/>
  <c r="AD186" i="6"/>
  <c r="BG186" i="6"/>
  <c r="AE186" i="6"/>
  <c r="BC186" i="6"/>
  <c r="AP186" i="6"/>
  <c r="AQ186" i="6"/>
  <c r="AX186" i="6"/>
  <c r="BF186" i="6"/>
  <c r="AR186" i="6"/>
  <c r="BD186" i="6"/>
  <c r="AU186" i="6"/>
  <c r="AI186" i="6"/>
  <c r="AM186" i="6"/>
  <c r="AO186" i="6"/>
  <c r="AN186" i="6"/>
  <c r="AY186" i="6"/>
  <c r="BB186" i="6"/>
  <c r="AZ186" i="6"/>
  <c r="BA186" i="6"/>
  <c r="BE186" i="6"/>
  <c r="AJ186" i="6"/>
  <c r="AG186" i="6"/>
  <c r="AC186" i="6"/>
  <c r="J189" i="5"/>
  <c r="A189" i="12"/>
  <c r="AE189" i="5"/>
  <c r="AY188" i="6"/>
  <c r="BC188" i="6"/>
  <c r="AN188" i="6"/>
  <c r="AQ188" i="6"/>
  <c r="AM188" i="6"/>
  <c r="AF186" i="6"/>
  <c r="AF149" i="5"/>
  <c r="AF31" i="5"/>
  <c r="AF68" i="5"/>
  <c r="AF87" i="5"/>
  <c r="AF42" i="5"/>
  <c r="AF100" i="5"/>
  <c r="AF188" i="5"/>
  <c r="AF175" i="5"/>
  <c r="AF51" i="5"/>
  <c r="AF58" i="5"/>
  <c r="AF28" i="5"/>
  <c r="AF45" i="5"/>
  <c r="AF104" i="5"/>
  <c r="AF179" i="5"/>
  <c r="AF60" i="5"/>
  <c r="AF75" i="5"/>
  <c r="AF108" i="5"/>
  <c r="AF171" i="5"/>
  <c r="AF66" i="5"/>
  <c r="AF184" i="5"/>
  <c r="AF79" i="5"/>
  <c r="AF94" i="5"/>
  <c r="AF159" i="5"/>
  <c r="M188" i="6" l="1"/>
  <c r="AU188" i="6"/>
  <c r="N189" i="5"/>
  <c r="D189" i="6" s="1"/>
  <c r="D189" i="5"/>
  <c r="B189" i="12" s="1"/>
  <c r="B190" i="6"/>
  <c r="AO188" i="6"/>
  <c r="H188" i="6"/>
  <c r="T188" i="5" s="1"/>
  <c r="K189" i="5"/>
  <c r="AD189" i="5"/>
  <c r="E189" i="5"/>
  <c r="AS188" i="6"/>
  <c r="AR188" i="6"/>
  <c r="BA188" i="6"/>
  <c r="D190" i="5"/>
  <c r="B190" i="12" s="1"/>
  <c r="E190" i="5"/>
  <c r="AD190" i="5"/>
  <c r="AZ188" i="6"/>
  <c r="N188" i="6"/>
  <c r="G188" i="6"/>
  <c r="AT188" i="6"/>
  <c r="BD188" i="6"/>
  <c r="B189" i="6"/>
  <c r="C191" i="5"/>
  <c r="AE191" i="5" s="1"/>
  <c r="AE190" i="5"/>
  <c r="G189" i="5"/>
  <c r="G190" i="5" s="1"/>
  <c r="J190" i="5"/>
  <c r="K190" i="5"/>
  <c r="AP188" i="6"/>
  <c r="N190" i="5"/>
  <c r="D190" i="6" s="1"/>
  <c r="H189" i="5"/>
  <c r="H190" i="5" s="1"/>
  <c r="AI187" i="6"/>
  <c r="N187" i="6"/>
  <c r="AV188" i="6"/>
  <c r="BE188" i="6"/>
  <c r="AX188" i="6"/>
  <c r="BF188" i="6"/>
  <c r="BG188" i="6"/>
  <c r="F189" i="5"/>
  <c r="F190" i="5" s="1"/>
  <c r="AE187" i="6"/>
  <c r="AG187" i="6"/>
  <c r="BE187" i="6"/>
  <c r="AF187" i="6"/>
  <c r="AS187" i="6"/>
  <c r="BC187" i="6"/>
  <c r="AP187" i="6"/>
  <c r="AD187" i="6"/>
  <c r="AJ187" i="6"/>
  <c r="AT187" i="6"/>
  <c r="AK187" i="6"/>
  <c r="AC187" i="6"/>
  <c r="AM187" i="6"/>
  <c r="AQ187" i="6"/>
  <c r="AU187" i="6"/>
  <c r="BG187" i="6"/>
  <c r="BA187" i="6"/>
  <c r="AZ187" i="6"/>
  <c r="BD187" i="6"/>
  <c r="AO187" i="6"/>
  <c r="AX187" i="6"/>
  <c r="AH187" i="6"/>
  <c r="AY187" i="6"/>
  <c r="BF187" i="6"/>
  <c r="BB187" i="6"/>
  <c r="AN187" i="6"/>
  <c r="AR187" i="6"/>
  <c r="J190" i="12"/>
  <c r="L190" i="12"/>
  <c r="AG75" i="5"/>
  <c r="AG31" i="5"/>
  <c r="AG188" i="5"/>
  <c r="AG184" i="5"/>
  <c r="AG179" i="5"/>
  <c r="AG175" i="5"/>
  <c r="AG171" i="5"/>
  <c r="AG159" i="5"/>
  <c r="AG94" i="5"/>
  <c r="AG66" i="5"/>
  <c r="AG58" i="5"/>
  <c r="AG42" i="5"/>
  <c r="AG45" i="5"/>
  <c r="AG87" i="5"/>
  <c r="AG79" i="5"/>
  <c r="AG51" i="5"/>
  <c r="AG149" i="5"/>
  <c r="G108" i="6"/>
  <c r="AG108" i="5"/>
  <c r="AG104" i="5"/>
  <c r="AG100" i="5"/>
  <c r="AG68" i="5"/>
  <c r="AG60" i="5"/>
  <c r="AG28" i="5"/>
  <c r="AF188" i="6"/>
  <c r="A189" i="6"/>
  <c r="N189" i="6" s="1"/>
  <c r="AJ188" i="6"/>
  <c r="AE188" i="6"/>
  <c r="AD188" i="6"/>
  <c r="AB188" i="6"/>
  <c r="H189" i="6"/>
  <c r="T189" i="5" s="1"/>
  <c r="AC188" i="6"/>
  <c r="AH188" i="6"/>
  <c r="AK188" i="6"/>
  <c r="AI188" i="6"/>
  <c r="L189" i="12"/>
  <c r="J189" i="12"/>
  <c r="A5" i="5"/>
  <c r="AG188" i="6" l="1"/>
  <c r="B191" i="6"/>
  <c r="AD191" i="5"/>
  <c r="E77" i="8" s="1"/>
  <c r="E78" i="8" s="1"/>
  <c r="L77" i="8" s="1"/>
  <c r="R79" i="8" s="1"/>
  <c r="J191" i="5"/>
  <c r="A191" i="12"/>
  <c r="L191" i="12" s="1"/>
  <c r="D191" i="5"/>
  <c r="B191" i="12" s="1"/>
  <c r="B191" i="5"/>
  <c r="E191" i="5"/>
  <c r="N191" i="5"/>
  <c r="D191" i="6" s="1"/>
  <c r="H191" i="6" s="1"/>
  <c r="T191" i="5" s="1"/>
  <c r="K191" i="5"/>
  <c r="G191" i="5"/>
  <c r="F191" i="5"/>
  <c r="J28" i="5" s="1"/>
  <c r="D28" i="5" s="1"/>
  <c r="B28" i="12" s="1"/>
  <c r="H191" i="5"/>
  <c r="AN68" i="5"/>
  <c r="AN149" i="5"/>
  <c r="AN179" i="5"/>
  <c r="AN75" i="5"/>
  <c r="AN28" i="5"/>
  <c r="AN79" i="5"/>
  <c r="AN45" i="5"/>
  <c r="AN188" i="5"/>
  <c r="AN108" i="5"/>
  <c r="AN60" i="5"/>
  <c r="AN100" i="5"/>
  <c r="AN42" i="5"/>
  <c r="AN51" i="5"/>
  <c r="AN66" i="5"/>
  <c r="AN159" i="5"/>
  <c r="AN175" i="5"/>
  <c r="AN184" i="5"/>
  <c r="AN31" i="5"/>
  <c r="K190" i="12"/>
  <c r="AN104" i="5"/>
  <c r="AN58" i="5"/>
  <c r="AN171" i="5"/>
  <c r="H190" i="6"/>
  <c r="T190" i="5" s="1"/>
  <c r="A190" i="6"/>
  <c r="N190" i="6" s="1"/>
  <c r="E89" i="8"/>
  <c r="E90" i="8" s="1"/>
  <c r="AN87" i="5"/>
  <c r="AN94" i="5"/>
  <c r="E38" i="8"/>
  <c r="E39" i="8" s="1"/>
  <c r="I38" i="8" s="1"/>
  <c r="M189" i="6"/>
  <c r="AP189" i="6" s="1"/>
  <c r="J31" i="5"/>
  <c r="D31" i="5" s="1"/>
  <c r="B31" i="12" s="1"/>
  <c r="K189" i="12"/>
  <c r="J100" i="5"/>
  <c r="D100" i="5" s="1"/>
  <c r="B100" i="12" s="1"/>
  <c r="J108" i="5"/>
  <c r="D108" i="5" s="1"/>
  <c r="B108" i="12" s="1"/>
  <c r="J171" i="5"/>
  <c r="D171" i="5" s="1"/>
  <c r="B171" i="12" s="1"/>
  <c r="B20" i="11"/>
  <c r="B21" i="11"/>
  <c r="K16" i="5"/>
  <c r="A15" i="13"/>
  <c r="A21" i="13"/>
  <c r="B17" i="11"/>
  <c r="A22" i="13"/>
  <c r="B22" i="11"/>
  <c r="B15" i="11"/>
  <c r="A12" i="13"/>
  <c r="B16" i="11"/>
  <c r="A17" i="13"/>
  <c r="A19" i="13"/>
  <c r="A23" i="13"/>
  <c r="B12" i="11"/>
  <c r="A16" i="13"/>
  <c r="A20" i="13"/>
  <c r="B23" i="11"/>
  <c r="A18" i="13"/>
  <c r="B18" i="11"/>
  <c r="B19" i="11"/>
  <c r="J16" i="5"/>
  <c r="E14" i="8"/>
  <c r="E15" i="8" s="1"/>
  <c r="J94" i="5"/>
  <c r="D94" i="5" s="1"/>
  <c r="B94" i="12" s="1"/>
  <c r="J184" i="5"/>
  <c r="D184" i="5" s="1"/>
  <c r="B184" i="12" s="1"/>
  <c r="E86" i="8"/>
  <c r="E87" i="8" s="1"/>
  <c r="J26" i="5"/>
  <c r="D26" i="5" s="1"/>
  <c r="B26" i="12" s="1"/>
  <c r="J175" i="5"/>
  <c r="D175" i="5" s="1"/>
  <c r="B175" i="12" s="1"/>
  <c r="E26" i="8"/>
  <c r="E27" i="8" s="1"/>
  <c r="J188" i="5"/>
  <c r="J42" i="5"/>
  <c r="D42" i="5" s="1"/>
  <c r="B42" i="12" s="1"/>
  <c r="E80" i="8"/>
  <c r="E81" i="8" s="1"/>
  <c r="E20" i="8"/>
  <c r="E21" i="8" s="1"/>
  <c r="J87" i="5"/>
  <c r="D87" i="5" s="1"/>
  <c r="B87" i="12" s="1"/>
  <c r="E59" i="8"/>
  <c r="E60" i="8" s="1"/>
  <c r="E71" i="8"/>
  <c r="E72" i="8" s="1"/>
  <c r="K188" i="5"/>
  <c r="J45" i="5"/>
  <c r="D45" i="5" s="1"/>
  <c r="B45" i="12" s="1"/>
  <c r="E41" i="8"/>
  <c r="E42" i="8" s="1"/>
  <c r="J159" i="5"/>
  <c r="D159" i="5" s="1"/>
  <c r="B159" i="12" s="1"/>
  <c r="E83" i="8"/>
  <c r="E84" i="8" s="1"/>
  <c r="E44" i="8"/>
  <c r="E45" i="8" s="1"/>
  <c r="E47" i="8"/>
  <c r="E48" i="8" s="1"/>
  <c r="E17" i="8"/>
  <c r="E18" i="8" s="1"/>
  <c r="J66" i="5"/>
  <c r="D66" i="5" s="1"/>
  <c r="B66" i="12" s="1"/>
  <c r="E65" i="8"/>
  <c r="E66" i="8" s="1"/>
  <c r="E50" i="8"/>
  <c r="E51" i="8" s="1"/>
  <c r="J60" i="5"/>
  <c r="D60" i="5" s="1"/>
  <c r="B60" i="12" s="1"/>
  <c r="J149" i="5"/>
  <c r="D149" i="5" s="1"/>
  <c r="B149" i="12" s="1"/>
  <c r="E32" i="8"/>
  <c r="E33" i="8" s="1"/>
  <c r="J58" i="5"/>
  <c r="D58" i="5" s="1"/>
  <c r="B58" i="12" s="1"/>
  <c r="E35" i="8"/>
  <c r="E36" i="8" s="1"/>
  <c r="E74" i="8"/>
  <c r="E75" i="8" s="1"/>
  <c r="E23" i="8"/>
  <c r="E24" i="8" s="1"/>
  <c r="J68" i="5"/>
  <c r="D68" i="5" s="1"/>
  <c r="B68" i="12" s="1"/>
  <c r="E53" i="8"/>
  <c r="E54" i="8" s="1"/>
  <c r="E1" i="8"/>
  <c r="E2" i="8" s="1"/>
  <c r="E56" i="8"/>
  <c r="E57" i="8" s="1"/>
  <c r="E62" i="8" l="1"/>
  <c r="E63" i="8" s="1"/>
  <c r="L62" i="8" s="1"/>
  <c r="E68" i="8"/>
  <c r="E69" i="8" s="1"/>
  <c r="L68" i="8" s="1"/>
  <c r="R70" i="8" s="1"/>
  <c r="E29" i="8"/>
  <c r="E30" i="8" s="1"/>
  <c r="I29" i="8" s="1"/>
  <c r="J191" i="12"/>
  <c r="J179" i="5"/>
  <c r="D179" i="5" s="1"/>
  <c r="B179" i="12" s="1"/>
  <c r="J104" i="5"/>
  <c r="D104" i="5" s="1"/>
  <c r="B104" i="12" s="1"/>
  <c r="J51" i="5"/>
  <c r="D51" i="5" s="1"/>
  <c r="B51" i="12" s="1"/>
  <c r="J17" i="5"/>
  <c r="D17" i="5" s="1"/>
  <c r="B17" i="12" s="1"/>
  <c r="J79" i="5"/>
  <c r="D79" i="5" s="1"/>
  <c r="B79" i="12" s="1"/>
  <c r="J75" i="5"/>
  <c r="D75" i="5" s="1"/>
  <c r="B75" i="12" s="1"/>
  <c r="L38" i="8"/>
  <c r="O38" i="8" s="1"/>
  <c r="I77" i="8"/>
  <c r="L29" i="8"/>
  <c r="O29" i="8" s="1"/>
  <c r="A191" i="6"/>
  <c r="N191" i="6" s="1"/>
  <c r="M190" i="6"/>
  <c r="L89" i="8"/>
  <c r="O89" i="8" s="1"/>
  <c r="I89" i="8"/>
  <c r="AO189" i="6"/>
  <c r="AN189" i="6"/>
  <c r="AD189" i="6"/>
  <c r="BG189" i="6"/>
  <c r="BD189" i="6"/>
  <c r="AT189" i="6"/>
  <c r="AY189" i="6"/>
  <c r="AR189" i="6"/>
  <c r="AU189" i="6"/>
  <c r="AV189" i="6"/>
  <c r="AZ189" i="6"/>
  <c r="AG189" i="6"/>
  <c r="AQ189" i="6"/>
  <c r="AS189" i="6"/>
  <c r="AC189" i="6"/>
  <c r="AH189" i="6"/>
  <c r="BB189" i="6"/>
  <c r="BE189" i="6"/>
  <c r="BA189" i="6"/>
  <c r="AE189" i="6"/>
  <c r="AJ189" i="6"/>
  <c r="AI189" i="6"/>
  <c r="I62" i="8"/>
  <c r="AM189" i="6"/>
  <c r="AK189" i="6"/>
  <c r="I68" i="8"/>
  <c r="AF189" i="6"/>
  <c r="BF189" i="6"/>
  <c r="AX189" i="6"/>
  <c r="BC189" i="6"/>
  <c r="P77" i="8"/>
  <c r="P68" i="8"/>
  <c r="O77" i="8"/>
  <c r="K191" i="12"/>
  <c r="D16" i="5"/>
  <c r="B14" i="13" s="1"/>
  <c r="D188" i="5"/>
  <c r="B188" i="12" s="1"/>
  <c r="R1" i="8"/>
  <c r="F1" i="8" s="1"/>
  <c r="M1" i="8"/>
  <c r="O1" i="8"/>
  <c r="N1" i="8"/>
  <c r="H1" i="8"/>
  <c r="L1" i="8"/>
  <c r="I1" i="8"/>
  <c r="P1" i="8"/>
  <c r="I56" i="8"/>
  <c r="L56" i="8"/>
  <c r="R58" i="8" s="1"/>
  <c r="I23" i="8"/>
  <c r="L23" i="8"/>
  <c r="O23" i="8" s="1"/>
  <c r="I32" i="8"/>
  <c r="L32" i="8"/>
  <c r="O32" i="8" s="1"/>
  <c r="L17" i="8"/>
  <c r="O17" i="8" s="1"/>
  <c r="I17" i="8"/>
  <c r="L44" i="8"/>
  <c r="P44" i="8" s="1"/>
  <c r="I44" i="8"/>
  <c r="L20" i="8"/>
  <c r="P20" i="8" s="1"/>
  <c r="I20" i="8"/>
  <c r="P62" i="8"/>
  <c r="G23" i="11"/>
  <c r="F23" i="13" s="1"/>
  <c r="AA23" i="11"/>
  <c r="O23" i="11"/>
  <c r="AB23" i="11"/>
  <c r="N23" i="11" s="1"/>
  <c r="C23" i="13"/>
  <c r="K23" i="11"/>
  <c r="J23" i="13" s="1"/>
  <c r="AL23" i="13"/>
  <c r="AO23" i="13"/>
  <c r="B23" i="13"/>
  <c r="AM23" i="13" s="1"/>
  <c r="AO12" i="13"/>
  <c r="AL12" i="13"/>
  <c r="B12" i="13"/>
  <c r="AN12" i="13" s="1"/>
  <c r="G17" i="11"/>
  <c r="F17" i="13" s="1"/>
  <c r="AB17" i="11"/>
  <c r="N17" i="11" s="1"/>
  <c r="AA17" i="11"/>
  <c r="O17" i="11"/>
  <c r="K17" i="11"/>
  <c r="J17" i="13" s="1"/>
  <c r="C17" i="13"/>
  <c r="C21" i="13"/>
  <c r="G21" i="11"/>
  <c r="F21" i="13" s="1"/>
  <c r="AB21" i="11"/>
  <c r="N21" i="11" s="1"/>
  <c r="O21" i="11"/>
  <c r="K21" i="11"/>
  <c r="J21" i="13" s="1"/>
  <c r="AA21" i="11"/>
  <c r="O68" i="8"/>
  <c r="I74" i="8"/>
  <c r="L74" i="8"/>
  <c r="O74" i="8" s="1"/>
  <c r="L50" i="8"/>
  <c r="O50" i="8" s="1"/>
  <c r="I50" i="8"/>
  <c r="L47" i="8"/>
  <c r="P47" i="8" s="1"/>
  <c r="I47" i="8"/>
  <c r="I83" i="8"/>
  <c r="L83" i="8"/>
  <c r="L80" i="8"/>
  <c r="I80" i="8"/>
  <c r="O62" i="8"/>
  <c r="AB19" i="11"/>
  <c r="N19" i="11" s="1"/>
  <c r="AA19" i="11"/>
  <c r="C19" i="13"/>
  <c r="O19" i="11"/>
  <c r="G19" i="11"/>
  <c r="F19" i="13" s="1"/>
  <c r="K19" i="11"/>
  <c r="J19" i="13" s="1"/>
  <c r="AL20" i="13"/>
  <c r="AO20" i="13"/>
  <c r="B20" i="13"/>
  <c r="AK20" i="13" s="1"/>
  <c r="AO19" i="13"/>
  <c r="AL19" i="13"/>
  <c r="B19" i="13"/>
  <c r="AN19" i="13" s="1"/>
  <c r="C15" i="13"/>
  <c r="K15" i="11"/>
  <c r="J15" i="13" s="1"/>
  <c r="AB15" i="11"/>
  <c r="N15" i="11" s="1"/>
  <c r="G15" i="11"/>
  <c r="F15" i="13" s="1"/>
  <c r="O15" i="11"/>
  <c r="AA15" i="11"/>
  <c r="B21" i="13"/>
  <c r="AJ21" i="13" s="1"/>
  <c r="AL21" i="13"/>
  <c r="AO21" i="13"/>
  <c r="O20" i="11"/>
  <c r="AB20" i="11"/>
  <c r="N20" i="11" s="1"/>
  <c r="C20" i="13"/>
  <c r="G20" i="11"/>
  <c r="F20" i="13" s="1"/>
  <c r="AA20" i="11"/>
  <c r="K20" i="11"/>
  <c r="J20" i="13" s="1"/>
  <c r="I53" i="8"/>
  <c r="L53" i="8"/>
  <c r="I35" i="8"/>
  <c r="L35" i="8"/>
  <c r="R37" i="8" s="1"/>
  <c r="L65" i="8"/>
  <c r="N62" i="8" s="1"/>
  <c r="I65" i="8"/>
  <c r="I71" i="8"/>
  <c r="L71" i="8"/>
  <c r="O71" i="8" s="1"/>
  <c r="P29" i="8"/>
  <c r="R31" i="8"/>
  <c r="I86" i="8"/>
  <c r="L86" i="8"/>
  <c r="P86" i="8" s="1"/>
  <c r="L14" i="8"/>
  <c r="R16" i="8" s="1"/>
  <c r="I14" i="8"/>
  <c r="O18" i="11"/>
  <c r="G18" i="11"/>
  <c r="F18" i="13" s="1"/>
  <c r="K18" i="11"/>
  <c r="J18" i="13" s="1"/>
  <c r="AB18" i="11"/>
  <c r="N18" i="11" s="1"/>
  <c r="AA18" i="11"/>
  <c r="C18" i="13"/>
  <c r="AO16" i="13"/>
  <c r="AL16" i="13"/>
  <c r="B16" i="13"/>
  <c r="AM16" i="13" s="1"/>
  <c r="AL17" i="13"/>
  <c r="B17" i="13"/>
  <c r="AM17" i="13" s="1"/>
  <c r="AO17" i="13"/>
  <c r="G22" i="11"/>
  <c r="F22" i="13" s="1"/>
  <c r="C22" i="13"/>
  <c r="O22" i="11"/>
  <c r="AA22" i="11"/>
  <c r="K22" i="11"/>
  <c r="J22" i="13" s="1"/>
  <c r="AB22" i="11"/>
  <c r="N22" i="11" s="1"/>
  <c r="B15" i="13"/>
  <c r="AF15" i="13" s="1"/>
  <c r="AO15" i="13"/>
  <c r="AL15" i="13"/>
  <c r="I41" i="8"/>
  <c r="L41" i="8"/>
  <c r="P41" i="8" s="1"/>
  <c r="L59" i="8"/>
  <c r="N59" i="8" s="1"/>
  <c r="I59" i="8"/>
  <c r="I26" i="8"/>
  <c r="L26" i="8"/>
  <c r="R64" i="8"/>
  <c r="B18" i="13"/>
  <c r="AJ18" i="13" s="1"/>
  <c r="AO18" i="13"/>
  <c r="AL18" i="13"/>
  <c r="G12" i="11"/>
  <c r="F12" i="13" s="1"/>
  <c r="C12" i="13"/>
  <c r="AA12" i="11"/>
  <c r="K12" i="11"/>
  <c r="J12" i="13" s="1"/>
  <c r="O12" i="11"/>
  <c r="AB12" i="11"/>
  <c r="N12" i="11" s="1"/>
  <c r="O16" i="11"/>
  <c r="K16" i="11"/>
  <c r="J16" i="13" s="1"/>
  <c r="AB16" i="11"/>
  <c r="N16" i="11" s="1"/>
  <c r="AA16" i="11"/>
  <c r="C16" i="13"/>
  <c r="G16" i="11"/>
  <c r="F16" i="13" s="1"/>
  <c r="AO22" i="13"/>
  <c r="AL22" i="13"/>
  <c r="B22" i="13"/>
  <c r="AN22" i="13" s="1"/>
  <c r="R40" i="8" l="1"/>
  <c r="P38" i="8"/>
  <c r="M191" i="6"/>
  <c r="AI191" i="6" s="1"/>
  <c r="F2" i="8"/>
  <c r="BA190" i="6"/>
  <c r="AZ190" i="6"/>
  <c r="AY190" i="6"/>
  <c r="BF190" i="6"/>
  <c r="AO190" i="6"/>
  <c r="BC190" i="6"/>
  <c r="AN190" i="6"/>
  <c r="BG190" i="6"/>
  <c r="AS190" i="6"/>
  <c r="AR190" i="6"/>
  <c r="AU190" i="6"/>
  <c r="AP190" i="6"/>
  <c r="BB190" i="6"/>
  <c r="AT190" i="6"/>
  <c r="BE190" i="6"/>
  <c r="AM190" i="6"/>
  <c r="AQ190" i="6"/>
  <c r="AX190" i="6"/>
  <c r="AV190" i="6"/>
  <c r="BD190" i="6"/>
  <c r="AJ190" i="6"/>
  <c r="AC190" i="6"/>
  <c r="AE190" i="6"/>
  <c r="AG190" i="6"/>
  <c r="AI190" i="6"/>
  <c r="AF190" i="6"/>
  <c r="AH190" i="6"/>
  <c r="AD190" i="6"/>
  <c r="AK190" i="6"/>
  <c r="P89" i="8"/>
  <c r="N89" i="8"/>
  <c r="M89" i="8"/>
  <c r="R91" i="8"/>
  <c r="B16" i="12"/>
  <c r="N53" i="8"/>
  <c r="AK15" i="13"/>
  <c r="O86" i="8"/>
  <c r="N35" i="8"/>
  <c r="C19" i="9"/>
  <c r="P53" i="8"/>
  <c r="P14" i="8"/>
  <c r="AN17" i="13"/>
  <c r="O14" i="8"/>
  <c r="AK21" i="13"/>
  <c r="AK17" i="13"/>
  <c r="N14" i="8"/>
  <c r="AN23" i="13"/>
  <c r="N41" i="8"/>
  <c r="O59" i="8"/>
  <c r="AN21" i="13"/>
  <c r="D15" i="5"/>
  <c r="AM18" i="13"/>
  <c r="AJ17" i="13"/>
  <c r="M86" i="8"/>
  <c r="AM22" i="13"/>
  <c r="AN18" i="13"/>
  <c r="P74" i="8"/>
  <c r="AJ23" i="13"/>
  <c r="O20" i="8"/>
  <c r="O56" i="8"/>
  <c r="AK18" i="13"/>
  <c r="M59" i="8"/>
  <c r="Q59" i="8" s="1"/>
  <c r="AJ15" i="13"/>
  <c r="AK23" i="13"/>
  <c r="N29" i="8"/>
  <c r="O44" i="8"/>
  <c r="AN16" i="13"/>
  <c r="N68" i="8"/>
  <c r="M17" i="8"/>
  <c r="P71" i="8"/>
  <c r="P65" i="8"/>
  <c r="M50" i="8"/>
  <c r="AJ19" i="13"/>
  <c r="N74" i="8"/>
  <c r="AK22" i="13"/>
  <c r="AJ22" i="13"/>
  <c r="O41" i="8"/>
  <c r="M71" i="8"/>
  <c r="AK19" i="13"/>
  <c r="AM20" i="13"/>
  <c r="O47" i="8"/>
  <c r="AK12" i="13"/>
  <c r="Z12" i="11"/>
  <c r="L12" i="13"/>
  <c r="C12" i="11"/>
  <c r="W12" i="11"/>
  <c r="P26" i="8"/>
  <c r="R28" i="8"/>
  <c r="M22" i="13"/>
  <c r="K22" i="13"/>
  <c r="S22" i="13"/>
  <c r="T22" i="13"/>
  <c r="U22" i="13"/>
  <c r="O22" i="13"/>
  <c r="R22" i="13"/>
  <c r="M65" i="8"/>
  <c r="M35" i="8"/>
  <c r="W19" i="11"/>
  <c r="C19" i="11"/>
  <c r="Z19" i="11"/>
  <c r="L19" i="13"/>
  <c r="D19" i="13" s="1"/>
  <c r="M80" i="8"/>
  <c r="N77" i="8"/>
  <c r="R82" i="8"/>
  <c r="M77" i="8"/>
  <c r="O83" i="8"/>
  <c r="R85" i="8"/>
  <c r="W23" i="11"/>
  <c r="Z23" i="11"/>
  <c r="L23" i="13"/>
  <c r="D23" i="13" s="1"/>
  <c r="C23" i="11"/>
  <c r="N17" i="8"/>
  <c r="M32" i="8"/>
  <c r="P23" i="8"/>
  <c r="R25" i="8"/>
  <c r="N56" i="8"/>
  <c r="M26" i="8"/>
  <c r="M41" i="8"/>
  <c r="AM15" i="13"/>
  <c r="AK16" i="13"/>
  <c r="M14" i="8"/>
  <c r="Q14" i="8" s="1"/>
  <c r="R73" i="8"/>
  <c r="M68" i="8"/>
  <c r="N65" i="8"/>
  <c r="O35" i="8"/>
  <c r="O53" i="8"/>
  <c r="R55" i="8"/>
  <c r="L20" i="13"/>
  <c r="D20" i="13" s="1"/>
  <c r="Z20" i="11"/>
  <c r="C20" i="11"/>
  <c r="W20" i="11"/>
  <c r="W15" i="11"/>
  <c r="C15" i="11"/>
  <c r="Z15" i="11"/>
  <c r="L15" i="13"/>
  <c r="D15" i="13" s="1"/>
  <c r="K15" i="13"/>
  <c r="T15" i="13"/>
  <c r="O15" i="13"/>
  <c r="R15" i="13"/>
  <c r="S15" i="13"/>
  <c r="M15" i="13"/>
  <c r="U15" i="13"/>
  <c r="AJ20" i="13"/>
  <c r="M19" i="13"/>
  <c r="S19" i="13"/>
  <c r="O19" i="13"/>
  <c r="U19" i="13"/>
  <c r="K19" i="13"/>
  <c r="T19" i="13"/>
  <c r="R19" i="13"/>
  <c r="O80" i="8"/>
  <c r="M83" i="8"/>
  <c r="N50" i="8"/>
  <c r="R52" i="8"/>
  <c r="C17" i="11"/>
  <c r="W17" i="11"/>
  <c r="Z17" i="11"/>
  <c r="L17" i="13"/>
  <c r="D17" i="13" s="1"/>
  <c r="AJ12" i="13"/>
  <c r="R22" i="8"/>
  <c r="N32" i="8"/>
  <c r="Q32" i="8" s="1"/>
  <c r="P56" i="8"/>
  <c r="G2" i="8"/>
  <c r="G1" i="8"/>
  <c r="I2" i="8" s="1"/>
  <c r="M16" i="13"/>
  <c r="R16" i="13"/>
  <c r="O16" i="13"/>
  <c r="S16" i="13"/>
  <c r="U16" i="13"/>
  <c r="K16" i="13"/>
  <c r="T16" i="13"/>
  <c r="W16" i="11"/>
  <c r="Z16" i="11"/>
  <c r="L16" i="13"/>
  <c r="D16" i="13" s="1"/>
  <c r="C16" i="11"/>
  <c r="O26" i="8"/>
  <c r="P59" i="8"/>
  <c r="R61" i="8"/>
  <c r="AN15" i="13"/>
  <c r="AJ16" i="13"/>
  <c r="K18" i="13"/>
  <c r="M18" i="13"/>
  <c r="O18" i="13"/>
  <c r="S18" i="13"/>
  <c r="T18" i="13"/>
  <c r="R18" i="13"/>
  <c r="U18" i="13"/>
  <c r="N86" i="8"/>
  <c r="R88" i="8"/>
  <c r="N71" i="8"/>
  <c r="Q71" i="8" s="1"/>
  <c r="P35" i="8"/>
  <c r="M53" i="8"/>
  <c r="AM21" i="13"/>
  <c r="AM19" i="13"/>
  <c r="AN20" i="13"/>
  <c r="P80" i="8"/>
  <c r="N83" i="8"/>
  <c r="N47" i="8"/>
  <c r="P50" i="8"/>
  <c r="M74" i="8"/>
  <c r="R76" i="8"/>
  <c r="U21" i="13"/>
  <c r="M21" i="13"/>
  <c r="O21" i="13"/>
  <c r="T21" i="13"/>
  <c r="R21" i="13"/>
  <c r="S21" i="13"/>
  <c r="K21" i="13"/>
  <c r="AM12" i="13"/>
  <c r="K23" i="13"/>
  <c r="T23" i="13"/>
  <c r="U23" i="13"/>
  <c r="O23" i="13"/>
  <c r="S23" i="13"/>
  <c r="R23" i="13"/>
  <c r="M23" i="13"/>
  <c r="M20" i="8"/>
  <c r="N44" i="8"/>
  <c r="R46" i="8"/>
  <c r="N23" i="8"/>
  <c r="R3" i="8"/>
  <c r="Q1" i="8"/>
  <c r="T12" i="13"/>
  <c r="K12" i="13"/>
  <c r="M12" i="13"/>
  <c r="S12" i="13"/>
  <c r="U12" i="13"/>
  <c r="O12" i="13"/>
  <c r="R12" i="13"/>
  <c r="N26" i="8"/>
  <c r="R43" i="8"/>
  <c r="M38" i="8"/>
  <c r="N38" i="8"/>
  <c r="C22" i="11"/>
  <c r="Z22" i="11"/>
  <c r="W22" i="11"/>
  <c r="L22" i="13"/>
  <c r="D22" i="13" s="1"/>
  <c r="L18" i="13"/>
  <c r="D18" i="13" s="1"/>
  <c r="W18" i="11"/>
  <c r="C18" i="11"/>
  <c r="Z18" i="11"/>
  <c r="O65" i="8"/>
  <c r="R67" i="8"/>
  <c r="M62" i="8"/>
  <c r="Q62" i="8" s="1"/>
  <c r="K20" i="13"/>
  <c r="T20" i="13"/>
  <c r="O20" i="13"/>
  <c r="R20" i="13"/>
  <c r="S20" i="13"/>
  <c r="U20" i="13"/>
  <c r="M20" i="13"/>
  <c r="N80" i="8"/>
  <c r="P83" i="8"/>
  <c r="M47" i="8"/>
  <c r="Q47" i="8" s="1"/>
  <c r="R49" i="8"/>
  <c r="W21" i="11"/>
  <c r="L21" i="13"/>
  <c r="D21" i="13" s="1"/>
  <c r="C21" i="11"/>
  <c r="Z21" i="11"/>
  <c r="K17" i="13"/>
  <c r="O17" i="13"/>
  <c r="M17" i="13"/>
  <c r="R17" i="13"/>
  <c r="T17" i="13"/>
  <c r="U17" i="13"/>
  <c r="S17" i="13"/>
  <c r="N20" i="8"/>
  <c r="M44" i="8"/>
  <c r="P17" i="8"/>
  <c r="R19" i="8"/>
  <c r="P32" i="8"/>
  <c r="R34" i="8"/>
  <c r="M23" i="8"/>
  <c r="M56" i="8"/>
  <c r="M29" i="8"/>
  <c r="Q35" i="8" l="1"/>
  <c r="C62" i="10"/>
  <c r="C41" i="9"/>
  <c r="C51" i="9"/>
  <c r="A59" i="10"/>
  <c r="C17" i="10"/>
  <c r="A60" i="10"/>
  <c r="C22" i="9"/>
  <c r="C47" i="10"/>
  <c r="C44" i="9"/>
  <c r="A32" i="10"/>
  <c r="A57" i="9"/>
  <c r="C26" i="9"/>
  <c r="C39" i="10"/>
  <c r="A38" i="10"/>
  <c r="A61" i="10"/>
  <c r="A27" i="10"/>
  <c r="A35" i="10"/>
  <c r="A23" i="9"/>
  <c r="A19" i="9"/>
  <c r="A45" i="9"/>
  <c r="A49" i="10"/>
  <c r="A55" i="10"/>
  <c r="C45" i="10"/>
  <c r="C20" i="10"/>
  <c r="C56" i="9"/>
  <c r="A30" i="9"/>
  <c r="A64" i="10"/>
  <c r="AS191" i="6"/>
  <c r="C47" i="9"/>
  <c r="A51" i="10"/>
  <c r="C29" i="10"/>
  <c r="A57" i="10"/>
  <c r="C64" i="10"/>
  <c r="C40" i="9"/>
  <c r="C50" i="10"/>
  <c r="A16" i="10"/>
  <c r="C21" i="9"/>
  <c r="A30" i="10"/>
  <c r="C63" i="10"/>
  <c r="C45" i="9"/>
  <c r="C58" i="10"/>
  <c r="C37" i="10"/>
  <c r="C24" i="9"/>
  <c r="C60" i="9"/>
  <c r="C16" i="9"/>
  <c r="C27" i="9"/>
  <c r="C43" i="9"/>
  <c r="C18" i="10"/>
  <c r="C53" i="10"/>
  <c r="A1" i="9"/>
  <c r="A58" i="9"/>
  <c r="A56" i="9"/>
  <c r="A23" i="10"/>
  <c r="A44" i="9"/>
  <c r="A26" i="9"/>
  <c r="C26" i="10"/>
  <c r="A53" i="9"/>
  <c r="A36" i="9"/>
  <c r="C33" i="9"/>
  <c r="C28" i="9"/>
  <c r="A42" i="9"/>
  <c r="C35" i="9"/>
  <c r="A28" i="9"/>
  <c r="A20" i="10"/>
  <c r="Q53" i="8"/>
  <c r="AC53" i="8" s="1"/>
  <c r="A21" i="10"/>
  <c r="C20" i="9"/>
  <c r="A63" i="10"/>
  <c r="C49" i="9"/>
  <c r="C34" i="10"/>
  <c r="A39" i="9"/>
  <c r="A41" i="10"/>
  <c r="C38" i="10"/>
  <c r="A46" i="10"/>
  <c r="A26" i="10"/>
  <c r="A31" i="9"/>
  <c r="A52" i="10"/>
  <c r="A33" i="9"/>
  <c r="A34" i="10"/>
  <c r="C23" i="10"/>
  <c r="C19" i="10"/>
  <c r="A29" i="9"/>
  <c r="C52" i="9"/>
  <c r="C28" i="10"/>
  <c r="A18" i="9"/>
  <c r="A43" i="10"/>
  <c r="C32" i="10"/>
  <c r="A21" i="9"/>
  <c r="C51" i="10"/>
  <c r="A56" i="10"/>
  <c r="C61" i="9"/>
  <c r="A59" i="9"/>
  <c r="A64" i="9"/>
  <c r="C57" i="10"/>
  <c r="A63" i="9"/>
  <c r="C42" i="10"/>
  <c r="A48" i="10"/>
  <c r="A17" i="9"/>
  <c r="A22" i="9"/>
  <c r="A34" i="9"/>
  <c r="A1" i="10"/>
  <c r="C48" i="10"/>
  <c r="A20" i="9"/>
  <c r="C48" i="9"/>
  <c r="C57" i="9"/>
  <c r="A25" i="9"/>
  <c r="A24" i="9"/>
  <c r="A54" i="9"/>
  <c r="C54" i="10"/>
  <c r="C38" i="9"/>
  <c r="C16" i="10"/>
  <c r="A40" i="9"/>
  <c r="C46" i="10"/>
  <c r="C36" i="10"/>
  <c r="C64" i="9"/>
  <c r="C55" i="10"/>
  <c r="C30" i="10"/>
  <c r="C42" i="9"/>
  <c r="A62" i="9"/>
  <c r="C32" i="9"/>
  <c r="A50" i="10"/>
  <c r="A29" i="10"/>
  <c r="C56" i="10"/>
  <c r="A18" i="10"/>
  <c r="AZ191" i="6"/>
  <c r="A61" i="9"/>
  <c r="C33" i="10"/>
  <c r="A35" i="9"/>
  <c r="C1" i="9"/>
  <c r="C52" i="10"/>
  <c r="A24" i="10"/>
  <c r="A50" i="9"/>
  <c r="A47" i="9"/>
  <c r="A22" i="10"/>
  <c r="C25" i="9"/>
  <c r="C24" i="10"/>
  <c r="A38" i="9"/>
  <c r="C49" i="10"/>
  <c r="C58" i="9"/>
  <c r="A51" i="9"/>
  <c r="A58" i="10"/>
  <c r="A17" i="10"/>
  <c r="A19" i="10"/>
  <c r="A44" i="10"/>
  <c r="C31" i="10"/>
  <c r="C50" i="9"/>
  <c r="C27" i="10"/>
  <c r="C22" i="10"/>
  <c r="A49" i="9"/>
  <c r="AC191" i="6"/>
  <c r="AC15" i="6" s="1"/>
  <c r="R15" i="6" s="1"/>
  <c r="C43" i="10"/>
  <c r="C17" i="9"/>
  <c r="AY191" i="6"/>
  <c r="AR191" i="6"/>
  <c r="C25" i="10"/>
  <c r="A47" i="10"/>
  <c r="C62" i="9"/>
  <c r="A42" i="10"/>
  <c r="A28" i="10"/>
  <c r="A48" i="9"/>
  <c r="C53" i="9"/>
  <c r="C46" i="9"/>
  <c r="A62" i="10"/>
  <c r="A37" i="9"/>
  <c r="C55" i="9"/>
  <c r="A52" i="9"/>
  <c r="C34" i="9"/>
  <c r="C60" i="10"/>
  <c r="A33" i="10"/>
  <c r="A40" i="10"/>
  <c r="AG191" i="6"/>
  <c r="AG15" i="6" s="1"/>
  <c r="V15" i="6" s="1"/>
  <c r="A60" i="9"/>
  <c r="A45" i="10"/>
  <c r="A27" i="9"/>
  <c r="A16" i="9"/>
  <c r="A25" i="10"/>
  <c r="C35" i="10"/>
  <c r="A31" i="10"/>
  <c r="C36" i="9"/>
  <c r="C21" i="10"/>
  <c r="C31" i="9"/>
  <c r="AK191" i="6"/>
  <c r="AK15" i="6" s="1"/>
  <c r="Z15" i="6" s="1"/>
  <c r="C37" i="9"/>
  <c r="AX191" i="6"/>
  <c r="C41" i="10"/>
  <c r="C18" i="9"/>
  <c r="C59" i="9"/>
  <c r="BC191" i="6"/>
  <c r="C54" i="9"/>
  <c r="A37" i="10"/>
  <c r="BB191" i="6"/>
  <c r="C44" i="10"/>
  <c r="C61" i="10"/>
  <c r="C1" i="10"/>
  <c r="C29" i="9"/>
  <c r="BD191" i="6"/>
  <c r="AD191" i="6"/>
  <c r="AD15" i="6" s="1"/>
  <c r="S15" i="6" s="1"/>
  <c r="AU191" i="6"/>
  <c r="C40" i="10"/>
  <c r="BG191" i="6"/>
  <c r="A53" i="10"/>
  <c r="AF191" i="6"/>
  <c r="AF15" i="6" s="1"/>
  <c r="U15" i="6" s="1"/>
  <c r="A54" i="10"/>
  <c r="A41" i="9"/>
  <c r="C23" i="9"/>
  <c r="C30" i="9"/>
  <c r="C63" i="9"/>
  <c r="A39" i="10"/>
  <c r="A46" i="9"/>
  <c r="A43" i="9"/>
  <c r="AJ191" i="6"/>
  <c r="AJ15" i="6" s="1"/>
  <c r="Y15" i="6" s="1"/>
  <c r="A36" i="10"/>
  <c r="A32" i="9"/>
  <c r="C59" i="10"/>
  <c r="BE191" i="6"/>
  <c r="AQ191" i="6"/>
  <c r="BA191" i="6"/>
  <c r="AT191" i="6"/>
  <c r="A55" i="9"/>
  <c r="AP191" i="6"/>
  <c r="AO191" i="6"/>
  <c r="AM191" i="6"/>
  <c r="AH191" i="6"/>
  <c r="AH15" i="6" s="1"/>
  <c r="W15" i="6" s="1"/>
  <c r="AN191" i="6"/>
  <c r="AV191" i="6"/>
  <c r="C39" i="9"/>
  <c r="BF191" i="6"/>
  <c r="AE191" i="6"/>
  <c r="AE15" i="6" s="1"/>
  <c r="T15" i="6" s="1"/>
  <c r="AI15" i="6"/>
  <c r="X15" i="6" s="1"/>
  <c r="Q89" i="8"/>
  <c r="AP89" i="8" s="1"/>
  <c r="Q86" i="8"/>
  <c r="AJ86" i="8" s="1"/>
  <c r="Q29" i="8"/>
  <c r="AF29" i="8" s="1"/>
  <c r="Q17" i="8"/>
  <c r="AE17" i="8" s="1"/>
  <c r="Q41" i="8"/>
  <c r="AF41" i="8" s="1"/>
  <c r="Q65" i="8"/>
  <c r="AK65" i="8" s="1"/>
  <c r="Q56" i="8"/>
  <c r="AF56" i="8" s="1"/>
  <c r="Q50" i="8"/>
  <c r="AK50" i="8" s="1"/>
  <c r="Q68" i="8"/>
  <c r="W68" i="8" s="1"/>
  <c r="Q80" i="8"/>
  <c r="AD80" i="8" s="1"/>
  <c r="Q74" i="8"/>
  <c r="AF74" i="8" s="1"/>
  <c r="Q20" i="8"/>
  <c r="E22" i="8" s="1"/>
  <c r="Q26" i="8"/>
  <c r="AH26" i="8" s="1"/>
  <c r="Q38" i="8"/>
  <c r="V38" i="8" s="1"/>
  <c r="Q83" i="8"/>
  <c r="AA83" i="8" s="1"/>
  <c r="AO53" i="8"/>
  <c r="AJ71" i="8"/>
  <c r="AG71" i="8"/>
  <c r="E73" i="8"/>
  <c r="AN71" i="8"/>
  <c r="X71" i="8"/>
  <c r="AE71" i="8"/>
  <c r="AQ71" i="8"/>
  <c r="Y71" i="8"/>
  <c r="D71" i="8"/>
  <c r="T71" i="8"/>
  <c r="AA71" i="8"/>
  <c r="AF71" i="8"/>
  <c r="Z71" i="8"/>
  <c r="V71" i="8"/>
  <c r="U71" i="8"/>
  <c r="AM71" i="8"/>
  <c r="AI71" i="8"/>
  <c r="AD71" i="8"/>
  <c r="AH71" i="8"/>
  <c r="AP71" i="8"/>
  <c r="AL71" i="8"/>
  <c r="AB71" i="8"/>
  <c r="W71" i="8"/>
  <c r="AC71" i="8"/>
  <c r="AO71" i="8"/>
  <c r="AK71" i="8"/>
  <c r="Q44" i="8"/>
  <c r="P18" i="13"/>
  <c r="N18" i="13"/>
  <c r="P16" i="13"/>
  <c r="N16" i="13"/>
  <c r="AD47" i="8"/>
  <c r="AH47" i="8"/>
  <c r="AM47" i="8"/>
  <c r="Z47" i="8"/>
  <c r="E49" i="8"/>
  <c r="AC47" i="8"/>
  <c r="D47" i="8"/>
  <c r="AI47" i="8"/>
  <c r="V47" i="8"/>
  <c r="AO47" i="8"/>
  <c r="X47" i="8"/>
  <c r="U47" i="8"/>
  <c r="Y47" i="8"/>
  <c r="AB47" i="8"/>
  <c r="AE47" i="8"/>
  <c r="AN47" i="8"/>
  <c r="AF47" i="8"/>
  <c r="AG47" i="8"/>
  <c r="AK47" i="8"/>
  <c r="T47" i="8"/>
  <c r="AP47" i="8"/>
  <c r="AQ47" i="8"/>
  <c r="AL47" i="8"/>
  <c r="AJ47" i="8"/>
  <c r="W47" i="8"/>
  <c r="AA47" i="8"/>
  <c r="AK62" i="8"/>
  <c r="AP62" i="8"/>
  <c r="AG62" i="8"/>
  <c r="V62" i="8"/>
  <c r="AN62" i="8"/>
  <c r="AE62" i="8"/>
  <c r="AC62" i="8"/>
  <c r="W62" i="8"/>
  <c r="AO62" i="8"/>
  <c r="AL62" i="8"/>
  <c r="T62" i="8"/>
  <c r="AJ62" i="8"/>
  <c r="X62" i="8"/>
  <c r="AI62" i="8"/>
  <c r="AB62" i="8"/>
  <c r="Z62" i="8"/>
  <c r="AF62" i="8"/>
  <c r="U62" i="8"/>
  <c r="AD62" i="8"/>
  <c r="D62" i="8"/>
  <c r="AQ62" i="8"/>
  <c r="AH62" i="8"/>
  <c r="E64" i="8"/>
  <c r="Y62" i="8"/>
  <c r="AA62" i="8"/>
  <c r="AM62" i="8"/>
  <c r="P12" i="13"/>
  <c r="N12" i="13"/>
  <c r="Q23" i="8"/>
  <c r="P23" i="13"/>
  <c r="N23" i="13"/>
  <c r="B14" i="8"/>
  <c r="C14" i="8"/>
  <c r="E16" i="8"/>
  <c r="V12" i="13"/>
  <c r="D12" i="13"/>
  <c r="AF32" i="8"/>
  <c r="Z32" i="8"/>
  <c r="W32" i="8"/>
  <c r="AH32" i="8"/>
  <c r="AC32" i="8"/>
  <c r="AP32" i="8"/>
  <c r="Y32" i="8"/>
  <c r="AD32" i="8"/>
  <c r="AG32" i="8"/>
  <c r="AL32" i="8"/>
  <c r="AN32" i="8"/>
  <c r="AO32" i="8"/>
  <c r="D32" i="8"/>
  <c r="AE32" i="8"/>
  <c r="V32" i="8"/>
  <c r="U32" i="8"/>
  <c r="X32" i="8"/>
  <c r="AK32" i="8"/>
  <c r="AB32" i="8"/>
  <c r="T32" i="8"/>
  <c r="AA32" i="8"/>
  <c r="AQ32" i="8"/>
  <c r="AM32" i="8"/>
  <c r="AJ32" i="8"/>
  <c r="AI32" i="8"/>
  <c r="E34" i="8"/>
  <c r="P20" i="13"/>
  <c r="N20" i="13"/>
  <c r="U59" i="8"/>
  <c r="AF59" i="8"/>
  <c r="AG59" i="8"/>
  <c r="AM59" i="8"/>
  <c r="AB59" i="8"/>
  <c r="AH59" i="8"/>
  <c r="X59" i="8"/>
  <c r="V59" i="8"/>
  <c r="AJ59" i="8"/>
  <c r="Y59" i="8"/>
  <c r="Z59" i="8"/>
  <c r="AC59" i="8"/>
  <c r="D59" i="8"/>
  <c r="AI59" i="8"/>
  <c r="W59" i="8"/>
  <c r="AP59" i="8"/>
  <c r="AE59" i="8"/>
  <c r="AO59" i="8"/>
  <c r="AQ59" i="8"/>
  <c r="E61" i="8"/>
  <c r="T59" i="8"/>
  <c r="AD59" i="8"/>
  <c r="AL59" i="8"/>
  <c r="AK59" i="8"/>
  <c r="AA59" i="8"/>
  <c r="AN59" i="8"/>
  <c r="P21" i="13"/>
  <c r="N21" i="13"/>
  <c r="Q77" i="8"/>
  <c r="N22" i="13"/>
  <c r="P22" i="13"/>
  <c r="N17" i="13"/>
  <c r="P17" i="13"/>
  <c r="D3" i="8"/>
  <c r="AF1" i="8"/>
  <c r="AK3" i="8"/>
  <c r="AP3" i="8"/>
  <c r="Y1" i="8"/>
  <c r="X3" i="8"/>
  <c r="AA3" i="8"/>
  <c r="AB1" i="8"/>
  <c r="AJ3" i="8"/>
  <c r="AQ3" i="8"/>
  <c r="Z3" i="8"/>
  <c r="V1" i="8"/>
  <c r="AA1" i="8"/>
  <c r="AO3" i="8"/>
  <c r="Y3" i="8"/>
  <c r="W1" i="8"/>
  <c r="AL3" i="8"/>
  <c r="W3" i="8"/>
  <c r="X1" i="8"/>
  <c r="U3" i="8"/>
  <c r="AH3" i="8"/>
  <c r="AF3" i="8"/>
  <c r="AM1" i="8"/>
  <c r="AE1" i="8"/>
  <c r="AE3" i="8"/>
  <c r="E3" i="8"/>
  <c r="AM3" i="8"/>
  <c r="AB3" i="8"/>
  <c r="AD1" i="8"/>
  <c r="AO1" i="8"/>
  <c r="V3" i="8"/>
  <c r="AD3" i="8"/>
  <c r="AC1" i="8"/>
  <c r="AN1" i="8"/>
  <c r="U1" i="8"/>
  <c r="C1" i="8"/>
  <c r="AH1" i="8"/>
  <c r="AL1" i="8"/>
  <c r="T3" i="8"/>
  <c r="AG3" i="8"/>
  <c r="AN3" i="8"/>
  <c r="AQ1" i="8"/>
  <c r="T1" i="8"/>
  <c r="B1" i="8"/>
  <c r="AG1" i="8"/>
  <c r="AC3" i="8"/>
  <c r="Z1" i="8"/>
  <c r="AJ1" i="8"/>
  <c r="AP1" i="8"/>
  <c r="AK1" i="8"/>
  <c r="D1" i="8"/>
  <c r="AI3" i="8"/>
  <c r="AI1" i="8"/>
  <c r="N19" i="13"/>
  <c r="P19" i="13"/>
  <c r="P15" i="13"/>
  <c r="N15" i="13"/>
  <c r="W35" i="8"/>
  <c r="U35" i="8"/>
  <c r="X35" i="8"/>
  <c r="AL35" i="8"/>
  <c r="AE35" i="8"/>
  <c r="E37" i="8"/>
  <c r="AD35" i="8"/>
  <c r="V35" i="8"/>
  <c r="AF35" i="8"/>
  <c r="AK35" i="8"/>
  <c r="AH35" i="8"/>
  <c r="T35" i="8"/>
  <c r="AN35" i="8"/>
  <c r="AM35" i="8"/>
  <c r="AA35" i="8"/>
  <c r="AQ35" i="8"/>
  <c r="AO35" i="8"/>
  <c r="AI35" i="8"/>
  <c r="Y35" i="8"/>
  <c r="AJ35" i="8"/>
  <c r="Z35" i="8"/>
  <c r="AB35" i="8"/>
  <c r="AC35" i="8"/>
  <c r="AG35" i="8"/>
  <c r="D35" i="8"/>
  <c r="AP35" i="8"/>
  <c r="Y53" i="8" l="1"/>
  <c r="AD53" i="8"/>
  <c r="AF53" i="8"/>
  <c r="AB53" i="8"/>
  <c r="AH53" i="8"/>
  <c r="AP53" i="8"/>
  <c r="AM53" i="8"/>
  <c r="U53" i="8"/>
  <c r="X53" i="8"/>
  <c r="AE53" i="8"/>
  <c r="AQ53" i="8"/>
  <c r="AK53" i="8"/>
  <c r="V53" i="8"/>
  <c r="T53" i="8"/>
  <c r="AJ53" i="8"/>
  <c r="D53" i="8"/>
  <c r="AN53" i="8"/>
  <c r="E55" i="8"/>
  <c r="AI53" i="8"/>
  <c r="W53" i="8"/>
  <c r="Z53" i="8"/>
  <c r="AG53" i="8"/>
  <c r="AL53" i="8"/>
  <c r="AA53" i="8"/>
  <c r="V50" i="8"/>
  <c r="Z50" i="8"/>
  <c r="Z17" i="8"/>
  <c r="AD17" i="8"/>
  <c r="AJ50" i="8"/>
  <c r="AP50" i="8"/>
  <c r="AK17" i="8"/>
  <c r="D50" i="8"/>
  <c r="Y17" i="8"/>
  <c r="AK86" i="8"/>
  <c r="AL50" i="8"/>
  <c r="AN50" i="8"/>
  <c r="AC17" i="8"/>
  <c r="AM17" i="8"/>
  <c r="AF50" i="8"/>
  <c r="AB50" i="8"/>
  <c r="AE50" i="8"/>
  <c r="X17" i="8"/>
  <c r="AI17" i="8"/>
  <c r="AL17" i="8"/>
  <c r="Y50" i="8"/>
  <c r="AO50" i="8"/>
  <c r="E52" i="8"/>
  <c r="W17" i="8"/>
  <c r="AP17" i="8"/>
  <c r="AH17" i="8"/>
  <c r="W86" i="8"/>
  <c r="W74" i="8"/>
  <c r="AB74" i="8"/>
  <c r="AH74" i="8"/>
  <c r="AB86" i="8"/>
  <c r="AD86" i="8"/>
  <c r="E88" i="8"/>
  <c r="AF86" i="8"/>
  <c r="AE86" i="8"/>
  <c r="AB89" i="8"/>
  <c r="AC89" i="8"/>
  <c r="AM89" i="8"/>
  <c r="W89" i="8"/>
  <c r="T89" i="8"/>
  <c r="AN89" i="8"/>
  <c r="AK89" i="8"/>
  <c r="AE89" i="8"/>
  <c r="X89" i="8"/>
  <c r="U89" i="8"/>
  <c r="E91" i="8"/>
  <c r="D89" i="8"/>
  <c r="AQ89" i="8"/>
  <c r="AJ89" i="8"/>
  <c r="AG89" i="8"/>
  <c r="AA89" i="8"/>
  <c r="AI89" i="8"/>
  <c r="AD89" i="8"/>
  <c r="AH89" i="8"/>
  <c r="AP38" i="8"/>
  <c r="D65" i="8"/>
  <c r="AG86" i="8"/>
  <c r="AP86" i="8"/>
  <c r="AL86" i="8"/>
  <c r="AA86" i="8"/>
  <c r="AC86" i="8"/>
  <c r="AI86" i="8"/>
  <c r="U86" i="8"/>
  <c r="AF89" i="8"/>
  <c r="Y89" i="8"/>
  <c r="AO89" i="8"/>
  <c r="V89" i="8"/>
  <c r="AL89" i="8"/>
  <c r="AD38" i="8"/>
  <c r="AE65" i="8"/>
  <c r="AQ86" i="8"/>
  <c r="X86" i="8"/>
  <c r="Y86" i="8"/>
  <c r="Z86" i="8"/>
  <c r="AN86" i="8"/>
  <c r="AO86" i="8"/>
  <c r="Z89" i="8"/>
  <c r="AM86" i="8"/>
  <c r="D86" i="8"/>
  <c r="T86" i="8"/>
  <c r="V86" i="8"/>
  <c r="AH86" i="8"/>
  <c r="AB20" i="8"/>
  <c r="T74" i="8"/>
  <c r="E76" i="8"/>
  <c r="AI41" i="8"/>
  <c r="AM74" i="8"/>
  <c r="AP74" i="8"/>
  <c r="AE56" i="8"/>
  <c r="AK29" i="8"/>
  <c r="AA50" i="8"/>
  <c r="AC50" i="8"/>
  <c r="AG50" i="8"/>
  <c r="AH50" i="8"/>
  <c r="AM50" i="8"/>
  <c r="AD50" i="8"/>
  <c r="AJ17" i="8"/>
  <c r="T17" i="8"/>
  <c r="AN17" i="8"/>
  <c r="AB17" i="8"/>
  <c r="AG17" i="8"/>
  <c r="AO17" i="8"/>
  <c r="AF17" i="8"/>
  <c r="AN20" i="8"/>
  <c r="X50" i="8"/>
  <c r="U50" i="8"/>
  <c r="W50" i="8"/>
  <c r="T50" i="8"/>
  <c r="AQ50" i="8"/>
  <c r="AI50" i="8"/>
  <c r="AQ17" i="8"/>
  <c r="V17" i="8"/>
  <c r="AA17" i="8"/>
  <c r="D17" i="8"/>
  <c r="E19" i="8"/>
  <c r="U17" i="8"/>
  <c r="AH20" i="8"/>
  <c r="X20" i="8"/>
  <c r="AL74" i="8"/>
  <c r="V74" i="8"/>
  <c r="AO74" i="8"/>
  <c r="D74" i="8"/>
  <c r="U74" i="8"/>
  <c r="AQ74" i="8"/>
  <c r="AK56" i="8"/>
  <c r="X29" i="8"/>
  <c r="X74" i="8"/>
  <c r="AI74" i="8"/>
  <c r="Y74" i="8"/>
  <c r="Z74" i="8"/>
  <c r="AG74" i="8"/>
  <c r="AD74" i="8"/>
  <c r="AN74" i="8"/>
  <c r="W29" i="8"/>
  <c r="AA74" i="8"/>
  <c r="AE74" i="8"/>
  <c r="AC74" i="8"/>
  <c r="AJ74" i="8"/>
  <c r="AK74" i="8"/>
  <c r="AH56" i="8"/>
  <c r="AI29" i="8"/>
  <c r="Y29" i="8"/>
  <c r="AP68" i="8"/>
  <c r="AG68" i="8"/>
  <c r="AE68" i="8"/>
  <c r="AJ68" i="8"/>
  <c r="AK68" i="8"/>
  <c r="V68" i="8"/>
  <c r="AI68" i="8"/>
  <c r="AH29" i="8"/>
  <c r="AH83" i="8"/>
  <c r="AK83" i="8"/>
  <c r="AD56" i="8"/>
  <c r="AP20" i="8"/>
  <c r="W83" i="8"/>
  <c r="AC29" i="8"/>
  <c r="U29" i="8"/>
  <c r="E31" i="8"/>
  <c r="AB56" i="8"/>
  <c r="Z20" i="8"/>
  <c r="AB83" i="8"/>
  <c r="AA29" i="8"/>
  <c r="AO29" i="8"/>
  <c r="AN29" i="8"/>
  <c r="AQ29" i="8"/>
  <c r="AL68" i="8"/>
  <c r="AD68" i="8"/>
  <c r="X68" i="8"/>
  <c r="Y68" i="8"/>
  <c r="Z68" i="8"/>
  <c r="AN68" i="8"/>
  <c r="D68" i="8"/>
  <c r="T41" i="8"/>
  <c r="AC68" i="8"/>
  <c r="U68" i="8"/>
  <c r="AO68" i="8"/>
  <c r="T68" i="8"/>
  <c r="AM68" i="8"/>
  <c r="AF68" i="8"/>
  <c r="V41" i="8"/>
  <c r="AL41" i="8"/>
  <c r="AQ68" i="8"/>
  <c r="E70" i="8"/>
  <c r="AB68" i="8"/>
  <c r="AA68" i="8"/>
  <c r="AH68" i="8"/>
  <c r="AC41" i="8"/>
  <c r="AD41" i="8"/>
  <c r="AF26" i="8"/>
  <c r="T56" i="8"/>
  <c r="AD83" i="8"/>
  <c r="E85" i="8"/>
  <c r="AE83" i="8"/>
  <c r="AJ38" i="8"/>
  <c r="AJ65" i="8"/>
  <c r="X65" i="8"/>
  <c r="AK38" i="8"/>
  <c r="AE38" i="8"/>
  <c r="AH65" i="8"/>
  <c r="E67" i="8"/>
  <c r="AH38" i="8"/>
  <c r="AC38" i="8"/>
  <c r="Y65" i="8"/>
  <c r="W38" i="8"/>
  <c r="D38" i="8"/>
  <c r="AM38" i="8"/>
  <c r="T38" i="8"/>
  <c r="AO38" i="8"/>
  <c r="AF38" i="8"/>
  <c r="W65" i="8"/>
  <c r="AF65" i="8"/>
  <c r="AO65" i="8"/>
  <c r="AI65" i="8"/>
  <c r="U65" i="8"/>
  <c r="AA65" i="8"/>
  <c r="AM65" i="8"/>
  <c r="U38" i="8"/>
  <c r="AQ38" i="8"/>
  <c r="Z38" i="8"/>
  <c r="AI38" i="8"/>
  <c r="E40" i="8"/>
  <c r="Y38" i="8"/>
  <c r="AC65" i="8"/>
  <c r="Z65" i="8"/>
  <c r="AN65" i="8"/>
  <c r="AP65" i="8"/>
  <c r="AG65" i="8"/>
  <c r="AQ65" i="8"/>
  <c r="U80" i="8"/>
  <c r="AL38" i="8"/>
  <c r="AN38" i="8"/>
  <c r="AG38" i="8"/>
  <c r="AA38" i="8"/>
  <c r="X38" i="8"/>
  <c r="AB38" i="8"/>
  <c r="T65" i="8"/>
  <c r="AB65" i="8"/>
  <c r="V65" i="8"/>
  <c r="AD65" i="8"/>
  <c r="AL65" i="8"/>
  <c r="AN41" i="8"/>
  <c r="AH41" i="8"/>
  <c r="AQ41" i="8"/>
  <c r="AK41" i="8"/>
  <c r="AI56" i="8"/>
  <c r="AQ56" i="8"/>
  <c r="AL56" i="8"/>
  <c r="Y83" i="8"/>
  <c r="V83" i="8"/>
  <c r="Z83" i="8"/>
  <c r="AL29" i="8"/>
  <c r="AG29" i="8"/>
  <c r="Z29" i="8"/>
  <c r="V29" i="8"/>
  <c r="T29" i="8"/>
  <c r="AB29" i="8"/>
  <c r="AP29" i="8"/>
  <c r="T26" i="8"/>
  <c r="X41" i="8"/>
  <c r="E43" i="8"/>
  <c r="U41" i="8"/>
  <c r="AC56" i="8"/>
  <c r="D56" i="8"/>
  <c r="W56" i="8"/>
  <c r="AN56" i="8"/>
  <c r="D83" i="8"/>
  <c r="T83" i="8"/>
  <c r="AQ83" i="8"/>
  <c r="AD29" i="8"/>
  <c r="D29" i="8"/>
  <c r="AE29" i="8"/>
  <c r="AJ29" i="8"/>
  <c r="AM29" i="8"/>
  <c r="AM26" i="8"/>
  <c r="AG26" i="8"/>
  <c r="AO26" i="8"/>
  <c r="W26" i="8"/>
  <c r="AD26" i="8"/>
  <c r="E28" i="8"/>
  <c r="AA26" i="8"/>
  <c r="AC26" i="8"/>
  <c r="AK26" i="8"/>
  <c r="AI26" i="8"/>
  <c r="AE26" i="8"/>
  <c r="W41" i="8"/>
  <c r="AG41" i="8"/>
  <c r="Y41" i="8"/>
  <c r="Z41" i="8"/>
  <c r="AO41" i="8"/>
  <c r="AJ41" i="8"/>
  <c r="D41" i="8"/>
  <c r="E58" i="8"/>
  <c r="U56" i="8"/>
  <c r="Y56" i="8"/>
  <c r="AM56" i="8"/>
  <c r="X56" i="8"/>
  <c r="AO56" i="8"/>
  <c r="AN83" i="8"/>
  <c r="AC83" i="8"/>
  <c r="AI83" i="8"/>
  <c r="AO83" i="8"/>
  <c r="X83" i="8"/>
  <c r="AL83" i="8"/>
  <c r="AG83" i="8"/>
  <c r="AQ26" i="8"/>
  <c r="D26" i="8"/>
  <c r="U26" i="8"/>
  <c r="AJ26" i="8"/>
  <c r="AP26" i="8"/>
  <c r="X26" i="8"/>
  <c r="AL26" i="8"/>
  <c r="AE41" i="8"/>
  <c r="AM41" i="8"/>
  <c r="AB41" i="8"/>
  <c r="AA41" i="8"/>
  <c r="AP41" i="8"/>
  <c r="Z56" i="8"/>
  <c r="AJ56" i="8"/>
  <c r="V56" i="8"/>
  <c r="AG56" i="8"/>
  <c r="AA56" i="8"/>
  <c r="AP56" i="8"/>
  <c r="AF83" i="8"/>
  <c r="AP83" i="8"/>
  <c r="U83" i="8"/>
  <c r="AJ83" i="8"/>
  <c r="AM83" i="8"/>
  <c r="V26" i="8"/>
  <c r="AB26" i="8"/>
  <c r="Y26" i="8"/>
  <c r="Z26" i="8"/>
  <c r="AN26" i="8"/>
  <c r="AE20" i="8"/>
  <c r="AA20" i="8"/>
  <c r="AG20" i="8"/>
  <c r="AD20" i="8"/>
  <c r="T20" i="8"/>
  <c r="AI20" i="8"/>
  <c r="AO20" i="8"/>
  <c r="U20" i="8"/>
  <c r="AK20" i="8"/>
  <c r="AQ20" i="8"/>
  <c r="D20" i="8"/>
  <c r="AL20" i="8"/>
  <c r="AJ20" i="8"/>
  <c r="Y20" i="8"/>
  <c r="AF20" i="8"/>
  <c r="V20" i="8"/>
  <c r="AC20" i="8"/>
  <c r="AM20" i="8"/>
  <c r="W20" i="8"/>
  <c r="E82" i="8"/>
  <c r="AG80" i="8"/>
  <c r="AE80" i="8"/>
  <c r="Y80" i="8"/>
  <c r="AP80" i="8"/>
  <c r="AH80" i="8"/>
  <c r="V80" i="8"/>
  <c r="W80" i="8"/>
  <c r="AB80" i="8"/>
  <c r="AO80" i="8"/>
  <c r="AC80" i="8"/>
  <c r="AI80" i="8"/>
  <c r="D80" i="8"/>
  <c r="AM80" i="8"/>
  <c r="AA80" i="8"/>
  <c r="AL80" i="8"/>
  <c r="AK80" i="8"/>
  <c r="X80" i="8"/>
  <c r="AQ80" i="8"/>
  <c r="AF80" i="8"/>
  <c r="AJ80" i="8"/>
  <c r="T80" i="8"/>
  <c r="Z80" i="8"/>
  <c r="AN80" i="8"/>
  <c r="Z77" i="8"/>
  <c r="X77" i="8"/>
  <c r="AL77" i="8"/>
  <c r="AK77" i="8"/>
  <c r="AH77" i="8"/>
  <c r="AC77" i="8"/>
  <c r="D77" i="8"/>
  <c r="AJ77" i="8"/>
  <c r="AI77" i="8"/>
  <c r="AF77" i="8"/>
  <c r="AO77" i="8"/>
  <c r="AN77" i="8"/>
  <c r="T77" i="8"/>
  <c r="W77" i="8"/>
  <c r="AP77" i="8"/>
  <c r="AG77" i="8"/>
  <c r="U77" i="8"/>
  <c r="AM77" i="8"/>
  <c r="Y77" i="8"/>
  <c r="AE77" i="8"/>
  <c r="AD77" i="8"/>
  <c r="AA77" i="8"/>
  <c r="E79" i="8"/>
  <c r="AB77" i="8"/>
  <c r="V77" i="8"/>
  <c r="AQ77" i="8"/>
  <c r="AH23" i="8"/>
  <c r="AJ23" i="8"/>
  <c r="X23" i="8"/>
  <c r="AO23" i="8"/>
  <c r="W23" i="8"/>
  <c r="AB23" i="8"/>
  <c r="V23" i="8"/>
  <c r="D23" i="8"/>
  <c r="AQ23" i="8"/>
  <c r="AE23" i="8"/>
  <c r="AK23" i="8"/>
  <c r="AF23" i="8"/>
  <c r="U23" i="8"/>
  <c r="AD23" i="8"/>
  <c r="Y23" i="8"/>
  <c r="AA23" i="8"/>
  <c r="E25" i="8"/>
  <c r="AP23" i="8"/>
  <c r="AN23" i="8"/>
  <c r="AI23" i="8"/>
  <c r="AM23" i="8"/>
  <c r="T23" i="8"/>
  <c r="AL23" i="8"/>
  <c r="Z23" i="8"/>
  <c r="AG23" i="8"/>
  <c r="AC23" i="8"/>
  <c r="AN44" i="8"/>
  <c r="AQ44" i="8"/>
  <c r="Y44" i="8"/>
  <c r="AP44" i="8"/>
  <c r="D44" i="8"/>
  <c r="U44" i="8"/>
  <c r="AB44" i="8"/>
  <c r="AF44" i="8"/>
  <c r="W44" i="8"/>
  <c r="AL44" i="8"/>
  <c r="AK44" i="8"/>
  <c r="AG44" i="8"/>
  <c r="Z44" i="8"/>
  <c r="X44" i="8"/>
  <c r="AJ44" i="8"/>
  <c r="AC44" i="8"/>
  <c r="V44" i="8"/>
  <c r="AO44" i="8"/>
  <c r="AD44" i="8"/>
  <c r="AM44" i="8"/>
  <c r="AA44" i="8"/>
  <c r="T44" i="8"/>
  <c r="AH44" i="8"/>
  <c r="AE44" i="8"/>
  <c r="AI44" i="8"/>
  <c r="E46" i="8"/>
  <c r="I179" i="5" l="1"/>
  <c r="I175" i="5"/>
  <c r="AF14" i="5" l="1"/>
  <c r="R14" i="5" l="1"/>
  <c r="S14" i="5"/>
  <c r="G14" i="6" s="1"/>
  <c r="AG14" i="5"/>
  <c r="AF23" i="5"/>
  <c r="AF16" i="5"/>
  <c r="AF20" i="5"/>
  <c r="AF25" i="5"/>
  <c r="AF19" i="5"/>
  <c r="AF26" i="5"/>
  <c r="AF21" i="5"/>
  <c r="AF24" i="5"/>
  <c r="AF151" i="5"/>
  <c r="AF57" i="5"/>
  <c r="AF46" i="5"/>
  <c r="AF47" i="5"/>
  <c r="AF140" i="5"/>
  <c r="AF52" i="5"/>
  <c r="AF35" i="5"/>
  <c r="AF82" i="5"/>
  <c r="AF150" i="5"/>
  <c r="AF72" i="5"/>
  <c r="AF134" i="5"/>
  <c r="AF128" i="5"/>
  <c r="AF131" i="5"/>
  <c r="AF117" i="5"/>
  <c r="AF90" i="5"/>
  <c r="AF107" i="5"/>
  <c r="AF152" i="5"/>
  <c r="AF174" i="5"/>
  <c r="AF123" i="5"/>
  <c r="AF67" i="5"/>
  <c r="AF176" i="5"/>
  <c r="AF111" i="5"/>
  <c r="AF93" i="5"/>
  <c r="AF59" i="5"/>
  <c r="AF154" i="5"/>
  <c r="AF173" i="5"/>
  <c r="AF92" i="5"/>
  <c r="AF61" i="5"/>
  <c r="AF29" i="5"/>
  <c r="AF83" i="5"/>
  <c r="AF95" i="5"/>
  <c r="AF80" i="5"/>
  <c r="AF62" i="5"/>
  <c r="AF74" i="5"/>
  <c r="AF124" i="5"/>
  <c r="AF127" i="5"/>
  <c r="AF99" i="5"/>
  <c r="AF132" i="5"/>
  <c r="AF122" i="5"/>
  <c r="AF129" i="5"/>
  <c r="AF84" i="5"/>
  <c r="AF178" i="5"/>
  <c r="AF91" i="5"/>
  <c r="AF114" i="5"/>
  <c r="AF110" i="5"/>
  <c r="AF181" i="5"/>
  <c r="AF63" i="5"/>
  <c r="AF44" i="5"/>
  <c r="AF144" i="5"/>
  <c r="AF125" i="5"/>
  <c r="AF43" i="5"/>
  <c r="AF162" i="5"/>
  <c r="AF118" i="5"/>
  <c r="AF27" i="5"/>
  <c r="AF40" i="5"/>
  <c r="AF165" i="5"/>
  <c r="AF189" i="5"/>
  <c r="AF141" i="5"/>
  <c r="AF142" i="5"/>
  <c r="AF153" i="5"/>
  <c r="AF56" i="5"/>
  <c r="AF101" i="5"/>
  <c r="AF182" i="5"/>
  <c r="AF41" i="5"/>
  <c r="AF69" i="5"/>
  <c r="AF76" i="5"/>
  <c r="AF157" i="5"/>
  <c r="AF33" i="5"/>
  <c r="AF172" i="5"/>
  <c r="AF120" i="5"/>
  <c r="AF156" i="5"/>
  <c r="AF133" i="5"/>
  <c r="AF169" i="5"/>
  <c r="AF126" i="5"/>
  <c r="AF50" i="5"/>
  <c r="AF135" i="5"/>
  <c r="AF115" i="5"/>
  <c r="AF89" i="5"/>
  <c r="AF102" i="5"/>
  <c r="AF186" i="5"/>
  <c r="AF112" i="5"/>
  <c r="AF105" i="5"/>
  <c r="AF97" i="5"/>
  <c r="AF98" i="5"/>
  <c r="AF168" i="5"/>
  <c r="AF119" i="5"/>
  <c r="AF116" i="5"/>
  <c r="AF137" i="5"/>
  <c r="AF167" i="5"/>
  <c r="AF96" i="5"/>
  <c r="AF54" i="5"/>
  <c r="AF185" i="5"/>
  <c r="AF49" i="5"/>
  <c r="AF109" i="5"/>
  <c r="AF34" i="5"/>
  <c r="AF39" i="5"/>
  <c r="AF164" i="5"/>
  <c r="AF180" i="5"/>
  <c r="AF113" i="5"/>
  <c r="AF70" i="5"/>
  <c r="AF103" i="5"/>
  <c r="AF71" i="5"/>
  <c r="AF55" i="5"/>
  <c r="AF191" i="5"/>
  <c r="AF158" i="5"/>
  <c r="AF139" i="5"/>
  <c r="AF106" i="5"/>
  <c r="AF53" i="5"/>
  <c r="AF81" i="5"/>
  <c r="AF177" i="5"/>
  <c r="AF78" i="5"/>
  <c r="AF138" i="5"/>
  <c r="AF160" i="5"/>
  <c r="AF130" i="5"/>
  <c r="AF73" i="5"/>
  <c r="AF155" i="5"/>
  <c r="AF145" i="5"/>
  <c r="AF85" i="5"/>
  <c r="AF77" i="5"/>
  <c r="AF143" i="5"/>
  <c r="AF30" i="5"/>
  <c r="AF86" i="5"/>
  <c r="AF65" i="5"/>
  <c r="AF163" i="5"/>
  <c r="AF38" i="5"/>
  <c r="AF190" i="5"/>
  <c r="AF136" i="5"/>
  <c r="AF48" i="5"/>
  <c r="AF170" i="5"/>
  <c r="AF37" i="5"/>
  <c r="AF64" i="5"/>
  <c r="AF187" i="5"/>
  <c r="AF32" i="5"/>
  <c r="AF161" i="5"/>
  <c r="AF36" i="5"/>
  <c r="AF166" i="5"/>
  <c r="AF88" i="5"/>
  <c r="AF183" i="5"/>
  <c r="AF147" i="5"/>
  <c r="AF148" i="5"/>
  <c r="AF146" i="5"/>
  <c r="AF121" i="5"/>
  <c r="AF22" i="5"/>
  <c r="AF18" i="5"/>
  <c r="AF17" i="5"/>
  <c r="AG17" i="5" l="1"/>
  <c r="AG26" i="5"/>
  <c r="AG16" i="5"/>
  <c r="F14" i="6"/>
  <c r="E14" i="12"/>
  <c r="AC14" i="5"/>
  <c r="AG166" i="5"/>
  <c r="AG48" i="5"/>
  <c r="AG138" i="5"/>
  <c r="AG158" i="5"/>
  <c r="AG49" i="5"/>
  <c r="AG98" i="5"/>
  <c r="AG105" i="5"/>
  <c r="AG112" i="5"/>
  <c r="AG186" i="5"/>
  <c r="AG126" i="5"/>
  <c r="AG133" i="5"/>
  <c r="AG33" i="5"/>
  <c r="AG76" i="5"/>
  <c r="AG69" i="5"/>
  <c r="AG56" i="5"/>
  <c r="AG153" i="5"/>
  <c r="AG165" i="5"/>
  <c r="AG118" i="5"/>
  <c r="AG162" i="5"/>
  <c r="AG144" i="5"/>
  <c r="AG110" i="5"/>
  <c r="AG129" i="5"/>
  <c r="AG99" i="5"/>
  <c r="AG173" i="5"/>
  <c r="AG154" i="5"/>
  <c r="AG59" i="5"/>
  <c r="AG152" i="5"/>
  <c r="AG117" i="5"/>
  <c r="AG131" i="5"/>
  <c r="AG128" i="5"/>
  <c r="AG72" i="5"/>
  <c r="AG52" i="5"/>
  <c r="AG57" i="5"/>
  <c r="AG24" i="5"/>
  <c r="AG22" i="5"/>
  <c r="AG121" i="5"/>
  <c r="AG183" i="5"/>
  <c r="AG161" i="5"/>
  <c r="AG37" i="5"/>
  <c r="AG190" i="5"/>
  <c r="AG38" i="5"/>
  <c r="AG65" i="5"/>
  <c r="AG86" i="5"/>
  <c r="AG30" i="5"/>
  <c r="AG130" i="5"/>
  <c r="AG78" i="5"/>
  <c r="AG177" i="5"/>
  <c r="AG81" i="5"/>
  <c r="AG106" i="5"/>
  <c r="AG139" i="5"/>
  <c r="AG55" i="5"/>
  <c r="AG71" i="5"/>
  <c r="AG103" i="5"/>
  <c r="AG180" i="5"/>
  <c r="AG109" i="5"/>
  <c r="AG54" i="5"/>
  <c r="AG96" i="5"/>
  <c r="AG116" i="5"/>
  <c r="AG89" i="5"/>
  <c r="AG115" i="5"/>
  <c r="AG50" i="5"/>
  <c r="AG169" i="5"/>
  <c r="AG156" i="5"/>
  <c r="AG120" i="5"/>
  <c r="AG172" i="5"/>
  <c r="AG101" i="5"/>
  <c r="AG142" i="5"/>
  <c r="AG141" i="5"/>
  <c r="AG189" i="5"/>
  <c r="AG43" i="5"/>
  <c r="AG63" i="5"/>
  <c r="AG181" i="5"/>
  <c r="AG178" i="5"/>
  <c r="AG84" i="5"/>
  <c r="AG74" i="5"/>
  <c r="AG95" i="5"/>
  <c r="AG111" i="5"/>
  <c r="AG176" i="5"/>
  <c r="AG174" i="5"/>
  <c r="AG134" i="5"/>
  <c r="AG150" i="5"/>
  <c r="AG46" i="5"/>
  <c r="AG21" i="5"/>
  <c r="AG164" i="5"/>
  <c r="AG34" i="5"/>
  <c r="AG97" i="5"/>
  <c r="AG157" i="5"/>
  <c r="AG44" i="5"/>
  <c r="AG114" i="5"/>
  <c r="AG124" i="5"/>
  <c r="AG80" i="5"/>
  <c r="AG29" i="5"/>
  <c r="AG92" i="5"/>
  <c r="AG47" i="5"/>
  <c r="AG151" i="5"/>
  <c r="AG19" i="5"/>
  <c r="AG23" i="5"/>
  <c r="AG148" i="5"/>
  <c r="AG147" i="5"/>
  <c r="AG187" i="5"/>
  <c r="AG136" i="5"/>
  <c r="AG77" i="5"/>
  <c r="AG85" i="5"/>
  <c r="AG73" i="5"/>
  <c r="AG191" i="5"/>
  <c r="AG70" i="5"/>
  <c r="AG185" i="5"/>
  <c r="AG137" i="5"/>
  <c r="AG119" i="5"/>
  <c r="AG102" i="5"/>
  <c r="AG135" i="5"/>
  <c r="AG182" i="5"/>
  <c r="AG40" i="5"/>
  <c r="AG125" i="5"/>
  <c r="AG91" i="5"/>
  <c r="AG122" i="5"/>
  <c r="AG83" i="5"/>
  <c r="AG107" i="5"/>
  <c r="AG82" i="5"/>
  <c r="AG35" i="5"/>
  <c r="AG25" i="5"/>
  <c r="AG146" i="5"/>
  <c r="AG36" i="5"/>
  <c r="AG32" i="5"/>
  <c r="AG170" i="5"/>
  <c r="AG163" i="5"/>
  <c r="AG143" i="5"/>
  <c r="AG145" i="5"/>
  <c r="AG155" i="5"/>
  <c r="AG160" i="5"/>
  <c r="AG53" i="5"/>
  <c r="AG113" i="5"/>
  <c r="AG39" i="5"/>
  <c r="AG167" i="5"/>
  <c r="AG168" i="5"/>
  <c r="AG41" i="5"/>
  <c r="AG127" i="5"/>
  <c r="AG62" i="5"/>
  <c r="AG61" i="5"/>
  <c r="AG93" i="5"/>
  <c r="AG123" i="5"/>
  <c r="AG90" i="5"/>
  <c r="AG140" i="5"/>
  <c r="AN26" i="5" l="1"/>
  <c r="F25" i="6"/>
  <c r="E25" i="12"/>
  <c r="F21" i="6"/>
  <c r="E21" i="12"/>
  <c r="G24" i="6"/>
  <c r="G46" i="6"/>
  <c r="E35" i="12"/>
  <c r="F35" i="6"/>
  <c r="G150" i="6"/>
  <c r="G59" i="6"/>
  <c r="G154" i="6"/>
  <c r="G95" i="6"/>
  <c r="F122" i="6"/>
  <c r="E122" i="12"/>
  <c r="F84" i="6"/>
  <c r="E84" i="12"/>
  <c r="E91" i="12"/>
  <c r="F91" i="6"/>
  <c r="E110" i="12"/>
  <c r="F110" i="6"/>
  <c r="G63" i="6"/>
  <c r="G144" i="6"/>
  <c r="G43" i="6"/>
  <c r="G118" i="6"/>
  <c r="G40" i="6"/>
  <c r="G189" i="6"/>
  <c r="G153" i="6"/>
  <c r="G69" i="6"/>
  <c r="F33" i="6"/>
  <c r="E33" i="12"/>
  <c r="F156" i="6"/>
  <c r="E156" i="12"/>
  <c r="G169" i="6"/>
  <c r="G135" i="6"/>
  <c r="E102" i="12"/>
  <c r="F102" i="6"/>
  <c r="G186" i="6"/>
  <c r="G112" i="6"/>
  <c r="G54" i="6"/>
  <c r="G49" i="6"/>
  <c r="G70" i="6"/>
  <c r="E55" i="12"/>
  <c r="F55" i="6"/>
  <c r="F191" i="6"/>
  <c r="E191" i="12"/>
  <c r="E158" i="12"/>
  <c r="F158" i="6"/>
  <c r="F106" i="6"/>
  <c r="E106" i="12"/>
  <c r="G81" i="6"/>
  <c r="E78" i="12"/>
  <c r="F78" i="6"/>
  <c r="F138" i="6"/>
  <c r="E138" i="12"/>
  <c r="G77" i="6"/>
  <c r="E30" i="12"/>
  <c r="F30" i="6"/>
  <c r="E65" i="12"/>
  <c r="F65" i="6"/>
  <c r="F38" i="6"/>
  <c r="E38" i="12"/>
  <c r="F136" i="6"/>
  <c r="E136" i="12"/>
  <c r="F48" i="6"/>
  <c r="E48" i="12"/>
  <c r="F64" i="6"/>
  <c r="E64" i="12"/>
  <c r="G187" i="6"/>
  <c r="G166" i="6"/>
  <c r="G88" i="6"/>
  <c r="G147" i="6"/>
  <c r="G148" i="6"/>
  <c r="G22" i="6"/>
  <c r="F23" i="6"/>
  <c r="E23" i="12"/>
  <c r="G20" i="6"/>
  <c r="G19" i="6"/>
  <c r="G21" i="6"/>
  <c r="E24" i="12"/>
  <c r="F24" i="6"/>
  <c r="E57" i="12"/>
  <c r="F57" i="6"/>
  <c r="F46" i="6"/>
  <c r="E46" i="12"/>
  <c r="E47" i="12"/>
  <c r="F47" i="6"/>
  <c r="F52" i="6"/>
  <c r="E52" i="12"/>
  <c r="G72" i="6"/>
  <c r="F134" i="6"/>
  <c r="E134" i="12"/>
  <c r="G128" i="6"/>
  <c r="E117" i="12"/>
  <c r="F117" i="6"/>
  <c r="E90" i="12"/>
  <c r="F90" i="6"/>
  <c r="E174" i="12"/>
  <c r="F174" i="6"/>
  <c r="F123" i="6"/>
  <c r="E123" i="12"/>
  <c r="E67" i="12"/>
  <c r="F67" i="6"/>
  <c r="F111" i="6"/>
  <c r="E111" i="12"/>
  <c r="F93" i="6"/>
  <c r="E93" i="12"/>
  <c r="F59" i="6"/>
  <c r="E59" i="12"/>
  <c r="F173" i="6"/>
  <c r="E173" i="12"/>
  <c r="F92" i="6"/>
  <c r="E92" i="12"/>
  <c r="G61" i="6"/>
  <c r="F95" i="6"/>
  <c r="E95" i="12"/>
  <c r="G80" i="6"/>
  <c r="F74" i="6"/>
  <c r="E74" i="12"/>
  <c r="G124" i="6"/>
  <c r="F127" i="6"/>
  <c r="E127" i="12"/>
  <c r="G129" i="6"/>
  <c r="F178" i="6"/>
  <c r="E178" i="12"/>
  <c r="G114" i="6"/>
  <c r="F181" i="6"/>
  <c r="E181" i="12"/>
  <c r="F63" i="6"/>
  <c r="E63" i="12"/>
  <c r="G44" i="6"/>
  <c r="E43" i="12"/>
  <c r="F43" i="6"/>
  <c r="G162" i="6"/>
  <c r="G27" i="6"/>
  <c r="G165" i="6"/>
  <c r="G141" i="6"/>
  <c r="G142" i="6"/>
  <c r="F153" i="6"/>
  <c r="E153" i="12"/>
  <c r="F101" i="6"/>
  <c r="E101" i="12"/>
  <c r="G41" i="6"/>
  <c r="E76" i="12"/>
  <c r="F76" i="6"/>
  <c r="E157" i="12"/>
  <c r="F157" i="6"/>
  <c r="G33" i="6"/>
  <c r="G120" i="6"/>
  <c r="G156" i="6"/>
  <c r="E133" i="12"/>
  <c r="F133" i="6"/>
  <c r="G126" i="6"/>
  <c r="E50" i="12"/>
  <c r="F50" i="6"/>
  <c r="E89" i="12"/>
  <c r="F89" i="6"/>
  <c r="F186" i="6"/>
  <c r="E186" i="12"/>
  <c r="E105" i="12"/>
  <c r="F105" i="6"/>
  <c r="G97" i="6"/>
  <c r="G98" i="6"/>
  <c r="G116" i="6"/>
  <c r="G96" i="6"/>
  <c r="E54" i="12"/>
  <c r="F54" i="6"/>
  <c r="E109" i="12"/>
  <c r="F109" i="6"/>
  <c r="G34" i="6"/>
  <c r="F39" i="6"/>
  <c r="E39" i="12"/>
  <c r="F180" i="6"/>
  <c r="E180" i="12"/>
  <c r="E113" i="12"/>
  <c r="F113" i="6"/>
  <c r="G71" i="6"/>
  <c r="G55" i="6"/>
  <c r="F139" i="6"/>
  <c r="E139" i="12"/>
  <c r="G106" i="6"/>
  <c r="G53" i="6"/>
  <c r="F177" i="6"/>
  <c r="E177" i="12"/>
  <c r="G78" i="6"/>
  <c r="G138" i="6"/>
  <c r="E130" i="12"/>
  <c r="F130" i="6"/>
  <c r="G155" i="6"/>
  <c r="G143" i="6"/>
  <c r="G86" i="6"/>
  <c r="G65" i="6"/>
  <c r="G163" i="6"/>
  <c r="F190" i="6"/>
  <c r="E190" i="12"/>
  <c r="G48" i="6"/>
  <c r="G37" i="6"/>
  <c r="G161" i="6"/>
  <c r="G36" i="6"/>
  <c r="F166" i="6"/>
  <c r="E166" i="12"/>
  <c r="E183" i="12"/>
  <c r="F183" i="6"/>
  <c r="F121" i="6"/>
  <c r="E121" i="12"/>
  <c r="E22" i="12"/>
  <c r="F22" i="6"/>
  <c r="G18" i="6"/>
  <c r="E82" i="12"/>
  <c r="F82" i="6"/>
  <c r="G134" i="6"/>
  <c r="E128" i="12"/>
  <c r="F128" i="6"/>
  <c r="G131" i="6"/>
  <c r="G107" i="6"/>
  <c r="E152" i="12"/>
  <c r="F152" i="6"/>
  <c r="F176" i="6"/>
  <c r="E176" i="12"/>
  <c r="G99" i="6"/>
  <c r="E129" i="12"/>
  <c r="F129" i="6"/>
  <c r="E162" i="12"/>
  <c r="F162" i="6"/>
  <c r="E165" i="12"/>
  <c r="F165" i="6"/>
  <c r="F142" i="6"/>
  <c r="E142" i="12"/>
  <c r="G56" i="6"/>
  <c r="F182" i="6"/>
  <c r="E182" i="12"/>
  <c r="G172" i="6"/>
  <c r="G133" i="6"/>
  <c r="G50" i="6"/>
  <c r="G115" i="6"/>
  <c r="F98" i="6"/>
  <c r="E98" i="12"/>
  <c r="F116" i="6"/>
  <c r="E116" i="12"/>
  <c r="F137" i="6"/>
  <c r="E137" i="12"/>
  <c r="E185" i="12"/>
  <c r="F185" i="6"/>
  <c r="G103" i="6"/>
  <c r="G73" i="6"/>
  <c r="G23" i="6"/>
  <c r="F20" i="6"/>
  <c r="E20" i="12"/>
  <c r="G25" i="6"/>
  <c r="G151" i="6"/>
  <c r="G57" i="6"/>
  <c r="G140" i="6"/>
  <c r="G52" i="6"/>
  <c r="G35" i="6"/>
  <c r="F72" i="6"/>
  <c r="E72" i="12"/>
  <c r="F131" i="6"/>
  <c r="E131" i="12"/>
  <c r="G117" i="6"/>
  <c r="G90" i="6"/>
  <c r="G152" i="6"/>
  <c r="G123" i="6"/>
  <c r="G93" i="6"/>
  <c r="F154" i="6"/>
  <c r="E154" i="12"/>
  <c r="G173" i="6"/>
  <c r="G92" i="6"/>
  <c r="G29" i="6"/>
  <c r="G83" i="6"/>
  <c r="E62" i="12"/>
  <c r="F62" i="6"/>
  <c r="F124" i="6"/>
  <c r="E124" i="12"/>
  <c r="F99" i="6"/>
  <c r="E99" i="12"/>
  <c r="F132" i="6"/>
  <c r="E132" i="12"/>
  <c r="G122" i="6"/>
  <c r="G91" i="6"/>
  <c r="G110" i="6"/>
  <c r="E144" i="12"/>
  <c r="F144" i="6"/>
  <c r="E125" i="12"/>
  <c r="F125" i="6"/>
  <c r="F118" i="6"/>
  <c r="E118" i="12"/>
  <c r="F40" i="6"/>
  <c r="E40" i="12"/>
  <c r="F56" i="6"/>
  <c r="E56" i="12"/>
  <c r="G182" i="6"/>
  <c r="E69" i="12"/>
  <c r="F69" i="6"/>
  <c r="G76" i="6"/>
  <c r="G157" i="6"/>
  <c r="F126" i="6"/>
  <c r="E126" i="12"/>
  <c r="G102" i="6"/>
  <c r="F112" i="6"/>
  <c r="E112" i="12"/>
  <c r="G105" i="6"/>
  <c r="E97" i="12"/>
  <c r="F97" i="6"/>
  <c r="F168" i="6"/>
  <c r="E168" i="12"/>
  <c r="E119" i="12"/>
  <c r="F119" i="6"/>
  <c r="G167" i="6"/>
  <c r="F49" i="6"/>
  <c r="E49" i="12"/>
  <c r="E34" i="12"/>
  <c r="F34" i="6"/>
  <c r="G164" i="6"/>
  <c r="G113" i="6"/>
  <c r="G158" i="6"/>
  <c r="G160" i="6"/>
  <c r="F73" i="6"/>
  <c r="E73" i="12"/>
  <c r="F145" i="6"/>
  <c r="E145" i="12"/>
  <c r="E85" i="12"/>
  <c r="F85" i="6"/>
  <c r="F77" i="6"/>
  <c r="E77" i="12"/>
  <c r="G136" i="6"/>
  <c r="G170" i="6"/>
  <c r="G64" i="6"/>
  <c r="E32" i="12"/>
  <c r="F32" i="6"/>
  <c r="F36" i="6"/>
  <c r="E36" i="12"/>
  <c r="E147" i="12"/>
  <c r="F147" i="6"/>
  <c r="G146" i="6"/>
  <c r="E19" i="12"/>
  <c r="F19" i="6"/>
  <c r="F151" i="6"/>
  <c r="E151" i="12"/>
  <c r="G47" i="6"/>
  <c r="E140" i="12"/>
  <c r="F140" i="6"/>
  <c r="G82" i="6"/>
  <c r="F150" i="6"/>
  <c r="E150" i="12"/>
  <c r="F107" i="6"/>
  <c r="E107" i="12"/>
  <c r="G174" i="6"/>
  <c r="G67" i="6"/>
  <c r="G176" i="6"/>
  <c r="G111" i="6"/>
  <c r="F61" i="6"/>
  <c r="E61" i="12"/>
  <c r="F29" i="6"/>
  <c r="E29" i="12"/>
  <c r="E83" i="12"/>
  <c r="F83" i="6"/>
  <c r="F80" i="6"/>
  <c r="E80" i="12"/>
  <c r="G62" i="6"/>
  <c r="G74" i="6"/>
  <c r="G127" i="6"/>
  <c r="G132" i="6"/>
  <c r="G84" i="6"/>
  <c r="G178" i="6"/>
  <c r="E114" i="12"/>
  <c r="F114" i="6"/>
  <c r="G181" i="6"/>
  <c r="F44" i="6"/>
  <c r="E44" i="12"/>
  <c r="G125" i="6"/>
  <c r="E27" i="12"/>
  <c r="F27" i="6"/>
  <c r="F189" i="6"/>
  <c r="E189" i="12"/>
  <c r="F141" i="6"/>
  <c r="E141" i="12"/>
  <c r="G101" i="6"/>
  <c r="F41" i="6"/>
  <c r="E41" i="12"/>
  <c r="F172" i="6"/>
  <c r="E172" i="12"/>
  <c r="F120" i="6"/>
  <c r="E120" i="12"/>
  <c r="E169" i="12"/>
  <c r="F169" i="6"/>
  <c r="E135" i="12"/>
  <c r="F135" i="6"/>
  <c r="F115" i="6"/>
  <c r="E115" i="12"/>
  <c r="G89" i="6"/>
  <c r="G168" i="6"/>
  <c r="G119" i="6"/>
  <c r="G137" i="6"/>
  <c r="F167" i="6"/>
  <c r="E167" i="12"/>
  <c r="F96" i="6"/>
  <c r="E96" i="12"/>
  <c r="G185" i="6"/>
  <c r="G109" i="6"/>
  <c r="G39" i="6"/>
  <c r="F164" i="6"/>
  <c r="E164" i="12"/>
  <c r="G180" i="6"/>
  <c r="E70" i="12"/>
  <c r="F70" i="6"/>
  <c r="E103" i="12"/>
  <c r="F103" i="6"/>
  <c r="E71" i="12"/>
  <c r="F71" i="6"/>
  <c r="G191" i="6"/>
  <c r="G139" i="6"/>
  <c r="F53" i="6"/>
  <c r="E53" i="12"/>
  <c r="E81" i="12"/>
  <c r="F81" i="6"/>
  <c r="G177" i="6"/>
  <c r="E160" i="12"/>
  <c r="F160" i="6"/>
  <c r="G130" i="6"/>
  <c r="E155" i="12"/>
  <c r="F155" i="6"/>
  <c r="G145" i="6"/>
  <c r="G85" i="6"/>
  <c r="E143" i="12"/>
  <c r="F143" i="6"/>
  <c r="G30" i="6"/>
  <c r="E86" i="12"/>
  <c r="F86" i="6"/>
  <c r="F163" i="6"/>
  <c r="E163" i="12"/>
  <c r="G38" i="6"/>
  <c r="G190" i="6"/>
  <c r="E170" i="12"/>
  <c r="F170" i="6"/>
  <c r="E37" i="12"/>
  <c r="F37" i="6"/>
  <c r="F187" i="6"/>
  <c r="E187" i="12"/>
  <c r="G32" i="6"/>
  <c r="E161" i="12"/>
  <c r="F161" i="6"/>
  <c r="F88" i="6"/>
  <c r="E88" i="12"/>
  <c r="G183" i="6"/>
  <c r="E148" i="12"/>
  <c r="F148" i="6"/>
  <c r="F146" i="6"/>
  <c r="E146" i="12"/>
  <c r="G121" i="6"/>
  <c r="E18" i="12"/>
  <c r="F18" i="6"/>
  <c r="AN183" i="5" l="1"/>
  <c r="W183" i="5"/>
  <c r="X183" i="5" s="1"/>
  <c r="W166" i="5"/>
  <c r="X166" i="5" s="1"/>
  <c r="AN166" i="5"/>
  <c r="W105" i="5"/>
  <c r="X105" i="5" s="1"/>
  <c r="AN105" i="5"/>
  <c r="W126" i="5"/>
  <c r="X126" i="5" s="1"/>
  <c r="AN126" i="5"/>
  <c r="W133" i="5"/>
  <c r="X133" i="5" s="1"/>
  <c r="AN133" i="5"/>
  <c r="AN69" i="5"/>
  <c r="W69" i="5"/>
  <c r="X69" i="5" s="1"/>
  <c r="W56" i="5"/>
  <c r="X56" i="5" s="1"/>
  <c r="AN56" i="5"/>
  <c r="AN165" i="5"/>
  <c r="W165" i="5"/>
  <c r="X165" i="5" s="1"/>
  <c r="W118" i="5"/>
  <c r="X118" i="5" s="1"/>
  <c r="AN118" i="5"/>
  <c r="W110" i="5"/>
  <c r="X110" i="5" s="1"/>
  <c r="AN110" i="5"/>
  <c r="AN152" i="5"/>
  <c r="W152" i="5"/>
  <c r="X152" i="5" s="1"/>
  <c r="W117" i="5"/>
  <c r="X117" i="5" s="1"/>
  <c r="AN117" i="5"/>
  <c r="W52" i="5"/>
  <c r="X52" i="5" s="1"/>
  <c r="AN52" i="5"/>
  <c r="AN86" i="5"/>
  <c r="W86" i="5"/>
  <c r="X86" i="5" s="1"/>
  <c r="AN106" i="5"/>
  <c r="W106" i="5"/>
  <c r="X106" i="5" s="1"/>
  <c r="AN71" i="5"/>
  <c r="W71" i="5"/>
  <c r="X71" i="5" s="1"/>
  <c r="AN109" i="5"/>
  <c r="W109" i="5"/>
  <c r="X109" i="5" s="1"/>
  <c r="W54" i="5"/>
  <c r="X54" i="5" s="1"/>
  <c r="AN54" i="5"/>
  <c r="W89" i="5"/>
  <c r="X89" i="5" s="1"/>
  <c r="AN89" i="5"/>
  <c r="W172" i="5"/>
  <c r="X172" i="5" s="1"/>
  <c r="AN172" i="5"/>
  <c r="W189" i="5"/>
  <c r="X189" i="5" s="1"/>
  <c r="AN189" i="5"/>
  <c r="W95" i="5"/>
  <c r="X95" i="5" s="1"/>
  <c r="AN95" i="5"/>
  <c r="W174" i="5"/>
  <c r="X174" i="5" s="1"/>
  <c r="AN174" i="5"/>
  <c r="AN114" i="5"/>
  <c r="W114" i="5"/>
  <c r="X114" i="5" s="1"/>
  <c r="W92" i="5"/>
  <c r="X92" i="5" s="1"/>
  <c r="AN92" i="5"/>
  <c r="AN47" i="5"/>
  <c r="W47" i="5"/>
  <c r="X47" i="5" s="1"/>
  <c r="AN187" i="5"/>
  <c r="W187" i="5"/>
  <c r="X187" i="5" s="1"/>
  <c r="W85" i="5"/>
  <c r="X85" i="5" s="1"/>
  <c r="AN85" i="5"/>
  <c r="W40" i="5"/>
  <c r="X40" i="5" s="1"/>
  <c r="AN40" i="5"/>
  <c r="AN107" i="5"/>
  <c r="W107" i="5"/>
  <c r="X107" i="5" s="1"/>
  <c r="AN82" i="5"/>
  <c r="W82" i="5"/>
  <c r="X82" i="5" s="1"/>
  <c r="W25" i="5"/>
  <c r="X25" i="5" s="1"/>
  <c r="AN25" i="5"/>
  <c r="W32" i="5"/>
  <c r="X32" i="5" s="1"/>
  <c r="AN32" i="5"/>
  <c r="W155" i="5"/>
  <c r="X155" i="5" s="1"/>
  <c r="AN155" i="5"/>
  <c r="AN53" i="5"/>
  <c r="W53" i="5"/>
  <c r="X53" i="5" s="1"/>
  <c r="W62" i="5"/>
  <c r="X62" i="5" s="1"/>
  <c r="AN62" i="5"/>
  <c r="AN140" i="5"/>
  <c r="W140" i="5"/>
  <c r="X140" i="5" s="1"/>
  <c r="W49" i="5"/>
  <c r="X49" i="5" s="1"/>
  <c r="AN49" i="5"/>
  <c r="AN112" i="5"/>
  <c r="W112" i="5"/>
  <c r="X112" i="5" s="1"/>
  <c r="AN153" i="5"/>
  <c r="W153" i="5"/>
  <c r="X153" i="5" s="1"/>
  <c r="W162" i="5"/>
  <c r="X162" i="5" s="1"/>
  <c r="AN162" i="5"/>
  <c r="AN129" i="5"/>
  <c r="W129" i="5"/>
  <c r="X129" i="5" s="1"/>
  <c r="W173" i="5"/>
  <c r="X173" i="5" s="1"/>
  <c r="AN173" i="5"/>
  <c r="AN131" i="5"/>
  <c r="W131" i="5"/>
  <c r="X131" i="5" s="1"/>
  <c r="W57" i="5"/>
  <c r="X57" i="5" s="1"/>
  <c r="AN57" i="5"/>
  <c r="W24" i="5"/>
  <c r="X24" i="5" s="1"/>
  <c r="AN24" i="5"/>
  <c r="W22" i="5"/>
  <c r="X22" i="5" s="1"/>
  <c r="AN22" i="5"/>
  <c r="W161" i="5"/>
  <c r="X161" i="5" s="1"/>
  <c r="AN161" i="5"/>
  <c r="AN190" i="5"/>
  <c r="W190" i="5"/>
  <c r="X190" i="5" s="1"/>
  <c r="W30" i="5"/>
  <c r="X30" i="5" s="1"/>
  <c r="AN30" i="5"/>
  <c r="AN78" i="5"/>
  <c r="W78" i="5"/>
  <c r="X78" i="5" s="1"/>
  <c r="W139" i="5"/>
  <c r="X139" i="5" s="1"/>
  <c r="AN139" i="5"/>
  <c r="W103" i="5"/>
  <c r="X103" i="5" s="1"/>
  <c r="AN103" i="5"/>
  <c r="W96" i="5"/>
  <c r="X96" i="5" s="1"/>
  <c r="AN96" i="5"/>
  <c r="AN115" i="5"/>
  <c r="W115" i="5"/>
  <c r="X115" i="5" s="1"/>
  <c r="AN169" i="5"/>
  <c r="W169" i="5"/>
  <c r="X169" i="5" s="1"/>
  <c r="AN63" i="5"/>
  <c r="W63" i="5"/>
  <c r="X63" i="5" s="1"/>
  <c r="AN178" i="5"/>
  <c r="W178" i="5"/>
  <c r="X178" i="5" s="1"/>
  <c r="AN74" i="5"/>
  <c r="W74" i="5"/>
  <c r="X74" i="5" s="1"/>
  <c r="W111" i="5"/>
  <c r="X111" i="5" s="1"/>
  <c r="AN111" i="5"/>
  <c r="AN21" i="5"/>
  <c r="W21" i="5"/>
  <c r="X21" i="5" s="1"/>
  <c r="AN164" i="5"/>
  <c r="W164" i="5"/>
  <c r="X164" i="5" s="1"/>
  <c r="W124" i="5"/>
  <c r="X124" i="5" s="1"/>
  <c r="AN124" i="5"/>
  <c r="AN151" i="5"/>
  <c r="W151" i="5"/>
  <c r="X151" i="5" s="1"/>
  <c r="W119" i="5"/>
  <c r="X119" i="5" s="1"/>
  <c r="AN119" i="5"/>
  <c r="W102" i="5"/>
  <c r="X102" i="5" s="1"/>
  <c r="AN102" i="5"/>
  <c r="W135" i="5"/>
  <c r="X135" i="5" s="1"/>
  <c r="AN135" i="5"/>
  <c r="W125" i="5"/>
  <c r="X125" i="5" s="1"/>
  <c r="AN125" i="5"/>
  <c r="AN83" i="5"/>
  <c r="W83" i="5"/>
  <c r="X83" i="5" s="1"/>
  <c r="W35" i="5"/>
  <c r="X35" i="5" s="1"/>
  <c r="AN35" i="5"/>
  <c r="AN170" i="5"/>
  <c r="W170" i="5"/>
  <c r="X170" i="5" s="1"/>
  <c r="W143" i="5"/>
  <c r="X143" i="5" s="1"/>
  <c r="AN143" i="5"/>
  <c r="W160" i="5"/>
  <c r="X160" i="5" s="1"/>
  <c r="AN160" i="5"/>
  <c r="AN41" i="5"/>
  <c r="W41" i="5"/>
  <c r="X41" i="5" s="1"/>
  <c r="AN93" i="5"/>
  <c r="W93" i="5"/>
  <c r="X93" i="5" s="1"/>
  <c r="W48" i="5"/>
  <c r="X48" i="5" s="1"/>
  <c r="AN48" i="5"/>
  <c r="AN138" i="5"/>
  <c r="W138" i="5"/>
  <c r="X138" i="5" s="1"/>
  <c r="W186" i="5"/>
  <c r="X186" i="5" s="1"/>
  <c r="AN186" i="5"/>
  <c r="W33" i="5"/>
  <c r="X33" i="5" s="1"/>
  <c r="AN33" i="5"/>
  <c r="W154" i="5"/>
  <c r="X154" i="5" s="1"/>
  <c r="AN154" i="5"/>
  <c r="AN128" i="5"/>
  <c r="W128" i="5"/>
  <c r="X128" i="5" s="1"/>
  <c r="AN121" i="5"/>
  <c r="W121" i="5"/>
  <c r="X121" i="5" s="1"/>
  <c r="AN37" i="5"/>
  <c r="W37" i="5"/>
  <c r="X37" i="5" s="1"/>
  <c r="W38" i="5"/>
  <c r="X38" i="5" s="1"/>
  <c r="AN38" i="5"/>
  <c r="AN177" i="5"/>
  <c r="W177" i="5"/>
  <c r="X177" i="5" s="1"/>
  <c r="AN50" i="5"/>
  <c r="W50" i="5"/>
  <c r="X50" i="5" s="1"/>
  <c r="W156" i="5"/>
  <c r="X156" i="5" s="1"/>
  <c r="AN156" i="5"/>
  <c r="W101" i="5"/>
  <c r="X101" i="5" s="1"/>
  <c r="AN101" i="5"/>
  <c r="W142" i="5"/>
  <c r="X142" i="5" s="1"/>
  <c r="AN142" i="5"/>
  <c r="W43" i="5"/>
  <c r="X43" i="5" s="1"/>
  <c r="AN43" i="5"/>
  <c r="W181" i="5"/>
  <c r="X181" i="5" s="1"/>
  <c r="AN181" i="5"/>
  <c r="W84" i="5"/>
  <c r="X84" i="5" s="1"/>
  <c r="AN84" i="5"/>
  <c r="W176" i="5"/>
  <c r="X176" i="5" s="1"/>
  <c r="AN176" i="5"/>
  <c r="W150" i="5"/>
  <c r="X150" i="5" s="1"/>
  <c r="AN150" i="5"/>
  <c r="W46" i="5"/>
  <c r="X46" i="5" s="1"/>
  <c r="AN46" i="5"/>
  <c r="W34" i="5"/>
  <c r="X34" i="5" s="1"/>
  <c r="AN34" i="5"/>
  <c r="W97" i="5"/>
  <c r="X97" i="5" s="1"/>
  <c r="AN97" i="5"/>
  <c r="W80" i="5"/>
  <c r="X80" i="5" s="1"/>
  <c r="AN80" i="5"/>
  <c r="AN19" i="5"/>
  <c r="W19" i="5"/>
  <c r="X19" i="5" s="1"/>
  <c r="W148" i="5"/>
  <c r="X148" i="5" s="1"/>
  <c r="AN148" i="5"/>
  <c r="AN73" i="5"/>
  <c r="W73" i="5"/>
  <c r="X73" i="5" s="1"/>
  <c r="W70" i="5"/>
  <c r="X70" i="5" s="1"/>
  <c r="AN70" i="5"/>
  <c r="W185" i="5"/>
  <c r="X185" i="5" s="1"/>
  <c r="AN185" i="5"/>
  <c r="AN91" i="5"/>
  <c r="W91" i="5"/>
  <c r="X91" i="5" s="1"/>
  <c r="W122" i="5"/>
  <c r="X122" i="5" s="1"/>
  <c r="AN122" i="5"/>
  <c r="AN146" i="5"/>
  <c r="W146" i="5"/>
  <c r="X146" i="5" s="1"/>
  <c r="AN163" i="5"/>
  <c r="W163" i="5"/>
  <c r="X163" i="5" s="1"/>
  <c r="AN113" i="5"/>
  <c r="W113" i="5"/>
  <c r="X113" i="5" s="1"/>
  <c r="AN167" i="5"/>
  <c r="W167" i="5"/>
  <c r="X167" i="5" s="1"/>
  <c r="W61" i="5"/>
  <c r="X61" i="5" s="1"/>
  <c r="AN61" i="5"/>
  <c r="W123" i="5"/>
  <c r="X123" i="5" s="1"/>
  <c r="AN123" i="5"/>
  <c r="W158" i="5"/>
  <c r="X158" i="5" s="1"/>
  <c r="AN158" i="5"/>
  <c r="AN98" i="5"/>
  <c r="W98" i="5"/>
  <c r="X98" i="5" s="1"/>
  <c r="AN76" i="5"/>
  <c r="W76" i="5"/>
  <c r="X76" i="5" s="1"/>
  <c r="AN144" i="5"/>
  <c r="W144" i="5"/>
  <c r="X144" i="5" s="1"/>
  <c r="W99" i="5"/>
  <c r="X99" i="5" s="1"/>
  <c r="AN99" i="5"/>
  <c r="W59" i="5"/>
  <c r="X59" i="5" s="1"/>
  <c r="AN59" i="5"/>
  <c r="AN72" i="5"/>
  <c r="W72" i="5"/>
  <c r="X72" i="5" s="1"/>
  <c r="W65" i="5"/>
  <c r="X65" i="5" s="1"/>
  <c r="AB65" i="6" s="1"/>
  <c r="AN65" i="5"/>
  <c r="AN130" i="5"/>
  <c r="W130" i="5"/>
  <c r="X130" i="5" s="1"/>
  <c r="W81" i="5"/>
  <c r="X81" i="5" s="1"/>
  <c r="AN81" i="5"/>
  <c r="AN55" i="5"/>
  <c r="W55" i="5"/>
  <c r="X55" i="5" s="1"/>
  <c r="AN180" i="5"/>
  <c r="W180" i="5"/>
  <c r="X180" i="5" s="1"/>
  <c r="AN116" i="5"/>
  <c r="W116" i="5"/>
  <c r="X116" i="5" s="1"/>
  <c r="AN120" i="5"/>
  <c r="W120" i="5"/>
  <c r="X120" i="5" s="1"/>
  <c r="AN141" i="5"/>
  <c r="W141" i="5"/>
  <c r="X141" i="5" s="1"/>
  <c r="W134" i="5"/>
  <c r="X134" i="5" s="1"/>
  <c r="AN134" i="5"/>
  <c r="W157" i="5"/>
  <c r="X157" i="5" s="1"/>
  <c r="AN157" i="5"/>
  <c r="W44" i="5"/>
  <c r="X44" i="5" s="1"/>
  <c r="AN44" i="5"/>
  <c r="AN29" i="5"/>
  <c r="W29" i="5"/>
  <c r="X29" i="5" s="1"/>
  <c r="W23" i="5"/>
  <c r="X23" i="5" s="1"/>
  <c r="AN23" i="5"/>
  <c r="AN147" i="5"/>
  <c r="W147" i="5"/>
  <c r="X147" i="5" s="1"/>
  <c r="AN136" i="5"/>
  <c r="W136" i="5"/>
  <c r="X136" i="5" s="1"/>
  <c r="AN77" i="5"/>
  <c r="W77" i="5"/>
  <c r="X77" i="5" s="1"/>
  <c r="W191" i="5"/>
  <c r="X191" i="5" s="1"/>
  <c r="AN191" i="5"/>
  <c r="AN137" i="5"/>
  <c r="W137" i="5"/>
  <c r="X137" i="5" s="1"/>
  <c r="W182" i="5"/>
  <c r="X182" i="5" s="1"/>
  <c r="AN182" i="5"/>
  <c r="W36" i="5"/>
  <c r="X36" i="5" s="1"/>
  <c r="AN36" i="5"/>
  <c r="W145" i="5"/>
  <c r="X145" i="5" s="1"/>
  <c r="AN145" i="5"/>
  <c r="AN39" i="5"/>
  <c r="W39" i="5"/>
  <c r="X39" i="5" s="1"/>
  <c r="AN168" i="5"/>
  <c r="W168" i="5"/>
  <c r="X168" i="5" s="1"/>
  <c r="AN127" i="5"/>
  <c r="W127" i="5"/>
  <c r="X127" i="5" s="1"/>
  <c r="AN90" i="5"/>
  <c r="W90" i="5"/>
  <c r="X90" i="5" s="1"/>
  <c r="AG20" i="5"/>
  <c r="I183" i="12" l="1"/>
  <c r="L183" i="5"/>
  <c r="AM183" i="5"/>
  <c r="Z183" i="5"/>
  <c r="AB183" i="6"/>
  <c r="AC183" i="5"/>
  <c r="AC145" i="5"/>
  <c r="AC182" i="5"/>
  <c r="AC59" i="5"/>
  <c r="AC97" i="5"/>
  <c r="AC46" i="5"/>
  <c r="AC142" i="5"/>
  <c r="AC156" i="5"/>
  <c r="AC160" i="5"/>
  <c r="AC36" i="5"/>
  <c r="AC48" i="5"/>
  <c r="AC96" i="5"/>
  <c r="AC24" i="5"/>
  <c r="AC62" i="5"/>
  <c r="AC155" i="5"/>
  <c r="AC25" i="5"/>
  <c r="AM29" i="5"/>
  <c r="I29" i="5"/>
  <c r="I30" i="5" s="1"/>
  <c r="X28" i="5"/>
  <c r="AB29" i="6"/>
  <c r="L29" i="5"/>
  <c r="Z29" i="5"/>
  <c r="I29" i="12"/>
  <c r="AC29" i="5"/>
  <c r="AB99" i="6"/>
  <c r="L99" i="5"/>
  <c r="I99" i="12"/>
  <c r="AM99" i="5"/>
  <c r="Z99" i="5"/>
  <c r="AC99" i="5"/>
  <c r="AB90" i="6"/>
  <c r="I90" i="12"/>
  <c r="Z90" i="5"/>
  <c r="L90" i="5"/>
  <c r="AM90" i="5"/>
  <c r="AC90" i="5"/>
  <c r="AC168" i="5"/>
  <c r="L168" i="5"/>
  <c r="I168" i="12"/>
  <c r="AM168" i="5"/>
  <c r="Z168" i="5"/>
  <c r="AB168" i="6"/>
  <c r="AM136" i="5"/>
  <c r="AB136" i="6"/>
  <c r="I136" i="12"/>
  <c r="L136" i="5"/>
  <c r="Z136" i="5"/>
  <c r="AC136" i="5"/>
  <c r="AM120" i="5"/>
  <c r="L120" i="5"/>
  <c r="C120" i="6" s="1"/>
  <c r="I120" i="12"/>
  <c r="Z120" i="5"/>
  <c r="AB120" i="6"/>
  <c r="AC120" i="5"/>
  <c r="I180" i="12"/>
  <c r="L180" i="5"/>
  <c r="Z180" i="5"/>
  <c r="AB180" i="6"/>
  <c r="I180" i="5"/>
  <c r="I181" i="5" s="1"/>
  <c r="I182" i="5" s="1"/>
  <c r="I183" i="5" s="1"/>
  <c r="AM180" i="5"/>
  <c r="X179" i="5"/>
  <c r="AC180" i="5"/>
  <c r="AB144" i="6"/>
  <c r="L144" i="5"/>
  <c r="Z144" i="5"/>
  <c r="AM144" i="5"/>
  <c r="I144" i="12"/>
  <c r="AC144" i="5"/>
  <c r="AC98" i="5"/>
  <c r="AM98" i="5"/>
  <c r="I98" i="12"/>
  <c r="Z98" i="5"/>
  <c r="L98" i="5"/>
  <c r="AB98" i="6"/>
  <c r="L167" i="5"/>
  <c r="Z167" i="5"/>
  <c r="AB167" i="6"/>
  <c r="AM167" i="5"/>
  <c r="I167" i="12"/>
  <c r="AC167" i="5"/>
  <c r="AB163" i="6"/>
  <c r="L163" i="5"/>
  <c r="Z163" i="5"/>
  <c r="I163" i="12"/>
  <c r="AM163" i="5"/>
  <c r="AC163" i="5"/>
  <c r="AM73" i="5"/>
  <c r="AB73" i="6"/>
  <c r="I73" i="12"/>
  <c r="Z73" i="5"/>
  <c r="L73" i="5"/>
  <c r="AC73" i="5"/>
  <c r="Z19" i="5"/>
  <c r="AM19" i="5"/>
  <c r="L19" i="5"/>
  <c r="AB19" i="6"/>
  <c r="I19" i="12"/>
  <c r="AC19" i="5"/>
  <c r="AC177" i="5"/>
  <c r="AB177" i="6"/>
  <c r="L177" i="5"/>
  <c r="AM177" i="5"/>
  <c r="I177" i="12"/>
  <c r="Z177" i="5"/>
  <c r="I37" i="12"/>
  <c r="AM37" i="5"/>
  <c r="Z37" i="5"/>
  <c r="L37" i="5"/>
  <c r="AB37" i="6"/>
  <c r="AC37" i="5"/>
  <c r="L128" i="5"/>
  <c r="Z128" i="5"/>
  <c r="AM128" i="5"/>
  <c r="I128" i="12"/>
  <c r="AB128" i="6"/>
  <c r="AC128" i="5"/>
  <c r="AB138" i="6"/>
  <c r="Z138" i="5"/>
  <c r="I138" i="12"/>
  <c r="AM138" i="5"/>
  <c r="L138" i="5"/>
  <c r="AC138" i="5"/>
  <c r="AB93" i="6"/>
  <c r="Z93" i="5"/>
  <c r="I93" i="12"/>
  <c r="AM93" i="5"/>
  <c r="L93" i="5"/>
  <c r="AC93" i="5"/>
  <c r="AM170" i="5"/>
  <c r="I170" i="12"/>
  <c r="L170" i="5"/>
  <c r="Z170" i="5"/>
  <c r="AB170" i="6"/>
  <c r="AC170" i="5"/>
  <c r="AM83" i="5"/>
  <c r="I83" i="12"/>
  <c r="Z83" i="5"/>
  <c r="L83" i="5"/>
  <c r="AB83" i="6"/>
  <c r="AC83" i="5"/>
  <c r="AC135" i="5"/>
  <c r="Z21" i="5"/>
  <c r="I21" i="12"/>
  <c r="L21" i="5"/>
  <c r="AB21" i="6"/>
  <c r="AM21" i="5"/>
  <c r="AC21" i="5"/>
  <c r="L74" i="5"/>
  <c r="C74" i="6" s="1"/>
  <c r="I74" i="12"/>
  <c r="Z74" i="5"/>
  <c r="AB74" i="6"/>
  <c r="AM74" i="5"/>
  <c r="AC74" i="5"/>
  <c r="AB63" i="6"/>
  <c r="L63" i="5"/>
  <c r="AM63" i="5"/>
  <c r="Z63" i="5"/>
  <c r="I63" i="12"/>
  <c r="AC63" i="5"/>
  <c r="AC115" i="5"/>
  <c r="L115" i="5"/>
  <c r="Z115" i="5"/>
  <c r="AM115" i="5"/>
  <c r="AB115" i="6"/>
  <c r="I115" i="12"/>
  <c r="AC103" i="5"/>
  <c r="AC78" i="5"/>
  <c r="L78" i="5"/>
  <c r="C78" i="6" s="1"/>
  <c r="AM78" i="5"/>
  <c r="AB78" i="6"/>
  <c r="Z78" i="5"/>
  <c r="I78" i="12"/>
  <c r="AB190" i="6"/>
  <c r="I190" i="12"/>
  <c r="L190" i="5"/>
  <c r="AM190" i="5"/>
  <c r="Z190" i="5"/>
  <c r="AC190" i="5"/>
  <c r="AC22" i="5"/>
  <c r="AC57" i="5"/>
  <c r="AC173" i="5"/>
  <c r="AM112" i="5"/>
  <c r="AB112" i="6"/>
  <c r="L112" i="5"/>
  <c r="Z112" i="5"/>
  <c r="I112" i="12"/>
  <c r="AC112" i="5"/>
  <c r="L140" i="5"/>
  <c r="AB140" i="6"/>
  <c r="Z140" i="5"/>
  <c r="AM140" i="5"/>
  <c r="I140" i="12"/>
  <c r="AC140" i="5"/>
  <c r="AM53" i="5"/>
  <c r="Z53" i="5"/>
  <c r="I53" i="12"/>
  <c r="L53" i="5"/>
  <c r="AB53" i="6"/>
  <c r="AC53" i="5"/>
  <c r="AM82" i="5"/>
  <c r="Z82" i="5"/>
  <c r="L82" i="5"/>
  <c r="I82" i="12"/>
  <c r="AB82" i="6"/>
  <c r="AC82" i="5"/>
  <c r="AC40" i="5"/>
  <c r="I187" i="12"/>
  <c r="AM187" i="5"/>
  <c r="L187" i="5"/>
  <c r="Z187" i="5"/>
  <c r="AB187" i="6"/>
  <c r="AC187" i="5"/>
  <c r="L109" i="5"/>
  <c r="AB109" i="6"/>
  <c r="AM109" i="5"/>
  <c r="I109" i="12"/>
  <c r="Z109" i="5"/>
  <c r="I109" i="5"/>
  <c r="I110" i="5" s="1"/>
  <c r="I111" i="5" s="1"/>
  <c r="I112" i="5" s="1"/>
  <c r="I113" i="5" s="1"/>
  <c r="I114" i="5" s="1"/>
  <c r="I115" i="5" s="1"/>
  <c r="I116" i="5" s="1"/>
  <c r="I117" i="5" s="1"/>
  <c r="I118" i="5" s="1"/>
  <c r="I119" i="5" s="1"/>
  <c r="I120" i="5" s="1"/>
  <c r="O120" i="5" s="1"/>
  <c r="AC109" i="5"/>
  <c r="AB106" i="6"/>
  <c r="L106" i="5"/>
  <c r="AM106" i="5"/>
  <c r="I106" i="12"/>
  <c r="Z106" i="5"/>
  <c r="AC106" i="5"/>
  <c r="I152" i="12"/>
  <c r="AM152" i="5"/>
  <c r="Z152" i="5"/>
  <c r="AB152" i="6"/>
  <c r="L152" i="5"/>
  <c r="AC152" i="5"/>
  <c r="AC105" i="5"/>
  <c r="AM127" i="5"/>
  <c r="AB127" i="6"/>
  <c r="Z127" i="5"/>
  <c r="L127" i="5"/>
  <c r="I127" i="12"/>
  <c r="AC127" i="5"/>
  <c r="L137" i="5"/>
  <c r="Z137" i="5"/>
  <c r="I137" i="12"/>
  <c r="AB137" i="6"/>
  <c r="AM137" i="5"/>
  <c r="AC137" i="5"/>
  <c r="AM141" i="5"/>
  <c r="L141" i="5"/>
  <c r="AB141" i="6"/>
  <c r="Z141" i="5"/>
  <c r="I141" i="12"/>
  <c r="AC141" i="5"/>
  <c r="Z36" i="5"/>
  <c r="I36" i="12"/>
  <c r="AB36" i="6"/>
  <c r="L36" i="5"/>
  <c r="AM36" i="5"/>
  <c r="Z145" i="5"/>
  <c r="L145" i="5"/>
  <c r="AB145" i="6"/>
  <c r="I145" i="12"/>
  <c r="AM145" i="5"/>
  <c r="AM182" i="5"/>
  <c r="I182" i="12"/>
  <c r="L182" i="5"/>
  <c r="Z182" i="5"/>
  <c r="AB182" i="6"/>
  <c r="I191" i="12"/>
  <c r="Z191" i="5"/>
  <c r="AB191" i="6"/>
  <c r="L191" i="5"/>
  <c r="AM191" i="5"/>
  <c r="AC191" i="5"/>
  <c r="L23" i="5"/>
  <c r="AM23" i="5"/>
  <c r="Z23" i="5"/>
  <c r="I23" i="12"/>
  <c r="AB23" i="6"/>
  <c r="AC23" i="5"/>
  <c r="AM44" i="5"/>
  <c r="L44" i="5"/>
  <c r="AB44" i="6"/>
  <c r="I44" i="12"/>
  <c r="Z44" i="5"/>
  <c r="AC44" i="5"/>
  <c r="Z134" i="5"/>
  <c r="I134" i="12"/>
  <c r="AB134" i="6"/>
  <c r="AM134" i="5"/>
  <c r="L134" i="5"/>
  <c r="AC134" i="5"/>
  <c r="Z81" i="5"/>
  <c r="L81" i="5"/>
  <c r="I81" i="12"/>
  <c r="AB81" i="6"/>
  <c r="AM81" i="5"/>
  <c r="AC81" i="5"/>
  <c r="AM65" i="5"/>
  <c r="I65" i="12"/>
  <c r="L65" i="5"/>
  <c r="Z65" i="5"/>
  <c r="AC65" i="5"/>
  <c r="I59" i="5"/>
  <c r="I59" i="12"/>
  <c r="AM59" i="5"/>
  <c r="Z59" i="5"/>
  <c r="AB59" i="6"/>
  <c r="L59" i="5"/>
  <c r="X58" i="5"/>
  <c r="AM123" i="5"/>
  <c r="Z123" i="5"/>
  <c r="L123" i="5"/>
  <c r="AB123" i="6"/>
  <c r="I123" i="12"/>
  <c r="AC123" i="5"/>
  <c r="L122" i="5"/>
  <c r="AB122" i="6"/>
  <c r="I122" i="12"/>
  <c r="AM122" i="5"/>
  <c r="Z122" i="5"/>
  <c r="AC122" i="5"/>
  <c r="I185" i="12"/>
  <c r="AB185" i="6"/>
  <c r="X184" i="5"/>
  <c r="I185" i="5"/>
  <c r="I186" i="5" s="1"/>
  <c r="I187" i="5" s="1"/>
  <c r="L185" i="5"/>
  <c r="AM185" i="5"/>
  <c r="Z185" i="5"/>
  <c r="AC185" i="5"/>
  <c r="I97" i="12"/>
  <c r="Z97" i="5"/>
  <c r="AM97" i="5"/>
  <c r="AB97" i="6"/>
  <c r="L97" i="5"/>
  <c r="Z46" i="5"/>
  <c r="AB46" i="6"/>
  <c r="L46" i="5"/>
  <c r="AM46" i="5"/>
  <c r="I46" i="5"/>
  <c r="I47" i="5" s="1"/>
  <c r="I48" i="5" s="1"/>
  <c r="I49" i="5" s="1"/>
  <c r="I50" i="5" s="1"/>
  <c r="I46" i="12"/>
  <c r="X45" i="5"/>
  <c r="I176" i="12"/>
  <c r="AB176" i="6"/>
  <c r="L176" i="5"/>
  <c r="Z176" i="5"/>
  <c r="AM176" i="5"/>
  <c r="I176" i="5"/>
  <c r="I177" i="5" s="1"/>
  <c r="X175" i="5"/>
  <c r="AC176" i="5"/>
  <c r="I181" i="12"/>
  <c r="Z181" i="5"/>
  <c r="L181" i="5"/>
  <c r="AB181" i="6"/>
  <c r="AM181" i="5"/>
  <c r="AC181" i="5"/>
  <c r="I142" i="12"/>
  <c r="AM142" i="5"/>
  <c r="Z142" i="5"/>
  <c r="L142" i="5"/>
  <c r="AB142" i="6"/>
  <c r="L156" i="5"/>
  <c r="AB156" i="6"/>
  <c r="I156" i="12"/>
  <c r="AM156" i="5"/>
  <c r="Z156" i="5"/>
  <c r="AM33" i="5"/>
  <c r="L33" i="5"/>
  <c r="Z33" i="5"/>
  <c r="I33" i="12"/>
  <c r="AB33" i="6"/>
  <c r="AC33" i="5"/>
  <c r="Z160" i="5"/>
  <c r="AB160" i="6"/>
  <c r="AM160" i="5"/>
  <c r="I160" i="12"/>
  <c r="L160" i="5"/>
  <c r="I160" i="5"/>
  <c r="I161" i="5" s="1"/>
  <c r="I162" i="5" s="1"/>
  <c r="I163" i="5" s="1"/>
  <c r="I164" i="5" s="1"/>
  <c r="I165" i="5" s="1"/>
  <c r="I166" i="5" s="1"/>
  <c r="I167" i="5" s="1"/>
  <c r="I168" i="5" s="1"/>
  <c r="I169" i="5" s="1"/>
  <c r="I170" i="5" s="1"/>
  <c r="X159" i="5"/>
  <c r="L135" i="5"/>
  <c r="I135" i="12"/>
  <c r="Z135" i="5"/>
  <c r="AM135" i="5"/>
  <c r="AB135" i="6"/>
  <c r="AM119" i="5"/>
  <c r="I119" i="12"/>
  <c r="AB119" i="6"/>
  <c r="L119" i="5"/>
  <c r="Z119" i="5"/>
  <c r="AC119" i="5"/>
  <c r="AM124" i="5"/>
  <c r="L124" i="5"/>
  <c r="I124" i="12"/>
  <c r="Z124" i="5"/>
  <c r="AB124" i="6"/>
  <c r="AC124" i="5"/>
  <c r="AB103" i="6"/>
  <c r="Z103" i="5"/>
  <c r="AM103" i="5"/>
  <c r="I103" i="12"/>
  <c r="L103" i="5"/>
  <c r="AM22" i="5"/>
  <c r="Z22" i="5"/>
  <c r="I22" i="12"/>
  <c r="L22" i="5"/>
  <c r="AB22" i="6"/>
  <c r="I57" i="12"/>
  <c r="Z57" i="5"/>
  <c r="AB57" i="6"/>
  <c r="L57" i="5"/>
  <c r="AM57" i="5"/>
  <c r="AM173" i="5"/>
  <c r="I173" i="12"/>
  <c r="AB173" i="6"/>
  <c r="L173" i="5"/>
  <c r="Z173" i="5"/>
  <c r="I162" i="12"/>
  <c r="Z162" i="5"/>
  <c r="AM162" i="5"/>
  <c r="L162" i="5"/>
  <c r="AB162" i="6"/>
  <c r="AC162" i="5"/>
  <c r="I32" i="12"/>
  <c r="L32" i="5"/>
  <c r="Z32" i="5"/>
  <c r="I32" i="5"/>
  <c r="I33" i="5" s="1"/>
  <c r="I34" i="5" s="1"/>
  <c r="I35" i="5" s="1"/>
  <c r="I36" i="5" s="1"/>
  <c r="I37" i="5" s="1"/>
  <c r="I38" i="5" s="1"/>
  <c r="I39" i="5" s="1"/>
  <c r="I40" i="5" s="1"/>
  <c r="I41" i="5" s="1"/>
  <c r="AM32" i="5"/>
  <c r="AB32" i="6"/>
  <c r="X31" i="5"/>
  <c r="AC32" i="5"/>
  <c r="I40" i="12"/>
  <c r="L40" i="5"/>
  <c r="AM40" i="5"/>
  <c r="AB40" i="6"/>
  <c r="Z40" i="5"/>
  <c r="AB92" i="6"/>
  <c r="I92" i="12"/>
  <c r="AM92" i="5"/>
  <c r="L92" i="5"/>
  <c r="C92" i="6" s="1"/>
  <c r="Z92" i="5"/>
  <c r="AC92" i="5"/>
  <c r="AM174" i="5"/>
  <c r="AB174" i="6"/>
  <c r="Z174" i="5"/>
  <c r="I174" i="12"/>
  <c r="L174" i="5"/>
  <c r="AC174" i="5"/>
  <c r="I189" i="12"/>
  <c r="AB189" i="6"/>
  <c r="AM189" i="5"/>
  <c r="Z189" i="5"/>
  <c r="L189" i="5"/>
  <c r="I189" i="5"/>
  <c r="I190" i="5" s="1"/>
  <c r="I191" i="5" s="1"/>
  <c r="X188" i="5"/>
  <c r="AC189" i="5"/>
  <c r="AB89" i="6"/>
  <c r="Z89" i="5"/>
  <c r="L89" i="5"/>
  <c r="AM89" i="5"/>
  <c r="I89" i="12"/>
  <c r="AC89" i="5"/>
  <c r="L52" i="5"/>
  <c r="AB52" i="6"/>
  <c r="I52" i="5"/>
  <c r="I53" i="5" s="1"/>
  <c r="I54" i="5" s="1"/>
  <c r="I55" i="5" s="1"/>
  <c r="I56" i="5" s="1"/>
  <c r="I57" i="5" s="1"/>
  <c r="I52" i="12"/>
  <c r="Z52" i="5"/>
  <c r="AM52" i="5"/>
  <c r="X51" i="5"/>
  <c r="AC52" i="5"/>
  <c r="Z118" i="5"/>
  <c r="I118" i="12"/>
  <c r="L118" i="5"/>
  <c r="AM118" i="5"/>
  <c r="AB118" i="6"/>
  <c r="AC118" i="5"/>
  <c r="AB56" i="6"/>
  <c r="I56" i="12"/>
  <c r="Z56" i="5"/>
  <c r="L56" i="5"/>
  <c r="AM56" i="5"/>
  <c r="AC56" i="5"/>
  <c r="AM133" i="5"/>
  <c r="L133" i="5"/>
  <c r="AB133" i="6"/>
  <c r="I133" i="12"/>
  <c r="Z133" i="5"/>
  <c r="AC133" i="5"/>
  <c r="X104" i="5"/>
  <c r="I105" i="12"/>
  <c r="Z105" i="5"/>
  <c r="AB105" i="6"/>
  <c r="I105" i="5"/>
  <c r="I106" i="5" s="1"/>
  <c r="I107" i="5" s="1"/>
  <c r="AM105" i="5"/>
  <c r="L105" i="5"/>
  <c r="AC39" i="5"/>
  <c r="I39" i="12"/>
  <c r="AB39" i="6"/>
  <c r="AM39" i="5"/>
  <c r="Z39" i="5"/>
  <c r="L39" i="5"/>
  <c r="I147" i="12"/>
  <c r="L147" i="5"/>
  <c r="AM147" i="5"/>
  <c r="Z147" i="5"/>
  <c r="AB147" i="6"/>
  <c r="AC147" i="5"/>
  <c r="L116" i="5"/>
  <c r="AB116" i="6"/>
  <c r="AM116" i="5"/>
  <c r="I116" i="12"/>
  <c r="Z116" i="5"/>
  <c r="AC116" i="5"/>
  <c r="L55" i="5"/>
  <c r="Z55" i="5"/>
  <c r="I55" i="12"/>
  <c r="AM55" i="5"/>
  <c r="AB55" i="6"/>
  <c r="AC55" i="5"/>
  <c r="L130" i="5"/>
  <c r="AM130" i="5"/>
  <c r="Z130" i="5"/>
  <c r="AB130" i="6"/>
  <c r="I130" i="12"/>
  <c r="AC130" i="5"/>
  <c r="AC72" i="5"/>
  <c r="AM72" i="5"/>
  <c r="AB72" i="6"/>
  <c r="Z72" i="5"/>
  <c r="L72" i="5"/>
  <c r="I72" i="12"/>
  <c r="AB76" i="6"/>
  <c r="X75" i="5"/>
  <c r="L76" i="5"/>
  <c r="Z76" i="5"/>
  <c r="I76" i="12"/>
  <c r="I76" i="5"/>
  <c r="I77" i="5" s="1"/>
  <c r="I78" i="5" s="1"/>
  <c r="AM76" i="5"/>
  <c r="AC76" i="5"/>
  <c r="AC61" i="5"/>
  <c r="AC113" i="5"/>
  <c r="Z113" i="5"/>
  <c r="L113" i="5"/>
  <c r="AB113" i="6"/>
  <c r="AM113" i="5"/>
  <c r="I113" i="12"/>
  <c r="I146" i="12"/>
  <c r="AM146" i="5"/>
  <c r="Z146" i="5"/>
  <c r="L146" i="5"/>
  <c r="AB146" i="6"/>
  <c r="AC146" i="5"/>
  <c r="AB91" i="6"/>
  <c r="I91" i="12"/>
  <c r="AM91" i="5"/>
  <c r="Z91" i="5"/>
  <c r="L91" i="5"/>
  <c r="AC91" i="5"/>
  <c r="AC70" i="5"/>
  <c r="AC80" i="5"/>
  <c r="AC84" i="5"/>
  <c r="AC43" i="5"/>
  <c r="AB50" i="6"/>
  <c r="L50" i="5"/>
  <c r="Z50" i="5"/>
  <c r="AM50" i="5"/>
  <c r="I50" i="12"/>
  <c r="AC50" i="5"/>
  <c r="L121" i="5"/>
  <c r="I121" i="12"/>
  <c r="Z121" i="5"/>
  <c r="AM121" i="5"/>
  <c r="AB121" i="6"/>
  <c r="I121" i="5"/>
  <c r="I122" i="5" s="1"/>
  <c r="I123" i="5" s="1"/>
  <c r="I124" i="5" s="1"/>
  <c r="I125" i="5" s="1"/>
  <c r="I126" i="5" s="1"/>
  <c r="I127" i="5" s="1"/>
  <c r="I128" i="5" s="1"/>
  <c r="I129" i="5" s="1"/>
  <c r="I130" i="5" s="1"/>
  <c r="I131" i="5" s="1"/>
  <c r="AC121" i="5"/>
  <c r="AC41" i="5"/>
  <c r="L41" i="5"/>
  <c r="AM41" i="5"/>
  <c r="Z41" i="5"/>
  <c r="I41" i="12"/>
  <c r="AB41" i="6"/>
  <c r="L151" i="5"/>
  <c r="AM151" i="5"/>
  <c r="AB151" i="6"/>
  <c r="Z151" i="5"/>
  <c r="I151" i="12"/>
  <c r="AC151" i="5"/>
  <c r="AC164" i="5"/>
  <c r="I164" i="12"/>
  <c r="AM164" i="5"/>
  <c r="Z164" i="5"/>
  <c r="L164" i="5"/>
  <c r="AB164" i="6"/>
  <c r="AC178" i="5"/>
  <c r="I178" i="5"/>
  <c r="Z178" i="5"/>
  <c r="AM178" i="5"/>
  <c r="I178" i="12"/>
  <c r="L178" i="5"/>
  <c r="AB178" i="6"/>
  <c r="AM169" i="5"/>
  <c r="AB169" i="6"/>
  <c r="Z169" i="5"/>
  <c r="I169" i="12"/>
  <c r="L169" i="5"/>
  <c r="AC169" i="5"/>
  <c r="I131" i="12"/>
  <c r="AM131" i="5"/>
  <c r="AB131" i="6"/>
  <c r="Z131" i="5"/>
  <c r="L131" i="5"/>
  <c r="AC131" i="5"/>
  <c r="L129" i="5"/>
  <c r="Z129" i="5"/>
  <c r="AM129" i="5"/>
  <c r="AB129" i="6"/>
  <c r="I129" i="12"/>
  <c r="AC129" i="5"/>
  <c r="AC153" i="5"/>
  <c r="L153" i="5"/>
  <c r="AB153" i="6"/>
  <c r="I153" i="12"/>
  <c r="Z153" i="5"/>
  <c r="AM153" i="5"/>
  <c r="Z107" i="5"/>
  <c r="AM107" i="5"/>
  <c r="I107" i="12"/>
  <c r="L107" i="5"/>
  <c r="AB107" i="6"/>
  <c r="AC107" i="5"/>
  <c r="AC85" i="5"/>
  <c r="I47" i="12"/>
  <c r="L47" i="5"/>
  <c r="AM47" i="5"/>
  <c r="AB47" i="6"/>
  <c r="Z47" i="5"/>
  <c r="AC47" i="5"/>
  <c r="AC114" i="5"/>
  <c r="AB114" i="6"/>
  <c r="Z114" i="5"/>
  <c r="I114" i="12"/>
  <c r="L114" i="5"/>
  <c r="AM114" i="5"/>
  <c r="AC95" i="5"/>
  <c r="AC172" i="5"/>
  <c r="I71" i="12"/>
  <c r="Z71" i="5"/>
  <c r="AM71" i="5"/>
  <c r="AB71" i="6"/>
  <c r="L71" i="5"/>
  <c r="AC71" i="5"/>
  <c r="L86" i="5"/>
  <c r="AB86" i="6"/>
  <c r="Z86" i="5"/>
  <c r="AM86" i="5"/>
  <c r="I86" i="12"/>
  <c r="AC86" i="5"/>
  <c r="AC110" i="5"/>
  <c r="AM165" i="5"/>
  <c r="AB165" i="6"/>
  <c r="I165" i="12"/>
  <c r="L165" i="5"/>
  <c r="Z165" i="5"/>
  <c r="AC165" i="5"/>
  <c r="AC69" i="5"/>
  <c r="AM69" i="5"/>
  <c r="I69" i="12"/>
  <c r="Z69" i="5"/>
  <c r="L69" i="5"/>
  <c r="I69" i="5"/>
  <c r="I70" i="5" s="1"/>
  <c r="I71" i="5" s="1"/>
  <c r="I72" i="5" s="1"/>
  <c r="I73" i="5" s="1"/>
  <c r="I74" i="5" s="1"/>
  <c r="AB69" i="6"/>
  <c r="X68" i="5"/>
  <c r="AC126" i="5"/>
  <c r="AC77" i="5"/>
  <c r="AB77" i="6"/>
  <c r="Z77" i="5"/>
  <c r="AM77" i="5"/>
  <c r="L77" i="5"/>
  <c r="I77" i="12"/>
  <c r="I157" i="12"/>
  <c r="AB157" i="6"/>
  <c r="Z157" i="5"/>
  <c r="AM157" i="5"/>
  <c r="L157" i="5"/>
  <c r="AC157" i="5"/>
  <c r="L158" i="5"/>
  <c r="C158" i="6" s="1"/>
  <c r="AB158" i="6"/>
  <c r="Z158" i="5"/>
  <c r="I158" i="12"/>
  <c r="AM158" i="5"/>
  <c r="AC158" i="5"/>
  <c r="Z61" i="5"/>
  <c r="AM61" i="5"/>
  <c r="I61" i="12"/>
  <c r="L61" i="5"/>
  <c r="AB61" i="6"/>
  <c r="I61" i="5"/>
  <c r="I62" i="5" s="1"/>
  <c r="I63" i="5" s="1"/>
  <c r="AB70" i="6"/>
  <c r="L70" i="5"/>
  <c r="AM70" i="5"/>
  <c r="I70" i="12"/>
  <c r="Z70" i="5"/>
  <c r="I148" i="12"/>
  <c r="L148" i="5"/>
  <c r="C148" i="6" s="1"/>
  <c r="AM148" i="5"/>
  <c r="Z148" i="5"/>
  <c r="AB148" i="6"/>
  <c r="AC148" i="5"/>
  <c r="AB80" i="6"/>
  <c r="I80" i="12"/>
  <c r="I80" i="5"/>
  <c r="I81" i="5" s="1"/>
  <c r="I82" i="5" s="1"/>
  <c r="I83" i="5" s="1"/>
  <c r="I84" i="5" s="1"/>
  <c r="I85" i="5" s="1"/>
  <c r="I86" i="5" s="1"/>
  <c r="Z80" i="5"/>
  <c r="L80" i="5"/>
  <c r="AM80" i="5"/>
  <c r="X79" i="5"/>
  <c r="L34" i="5"/>
  <c r="AM34" i="5"/>
  <c r="Z34" i="5"/>
  <c r="I34" i="12"/>
  <c r="AB34" i="6"/>
  <c r="AC34" i="5"/>
  <c r="AB150" i="6"/>
  <c r="Z150" i="5"/>
  <c r="AM150" i="5"/>
  <c r="L150" i="5"/>
  <c r="I150" i="12"/>
  <c r="I150" i="5"/>
  <c r="I151" i="5" s="1"/>
  <c r="I152" i="5" s="1"/>
  <c r="I153" i="5" s="1"/>
  <c r="I154" i="5" s="1"/>
  <c r="I155" i="5" s="1"/>
  <c r="I156" i="5" s="1"/>
  <c r="I157" i="5" s="1"/>
  <c r="I158" i="5" s="1"/>
  <c r="X149" i="5"/>
  <c r="AC150" i="5"/>
  <c r="Z84" i="5"/>
  <c r="AM84" i="5"/>
  <c r="L84" i="5"/>
  <c r="I84" i="12"/>
  <c r="AB84" i="6"/>
  <c r="I43" i="5"/>
  <c r="I44" i="5" s="1"/>
  <c r="AM43" i="5"/>
  <c r="X42" i="5"/>
  <c r="L43" i="5"/>
  <c r="AB43" i="6"/>
  <c r="Z43" i="5"/>
  <c r="I43" i="12"/>
  <c r="L101" i="5"/>
  <c r="I101" i="12"/>
  <c r="Z101" i="5"/>
  <c r="AB101" i="6"/>
  <c r="I101" i="5"/>
  <c r="I102" i="5" s="1"/>
  <c r="I103" i="5" s="1"/>
  <c r="X100" i="5"/>
  <c r="AM101" i="5"/>
  <c r="AC101" i="5"/>
  <c r="L38" i="5"/>
  <c r="I38" i="12"/>
  <c r="AM38" i="5"/>
  <c r="AB38" i="6"/>
  <c r="Z38" i="5"/>
  <c r="AC38" i="5"/>
  <c r="I154" i="12"/>
  <c r="AM154" i="5"/>
  <c r="Z154" i="5"/>
  <c r="L154" i="5"/>
  <c r="AB154" i="6"/>
  <c r="AC154" i="5"/>
  <c r="L186" i="5"/>
  <c r="I186" i="12"/>
  <c r="Z186" i="5"/>
  <c r="AM186" i="5"/>
  <c r="AB186" i="6"/>
  <c r="AC186" i="5"/>
  <c r="I48" i="12"/>
  <c r="Z48" i="5"/>
  <c r="L48" i="5"/>
  <c r="AM48" i="5"/>
  <c r="AB48" i="6"/>
  <c r="Z143" i="5"/>
  <c r="AM143" i="5"/>
  <c r="AB143" i="6"/>
  <c r="L143" i="5"/>
  <c r="I143" i="12"/>
  <c r="AC143" i="5"/>
  <c r="AB35" i="6"/>
  <c r="Z35" i="5"/>
  <c r="I35" i="12"/>
  <c r="L35" i="5"/>
  <c r="AM35" i="5"/>
  <c r="AC35" i="5"/>
  <c r="L125" i="5"/>
  <c r="I125" i="12"/>
  <c r="AB125" i="6"/>
  <c r="AM125" i="5"/>
  <c r="Z125" i="5"/>
  <c r="AC125" i="5"/>
  <c r="I102" i="12"/>
  <c r="AB102" i="6"/>
  <c r="Z102" i="5"/>
  <c r="L102" i="5"/>
  <c r="AM102" i="5"/>
  <c r="AC102" i="5"/>
  <c r="AM111" i="5"/>
  <c r="Z111" i="5"/>
  <c r="I111" i="12"/>
  <c r="L111" i="5"/>
  <c r="AB111" i="6"/>
  <c r="AC111" i="5"/>
  <c r="AM96" i="5"/>
  <c r="I96" i="12"/>
  <c r="AB96" i="6"/>
  <c r="L96" i="5"/>
  <c r="Z96" i="5"/>
  <c r="AB139" i="6"/>
  <c r="I139" i="12"/>
  <c r="AM139" i="5"/>
  <c r="Z139" i="5"/>
  <c r="L139" i="5"/>
  <c r="AC139" i="5"/>
  <c r="L30" i="5"/>
  <c r="I30" i="12"/>
  <c r="Z30" i="5"/>
  <c r="AB30" i="6"/>
  <c r="AM30" i="5"/>
  <c r="AC30" i="5"/>
  <c r="AM161" i="5"/>
  <c r="L161" i="5"/>
  <c r="Z161" i="5"/>
  <c r="I161" i="12"/>
  <c r="AB161" i="6"/>
  <c r="AC161" i="5"/>
  <c r="AM24" i="5"/>
  <c r="L24" i="5"/>
  <c r="I24" i="12"/>
  <c r="Z24" i="5"/>
  <c r="AB24" i="6"/>
  <c r="Z49" i="5"/>
  <c r="I49" i="12"/>
  <c r="AB49" i="6"/>
  <c r="L49" i="5"/>
  <c r="AM49" i="5"/>
  <c r="AC49" i="5"/>
  <c r="AM62" i="5"/>
  <c r="Z62" i="5"/>
  <c r="I62" i="12"/>
  <c r="L62" i="5"/>
  <c r="AB62" i="6"/>
  <c r="L155" i="5"/>
  <c r="AB155" i="6"/>
  <c r="Z155" i="5"/>
  <c r="I155" i="12"/>
  <c r="AM155" i="5"/>
  <c r="AB25" i="6"/>
  <c r="AM25" i="5"/>
  <c r="Z25" i="5"/>
  <c r="I25" i="12"/>
  <c r="L25" i="5"/>
  <c r="C25" i="6" s="1"/>
  <c r="Z85" i="5"/>
  <c r="AM85" i="5"/>
  <c r="I85" i="12"/>
  <c r="AB85" i="6"/>
  <c r="L85" i="5"/>
  <c r="X94" i="5"/>
  <c r="L95" i="5"/>
  <c r="I95" i="12"/>
  <c r="I95" i="5"/>
  <c r="I96" i="5" s="1"/>
  <c r="I97" i="5" s="1"/>
  <c r="I98" i="5" s="1"/>
  <c r="I99" i="5" s="1"/>
  <c r="AM95" i="5"/>
  <c r="AB95" i="6"/>
  <c r="Z95" i="5"/>
  <c r="AM172" i="5"/>
  <c r="L172" i="5"/>
  <c r="I172" i="12"/>
  <c r="I172" i="5"/>
  <c r="I173" i="5" s="1"/>
  <c r="I174" i="5" s="1"/>
  <c r="X171" i="5"/>
  <c r="Z172" i="5"/>
  <c r="AB172" i="6"/>
  <c r="I54" i="12"/>
  <c r="Z54" i="5"/>
  <c r="AB54" i="6"/>
  <c r="AM54" i="5"/>
  <c r="L54" i="5"/>
  <c r="AC54" i="5"/>
  <c r="Z117" i="5"/>
  <c r="AB117" i="6"/>
  <c r="I117" i="12"/>
  <c r="AM117" i="5"/>
  <c r="L117" i="5"/>
  <c r="AC117" i="5"/>
  <c r="L110" i="5"/>
  <c r="I110" i="12"/>
  <c r="AB110" i="6"/>
  <c r="AM110" i="5"/>
  <c r="Z110" i="5"/>
  <c r="AM126" i="5"/>
  <c r="Z126" i="5"/>
  <c r="I126" i="12"/>
  <c r="AB126" i="6"/>
  <c r="L126" i="5"/>
  <c r="L166" i="5"/>
  <c r="I166" i="12"/>
  <c r="AB166" i="6"/>
  <c r="Z166" i="5"/>
  <c r="AM166" i="5"/>
  <c r="AC166" i="5"/>
  <c r="AG132" i="5"/>
  <c r="AG18" i="5"/>
  <c r="AG67" i="5"/>
  <c r="AG27" i="5"/>
  <c r="AG64" i="5"/>
  <c r="O74" i="5" l="1"/>
  <c r="E74" i="6" s="1"/>
  <c r="O78" i="5"/>
  <c r="AB183" i="5"/>
  <c r="C183" i="6"/>
  <c r="O183" i="5"/>
  <c r="M183" i="12"/>
  <c r="C183" i="12"/>
  <c r="AO183" i="12"/>
  <c r="O183" i="12"/>
  <c r="O158" i="5"/>
  <c r="D158" i="12" s="1"/>
  <c r="AB166" i="5"/>
  <c r="AB126" i="5"/>
  <c r="C117" i="6"/>
  <c r="O117" i="5"/>
  <c r="AB172" i="5"/>
  <c r="AB25" i="5"/>
  <c r="M102" i="12"/>
  <c r="AO102" i="12"/>
  <c r="O102" i="12"/>
  <c r="C102" i="12"/>
  <c r="AB143" i="5"/>
  <c r="AB38" i="5"/>
  <c r="C101" i="6"/>
  <c r="O101" i="5"/>
  <c r="AB85" i="5"/>
  <c r="M155" i="12"/>
  <c r="AO155" i="12"/>
  <c r="C155" i="12"/>
  <c r="O155" i="12"/>
  <c r="O161" i="5"/>
  <c r="C161" i="6"/>
  <c r="O96" i="5"/>
  <c r="C96" i="6"/>
  <c r="O166" i="12"/>
  <c r="C166" i="12"/>
  <c r="M166" i="12"/>
  <c r="AO166" i="12"/>
  <c r="AB110" i="5"/>
  <c r="C110" i="6"/>
  <c r="O110" i="5"/>
  <c r="M117" i="12"/>
  <c r="C117" i="12"/>
  <c r="AO117" i="12"/>
  <c r="O117" i="12"/>
  <c r="C54" i="6"/>
  <c r="O54" i="5"/>
  <c r="C54" i="12"/>
  <c r="AO54" i="12"/>
  <c r="M54" i="12"/>
  <c r="O54" i="12"/>
  <c r="AB95" i="5"/>
  <c r="AO95" i="12"/>
  <c r="O95" i="12"/>
  <c r="M95" i="12"/>
  <c r="C95" i="12"/>
  <c r="AB155" i="5"/>
  <c r="O62" i="5"/>
  <c r="C62" i="6"/>
  <c r="M49" i="12"/>
  <c r="C49" i="12"/>
  <c r="AO49" i="12"/>
  <c r="O49" i="12"/>
  <c r="M24" i="12"/>
  <c r="AO24" i="12"/>
  <c r="O24" i="12"/>
  <c r="C24" i="12"/>
  <c r="AB30" i="5"/>
  <c r="O139" i="12"/>
  <c r="C139" i="12"/>
  <c r="AO139" i="12"/>
  <c r="M139" i="12"/>
  <c r="AB102" i="5"/>
  <c r="C125" i="12"/>
  <c r="AO125" i="12"/>
  <c r="O125" i="12"/>
  <c r="M125" i="12"/>
  <c r="O35" i="5"/>
  <c r="C35" i="6"/>
  <c r="AO186" i="12"/>
  <c r="O186" i="12"/>
  <c r="C186" i="12"/>
  <c r="M186" i="12"/>
  <c r="O154" i="12"/>
  <c r="AO154" i="12"/>
  <c r="M154" i="12"/>
  <c r="C154" i="12"/>
  <c r="AB101" i="5"/>
  <c r="AB43" i="5"/>
  <c r="O84" i="5"/>
  <c r="C84" i="6"/>
  <c r="Z149" i="5"/>
  <c r="AC149" i="5"/>
  <c r="AM149" i="5"/>
  <c r="R71" i="8"/>
  <c r="L149" i="5"/>
  <c r="I149" i="12"/>
  <c r="O34" i="5"/>
  <c r="C34" i="6"/>
  <c r="AB80" i="5"/>
  <c r="AO70" i="12"/>
  <c r="C70" i="12"/>
  <c r="O70" i="12"/>
  <c r="M70" i="12"/>
  <c r="M61" i="12"/>
  <c r="AO61" i="12"/>
  <c r="O61" i="12"/>
  <c r="C61" i="12"/>
  <c r="C157" i="6"/>
  <c r="O157" i="5"/>
  <c r="AO157" i="12"/>
  <c r="M157" i="12"/>
  <c r="O157" i="12"/>
  <c r="C157" i="12"/>
  <c r="AB77" i="5"/>
  <c r="Z68" i="5"/>
  <c r="AM68" i="5"/>
  <c r="R47" i="8"/>
  <c r="AC68" i="5"/>
  <c r="L68" i="5"/>
  <c r="I68" i="12"/>
  <c r="AB69" i="5"/>
  <c r="C86" i="12"/>
  <c r="O86" i="12"/>
  <c r="M86" i="12"/>
  <c r="AO86" i="12"/>
  <c r="O86" i="5"/>
  <c r="C86" i="6"/>
  <c r="AB114" i="5"/>
  <c r="AB47" i="5"/>
  <c r="C47" i="12"/>
  <c r="O47" i="12"/>
  <c r="AO47" i="12"/>
  <c r="M47" i="12"/>
  <c r="C107" i="6"/>
  <c r="O107" i="5"/>
  <c r="C153" i="6"/>
  <c r="O153" i="5"/>
  <c r="C129" i="12"/>
  <c r="AO129" i="12"/>
  <c r="O129" i="12"/>
  <c r="M129" i="12"/>
  <c r="C129" i="6"/>
  <c r="O129" i="5"/>
  <c r="AB131" i="5"/>
  <c r="AO178" i="12"/>
  <c r="C178" i="12"/>
  <c r="O178" i="12"/>
  <c r="M178" i="12"/>
  <c r="AO151" i="12"/>
  <c r="O151" i="12"/>
  <c r="M151" i="12"/>
  <c r="C151" i="12"/>
  <c r="C151" i="6"/>
  <c r="O151" i="5"/>
  <c r="AO121" i="12"/>
  <c r="C121" i="12"/>
  <c r="M121" i="12"/>
  <c r="O121" i="12"/>
  <c r="M91" i="12"/>
  <c r="O91" i="12"/>
  <c r="AO91" i="12"/>
  <c r="C91" i="12"/>
  <c r="AO146" i="12"/>
  <c r="C146" i="12"/>
  <c r="O146" i="12"/>
  <c r="M146" i="12"/>
  <c r="C113" i="6"/>
  <c r="O113" i="5"/>
  <c r="AB76" i="5"/>
  <c r="AO72" i="12"/>
  <c r="M72" i="12"/>
  <c r="O72" i="12"/>
  <c r="C72" i="12"/>
  <c r="M130" i="12"/>
  <c r="AO130" i="12"/>
  <c r="C130" i="12"/>
  <c r="O130" i="12"/>
  <c r="C130" i="6"/>
  <c r="O130" i="5"/>
  <c r="C55" i="12"/>
  <c r="O55" i="12"/>
  <c r="AO55" i="12"/>
  <c r="M55" i="12"/>
  <c r="AB116" i="5"/>
  <c r="C116" i="6"/>
  <c r="O116" i="5"/>
  <c r="AB147" i="5"/>
  <c r="M105" i="12"/>
  <c r="AO105" i="12"/>
  <c r="O105" i="12"/>
  <c r="C105" i="12"/>
  <c r="AB133" i="5"/>
  <c r="AB56" i="5"/>
  <c r="AB118" i="5"/>
  <c r="AB52" i="5"/>
  <c r="C52" i="6"/>
  <c r="O52" i="5"/>
  <c r="C89" i="6"/>
  <c r="R89" i="8"/>
  <c r="L188" i="5"/>
  <c r="AM188" i="5"/>
  <c r="I188" i="12"/>
  <c r="Z188" i="5"/>
  <c r="AC188" i="5"/>
  <c r="C174" i="6"/>
  <c r="O174" i="5"/>
  <c r="AB162" i="5"/>
  <c r="O57" i="5"/>
  <c r="C57" i="6"/>
  <c r="AB103" i="5"/>
  <c r="C135" i="6"/>
  <c r="AO160" i="12"/>
  <c r="O160" i="12"/>
  <c r="M160" i="12"/>
  <c r="C160" i="12"/>
  <c r="O33" i="5"/>
  <c r="C33" i="6"/>
  <c r="AB176" i="5"/>
  <c r="AM45" i="5"/>
  <c r="Z45" i="5"/>
  <c r="L45" i="5"/>
  <c r="I45" i="12"/>
  <c r="AC45" i="5"/>
  <c r="R32" i="8"/>
  <c r="C46" i="6"/>
  <c r="O46" i="5"/>
  <c r="AO122" i="12"/>
  <c r="O122" i="12"/>
  <c r="C122" i="12"/>
  <c r="M122" i="12"/>
  <c r="AB123" i="5"/>
  <c r="M65" i="12"/>
  <c r="O65" i="12"/>
  <c r="C65" i="12"/>
  <c r="AO65" i="12"/>
  <c r="AB44" i="5"/>
  <c r="AB23" i="5"/>
  <c r="AO191" i="12"/>
  <c r="M191" i="12"/>
  <c r="C191" i="12"/>
  <c r="O191" i="12"/>
  <c r="AO182" i="12"/>
  <c r="C182" i="12"/>
  <c r="M182" i="12"/>
  <c r="O182" i="12"/>
  <c r="M145" i="12"/>
  <c r="O145" i="12"/>
  <c r="C145" i="12"/>
  <c r="AO145" i="12"/>
  <c r="AB36" i="5"/>
  <c r="AB141" i="5"/>
  <c r="C137" i="12"/>
  <c r="M137" i="12"/>
  <c r="AO137" i="12"/>
  <c r="O137" i="12"/>
  <c r="O106" i="12"/>
  <c r="C106" i="12"/>
  <c r="AO106" i="12"/>
  <c r="M106" i="12"/>
  <c r="M109" i="12"/>
  <c r="AO109" i="12"/>
  <c r="O109" i="12"/>
  <c r="C109" i="12"/>
  <c r="M53" i="12"/>
  <c r="C53" i="12"/>
  <c r="AO53" i="12"/>
  <c r="O53" i="12"/>
  <c r="AB140" i="5"/>
  <c r="M112" i="12"/>
  <c r="O112" i="12"/>
  <c r="AO112" i="12"/>
  <c r="C112" i="12"/>
  <c r="M190" i="12"/>
  <c r="C190" i="12"/>
  <c r="O190" i="12"/>
  <c r="AO190" i="12"/>
  <c r="AB115" i="5"/>
  <c r="O63" i="12"/>
  <c r="C63" i="12"/>
  <c r="M63" i="12"/>
  <c r="AO63" i="12"/>
  <c r="O21" i="12"/>
  <c r="M21" i="12"/>
  <c r="C21" i="12"/>
  <c r="AO21" i="12"/>
  <c r="C170" i="6"/>
  <c r="O170" i="5"/>
  <c r="AB93" i="5"/>
  <c r="C138" i="6"/>
  <c r="C128" i="12"/>
  <c r="O128" i="12"/>
  <c r="AO128" i="12"/>
  <c r="M128" i="12"/>
  <c r="C19" i="6"/>
  <c r="C73" i="6"/>
  <c r="O73" i="5"/>
  <c r="C163" i="12"/>
  <c r="AO163" i="12"/>
  <c r="O163" i="12"/>
  <c r="M163" i="12"/>
  <c r="AB167" i="5"/>
  <c r="AB98" i="5"/>
  <c r="AB144" i="5"/>
  <c r="AM179" i="5"/>
  <c r="Z179" i="5"/>
  <c r="AC179" i="5"/>
  <c r="L179" i="5"/>
  <c r="I179" i="12"/>
  <c r="R83" i="8"/>
  <c r="AB180" i="5"/>
  <c r="C136" i="6"/>
  <c r="C168" i="6"/>
  <c r="O168" i="5"/>
  <c r="O99" i="12"/>
  <c r="AO99" i="12"/>
  <c r="C99" i="12"/>
  <c r="M99" i="12"/>
  <c r="O29" i="12"/>
  <c r="AO29" i="12"/>
  <c r="M29" i="12"/>
  <c r="C29" i="12"/>
  <c r="I28" i="12"/>
  <c r="AC28" i="5"/>
  <c r="Z28" i="5"/>
  <c r="R23" i="8"/>
  <c r="L28" i="5"/>
  <c r="AM28" i="5"/>
  <c r="AB117" i="5"/>
  <c r="O172" i="5"/>
  <c r="C172" i="6"/>
  <c r="AB62" i="5"/>
  <c r="AB48" i="5"/>
  <c r="AB154" i="5"/>
  <c r="O43" i="5"/>
  <c r="C43" i="6"/>
  <c r="C126" i="6"/>
  <c r="O126" i="5"/>
  <c r="AO110" i="12"/>
  <c r="O110" i="12"/>
  <c r="C110" i="12"/>
  <c r="M110" i="12"/>
  <c r="AM171" i="5"/>
  <c r="AC171" i="5"/>
  <c r="L171" i="5"/>
  <c r="Z171" i="5"/>
  <c r="R77" i="8"/>
  <c r="I171" i="12"/>
  <c r="C85" i="6"/>
  <c r="O85" i="5"/>
  <c r="O166" i="5"/>
  <c r="C166" i="6"/>
  <c r="O126" i="12"/>
  <c r="AO126" i="12"/>
  <c r="C126" i="12"/>
  <c r="M126" i="12"/>
  <c r="AO172" i="12"/>
  <c r="O172" i="12"/>
  <c r="M172" i="12"/>
  <c r="C172" i="12"/>
  <c r="O95" i="5"/>
  <c r="C95" i="6"/>
  <c r="O85" i="12"/>
  <c r="M85" i="12"/>
  <c r="C85" i="12"/>
  <c r="AO85" i="12"/>
  <c r="AO25" i="12"/>
  <c r="O25" i="12"/>
  <c r="C25" i="12"/>
  <c r="M25" i="12"/>
  <c r="M62" i="12"/>
  <c r="O62" i="12"/>
  <c r="AO62" i="12"/>
  <c r="C62" i="12"/>
  <c r="AB49" i="5"/>
  <c r="C24" i="6"/>
  <c r="M161" i="12"/>
  <c r="C161" i="12"/>
  <c r="O161" i="12"/>
  <c r="AO161" i="12"/>
  <c r="AO30" i="12"/>
  <c r="M30" i="12"/>
  <c r="O30" i="12"/>
  <c r="C30" i="12"/>
  <c r="C139" i="6"/>
  <c r="M96" i="12"/>
  <c r="O96" i="12"/>
  <c r="AO96" i="12"/>
  <c r="C96" i="12"/>
  <c r="C111" i="6"/>
  <c r="O111" i="5"/>
  <c r="AB125" i="5"/>
  <c r="C125" i="6"/>
  <c r="O125" i="5"/>
  <c r="C35" i="12"/>
  <c r="M35" i="12"/>
  <c r="O35" i="12"/>
  <c r="AO35" i="12"/>
  <c r="C48" i="6"/>
  <c r="O48" i="5"/>
  <c r="C186" i="6"/>
  <c r="O186" i="5"/>
  <c r="C154" i="6"/>
  <c r="O154" i="5"/>
  <c r="C38" i="12"/>
  <c r="M38" i="12"/>
  <c r="O38" i="12"/>
  <c r="AO38" i="12"/>
  <c r="AM100" i="5"/>
  <c r="Z100" i="5"/>
  <c r="R62" i="8"/>
  <c r="L100" i="5"/>
  <c r="I100" i="12"/>
  <c r="AC100" i="5"/>
  <c r="O101" i="12"/>
  <c r="AO101" i="12"/>
  <c r="M101" i="12"/>
  <c r="C101" i="12"/>
  <c r="AB150" i="5"/>
  <c r="AO34" i="12"/>
  <c r="C34" i="12"/>
  <c r="M34" i="12"/>
  <c r="O34" i="12"/>
  <c r="AM79" i="5"/>
  <c r="AC79" i="5"/>
  <c r="R53" i="8"/>
  <c r="Z79" i="5"/>
  <c r="L79" i="5"/>
  <c r="I79" i="12"/>
  <c r="M77" i="12"/>
  <c r="AO77" i="12"/>
  <c r="O77" i="12"/>
  <c r="C77" i="12"/>
  <c r="C69" i="12"/>
  <c r="O69" i="12"/>
  <c r="AO69" i="12"/>
  <c r="M69" i="12"/>
  <c r="AB165" i="5"/>
  <c r="AB71" i="5"/>
  <c r="AO107" i="12"/>
  <c r="C107" i="12"/>
  <c r="O107" i="12"/>
  <c r="M107" i="12"/>
  <c r="AB153" i="5"/>
  <c r="C169" i="6"/>
  <c r="O169" i="5"/>
  <c r="O164" i="12"/>
  <c r="C164" i="12"/>
  <c r="M164" i="12"/>
  <c r="AO164" i="12"/>
  <c r="AB151" i="5"/>
  <c r="O41" i="5"/>
  <c r="C41" i="6"/>
  <c r="C121" i="6"/>
  <c r="O121" i="5"/>
  <c r="AB50" i="5"/>
  <c r="C91" i="6"/>
  <c r="C146" i="6"/>
  <c r="M113" i="12"/>
  <c r="C113" i="12"/>
  <c r="AO113" i="12"/>
  <c r="O113" i="12"/>
  <c r="AB113" i="5"/>
  <c r="C76" i="6"/>
  <c r="O76" i="5"/>
  <c r="C72" i="6"/>
  <c r="O72" i="5"/>
  <c r="AB55" i="5"/>
  <c r="O116" i="12"/>
  <c r="M116" i="12"/>
  <c r="C116" i="12"/>
  <c r="AO116" i="12"/>
  <c r="C39" i="6"/>
  <c r="O39" i="5"/>
  <c r="AO39" i="12"/>
  <c r="C39" i="12"/>
  <c r="M39" i="12"/>
  <c r="O39" i="12"/>
  <c r="L104" i="5"/>
  <c r="R65" i="8"/>
  <c r="I104" i="12"/>
  <c r="AM104" i="5"/>
  <c r="Z104" i="5"/>
  <c r="AC104" i="5"/>
  <c r="M133" i="12"/>
  <c r="AO133" i="12"/>
  <c r="O133" i="12"/>
  <c r="C133" i="12"/>
  <c r="C56" i="12"/>
  <c r="M56" i="12"/>
  <c r="AO56" i="12"/>
  <c r="O56" i="12"/>
  <c r="AO52" i="12"/>
  <c r="O52" i="12"/>
  <c r="M52" i="12"/>
  <c r="C52" i="12"/>
  <c r="AB89" i="5"/>
  <c r="O174" i="12"/>
  <c r="C174" i="12"/>
  <c r="M174" i="12"/>
  <c r="AO174" i="12"/>
  <c r="O92" i="12"/>
  <c r="C92" i="12"/>
  <c r="AO92" i="12"/>
  <c r="M92" i="12"/>
  <c r="AC31" i="5"/>
  <c r="AM31" i="5"/>
  <c r="Z31" i="5"/>
  <c r="I31" i="12"/>
  <c r="L31" i="5"/>
  <c r="R26" i="8"/>
  <c r="AB32" i="5"/>
  <c r="AO162" i="12"/>
  <c r="M162" i="12"/>
  <c r="O162" i="12"/>
  <c r="C162" i="12"/>
  <c r="C173" i="12"/>
  <c r="M173" i="12"/>
  <c r="O173" i="12"/>
  <c r="AO173" i="12"/>
  <c r="C22" i="6"/>
  <c r="O103" i="5"/>
  <c r="C103" i="6"/>
  <c r="AB124" i="5"/>
  <c r="AO119" i="12"/>
  <c r="C119" i="12"/>
  <c r="M119" i="12"/>
  <c r="O119" i="12"/>
  <c r="I159" i="12"/>
  <c r="R74" i="8"/>
  <c r="Z159" i="5"/>
  <c r="AM159" i="5"/>
  <c r="L159" i="5"/>
  <c r="AC159" i="5"/>
  <c r="M156" i="12"/>
  <c r="O156" i="12"/>
  <c r="C156" i="12"/>
  <c r="AO156" i="12"/>
  <c r="C142" i="12"/>
  <c r="O142" i="12"/>
  <c r="M142" i="12"/>
  <c r="AO142" i="12"/>
  <c r="O181" i="5"/>
  <c r="C181" i="6"/>
  <c r="L175" i="5"/>
  <c r="I175" i="12"/>
  <c r="AM175" i="5"/>
  <c r="AC175" i="5"/>
  <c r="Z175" i="5"/>
  <c r="R80" i="8"/>
  <c r="C176" i="6"/>
  <c r="O176" i="5"/>
  <c r="M46" i="12"/>
  <c r="C46" i="12"/>
  <c r="AO46" i="12"/>
  <c r="O46" i="12"/>
  <c r="AB185" i="5"/>
  <c r="L184" i="5"/>
  <c r="AC184" i="5"/>
  <c r="I184" i="12"/>
  <c r="Z184" i="5"/>
  <c r="R86" i="8"/>
  <c r="AM184" i="5"/>
  <c r="M123" i="12"/>
  <c r="AO123" i="12"/>
  <c r="O123" i="12"/>
  <c r="C123" i="12"/>
  <c r="AB59" i="5"/>
  <c r="AB58" i="5" s="1"/>
  <c r="AO81" i="12"/>
  <c r="C81" i="12"/>
  <c r="M81" i="12"/>
  <c r="O81" i="12"/>
  <c r="AO134" i="12"/>
  <c r="M134" i="12"/>
  <c r="O134" i="12"/>
  <c r="C134" i="12"/>
  <c r="O44" i="12"/>
  <c r="AO44" i="12"/>
  <c r="C44" i="12"/>
  <c r="M44" i="12"/>
  <c r="C191" i="6"/>
  <c r="O191" i="5"/>
  <c r="O36" i="5"/>
  <c r="C36" i="6"/>
  <c r="AB137" i="5"/>
  <c r="C127" i="12"/>
  <c r="O127" i="12"/>
  <c r="M127" i="12"/>
  <c r="AO127" i="12"/>
  <c r="C152" i="6"/>
  <c r="O152" i="5"/>
  <c r="C152" i="12"/>
  <c r="M152" i="12"/>
  <c r="O152" i="12"/>
  <c r="AO152" i="12"/>
  <c r="AO187" i="12"/>
  <c r="O187" i="12"/>
  <c r="M187" i="12"/>
  <c r="C187" i="12"/>
  <c r="M82" i="12"/>
  <c r="O82" i="12"/>
  <c r="AO82" i="12"/>
  <c r="C82" i="12"/>
  <c r="AB112" i="5"/>
  <c r="AB190" i="5"/>
  <c r="AO115" i="12"/>
  <c r="C115" i="12"/>
  <c r="M115" i="12"/>
  <c r="O115" i="12"/>
  <c r="C115" i="6"/>
  <c r="O115" i="5"/>
  <c r="AB63" i="5"/>
  <c r="AB74" i="5"/>
  <c r="AB21" i="5"/>
  <c r="O83" i="5"/>
  <c r="C83" i="6"/>
  <c r="AO170" i="12"/>
  <c r="C170" i="12"/>
  <c r="O170" i="12"/>
  <c r="M170" i="12"/>
  <c r="C93" i="6"/>
  <c r="M37" i="12"/>
  <c r="O37" i="12"/>
  <c r="AO37" i="12"/>
  <c r="C37" i="12"/>
  <c r="O177" i="5"/>
  <c r="C177" i="6"/>
  <c r="M19" i="12"/>
  <c r="C19" i="12"/>
  <c r="O19" i="12"/>
  <c r="AO19" i="12"/>
  <c r="AB73" i="5"/>
  <c r="AB163" i="5"/>
  <c r="M167" i="12"/>
  <c r="O167" i="12"/>
  <c r="AO167" i="12"/>
  <c r="C167" i="12"/>
  <c r="C167" i="6"/>
  <c r="O167" i="5"/>
  <c r="C98" i="12"/>
  <c r="O98" i="12"/>
  <c r="AO98" i="12"/>
  <c r="M98" i="12"/>
  <c r="C144" i="6"/>
  <c r="O180" i="5"/>
  <c r="C180" i="6"/>
  <c r="AB120" i="5"/>
  <c r="O136" i="12"/>
  <c r="C136" i="12"/>
  <c r="M136" i="12"/>
  <c r="AO136" i="12"/>
  <c r="AB168" i="5"/>
  <c r="C90" i="6"/>
  <c r="O99" i="5"/>
  <c r="C99" i="6"/>
  <c r="AB29" i="5"/>
  <c r="AB28" i="5" s="1"/>
  <c r="L94" i="5"/>
  <c r="AM94" i="5"/>
  <c r="Z94" i="5"/>
  <c r="I94" i="12"/>
  <c r="R59" i="8"/>
  <c r="AC94" i="5"/>
  <c r="C155" i="6"/>
  <c r="O155" i="5"/>
  <c r="C49" i="6"/>
  <c r="O49" i="5"/>
  <c r="AB161" i="5"/>
  <c r="C30" i="6"/>
  <c r="O30" i="5"/>
  <c r="AB96" i="5"/>
  <c r="O111" i="12"/>
  <c r="AO111" i="12"/>
  <c r="C111" i="12"/>
  <c r="M111" i="12"/>
  <c r="AB35" i="5"/>
  <c r="AO143" i="12"/>
  <c r="M143" i="12"/>
  <c r="C143" i="12"/>
  <c r="O143" i="12"/>
  <c r="O38" i="5"/>
  <c r="C38" i="6"/>
  <c r="AB34" i="5"/>
  <c r="C80" i="12"/>
  <c r="AO80" i="12"/>
  <c r="M80" i="12"/>
  <c r="O80" i="12"/>
  <c r="O148" i="12"/>
  <c r="M148" i="12"/>
  <c r="C148" i="12"/>
  <c r="AO148" i="12"/>
  <c r="O70" i="5"/>
  <c r="C70" i="6"/>
  <c r="AB61" i="5"/>
  <c r="AO158" i="12"/>
  <c r="M158" i="12"/>
  <c r="C158" i="12"/>
  <c r="O158" i="12"/>
  <c r="AB157" i="5"/>
  <c r="O77" i="5"/>
  <c r="C77" i="6"/>
  <c r="O165" i="5"/>
  <c r="C165" i="6"/>
  <c r="AB86" i="5"/>
  <c r="O71" i="5"/>
  <c r="C71" i="6"/>
  <c r="O71" i="12"/>
  <c r="AO71" i="12"/>
  <c r="C71" i="12"/>
  <c r="M71" i="12"/>
  <c r="C114" i="6"/>
  <c r="O114" i="5"/>
  <c r="C153" i="12"/>
  <c r="O153" i="12"/>
  <c r="M153" i="12"/>
  <c r="AO153" i="12"/>
  <c r="AO169" i="12"/>
  <c r="M169" i="12"/>
  <c r="O169" i="12"/>
  <c r="C169" i="12"/>
  <c r="AB178" i="5"/>
  <c r="C164" i="6"/>
  <c r="O164" i="5"/>
  <c r="AO41" i="12"/>
  <c r="C41" i="12"/>
  <c r="M41" i="12"/>
  <c r="O41" i="12"/>
  <c r="O50" i="5"/>
  <c r="C50" i="6"/>
  <c r="AB91" i="5"/>
  <c r="AB146" i="5"/>
  <c r="D78" i="12"/>
  <c r="E78" i="6"/>
  <c r="L75" i="5"/>
  <c r="R50" i="8"/>
  <c r="AM75" i="5"/>
  <c r="I75" i="12"/>
  <c r="AC75" i="5"/>
  <c r="Z75" i="5"/>
  <c r="AB72" i="5"/>
  <c r="AB130" i="5"/>
  <c r="C55" i="6"/>
  <c r="O55" i="5"/>
  <c r="C147" i="6"/>
  <c r="AB39" i="5"/>
  <c r="C118" i="6"/>
  <c r="O118" i="5"/>
  <c r="AM51" i="5"/>
  <c r="R35" i="8"/>
  <c r="Z51" i="5"/>
  <c r="AC51" i="5"/>
  <c r="I51" i="12"/>
  <c r="L51" i="5"/>
  <c r="C89" i="12"/>
  <c r="O89" i="12"/>
  <c r="AO89" i="12"/>
  <c r="M89" i="12"/>
  <c r="C189" i="6"/>
  <c r="O189" i="5"/>
  <c r="O189" i="12"/>
  <c r="M189" i="12"/>
  <c r="AO189" i="12"/>
  <c r="C189" i="12"/>
  <c r="AB174" i="5"/>
  <c r="AB92" i="5"/>
  <c r="C40" i="6"/>
  <c r="O40" i="5"/>
  <c r="O32" i="5"/>
  <c r="C32" i="6"/>
  <c r="O162" i="5"/>
  <c r="C162" i="6"/>
  <c r="AB173" i="5"/>
  <c r="AB57" i="5"/>
  <c r="AO22" i="12"/>
  <c r="M22" i="12"/>
  <c r="O22" i="12"/>
  <c r="C22" i="12"/>
  <c r="C103" i="12"/>
  <c r="AO103" i="12"/>
  <c r="M103" i="12"/>
  <c r="O103" i="12"/>
  <c r="M124" i="12"/>
  <c r="O124" i="12"/>
  <c r="AO124" i="12"/>
  <c r="C124" i="12"/>
  <c r="AB119" i="5"/>
  <c r="AB135" i="5"/>
  <c r="AO33" i="12"/>
  <c r="C33" i="12"/>
  <c r="O33" i="12"/>
  <c r="M33" i="12"/>
  <c r="C142" i="6"/>
  <c r="AB181" i="5"/>
  <c r="AB46" i="5"/>
  <c r="AB97" i="5"/>
  <c r="AB122" i="5"/>
  <c r="C122" i="6"/>
  <c r="O122" i="5"/>
  <c r="L58" i="5"/>
  <c r="I58" i="12"/>
  <c r="AC58" i="5"/>
  <c r="Z58" i="5"/>
  <c r="AM58" i="5"/>
  <c r="R38" i="8"/>
  <c r="AB65" i="5"/>
  <c r="O81" i="5"/>
  <c r="C81" i="6"/>
  <c r="C134" i="6"/>
  <c r="AB134" i="5"/>
  <c r="C23" i="6"/>
  <c r="AB182" i="5"/>
  <c r="C145" i="6"/>
  <c r="C141" i="6"/>
  <c r="C137" i="6"/>
  <c r="C127" i="6"/>
  <c r="O127" i="5"/>
  <c r="C106" i="6"/>
  <c r="O106" i="5"/>
  <c r="D120" i="12"/>
  <c r="E120" i="6"/>
  <c r="AB187" i="5"/>
  <c r="C82" i="6"/>
  <c r="O82" i="5"/>
  <c r="AB53" i="5"/>
  <c r="AO140" i="12"/>
  <c r="O140" i="12"/>
  <c r="M140" i="12"/>
  <c r="C140" i="12"/>
  <c r="C140" i="6"/>
  <c r="C112" i="6"/>
  <c r="O112" i="5"/>
  <c r="M78" i="12"/>
  <c r="AO78" i="12"/>
  <c r="C78" i="12"/>
  <c r="O78" i="12"/>
  <c r="C74" i="12"/>
  <c r="M74" i="12"/>
  <c r="O74" i="12"/>
  <c r="AO74" i="12"/>
  <c r="AB83" i="5"/>
  <c r="O138" i="12"/>
  <c r="C138" i="12"/>
  <c r="AO138" i="12"/>
  <c r="M138" i="12"/>
  <c r="AB128" i="5"/>
  <c r="C37" i="6"/>
  <c r="O37" i="5"/>
  <c r="AB177" i="5"/>
  <c r="AB19" i="5"/>
  <c r="M73" i="12"/>
  <c r="C73" i="12"/>
  <c r="O73" i="12"/>
  <c r="AO73" i="12"/>
  <c r="C163" i="6"/>
  <c r="O163" i="5"/>
  <c r="M144" i="12"/>
  <c r="AO144" i="12"/>
  <c r="O144" i="12"/>
  <c r="C144" i="12"/>
  <c r="C180" i="12"/>
  <c r="M180" i="12"/>
  <c r="O180" i="12"/>
  <c r="AO180" i="12"/>
  <c r="M120" i="12"/>
  <c r="AO120" i="12"/>
  <c r="O120" i="12"/>
  <c r="C120" i="12"/>
  <c r="AB90" i="5"/>
  <c r="AB99" i="5"/>
  <c r="C29" i="6"/>
  <c r="O29" i="5"/>
  <c r="AB139" i="5"/>
  <c r="AB84" i="5"/>
  <c r="M150" i="12"/>
  <c r="AO150" i="12"/>
  <c r="C150" i="12"/>
  <c r="O150" i="12"/>
  <c r="AB54" i="5"/>
  <c r="AB24" i="5"/>
  <c r="AB111" i="5"/>
  <c r="C102" i="6"/>
  <c r="O102" i="5"/>
  <c r="C143" i="6"/>
  <c r="AO48" i="12"/>
  <c r="M48" i="12"/>
  <c r="C48" i="12"/>
  <c r="O48" i="12"/>
  <c r="AB186" i="5"/>
  <c r="AO43" i="12"/>
  <c r="O43" i="12"/>
  <c r="M43" i="12"/>
  <c r="C43" i="12"/>
  <c r="R29" i="8"/>
  <c r="L42" i="5"/>
  <c r="AC42" i="5"/>
  <c r="Z42" i="5"/>
  <c r="I42" i="12"/>
  <c r="AM42" i="5"/>
  <c r="O84" i="12"/>
  <c r="C84" i="12"/>
  <c r="M84" i="12"/>
  <c r="AO84" i="12"/>
  <c r="O150" i="5"/>
  <c r="C150" i="6"/>
  <c r="C80" i="6"/>
  <c r="O80" i="5"/>
  <c r="AB148" i="5"/>
  <c r="AB70" i="5"/>
  <c r="C61" i="6"/>
  <c r="O61" i="5"/>
  <c r="AB158" i="5"/>
  <c r="O69" i="5"/>
  <c r="C69" i="6"/>
  <c r="AO165" i="12"/>
  <c r="C165" i="12"/>
  <c r="O165" i="12"/>
  <c r="M165" i="12"/>
  <c r="O114" i="12"/>
  <c r="C114" i="12"/>
  <c r="M114" i="12"/>
  <c r="AO114" i="12"/>
  <c r="O47" i="5"/>
  <c r="C47" i="6"/>
  <c r="AB107" i="5"/>
  <c r="AB129" i="5"/>
  <c r="C131" i="6"/>
  <c r="O131" i="5"/>
  <c r="O131" i="12"/>
  <c r="C131" i="12"/>
  <c r="AO131" i="12"/>
  <c r="M131" i="12"/>
  <c r="AB169" i="5"/>
  <c r="C178" i="6"/>
  <c r="O178" i="5"/>
  <c r="AB164" i="5"/>
  <c r="AB41" i="5"/>
  <c r="AB121" i="5"/>
  <c r="M50" i="12"/>
  <c r="AO50" i="12"/>
  <c r="O50" i="12"/>
  <c r="C50" i="12"/>
  <c r="C76" i="12"/>
  <c r="M76" i="12"/>
  <c r="AO76" i="12"/>
  <c r="O76" i="12"/>
  <c r="AO147" i="12"/>
  <c r="C147" i="12"/>
  <c r="M147" i="12"/>
  <c r="O147" i="12"/>
  <c r="O105" i="5"/>
  <c r="C105" i="6"/>
  <c r="AB105" i="5"/>
  <c r="C133" i="6"/>
  <c r="C56" i="6"/>
  <c r="O56" i="5"/>
  <c r="C118" i="12"/>
  <c r="AO118" i="12"/>
  <c r="O118" i="12"/>
  <c r="M118" i="12"/>
  <c r="AB189" i="5"/>
  <c r="AB40" i="5"/>
  <c r="C40" i="12"/>
  <c r="M40" i="12"/>
  <c r="AO40" i="12"/>
  <c r="O40" i="12"/>
  <c r="O32" i="12"/>
  <c r="C32" i="12"/>
  <c r="M32" i="12"/>
  <c r="AO32" i="12"/>
  <c r="C173" i="6"/>
  <c r="O173" i="5"/>
  <c r="C57" i="12"/>
  <c r="M57" i="12"/>
  <c r="O57" i="12"/>
  <c r="AO57" i="12"/>
  <c r="AB22" i="5"/>
  <c r="C124" i="6"/>
  <c r="O124" i="5"/>
  <c r="C119" i="6"/>
  <c r="O119" i="5"/>
  <c r="C135" i="12"/>
  <c r="M135" i="12"/>
  <c r="AO135" i="12"/>
  <c r="O135" i="12"/>
  <c r="O160" i="5"/>
  <c r="C160" i="6"/>
  <c r="AB160" i="5"/>
  <c r="AB33" i="5"/>
  <c r="AB156" i="5"/>
  <c r="C156" i="6"/>
  <c r="O156" i="5"/>
  <c r="AB142" i="5"/>
  <c r="AO181" i="12"/>
  <c r="M181" i="12"/>
  <c r="O181" i="12"/>
  <c r="C181" i="12"/>
  <c r="C176" i="12"/>
  <c r="AO176" i="12"/>
  <c r="O176" i="12"/>
  <c r="M176" i="12"/>
  <c r="C97" i="6"/>
  <c r="O97" i="5"/>
  <c r="AO97" i="12"/>
  <c r="M97" i="12"/>
  <c r="C97" i="12"/>
  <c r="O97" i="12"/>
  <c r="O185" i="5"/>
  <c r="C185" i="6"/>
  <c r="C185" i="12"/>
  <c r="O185" i="12"/>
  <c r="M185" i="12"/>
  <c r="AO185" i="12"/>
  <c r="C123" i="6"/>
  <c r="O123" i="5"/>
  <c r="C59" i="6"/>
  <c r="O59" i="5"/>
  <c r="C59" i="12"/>
  <c r="AO59" i="12"/>
  <c r="M59" i="12"/>
  <c r="M58" i="12" s="1"/>
  <c r="O59" i="12"/>
  <c r="C65" i="6"/>
  <c r="AB81" i="5"/>
  <c r="C44" i="6"/>
  <c r="O44" i="5"/>
  <c r="O23" i="12"/>
  <c r="AO23" i="12"/>
  <c r="M23" i="12"/>
  <c r="C23" i="12"/>
  <c r="AB191" i="5"/>
  <c r="C182" i="6"/>
  <c r="O182" i="5"/>
  <c r="AB145" i="5"/>
  <c r="C36" i="12"/>
  <c r="O36" i="12"/>
  <c r="M36" i="12"/>
  <c r="AO36" i="12"/>
  <c r="O141" i="12"/>
  <c r="C141" i="12"/>
  <c r="AO141" i="12"/>
  <c r="M141" i="12"/>
  <c r="AB127" i="5"/>
  <c r="AB152" i="5"/>
  <c r="AB106" i="5"/>
  <c r="AB109" i="5"/>
  <c r="C109" i="6"/>
  <c r="O109" i="5"/>
  <c r="O187" i="5"/>
  <c r="C187" i="6"/>
  <c r="AB82" i="5"/>
  <c r="C53" i="6"/>
  <c r="O53" i="5"/>
  <c r="O190" i="5"/>
  <c r="C190" i="6"/>
  <c r="AB78" i="5"/>
  <c r="C63" i="6"/>
  <c r="O63" i="5"/>
  <c r="C21" i="6"/>
  <c r="M83" i="12"/>
  <c r="AO83" i="12"/>
  <c r="O83" i="12"/>
  <c r="C83" i="12"/>
  <c r="AB170" i="5"/>
  <c r="O93" i="12"/>
  <c r="C93" i="12"/>
  <c r="AO93" i="12"/>
  <c r="M93" i="12"/>
  <c r="AB138" i="5"/>
  <c r="C128" i="6"/>
  <c r="O128" i="5"/>
  <c r="AB37" i="5"/>
  <c r="O177" i="12"/>
  <c r="M177" i="12"/>
  <c r="C177" i="12"/>
  <c r="AO177" i="12"/>
  <c r="C98" i="6"/>
  <c r="O98" i="5"/>
  <c r="AB136" i="5"/>
  <c r="AO168" i="12"/>
  <c r="O168" i="12"/>
  <c r="M168" i="12"/>
  <c r="C168" i="12"/>
  <c r="C90" i="12"/>
  <c r="AO90" i="12"/>
  <c r="M90" i="12"/>
  <c r="O90" i="12"/>
  <c r="W20" i="5"/>
  <c r="X20" i="5" s="1"/>
  <c r="AN20" i="5"/>
  <c r="D74" i="12" l="1"/>
  <c r="M188" i="12"/>
  <c r="C23" i="8"/>
  <c r="M184" i="12"/>
  <c r="N183" i="12"/>
  <c r="E158" i="6"/>
  <c r="M149" i="12"/>
  <c r="AB45" i="5"/>
  <c r="C32" i="8" s="1"/>
  <c r="Y183" i="12"/>
  <c r="W183" i="12" s="1"/>
  <c r="N54" i="12"/>
  <c r="E183" i="6"/>
  <c r="D183" i="12"/>
  <c r="X183" i="12"/>
  <c r="Y116" i="12"/>
  <c r="X116" i="12" s="1"/>
  <c r="Y155" i="12"/>
  <c r="Y117" i="12"/>
  <c r="N140" i="12"/>
  <c r="Y49" i="12"/>
  <c r="W49" i="12" s="1"/>
  <c r="Y23" i="12"/>
  <c r="X23" i="12" s="1"/>
  <c r="Y74" i="12"/>
  <c r="N30" i="12"/>
  <c r="Y182" i="12"/>
  <c r="X182" i="12" s="1"/>
  <c r="N129" i="12"/>
  <c r="Y70" i="12"/>
  <c r="N168" i="12"/>
  <c r="N177" i="12"/>
  <c r="Y83" i="12"/>
  <c r="X83" i="12" s="1"/>
  <c r="Y169" i="12"/>
  <c r="Y143" i="12"/>
  <c r="Y111" i="12"/>
  <c r="X111" i="12" s="1"/>
  <c r="Y167" i="12"/>
  <c r="X167" i="12" s="1"/>
  <c r="Y37" i="12"/>
  <c r="Y187" i="12"/>
  <c r="N81" i="12"/>
  <c r="Y173" i="12"/>
  <c r="N77" i="12"/>
  <c r="Y34" i="12"/>
  <c r="Y38" i="12"/>
  <c r="X38" i="12" s="1"/>
  <c r="N110" i="12"/>
  <c r="Y122" i="12"/>
  <c r="N102" i="12"/>
  <c r="N90" i="12"/>
  <c r="Y93" i="12"/>
  <c r="X93" i="12" s="1"/>
  <c r="N141" i="12"/>
  <c r="N57" i="12"/>
  <c r="Y147" i="12"/>
  <c r="W147" i="12" s="1"/>
  <c r="Y131" i="12"/>
  <c r="X131" i="12" s="1"/>
  <c r="N41" i="12"/>
  <c r="Y158" i="12"/>
  <c r="Y98" i="12"/>
  <c r="W98" i="12" s="1"/>
  <c r="Y115" i="12"/>
  <c r="X115" i="12" s="1"/>
  <c r="Y142" i="12"/>
  <c r="Y156" i="12"/>
  <c r="N92" i="12"/>
  <c r="N39" i="12"/>
  <c r="N65" i="12"/>
  <c r="Y91" i="12"/>
  <c r="Y86" i="12"/>
  <c r="X86" i="12" s="1"/>
  <c r="N24" i="12"/>
  <c r="Y47" i="12"/>
  <c r="N157" i="12"/>
  <c r="N139" i="12"/>
  <c r="Y168" i="12"/>
  <c r="N36" i="12"/>
  <c r="Y50" i="12"/>
  <c r="W50" i="12" s="1"/>
  <c r="N84" i="12"/>
  <c r="M42" i="12"/>
  <c r="N48" i="12"/>
  <c r="Y138" i="12"/>
  <c r="Y33" i="12"/>
  <c r="X33" i="12" s="1"/>
  <c r="Y153" i="12"/>
  <c r="W153" i="12" s="1"/>
  <c r="N143" i="12"/>
  <c r="Y152" i="12"/>
  <c r="Y56" i="12"/>
  <c r="X56" i="12" s="1"/>
  <c r="N133" i="12"/>
  <c r="Y39" i="12"/>
  <c r="N34" i="12"/>
  <c r="N161" i="12"/>
  <c r="Y106" i="12"/>
  <c r="X106" i="12" s="1"/>
  <c r="Y137" i="12"/>
  <c r="Y102" i="12"/>
  <c r="N19" i="12"/>
  <c r="N123" i="12"/>
  <c r="N174" i="12"/>
  <c r="N113" i="12"/>
  <c r="Y164" i="12"/>
  <c r="X164" i="12" s="1"/>
  <c r="N107" i="12"/>
  <c r="Y85" i="12"/>
  <c r="X85" i="12" s="1"/>
  <c r="Y36" i="12"/>
  <c r="Y181" i="12"/>
  <c r="W181" i="12" s="1"/>
  <c r="N40" i="12"/>
  <c r="Y118" i="12"/>
  <c r="W118" i="12" s="1"/>
  <c r="N147" i="12"/>
  <c r="Y114" i="12"/>
  <c r="X114" i="12" s="1"/>
  <c r="Y120" i="12"/>
  <c r="W120" i="12" s="1"/>
  <c r="Y144" i="12"/>
  <c r="W144" i="12" s="1"/>
  <c r="Y140" i="12"/>
  <c r="Y22" i="12"/>
  <c r="W22" i="12" s="1"/>
  <c r="N153" i="12"/>
  <c r="N158" i="12"/>
  <c r="N115" i="12"/>
  <c r="N187" i="12"/>
  <c r="N44" i="12"/>
  <c r="Y134" i="12"/>
  <c r="Y81" i="12"/>
  <c r="Y119" i="12"/>
  <c r="W119" i="12" s="1"/>
  <c r="Y162" i="12"/>
  <c r="W162" i="12" s="1"/>
  <c r="Y113" i="12"/>
  <c r="N35" i="12"/>
  <c r="Y62" i="12"/>
  <c r="W62" i="12" s="1"/>
  <c r="N126" i="12"/>
  <c r="Y128" i="12"/>
  <c r="Y190" i="12"/>
  <c r="N72" i="12"/>
  <c r="N117" i="12"/>
  <c r="N135" i="12"/>
  <c r="AB188" i="5"/>
  <c r="C89" i="8" s="1"/>
  <c r="N165" i="12"/>
  <c r="Y48" i="12"/>
  <c r="W48" i="12" s="1"/>
  <c r="N73" i="12"/>
  <c r="N103" i="12"/>
  <c r="Y96" i="12"/>
  <c r="W96" i="12" s="1"/>
  <c r="N62" i="12"/>
  <c r="N25" i="12"/>
  <c r="Y99" i="12"/>
  <c r="Y112" i="12"/>
  <c r="W112" i="12" s="1"/>
  <c r="N145" i="12"/>
  <c r="N47" i="12"/>
  <c r="N154" i="12"/>
  <c r="Y186" i="12"/>
  <c r="W186" i="12" s="1"/>
  <c r="N125" i="12"/>
  <c r="Y41" i="12"/>
  <c r="Y71" i="12"/>
  <c r="N148" i="12"/>
  <c r="N111" i="12"/>
  <c r="N167" i="12"/>
  <c r="N170" i="12"/>
  <c r="N134" i="12"/>
  <c r="N173" i="12"/>
  <c r="Y55" i="12"/>
  <c r="Y72" i="12"/>
  <c r="AM20" i="5"/>
  <c r="L20" i="5"/>
  <c r="I20" i="12"/>
  <c r="Z20" i="5"/>
  <c r="AB20" i="6"/>
  <c r="AC20" i="5"/>
  <c r="Y177" i="12"/>
  <c r="N59" i="12"/>
  <c r="O58" i="12"/>
  <c r="N58" i="12" s="1"/>
  <c r="Y90" i="12"/>
  <c r="D98" i="12"/>
  <c r="E98" i="6"/>
  <c r="D128" i="12"/>
  <c r="E128" i="6"/>
  <c r="E63" i="6"/>
  <c r="D63" i="12"/>
  <c r="E109" i="6"/>
  <c r="D109" i="12"/>
  <c r="E182" i="6"/>
  <c r="D182" i="12"/>
  <c r="E44" i="6"/>
  <c r="D44" i="12"/>
  <c r="Y59" i="12"/>
  <c r="AO58" i="12"/>
  <c r="D123" i="12"/>
  <c r="E123" i="6"/>
  <c r="N185" i="12"/>
  <c r="O184" i="12"/>
  <c r="N184" i="12" s="1"/>
  <c r="N97" i="12"/>
  <c r="D97" i="12"/>
  <c r="E97" i="6"/>
  <c r="Y176" i="12"/>
  <c r="AO175" i="12"/>
  <c r="D156" i="12"/>
  <c r="E156" i="6"/>
  <c r="D124" i="12"/>
  <c r="E124" i="6"/>
  <c r="Y57" i="12"/>
  <c r="D173" i="12"/>
  <c r="E173" i="6"/>
  <c r="X118" i="12"/>
  <c r="M75" i="12"/>
  <c r="D178" i="12"/>
  <c r="E178" i="6"/>
  <c r="E131" i="6"/>
  <c r="D131" i="12"/>
  <c r="D61" i="12"/>
  <c r="E61" i="6"/>
  <c r="D102" i="12"/>
  <c r="E102" i="6"/>
  <c r="O149" i="12"/>
  <c r="N149" i="12" s="1"/>
  <c r="N150" i="12"/>
  <c r="D29" i="12"/>
  <c r="E29" i="6"/>
  <c r="M179" i="12"/>
  <c r="Y73" i="12"/>
  <c r="E37" i="6"/>
  <c r="D37" i="12"/>
  <c r="Y78" i="12"/>
  <c r="E82" i="6"/>
  <c r="D82" i="12"/>
  <c r="E127" i="6"/>
  <c r="D127" i="12"/>
  <c r="AG40" i="8"/>
  <c r="T40" i="8"/>
  <c r="AJ40" i="8"/>
  <c r="G38" i="8"/>
  <c r="I39" i="8" s="1"/>
  <c r="U40" i="8"/>
  <c r="AE40" i="8"/>
  <c r="AC40" i="8"/>
  <c r="C38" i="8"/>
  <c r="G39" i="8"/>
  <c r="F38" i="8"/>
  <c r="AB40" i="8"/>
  <c r="AN40" i="8"/>
  <c r="F39" i="8"/>
  <c r="AA40" i="8"/>
  <c r="AL40" i="8"/>
  <c r="Y40" i="8"/>
  <c r="AK40" i="8"/>
  <c r="AP40" i="8"/>
  <c r="AQ40" i="8"/>
  <c r="W40" i="8"/>
  <c r="AF40" i="8"/>
  <c r="AI40" i="8"/>
  <c r="Z40" i="8"/>
  <c r="D40" i="8"/>
  <c r="AO40" i="8"/>
  <c r="V40" i="8"/>
  <c r="AD40" i="8"/>
  <c r="AM40" i="8"/>
  <c r="AH40" i="8"/>
  <c r="X40" i="8"/>
  <c r="J58" i="12"/>
  <c r="C58" i="12"/>
  <c r="L58" i="12"/>
  <c r="N124" i="12"/>
  <c r="Y103" i="12"/>
  <c r="E189" i="6"/>
  <c r="D189" i="12"/>
  <c r="N89" i="12"/>
  <c r="D118" i="12"/>
  <c r="E118" i="6"/>
  <c r="AK52" i="8"/>
  <c r="AL52" i="8"/>
  <c r="G50" i="8"/>
  <c r="I51" i="8" s="1"/>
  <c r="AF52" i="8"/>
  <c r="AM52" i="8"/>
  <c r="AG52" i="8"/>
  <c r="G51" i="8"/>
  <c r="AP52" i="8"/>
  <c r="T52" i="8"/>
  <c r="AD52" i="8"/>
  <c r="V52" i="8"/>
  <c r="AH52" i="8"/>
  <c r="AA52" i="8"/>
  <c r="AN52" i="8"/>
  <c r="AQ52" i="8"/>
  <c r="U52" i="8"/>
  <c r="AE52" i="8"/>
  <c r="AI52" i="8"/>
  <c r="AB52" i="8"/>
  <c r="F51" i="8"/>
  <c r="AO52" i="8"/>
  <c r="W52" i="8"/>
  <c r="AC52" i="8"/>
  <c r="Z52" i="8"/>
  <c r="AJ52" i="8"/>
  <c r="D52" i="8"/>
  <c r="Y52" i="8"/>
  <c r="F50" i="8"/>
  <c r="X52" i="8"/>
  <c r="Y80" i="12"/>
  <c r="AO79" i="12"/>
  <c r="E155" i="6"/>
  <c r="D155" i="12"/>
  <c r="C94" i="12"/>
  <c r="J94" i="12"/>
  <c r="Y136" i="12"/>
  <c r="N98" i="12"/>
  <c r="Y19" i="12"/>
  <c r="N37" i="12"/>
  <c r="E115" i="6"/>
  <c r="D115" i="12"/>
  <c r="N82" i="12"/>
  <c r="Y127" i="12"/>
  <c r="D191" i="12"/>
  <c r="E191" i="6"/>
  <c r="Y44" i="12"/>
  <c r="N46" i="12"/>
  <c r="O45" i="12"/>
  <c r="E176" i="6"/>
  <c r="D176" i="12"/>
  <c r="N142" i="12"/>
  <c r="N156" i="12"/>
  <c r="N119" i="12"/>
  <c r="V28" i="8"/>
  <c r="G27" i="8"/>
  <c r="F27" i="8"/>
  <c r="AJ28" i="8"/>
  <c r="Z28" i="8"/>
  <c r="AG28" i="8"/>
  <c r="AA28" i="8"/>
  <c r="AL28" i="8"/>
  <c r="AF28" i="8"/>
  <c r="AC28" i="8"/>
  <c r="T28" i="8"/>
  <c r="AD28" i="8"/>
  <c r="AQ28" i="8"/>
  <c r="AE28" i="8"/>
  <c r="AP28" i="8"/>
  <c r="G26" i="8"/>
  <c r="I27" i="8" s="1"/>
  <c r="AM28" i="8"/>
  <c r="AN28" i="8"/>
  <c r="F26" i="8"/>
  <c r="W28" i="8"/>
  <c r="D28" i="8"/>
  <c r="AH28" i="8"/>
  <c r="AB28" i="8"/>
  <c r="U28" i="8"/>
  <c r="X28" i="8"/>
  <c r="AK28" i="8"/>
  <c r="Y28" i="8"/>
  <c r="AI28" i="8"/>
  <c r="AO28" i="8"/>
  <c r="N56" i="12"/>
  <c r="AQ67" i="8"/>
  <c r="AD67" i="8"/>
  <c r="AH67" i="8"/>
  <c r="AJ67" i="8"/>
  <c r="G66" i="8"/>
  <c r="AO67" i="8"/>
  <c r="V67" i="8"/>
  <c r="U67" i="8"/>
  <c r="AC67" i="8"/>
  <c r="G65" i="8"/>
  <c r="I66" i="8" s="1"/>
  <c r="AM67" i="8"/>
  <c r="AF67" i="8"/>
  <c r="AE67" i="8"/>
  <c r="Y67" i="8"/>
  <c r="D67" i="8"/>
  <c r="X67" i="8"/>
  <c r="AP67" i="8"/>
  <c r="T67" i="8"/>
  <c r="AA67" i="8"/>
  <c r="Z67" i="8"/>
  <c r="AK67" i="8"/>
  <c r="W67" i="8"/>
  <c r="AL67" i="8"/>
  <c r="AN67" i="8"/>
  <c r="AG67" i="8"/>
  <c r="AB67" i="8"/>
  <c r="F65" i="8"/>
  <c r="AI67" i="8"/>
  <c r="F66" i="8"/>
  <c r="W116" i="12"/>
  <c r="E76" i="6"/>
  <c r="D76" i="12"/>
  <c r="W164" i="12"/>
  <c r="D169" i="12"/>
  <c r="E169" i="6"/>
  <c r="M68" i="12"/>
  <c r="C79" i="12"/>
  <c r="J79" i="12"/>
  <c r="E186" i="6"/>
  <c r="D186" i="12"/>
  <c r="Y35" i="12"/>
  <c r="D125" i="12"/>
  <c r="E125" i="6"/>
  <c r="E111" i="6"/>
  <c r="D111" i="12"/>
  <c r="N96" i="12"/>
  <c r="Y161" i="12"/>
  <c r="W85" i="12"/>
  <c r="N172" i="12"/>
  <c r="O171" i="12"/>
  <c r="Y126" i="12"/>
  <c r="E85" i="6"/>
  <c r="D85" i="12"/>
  <c r="D126" i="12"/>
  <c r="E126" i="6"/>
  <c r="AA25" i="8"/>
  <c r="T25" i="8"/>
  <c r="F24" i="8"/>
  <c r="Y25" i="8"/>
  <c r="AO25" i="8"/>
  <c r="AI25" i="8"/>
  <c r="AP25" i="8"/>
  <c r="Z25" i="8"/>
  <c r="AH25" i="8"/>
  <c r="X25" i="8"/>
  <c r="G24" i="8"/>
  <c r="U25" i="8"/>
  <c r="AB25" i="8"/>
  <c r="AF25" i="8"/>
  <c r="F23" i="8"/>
  <c r="AD25" i="8"/>
  <c r="AC25" i="8"/>
  <c r="AN25" i="8"/>
  <c r="AQ25" i="8"/>
  <c r="AM25" i="8"/>
  <c r="V25" i="8"/>
  <c r="AJ25" i="8"/>
  <c r="W25" i="8"/>
  <c r="AL25" i="8"/>
  <c r="AE25" i="8"/>
  <c r="AK25" i="8"/>
  <c r="G23" i="8"/>
  <c r="I24" i="8" s="1"/>
  <c r="AG25" i="8"/>
  <c r="D25" i="8"/>
  <c r="D168" i="12"/>
  <c r="E168" i="6"/>
  <c r="C179" i="6"/>
  <c r="O179" i="5"/>
  <c r="Y163" i="12"/>
  <c r="N128" i="12"/>
  <c r="Y21" i="12"/>
  <c r="Y63" i="12"/>
  <c r="N112" i="12"/>
  <c r="Y53" i="12"/>
  <c r="N53" i="12"/>
  <c r="N137" i="12"/>
  <c r="Y145" i="12"/>
  <c r="N182" i="12"/>
  <c r="N191" i="12"/>
  <c r="Y65" i="12"/>
  <c r="N122" i="12"/>
  <c r="F32" i="8"/>
  <c r="AI34" i="8"/>
  <c r="AC34" i="8"/>
  <c r="AA34" i="8"/>
  <c r="G33" i="8"/>
  <c r="AB34" i="8"/>
  <c r="D34" i="8"/>
  <c r="V34" i="8"/>
  <c r="X34" i="8"/>
  <c r="F33" i="8"/>
  <c r="U34" i="8"/>
  <c r="AF34" i="8"/>
  <c r="AN34" i="8"/>
  <c r="W34" i="8"/>
  <c r="T34" i="8"/>
  <c r="AO34" i="8"/>
  <c r="AM34" i="8"/>
  <c r="AE34" i="8"/>
  <c r="Z34" i="8"/>
  <c r="AQ34" i="8"/>
  <c r="AP34" i="8"/>
  <c r="AG34" i="8"/>
  <c r="AK34" i="8"/>
  <c r="AD34" i="8"/>
  <c r="AL34" i="8"/>
  <c r="G32" i="8"/>
  <c r="I33" i="8" s="1"/>
  <c r="Y34" i="8"/>
  <c r="AH34" i="8"/>
  <c r="AJ34" i="8"/>
  <c r="N160" i="12"/>
  <c r="O159" i="12"/>
  <c r="O188" i="5"/>
  <c r="C188" i="6"/>
  <c r="E52" i="6"/>
  <c r="D52" i="12"/>
  <c r="Y105" i="12"/>
  <c r="AO104" i="12"/>
  <c r="D116" i="12"/>
  <c r="E116" i="6"/>
  <c r="N55" i="12"/>
  <c r="D130" i="12"/>
  <c r="E130" i="6"/>
  <c r="Y130" i="12"/>
  <c r="D113" i="12"/>
  <c r="E113" i="6"/>
  <c r="N91" i="12"/>
  <c r="M175" i="12"/>
  <c r="E153" i="6"/>
  <c r="D153" i="12"/>
  <c r="N86" i="12"/>
  <c r="C68" i="12"/>
  <c r="J68" i="12"/>
  <c r="D157" i="12"/>
  <c r="E157" i="6"/>
  <c r="Y61" i="12"/>
  <c r="D73" i="8"/>
  <c r="AM73" i="8"/>
  <c r="T73" i="8"/>
  <c r="X73" i="8"/>
  <c r="AB73" i="8"/>
  <c r="G72" i="8"/>
  <c r="F71" i="8"/>
  <c r="AI73" i="8"/>
  <c r="AG73" i="8"/>
  <c r="G71" i="8"/>
  <c r="I72" i="8" s="1"/>
  <c r="AE73" i="8"/>
  <c r="AF73" i="8"/>
  <c r="W73" i="8"/>
  <c r="V73" i="8"/>
  <c r="F72" i="8"/>
  <c r="AN73" i="8"/>
  <c r="AJ73" i="8"/>
  <c r="Z73" i="8"/>
  <c r="AH73" i="8"/>
  <c r="AA73" i="8"/>
  <c r="AL73" i="8"/>
  <c r="AP73" i="8"/>
  <c r="AC73" i="8"/>
  <c r="AD73" i="8"/>
  <c r="AO73" i="8"/>
  <c r="Y73" i="8"/>
  <c r="AK73" i="8"/>
  <c r="U73" i="8"/>
  <c r="AQ73" i="8"/>
  <c r="Y154" i="12"/>
  <c r="N186" i="12"/>
  <c r="N49" i="12"/>
  <c r="Y54" i="12"/>
  <c r="D110" i="12"/>
  <c r="E110" i="6"/>
  <c r="Y166" i="12"/>
  <c r="N155" i="12"/>
  <c r="D117" i="12"/>
  <c r="E117" i="6"/>
  <c r="W18" i="5"/>
  <c r="X18" i="5" s="1"/>
  <c r="AN18" i="5"/>
  <c r="E69" i="6"/>
  <c r="D69" i="12"/>
  <c r="D150" i="12"/>
  <c r="E150" i="6"/>
  <c r="X48" i="12"/>
  <c r="X138" i="12"/>
  <c r="W138" i="12"/>
  <c r="W140" i="12"/>
  <c r="X140" i="12"/>
  <c r="D81" i="12"/>
  <c r="E81" i="6"/>
  <c r="O58" i="5"/>
  <c r="C58" i="6"/>
  <c r="W33" i="12"/>
  <c r="D32" i="12"/>
  <c r="E32" i="6"/>
  <c r="AO188" i="12"/>
  <c r="Y189" i="12"/>
  <c r="C75" i="6"/>
  <c r="O75" i="5"/>
  <c r="D50" i="12"/>
  <c r="E50" i="6"/>
  <c r="W41" i="12"/>
  <c r="X41" i="12"/>
  <c r="X169" i="12"/>
  <c r="W169" i="12"/>
  <c r="E71" i="6"/>
  <c r="D71" i="12"/>
  <c r="E165" i="6"/>
  <c r="D165" i="12"/>
  <c r="W158" i="12"/>
  <c r="X158" i="12"/>
  <c r="D70" i="12"/>
  <c r="E70" i="6"/>
  <c r="D38" i="12"/>
  <c r="E38" i="6"/>
  <c r="W143" i="12"/>
  <c r="X143" i="12"/>
  <c r="D177" i="12"/>
  <c r="E177" i="6"/>
  <c r="E83" i="6"/>
  <c r="D83" i="12"/>
  <c r="W115" i="12"/>
  <c r="X187" i="12"/>
  <c r="W187" i="12"/>
  <c r="X134" i="12"/>
  <c r="W134" i="12"/>
  <c r="W81" i="12"/>
  <c r="X81" i="12"/>
  <c r="W88" i="8"/>
  <c r="AL88" i="8"/>
  <c r="Y88" i="8"/>
  <c r="F86" i="8"/>
  <c r="X88" i="8"/>
  <c r="AG88" i="8"/>
  <c r="AH88" i="8"/>
  <c r="AQ88" i="8"/>
  <c r="AI88" i="8"/>
  <c r="AA88" i="8"/>
  <c r="AN88" i="8"/>
  <c r="AJ88" i="8"/>
  <c r="AB88" i="8"/>
  <c r="AP88" i="8"/>
  <c r="Z88" i="8"/>
  <c r="D88" i="8"/>
  <c r="U88" i="8"/>
  <c r="G86" i="8"/>
  <c r="I87" i="8" s="1"/>
  <c r="AF88" i="8"/>
  <c r="AO88" i="8"/>
  <c r="G87" i="8"/>
  <c r="AE88" i="8"/>
  <c r="AC88" i="8"/>
  <c r="V88" i="8"/>
  <c r="AM88" i="8"/>
  <c r="AD88" i="8"/>
  <c r="T88" i="8"/>
  <c r="AK88" i="8"/>
  <c r="F87" i="8"/>
  <c r="O184" i="5"/>
  <c r="C184" i="6"/>
  <c r="Y46" i="12"/>
  <c r="AO45" i="12"/>
  <c r="Y45" i="12" s="1"/>
  <c r="E181" i="6"/>
  <c r="D181" i="12"/>
  <c r="X162" i="12"/>
  <c r="O31" i="5"/>
  <c r="C31" i="6"/>
  <c r="M51" i="12"/>
  <c r="O104" i="5"/>
  <c r="C104" i="6"/>
  <c r="W39" i="12"/>
  <c r="X39" i="12"/>
  <c r="X113" i="12"/>
  <c r="W113" i="12"/>
  <c r="D41" i="12"/>
  <c r="E41" i="6"/>
  <c r="Y69" i="12"/>
  <c r="AO68" i="12"/>
  <c r="O79" i="5"/>
  <c r="C79" i="6"/>
  <c r="W34" i="12"/>
  <c r="X34" i="12"/>
  <c r="M100" i="12"/>
  <c r="C100" i="12"/>
  <c r="J100" i="12"/>
  <c r="D95" i="12"/>
  <c r="E95" i="6"/>
  <c r="AO171" i="12"/>
  <c r="Y171" i="12" s="1"/>
  <c r="Y172" i="12"/>
  <c r="O171" i="5"/>
  <c r="C171" i="6"/>
  <c r="M28" i="12"/>
  <c r="AB179" i="5"/>
  <c r="C83" i="8" s="1"/>
  <c r="N109" i="12"/>
  <c r="W106" i="12"/>
  <c r="W137" i="12"/>
  <c r="X137" i="12"/>
  <c r="X122" i="12"/>
  <c r="W122" i="12"/>
  <c r="D33" i="12"/>
  <c r="E33" i="6"/>
  <c r="AO159" i="12"/>
  <c r="Y160" i="12"/>
  <c r="AE91" i="8"/>
  <c r="AL91" i="8"/>
  <c r="AD91" i="8"/>
  <c r="AP91" i="8"/>
  <c r="G89" i="8"/>
  <c r="I90" i="8" s="1"/>
  <c r="F90" i="8"/>
  <c r="AQ91" i="8"/>
  <c r="Y91" i="8"/>
  <c r="F89" i="8"/>
  <c r="T91" i="8"/>
  <c r="AN91" i="8"/>
  <c r="AB91" i="8"/>
  <c r="AA91" i="8"/>
  <c r="U91" i="8"/>
  <c r="X91" i="8"/>
  <c r="AO91" i="8"/>
  <c r="AM91" i="8"/>
  <c r="AC91" i="8"/>
  <c r="W91" i="8"/>
  <c r="AI91" i="8"/>
  <c r="AH91" i="8"/>
  <c r="D91" i="8"/>
  <c r="AF91" i="8"/>
  <c r="AJ91" i="8"/>
  <c r="Z91" i="8"/>
  <c r="AK91" i="8"/>
  <c r="AG91" i="8"/>
  <c r="G90" i="8"/>
  <c r="V91" i="8"/>
  <c r="M104" i="12"/>
  <c r="W55" i="12"/>
  <c r="X55" i="12"/>
  <c r="W72" i="12"/>
  <c r="X72" i="12"/>
  <c r="O175" i="12"/>
  <c r="L175" i="12" s="1"/>
  <c r="N178" i="12"/>
  <c r="X47" i="12"/>
  <c r="W47" i="12"/>
  <c r="D86" i="12"/>
  <c r="E86" i="6"/>
  <c r="C68" i="6"/>
  <c r="O68" i="5"/>
  <c r="W70" i="12"/>
  <c r="X70" i="12"/>
  <c r="D34" i="12"/>
  <c r="E34" i="6"/>
  <c r="E84" i="6"/>
  <c r="D84" i="12"/>
  <c r="AB100" i="5"/>
  <c r="C62" i="8" s="1"/>
  <c r="X49" i="12"/>
  <c r="D62" i="12"/>
  <c r="E62" i="6"/>
  <c r="M94" i="12"/>
  <c r="AB94" i="5"/>
  <c r="C59" i="8" s="1"/>
  <c r="X117" i="12"/>
  <c r="W117" i="12"/>
  <c r="D96" i="12"/>
  <c r="E96" i="6"/>
  <c r="W67" i="5"/>
  <c r="X67" i="5" s="1"/>
  <c r="AN67" i="5"/>
  <c r="X181" i="12"/>
  <c r="Y185" i="12"/>
  <c r="AO184" i="12"/>
  <c r="Y184" i="12" s="1"/>
  <c r="E119" i="6"/>
  <c r="D119" i="12"/>
  <c r="D56" i="12"/>
  <c r="E56" i="6"/>
  <c r="O75" i="12"/>
  <c r="N76" i="12"/>
  <c r="D80" i="12"/>
  <c r="E80" i="6"/>
  <c r="O42" i="12"/>
  <c r="N43" i="12"/>
  <c r="Y150" i="12"/>
  <c r="AO149" i="12"/>
  <c r="Y149" i="12" s="1"/>
  <c r="AO179" i="12"/>
  <c r="Y180" i="12"/>
  <c r="E163" i="6"/>
  <c r="D163" i="12"/>
  <c r="X74" i="12"/>
  <c r="W74" i="12"/>
  <c r="N78" i="12"/>
  <c r="E112" i="6"/>
  <c r="D112" i="12"/>
  <c r="D106" i="12"/>
  <c r="E106" i="6"/>
  <c r="E122" i="6"/>
  <c r="D122" i="12"/>
  <c r="E40" i="6"/>
  <c r="D40" i="12"/>
  <c r="O51" i="5"/>
  <c r="C51" i="6"/>
  <c r="X37" i="8"/>
  <c r="G35" i="8"/>
  <c r="I36" i="8" s="1"/>
  <c r="AE37" i="8"/>
  <c r="AP37" i="8"/>
  <c r="W37" i="8"/>
  <c r="U37" i="8"/>
  <c r="V37" i="8"/>
  <c r="D37" i="8"/>
  <c r="AC37" i="8"/>
  <c r="AM37" i="8"/>
  <c r="Y37" i="8"/>
  <c r="F35" i="8"/>
  <c r="AL37" i="8"/>
  <c r="AJ37" i="8"/>
  <c r="AQ37" i="8"/>
  <c r="AG37" i="8"/>
  <c r="AK37" i="8"/>
  <c r="AD37" i="8"/>
  <c r="AI37" i="8"/>
  <c r="T37" i="8"/>
  <c r="AF37" i="8"/>
  <c r="AN37" i="8"/>
  <c r="AO37" i="8"/>
  <c r="AH37" i="8"/>
  <c r="AB37" i="8"/>
  <c r="G36" i="8"/>
  <c r="AA37" i="8"/>
  <c r="F36" i="8"/>
  <c r="Z37" i="8"/>
  <c r="D55" i="12"/>
  <c r="E55" i="6"/>
  <c r="J75" i="12"/>
  <c r="C75" i="12"/>
  <c r="E164" i="6"/>
  <c r="D164" i="12"/>
  <c r="X153" i="12"/>
  <c r="D114" i="12"/>
  <c r="E114" i="6"/>
  <c r="W71" i="12"/>
  <c r="X71" i="12"/>
  <c r="Y148" i="12"/>
  <c r="O79" i="12"/>
  <c r="N80" i="12"/>
  <c r="E30" i="6"/>
  <c r="D30" i="12"/>
  <c r="E49" i="6"/>
  <c r="D49" i="12"/>
  <c r="E167" i="6"/>
  <c r="D167" i="12"/>
  <c r="X152" i="12"/>
  <c r="W152" i="12"/>
  <c r="E152" i="6"/>
  <c r="D152" i="12"/>
  <c r="N127" i="12"/>
  <c r="Y123" i="12"/>
  <c r="AN82" i="8"/>
  <c r="AB82" i="8"/>
  <c r="U82" i="8"/>
  <c r="AF82" i="8"/>
  <c r="X82" i="8"/>
  <c r="AC82" i="8"/>
  <c r="V82" i="8"/>
  <c r="T82" i="8"/>
  <c r="AK82" i="8"/>
  <c r="AM82" i="8"/>
  <c r="AG82" i="8"/>
  <c r="AD82" i="8"/>
  <c r="F80" i="8"/>
  <c r="D82" i="8"/>
  <c r="AO82" i="8"/>
  <c r="W82" i="8"/>
  <c r="AL82" i="8"/>
  <c r="Z82" i="8"/>
  <c r="AI82" i="8"/>
  <c r="AJ82" i="8"/>
  <c r="AQ82" i="8"/>
  <c r="F81" i="8"/>
  <c r="AA82" i="8"/>
  <c r="AE82" i="8"/>
  <c r="AP82" i="8"/>
  <c r="AH82" i="8"/>
  <c r="G81" i="8"/>
  <c r="G80" i="8"/>
  <c r="I81" i="8" s="1"/>
  <c r="Y82" i="8"/>
  <c r="J175" i="12"/>
  <c r="C175" i="12"/>
  <c r="X142" i="12"/>
  <c r="W142" i="12"/>
  <c r="W156" i="12"/>
  <c r="X156" i="12"/>
  <c r="AP76" i="8"/>
  <c r="AM76" i="8"/>
  <c r="V76" i="8"/>
  <c r="F75" i="8"/>
  <c r="AF76" i="8"/>
  <c r="X76" i="8"/>
  <c r="D76" i="8"/>
  <c r="W76" i="8"/>
  <c r="AG76" i="8"/>
  <c r="F74" i="8"/>
  <c r="AD76" i="8"/>
  <c r="AA76" i="8"/>
  <c r="AK76" i="8"/>
  <c r="AQ76" i="8"/>
  <c r="Z76" i="8"/>
  <c r="G74" i="8"/>
  <c r="I75" i="8" s="1"/>
  <c r="Y76" i="8"/>
  <c r="AL76" i="8"/>
  <c r="AE76" i="8"/>
  <c r="G75" i="8"/>
  <c r="AH76" i="8"/>
  <c r="AJ76" i="8"/>
  <c r="AC76" i="8"/>
  <c r="AO76" i="8"/>
  <c r="AI76" i="8"/>
  <c r="U76" i="8"/>
  <c r="AN76" i="8"/>
  <c r="AB76" i="8"/>
  <c r="T76" i="8"/>
  <c r="X173" i="12"/>
  <c r="W173" i="12"/>
  <c r="C31" i="12"/>
  <c r="J31" i="12"/>
  <c r="Y174" i="12"/>
  <c r="N52" i="12"/>
  <c r="O51" i="12"/>
  <c r="L51" i="12" s="1"/>
  <c r="Y133" i="12"/>
  <c r="D39" i="12"/>
  <c r="E39" i="6"/>
  <c r="D72" i="12"/>
  <c r="E72" i="6"/>
  <c r="E121" i="6"/>
  <c r="D121" i="12"/>
  <c r="N69" i="12"/>
  <c r="O68" i="12"/>
  <c r="Y77" i="12"/>
  <c r="Y101" i="12"/>
  <c r="AO100" i="12"/>
  <c r="O100" i="5"/>
  <c r="C100" i="6"/>
  <c r="D154" i="12"/>
  <c r="E154" i="6"/>
  <c r="D48" i="12"/>
  <c r="E48" i="6"/>
  <c r="C171" i="12"/>
  <c r="J171" i="12"/>
  <c r="Y29" i="12"/>
  <c r="AO28" i="12"/>
  <c r="X99" i="12"/>
  <c r="W99" i="12"/>
  <c r="AA85" i="8"/>
  <c r="W85" i="8"/>
  <c r="AD85" i="8"/>
  <c r="U85" i="8"/>
  <c r="T85" i="8"/>
  <c r="AL85" i="8"/>
  <c r="V85" i="8"/>
  <c r="Z85" i="8"/>
  <c r="AO85" i="8"/>
  <c r="X85" i="8"/>
  <c r="AF85" i="8"/>
  <c r="G83" i="8"/>
  <c r="I84" i="8" s="1"/>
  <c r="G84" i="8"/>
  <c r="Y85" i="8"/>
  <c r="AC85" i="8"/>
  <c r="AB85" i="8"/>
  <c r="F83" i="8"/>
  <c r="AG85" i="8"/>
  <c r="D85" i="8"/>
  <c r="AP85" i="8"/>
  <c r="AM85" i="8"/>
  <c r="F84" i="8"/>
  <c r="AN85" i="8"/>
  <c r="AE85" i="8"/>
  <c r="AJ85" i="8"/>
  <c r="AI85" i="8"/>
  <c r="AK85" i="8"/>
  <c r="AQ85" i="8"/>
  <c r="AH85" i="8"/>
  <c r="D73" i="12"/>
  <c r="E73" i="6"/>
  <c r="D170" i="12"/>
  <c r="E170" i="6"/>
  <c r="X190" i="12"/>
  <c r="W190" i="12"/>
  <c r="Y109" i="12"/>
  <c r="E46" i="6"/>
  <c r="D46" i="12"/>
  <c r="J45" i="12"/>
  <c r="C45" i="12"/>
  <c r="L45" i="12"/>
  <c r="E174" i="6"/>
  <c r="D174" i="12"/>
  <c r="J188" i="12"/>
  <c r="C188" i="12"/>
  <c r="N130" i="12"/>
  <c r="Y121" i="12"/>
  <c r="N121" i="12"/>
  <c r="E151" i="6"/>
  <c r="D151" i="12"/>
  <c r="N151" i="12"/>
  <c r="E129" i="6"/>
  <c r="D129" i="12"/>
  <c r="Y129" i="12"/>
  <c r="E107" i="6"/>
  <c r="D107" i="12"/>
  <c r="C149" i="12"/>
  <c r="J149" i="12"/>
  <c r="L149" i="12"/>
  <c r="Y125" i="12"/>
  <c r="Y24" i="12"/>
  <c r="N95" i="12"/>
  <c r="O94" i="12"/>
  <c r="E54" i="6"/>
  <c r="D54" i="12"/>
  <c r="X155" i="12"/>
  <c r="W155" i="12"/>
  <c r="E101" i="6"/>
  <c r="D101" i="12"/>
  <c r="W102" i="12"/>
  <c r="X102" i="12"/>
  <c r="AN27" i="5"/>
  <c r="W27" i="5"/>
  <c r="X27" i="5" s="1"/>
  <c r="W168" i="12"/>
  <c r="X168" i="12"/>
  <c r="D190" i="12"/>
  <c r="E190" i="6"/>
  <c r="E160" i="6"/>
  <c r="D160" i="12"/>
  <c r="N32" i="12"/>
  <c r="O31" i="12"/>
  <c r="E105" i="6"/>
  <c r="D105" i="12"/>
  <c r="E53" i="6"/>
  <c r="D53" i="12"/>
  <c r="X36" i="12"/>
  <c r="W36" i="12"/>
  <c r="E59" i="6"/>
  <c r="D59" i="12"/>
  <c r="Y32" i="12"/>
  <c r="AO31" i="12"/>
  <c r="Y84" i="12"/>
  <c r="O42" i="5"/>
  <c r="C42" i="6"/>
  <c r="N93" i="12"/>
  <c r="N83" i="12"/>
  <c r="E187" i="6"/>
  <c r="D187" i="12"/>
  <c r="Y141" i="12"/>
  <c r="N23" i="12"/>
  <c r="D185" i="12"/>
  <c r="E185" i="6"/>
  <c r="Y97" i="12"/>
  <c r="N176" i="12"/>
  <c r="N181" i="12"/>
  <c r="AB159" i="5"/>
  <c r="C74" i="8" s="1"/>
  <c r="Y135" i="12"/>
  <c r="M31" i="12"/>
  <c r="Y40" i="12"/>
  <c r="N118" i="12"/>
  <c r="AB104" i="5"/>
  <c r="C65" i="8" s="1"/>
  <c r="AO75" i="12"/>
  <c r="Y75" i="12" s="1"/>
  <c r="Y76" i="12"/>
  <c r="N50" i="12"/>
  <c r="N131" i="12"/>
  <c r="D47" i="12"/>
  <c r="E47" i="6"/>
  <c r="N114" i="12"/>
  <c r="Y165" i="12"/>
  <c r="C42" i="12"/>
  <c r="J42" i="12"/>
  <c r="L42" i="12"/>
  <c r="AB31" i="8"/>
  <c r="G29" i="8"/>
  <c r="I30" i="8" s="1"/>
  <c r="AL31" i="8"/>
  <c r="AJ31" i="8"/>
  <c r="AH31" i="8"/>
  <c r="AD31" i="8"/>
  <c r="X31" i="8"/>
  <c r="F29" i="8"/>
  <c r="AG31" i="8"/>
  <c r="AF31" i="8"/>
  <c r="D31" i="8"/>
  <c r="T31" i="8"/>
  <c r="U31" i="8"/>
  <c r="W31" i="8"/>
  <c r="AC31" i="8"/>
  <c r="AN31" i="8"/>
  <c r="AK31" i="8"/>
  <c r="AQ31" i="8"/>
  <c r="AM31" i="8"/>
  <c r="V31" i="8"/>
  <c r="G30" i="8"/>
  <c r="F30" i="8"/>
  <c r="AO31" i="8"/>
  <c r="AI31" i="8"/>
  <c r="AP31" i="8"/>
  <c r="Y31" i="8"/>
  <c r="AA31" i="8"/>
  <c r="Z31" i="8"/>
  <c r="AE31" i="8"/>
  <c r="Y43" i="12"/>
  <c r="AO42" i="12"/>
  <c r="N120" i="12"/>
  <c r="O179" i="12"/>
  <c r="N179" i="12" s="1"/>
  <c r="N180" i="12"/>
  <c r="N144" i="12"/>
  <c r="N138" i="12"/>
  <c r="N74" i="12"/>
  <c r="N33" i="12"/>
  <c r="Y124" i="12"/>
  <c r="N22" i="12"/>
  <c r="E162" i="6"/>
  <c r="D162" i="12"/>
  <c r="N189" i="12"/>
  <c r="O188" i="12"/>
  <c r="Y89" i="12"/>
  <c r="J51" i="12"/>
  <c r="C51" i="12"/>
  <c r="N169" i="12"/>
  <c r="N71" i="12"/>
  <c r="D77" i="12"/>
  <c r="E77" i="6"/>
  <c r="M79" i="12"/>
  <c r="F60" i="8"/>
  <c r="AB61" i="8"/>
  <c r="AQ61" i="8"/>
  <c r="X61" i="8"/>
  <c r="T61" i="8"/>
  <c r="G59" i="8"/>
  <c r="I60" i="8" s="1"/>
  <c r="AK61" i="8"/>
  <c r="AF61" i="8"/>
  <c r="W61" i="8"/>
  <c r="AA61" i="8"/>
  <c r="G60" i="8"/>
  <c r="AN61" i="8"/>
  <c r="Z61" i="8"/>
  <c r="AM61" i="8"/>
  <c r="F59" i="8"/>
  <c r="D61" i="8"/>
  <c r="AD61" i="8"/>
  <c r="AL61" i="8"/>
  <c r="AI61" i="8"/>
  <c r="AJ61" i="8"/>
  <c r="AP61" i="8"/>
  <c r="AO61" i="8"/>
  <c r="AG61" i="8"/>
  <c r="V61" i="8"/>
  <c r="AH61" i="8"/>
  <c r="AC61" i="8"/>
  <c r="U61" i="8"/>
  <c r="AE61" i="8"/>
  <c r="Y61" i="8"/>
  <c r="C94" i="6"/>
  <c r="O94" i="5"/>
  <c r="D99" i="12"/>
  <c r="E99" i="6"/>
  <c r="N136" i="12"/>
  <c r="D180" i="12"/>
  <c r="E180" i="6"/>
  <c r="W37" i="12"/>
  <c r="X37" i="12"/>
  <c r="Y170" i="12"/>
  <c r="Y82" i="12"/>
  <c r="N152" i="12"/>
  <c r="D36" i="12"/>
  <c r="E36" i="6"/>
  <c r="J184" i="12"/>
  <c r="C184" i="12"/>
  <c r="L184" i="12"/>
  <c r="AB184" i="5"/>
  <c r="C86" i="8" s="1"/>
  <c r="M45" i="12"/>
  <c r="O175" i="5"/>
  <c r="C175" i="6"/>
  <c r="O159" i="5"/>
  <c r="C159" i="6"/>
  <c r="C159" i="12"/>
  <c r="J159" i="12"/>
  <c r="D103" i="12"/>
  <c r="E103" i="6"/>
  <c r="N162" i="12"/>
  <c r="AB31" i="5"/>
  <c r="C26" i="8" s="1"/>
  <c r="Y92" i="12"/>
  <c r="AO51" i="12"/>
  <c r="Y51" i="12" s="1"/>
  <c r="Y52" i="12"/>
  <c r="J104" i="12"/>
  <c r="C104" i="12"/>
  <c r="N116" i="12"/>
  <c r="N164" i="12"/>
  <c r="Y107" i="12"/>
  <c r="AQ55" i="8"/>
  <c r="AH55" i="8"/>
  <c r="AP55" i="8"/>
  <c r="AF55" i="8"/>
  <c r="G54" i="8"/>
  <c r="F54" i="8"/>
  <c r="AB55" i="8"/>
  <c r="AE55" i="8"/>
  <c r="AM55" i="8"/>
  <c r="AD55" i="8"/>
  <c r="AA55" i="8"/>
  <c r="X55" i="8"/>
  <c r="AC55" i="8"/>
  <c r="AN55" i="8"/>
  <c r="U55" i="8"/>
  <c r="AJ55" i="8"/>
  <c r="Y55" i="8"/>
  <c r="V55" i="8"/>
  <c r="AK55" i="8"/>
  <c r="W55" i="8"/>
  <c r="G53" i="8"/>
  <c r="I54" i="8" s="1"/>
  <c r="Z55" i="8"/>
  <c r="AO55" i="8"/>
  <c r="T55" i="8"/>
  <c r="F53" i="8"/>
  <c r="AI55" i="8"/>
  <c r="AL55" i="8"/>
  <c r="AG55" i="8"/>
  <c r="D55" i="8"/>
  <c r="AB149" i="5"/>
  <c r="C71" i="8" s="1"/>
  <c r="O100" i="12"/>
  <c r="N101" i="12"/>
  <c r="AL64" i="8"/>
  <c r="F63" i="8"/>
  <c r="AC64" i="8"/>
  <c r="AP64" i="8"/>
  <c r="W64" i="8"/>
  <c r="G62" i="8"/>
  <c r="I63" i="8" s="1"/>
  <c r="X64" i="8"/>
  <c r="G63" i="8"/>
  <c r="AN64" i="8"/>
  <c r="AI64" i="8"/>
  <c r="Y64" i="8"/>
  <c r="V64" i="8"/>
  <c r="AM64" i="8"/>
  <c r="AO64" i="8"/>
  <c r="AG64" i="8"/>
  <c r="AE64" i="8"/>
  <c r="U64" i="8"/>
  <c r="T64" i="8"/>
  <c r="F62" i="8"/>
  <c r="AF64" i="8"/>
  <c r="AQ64" i="8"/>
  <c r="AK64" i="8"/>
  <c r="D64" i="8"/>
  <c r="AA64" i="8"/>
  <c r="AJ64" i="8"/>
  <c r="Z64" i="8"/>
  <c r="AD64" i="8"/>
  <c r="AB64" i="8"/>
  <c r="AH64" i="8"/>
  <c r="N38" i="12"/>
  <c r="Y30" i="12"/>
  <c r="Y25" i="12"/>
  <c r="N85" i="12"/>
  <c r="M171" i="12"/>
  <c r="D166" i="12"/>
  <c r="E166" i="6"/>
  <c r="AK79" i="8"/>
  <c r="U79" i="8"/>
  <c r="AM79" i="8"/>
  <c r="G77" i="8"/>
  <c r="I78" i="8" s="1"/>
  <c r="AB79" i="8"/>
  <c r="AN79" i="8"/>
  <c r="T79" i="8"/>
  <c r="W79" i="8"/>
  <c r="V79" i="8"/>
  <c r="D79" i="8"/>
  <c r="AG79" i="8"/>
  <c r="AA79" i="8"/>
  <c r="F78" i="8"/>
  <c r="AJ79" i="8"/>
  <c r="AD79" i="8"/>
  <c r="G78" i="8"/>
  <c r="AI79" i="8"/>
  <c r="AC79" i="8"/>
  <c r="AQ79" i="8"/>
  <c r="AF79" i="8"/>
  <c r="AH79" i="8"/>
  <c r="AE79" i="8"/>
  <c r="F77" i="8"/>
  <c r="X79" i="8"/>
  <c r="AO79" i="8"/>
  <c r="AL79" i="8"/>
  <c r="AP79" i="8"/>
  <c r="Z79" i="8"/>
  <c r="Y79" i="8"/>
  <c r="Y110" i="12"/>
  <c r="E43" i="6"/>
  <c r="D43" i="12"/>
  <c r="E172" i="6"/>
  <c r="D172" i="12"/>
  <c r="O28" i="5"/>
  <c r="C28" i="6"/>
  <c r="C28" i="12"/>
  <c r="J28" i="12"/>
  <c r="O28" i="12"/>
  <c r="N28" i="12" s="1"/>
  <c r="N29" i="12"/>
  <c r="N99" i="12"/>
  <c r="J179" i="12"/>
  <c r="C179" i="12"/>
  <c r="N163" i="12"/>
  <c r="X128" i="12"/>
  <c r="W128" i="12"/>
  <c r="N21" i="12"/>
  <c r="N63" i="12"/>
  <c r="N190" i="12"/>
  <c r="X112" i="12"/>
  <c r="N106" i="12"/>
  <c r="Y191" i="12"/>
  <c r="O45" i="5"/>
  <c r="C45" i="6"/>
  <c r="AB175" i="5"/>
  <c r="C80" i="8" s="1"/>
  <c r="M159" i="12"/>
  <c r="E57" i="6"/>
  <c r="D57" i="12"/>
  <c r="AB51" i="5"/>
  <c r="C35" i="8" s="1"/>
  <c r="N105" i="12"/>
  <c r="O104" i="12"/>
  <c r="AB75" i="5"/>
  <c r="C50" i="8" s="1"/>
  <c r="Y146" i="12"/>
  <c r="N146" i="12"/>
  <c r="X91" i="12"/>
  <c r="W91" i="12"/>
  <c r="Y151" i="12"/>
  <c r="Y178" i="12"/>
  <c r="AB68" i="5"/>
  <c r="C47" i="8" s="1"/>
  <c r="AQ49" i="8"/>
  <c r="Z49" i="8"/>
  <c r="T49" i="8"/>
  <c r="AN49" i="8"/>
  <c r="G47" i="8"/>
  <c r="I48" i="8" s="1"/>
  <c r="AL49" i="8"/>
  <c r="F47" i="8"/>
  <c r="AG49" i="8"/>
  <c r="AK49" i="8"/>
  <c r="AF49" i="8"/>
  <c r="G48" i="8"/>
  <c r="AB49" i="8"/>
  <c r="U49" i="8"/>
  <c r="W49" i="8"/>
  <c r="AC49" i="8"/>
  <c r="D49" i="8"/>
  <c r="AE49" i="8"/>
  <c r="AD49" i="8"/>
  <c r="AH49" i="8"/>
  <c r="AP49" i="8"/>
  <c r="AI49" i="8"/>
  <c r="AO49" i="8"/>
  <c r="AM49" i="8"/>
  <c r="V49" i="8"/>
  <c r="X49" i="8"/>
  <c r="AA49" i="8"/>
  <c r="Y49" i="8"/>
  <c r="F48" i="8"/>
  <c r="AJ49" i="8"/>
  <c r="Y157" i="12"/>
  <c r="N61" i="12"/>
  <c r="N70" i="12"/>
  <c r="AB79" i="5"/>
  <c r="C53" i="8" s="1"/>
  <c r="O149" i="5"/>
  <c r="C149" i="6"/>
  <c r="AB42" i="5"/>
  <c r="C29" i="8" s="1"/>
  <c r="E35" i="6"/>
  <c r="D35" i="12"/>
  <c r="Y139" i="12"/>
  <c r="AO94" i="12"/>
  <c r="Y95" i="12"/>
  <c r="N166" i="12"/>
  <c r="D161" i="12"/>
  <c r="E161" i="6"/>
  <c r="AB171" i="5"/>
  <c r="C77" i="8" s="1"/>
  <c r="W132" i="5"/>
  <c r="X132" i="5" s="1"/>
  <c r="AN132" i="5"/>
  <c r="AN64" i="5"/>
  <c r="W64" i="5"/>
  <c r="X64" i="5" s="1"/>
  <c r="X50" i="12" l="1"/>
  <c r="Y94" i="12"/>
  <c r="W114" i="12"/>
  <c r="L179" i="12"/>
  <c r="K179" i="12" s="1"/>
  <c r="X144" i="12"/>
  <c r="W182" i="12"/>
  <c r="Y42" i="12"/>
  <c r="N68" i="12"/>
  <c r="W111" i="12"/>
  <c r="X147" i="12"/>
  <c r="X186" i="12"/>
  <c r="W56" i="12"/>
  <c r="V56" i="12" s="1"/>
  <c r="X22" i="12"/>
  <c r="X96" i="12"/>
  <c r="X119" i="12"/>
  <c r="N75" i="12"/>
  <c r="X62" i="12"/>
  <c r="X98" i="12"/>
  <c r="W86" i="12"/>
  <c r="W38" i="12"/>
  <c r="V38" i="12" s="1"/>
  <c r="W23" i="12"/>
  <c r="U183" i="12"/>
  <c r="V183" i="12"/>
  <c r="T183" i="12"/>
  <c r="W167" i="12"/>
  <c r="W93" i="12"/>
  <c r="X120" i="12"/>
  <c r="N175" i="12"/>
  <c r="Y159" i="12"/>
  <c r="X159" i="12" s="1"/>
  <c r="W83" i="12"/>
  <c r="V83" i="12" s="1"/>
  <c r="W131" i="12"/>
  <c r="T131" i="12" s="1"/>
  <c r="N42" i="12"/>
  <c r="L28" i="12"/>
  <c r="K58" i="12"/>
  <c r="K175" i="12"/>
  <c r="W110" i="12"/>
  <c r="X110" i="12"/>
  <c r="W107" i="12"/>
  <c r="X107" i="12"/>
  <c r="W82" i="12"/>
  <c r="X82" i="12"/>
  <c r="X124" i="12"/>
  <c r="W124" i="12"/>
  <c r="W42" i="12"/>
  <c r="X42" i="12"/>
  <c r="X76" i="12"/>
  <c r="W76" i="12"/>
  <c r="W40" i="12"/>
  <c r="X40" i="12"/>
  <c r="X32" i="12"/>
  <c r="W32" i="12"/>
  <c r="V168" i="12"/>
  <c r="T168" i="12"/>
  <c r="U168" i="12"/>
  <c r="U102" i="12"/>
  <c r="V102" i="12"/>
  <c r="T102" i="12"/>
  <c r="W29" i="12"/>
  <c r="X29" i="12"/>
  <c r="W101" i="12"/>
  <c r="X101" i="12"/>
  <c r="N79" i="12"/>
  <c r="Y179" i="12"/>
  <c r="V147" i="12"/>
  <c r="U147" i="12"/>
  <c r="T147" i="12"/>
  <c r="Z67" i="5"/>
  <c r="I67" i="12"/>
  <c r="X66" i="5"/>
  <c r="AB67" i="6"/>
  <c r="L67" i="5"/>
  <c r="I67" i="5"/>
  <c r="AM67" i="5"/>
  <c r="U186" i="12"/>
  <c r="T186" i="12"/>
  <c r="V186" i="12"/>
  <c r="T55" i="12"/>
  <c r="U55" i="12"/>
  <c r="V55" i="12"/>
  <c r="W159" i="12"/>
  <c r="U106" i="12"/>
  <c r="V106" i="12"/>
  <c r="T106" i="12"/>
  <c r="W171" i="12"/>
  <c r="X171" i="12"/>
  <c r="U62" i="12"/>
  <c r="V62" i="12"/>
  <c r="T62" i="12"/>
  <c r="Y68" i="12"/>
  <c r="U113" i="12"/>
  <c r="V113" i="12"/>
  <c r="T113" i="12"/>
  <c r="N51" i="12"/>
  <c r="T162" i="12"/>
  <c r="V162" i="12"/>
  <c r="U162" i="12"/>
  <c r="W46" i="12"/>
  <c r="X46" i="12"/>
  <c r="V115" i="12"/>
  <c r="U115" i="12"/>
  <c r="T115" i="12"/>
  <c r="V143" i="12"/>
  <c r="U143" i="12"/>
  <c r="T143" i="12"/>
  <c r="Y188" i="12"/>
  <c r="V22" i="12"/>
  <c r="U22" i="12"/>
  <c r="T22" i="12"/>
  <c r="E58" i="6"/>
  <c r="H38" i="8"/>
  <c r="D58" i="12"/>
  <c r="T140" i="12"/>
  <c r="V140" i="12"/>
  <c r="U140" i="12"/>
  <c r="AM18" i="5"/>
  <c r="I18" i="12"/>
  <c r="I18" i="5"/>
  <c r="I19" i="5" s="1"/>
  <c r="L18" i="5"/>
  <c r="Z18" i="5"/>
  <c r="AB18" i="6"/>
  <c r="X17" i="5"/>
  <c r="AC18" i="5"/>
  <c r="X166" i="12"/>
  <c r="W166" i="12"/>
  <c r="Y104" i="12"/>
  <c r="W53" i="12"/>
  <c r="X53" i="12"/>
  <c r="W21" i="12"/>
  <c r="X21" i="12"/>
  <c r="X126" i="12"/>
  <c r="W126" i="12"/>
  <c r="V85" i="12"/>
  <c r="T85" i="12"/>
  <c r="U85" i="12"/>
  <c r="W127" i="12"/>
  <c r="X127" i="12"/>
  <c r="X136" i="12"/>
  <c r="W136" i="12"/>
  <c r="W78" i="12"/>
  <c r="X78" i="12"/>
  <c r="U144" i="12"/>
  <c r="T144" i="12"/>
  <c r="V144" i="12"/>
  <c r="U120" i="12"/>
  <c r="T120" i="12"/>
  <c r="V120" i="12"/>
  <c r="T50" i="12"/>
  <c r="V50" i="12"/>
  <c r="U50" i="12"/>
  <c r="W176" i="12"/>
  <c r="X176" i="12"/>
  <c r="Y58" i="12"/>
  <c r="U83" i="12"/>
  <c r="U131" i="12"/>
  <c r="V131" i="12"/>
  <c r="AB20" i="5"/>
  <c r="X157" i="12"/>
  <c r="W157" i="12"/>
  <c r="X178" i="12"/>
  <c r="W178" i="12"/>
  <c r="X151" i="12"/>
  <c r="W151" i="12"/>
  <c r="X146" i="12"/>
  <c r="W146" i="12"/>
  <c r="T182" i="12"/>
  <c r="V182" i="12"/>
  <c r="U182" i="12"/>
  <c r="L100" i="12"/>
  <c r="K100" i="12" s="1"/>
  <c r="N100" i="12"/>
  <c r="W52" i="12"/>
  <c r="X52" i="12"/>
  <c r="U119" i="12"/>
  <c r="T119" i="12"/>
  <c r="V119" i="12"/>
  <c r="D159" i="12"/>
  <c r="H74" i="8"/>
  <c r="E159" i="6"/>
  <c r="W170" i="12"/>
  <c r="X170" i="12"/>
  <c r="V98" i="12"/>
  <c r="T98" i="12"/>
  <c r="U98" i="12"/>
  <c r="W43" i="12"/>
  <c r="X43" i="12"/>
  <c r="W75" i="12"/>
  <c r="X75" i="12"/>
  <c r="D42" i="12"/>
  <c r="E42" i="6"/>
  <c r="H29" i="8"/>
  <c r="N31" i="12"/>
  <c r="I27" i="12"/>
  <c r="Z27" i="5"/>
  <c r="X26" i="5"/>
  <c r="AM27" i="5"/>
  <c r="I27" i="5"/>
  <c r="L27" i="5"/>
  <c r="AB27" i="6"/>
  <c r="AC27" i="5"/>
  <c r="W24" i="12"/>
  <c r="X24" i="12"/>
  <c r="X121" i="12"/>
  <c r="W121" i="12"/>
  <c r="X109" i="12"/>
  <c r="W109" i="12"/>
  <c r="V99" i="12"/>
  <c r="T99" i="12"/>
  <c r="U99" i="12"/>
  <c r="X77" i="12"/>
  <c r="W77" i="12"/>
  <c r="W174" i="12"/>
  <c r="X174" i="12"/>
  <c r="V173" i="12"/>
  <c r="U173" i="12"/>
  <c r="T173" i="12"/>
  <c r="T156" i="12"/>
  <c r="V156" i="12"/>
  <c r="U156" i="12"/>
  <c r="X123" i="12"/>
  <c r="W123" i="12"/>
  <c r="T152" i="12"/>
  <c r="V152" i="12"/>
  <c r="U152" i="12"/>
  <c r="V111" i="12"/>
  <c r="U111" i="12"/>
  <c r="T111" i="12"/>
  <c r="X148" i="12"/>
  <c r="W148" i="12"/>
  <c r="H35" i="8"/>
  <c r="E51" i="6"/>
  <c r="D51" i="12"/>
  <c r="W149" i="12"/>
  <c r="X149" i="12"/>
  <c r="W184" i="12"/>
  <c r="X184" i="12"/>
  <c r="T181" i="12"/>
  <c r="V181" i="12"/>
  <c r="U181" i="12"/>
  <c r="T49" i="12"/>
  <c r="U49" i="12"/>
  <c r="V49" i="12"/>
  <c r="D68" i="12"/>
  <c r="E68" i="6"/>
  <c r="H47" i="8"/>
  <c r="U47" i="12"/>
  <c r="T47" i="12"/>
  <c r="V47" i="12"/>
  <c r="T34" i="12"/>
  <c r="U34" i="12"/>
  <c r="V34" i="12"/>
  <c r="X69" i="12"/>
  <c r="W69" i="12"/>
  <c r="H65" i="8"/>
  <c r="E104" i="6"/>
  <c r="D104" i="12"/>
  <c r="V187" i="12"/>
  <c r="U187" i="12"/>
  <c r="T187" i="12"/>
  <c r="U167" i="12"/>
  <c r="T167" i="12"/>
  <c r="V167" i="12"/>
  <c r="E75" i="6"/>
  <c r="D75" i="12"/>
  <c r="H50" i="8"/>
  <c r="V138" i="12"/>
  <c r="T138" i="12"/>
  <c r="U138" i="12"/>
  <c r="U93" i="12"/>
  <c r="V93" i="12"/>
  <c r="T93" i="12"/>
  <c r="W61" i="12"/>
  <c r="X61" i="12"/>
  <c r="L68" i="12"/>
  <c r="K68" i="12" s="1"/>
  <c r="W105" i="12"/>
  <c r="X105" i="12"/>
  <c r="H89" i="8"/>
  <c r="D188" i="12"/>
  <c r="E188" i="6"/>
  <c r="X145" i="12"/>
  <c r="W145" i="12"/>
  <c r="L171" i="12"/>
  <c r="K171" i="12" s="1"/>
  <c r="N171" i="12"/>
  <c r="X161" i="12"/>
  <c r="W161" i="12"/>
  <c r="V164" i="12"/>
  <c r="U164" i="12"/>
  <c r="T164" i="12"/>
  <c r="U116" i="12"/>
  <c r="V116" i="12"/>
  <c r="T116" i="12"/>
  <c r="X44" i="12"/>
  <c r="W44" i="12"/>
  <c r="W19" i="12"/>
  <c r="X19" i="12"/>
  <c r="Y79" i="12"/>
  <c r="X103" i="12"/>
  <c r="W103" i="12"/>
  <c r="T114" i="12"/>
  <c r="V114" i="12"/>
  <c r="U114" i="12"/>
  <c r="X59" i="12"/>
  <c r="W59" i="12"/>
  <c r="AO20" i="12"/>
  <c r="O20" i="12"/>
  <c r="M20" i="12"/>
  <c r="C20" i="12"/>
  <c r="I64" i="12"/>
  <c r="L64" i="5"/>
  <c r="AB64" i="6"/>
  <c r="AM64" i="5"/>
  <c r="Z64" i="5"/>
  <c r="AC64" i="5"/>
  <c r="X60" i="5"/>
  <c r="I64" i="5"/>
  <c r="I65" i="5" s="1"/>
  <c r="O65" i="5" s="1"/>
  <c r="W95" i="12"/>
  <c r="X95" i="12"/>
  <c r="X94" i="12"/>
  <c r="W94" i="12"/>
  <c r="U96" i="12"/>
  <c r="V96" i="12"/>
  <c r="T96" i="12"/>
  <c r="W139" i="12"/>
  <c r="X139" i="12"/>
  <c r="T91" i="12"/>
  <c r="V91" i="12"/>
  <c r="U91" i="12"/>
  <c r="T112" i="12"/>
  <c r="V112" i="12"/>
  <c r="U112" i="12"/>
  <c r="U128" i="12"/>
  <c r="V128" i="12"/>
  <c r="T128" i="12"/>
  <c r="X25" i="12"/>
  <c r="W25" i="12"/>
  <c r="W51" i="12"/>
  <c r="X51" i="12"/>
  <c r="K184" i="12"/>
  <c r="W89" i="12"/>
  <c r="X89" i="12"/>
  <c r="W165" i="12"/>
  <c r="X165" i="12"/>
  <c r="X135" i="12"/>
  <c r="W135" i="12"/>
  <c r="X97" i="12"/>
  <c r="W97" i="12"/>
  <c r="W141" i="12"/>
  <c r="X141" i="12"/>
  <c r="W84" i="12"/>
  <c r="X84" i="12"/>
  <c r="W125" i="12"/>
  <c r="X125" i="12"/>
  <c r="T86" i="12"/>
  <c r="U86" i="12"/>
  <c r="V86" i="12"/>
  <c r="W129" i="12"/>
  <c r="X129" i="12"/>
  <c r="U190" i="12"/>
  <c r="T190" i="12"/>
  <c r="V190" i="12"/>
  <c r="H62" i="8"/>
  <c r="E100" i="6"/>
  <c r="D100" i="12"/>
  <c r="W133" i="12"/>
  <c r="X133" i="12"/>
  <c r="L31" i="12"/>
  <c r="K31" i="12" s="1"/>
  <c r="U142" i="12"/>
  <c r="V142" i="12"/>
  <c r="T142" i="12"/>
  <c r="L75" i="12"/>
  <c r="K75" i="12" s="1"/>
  <c r="X150" i="12"/>
  <c r="W150" i="12"/>
  <c r="W185" i="12"/>
  <c r="X185" i="12"/>
  <c r="U72" i="12"/>
  <c r="V72" i="12"/>
  <c r="T72" i="12"/>
  <c r="T137" i="12"/>
  <c r="U137" i="12"/>
  <c r="V137" i="12"/>
  <c r="E171" i="6"/>
  <c r="H77" i="8"/>
  <c r="D171" i="12"/>
  <c r="U56" i="12"/>
  <c r="T56" i="12"/>
  <c r="D31" i="12"/>
  <c r="H26" i="8"/>
  <c r="E31" i="6"/>
  <c r="H86" i="8"/>
  <c r="D184" i="12"/>
  <c r="E184" i="6"/>
  <c r="V81" i="12"/>
  <c r="U81" i="12"/>
  <c r="T81" i="12"/>
  <c r="U158" i="12"/>
  <c r="V158" i="12"/>
  <c r="T158" i="12"/>
  <c r="U41" i="12"/>
  <c r="V41" i="12"/>
  <c r="T41" i="12"/>
  <c r="V33" i="12"/>
  <c r="T33" i="12"/>
  <c r="U33" i="12"/>
  <c r="W154" i="12"/>
  <c r="X154" i="12"/>
  <c r="W130" i="12"/>
  <c r="X130" i="12"/>
  <c r="L159" i="12"/>
  <c r="K159" i="12" s="1"/>
  <c r="N159" i="12"/>
  <c r="X65" i="12"/>
  <c r="W65" i="12"/>
  <c r="W63" i="12"/>
  <c r="X63" i="12"/>
  <c r="W163" i="12"/>
  <c r="X163" i="12"/>
  <c r="L79" i="12"/>
  <c r="K79" i="12" s="1"/>
  <c r="X80" i="12"/>
  <c r="W80" i="12"/>
  <c r="T118" i="12"/>
  <c r="V118" i="12"/>
  <c r="U118" i="12"/>
  <c r="W57" i="12"/>
  <c r="X57" i="12"/>
  <c r="X90" i="12"/>
  <c r="W90" i="12"/>
  <c r="T23" i="12"/>
  <c r="V23" i="12"/>
  <c r="U23" i="12"/>
  <c r="C20" i="6"/>
  <c r="X191" i="12"/>
  <c r="W191" i="12"/>
  <c r="Z132" i="5"/>
  <c r="L132" i="5"/>
  <c r="AM132" i="5"/>
  <c r="I132" i="12"/>
  <c r="AB132" i="6"/>
  <c r="I132" i="5"/>
  <c r="I133" i="5" s="1"/>
  <c r="AC132" i="5"/>
  <c r="X108" i="5"/>
  <c r="D149" i="12"/>
  <c r="E149" i="6"/>
  <c r="H71" i="8"/>
  <c r="L104" i="12"/>
  <c r="K104" i="12" s="1"/>
  <c r="N104" i="12"/>
  <c r="D45" i="12"/>
  <c r="H32" i="8"/>
  <c r="E45" i="6"/>
  <c r="K28" i="12"/>
  <c r="E28" i="6"/>
  <c r="D28" i="12"/>
  <c r="H23" i="8"/>
  <c r="X30" i="12"/>
  <c r="W30" i="12"/>
  <c r="W92" i="12"/>
  <c r="X92" i="12"/>
  <c r="H80" i="8"/>
  <c r="D175" i="12"/>
  <c r="E175" i="6"/>
  <c r="V37" i="12"/>
  <c r="T37" i="12"/>
  <c r="U37" i="12"/>
  <c r="H59" i="8"/>
  <c r="E94" i="6"/>
  <c r="D94" i="12"/>
  <c r="L188" i="12"/>
  <c r="K188" i="12" s="1"/>
  <c r="N188" i="12"/>
  <c r="K42" i="12"/>
  <c r="Y31" i="12"/>
  <c r="V36" i="12"/>
  <c r="U36" i="12"/>
  <c r="T36" i="12"/>
  <c r="U155" i="12"/>
  <c r="T155" i="12"/>
  <c r="V155" i="12"/>
  <c r="L94" i="12"/>
  <c r="K94" i="12" s="1"/>
  <c r="N94" i="12"/>
  <c r="K149" i="12"/>
  <c r="K45" i="12"/>
  <c r="Y28" i="12"/>
  <c r="U38" i="12"/>
  <c r="T38" i="12"/>
  <c r="Y100" i="12"/>
  <c r="K51" i="12"/>
  <c r="V71" i="12"/>
  <c r="U71" i="12"/>
  <c r="T71" i="12"/>
  <c r="V153" i="12"/>
  <c r="T153" i="12"/>
  <c r="U153" i="12"/>
  <c r="T74" i="12"/>
  <c r="V74" i="12"/>
  <c r="U74" i="12"/>
  <c r="X180" i="12"/>
  <c r="W180" i="12"/>
  <c r="AC67" i="5"/>
  <c r="T117" i="12"/>
  <c r="U117" i="12"/>
  <c r="V117" i="12"/>
  <c r="T70" i="12"/>
  <c r="V70" i="12"/>
  <c r="U70" i="12"/>
  <c r="W160" i="12"/>
  <c r="X160" i="12"/>
  <c r="T122" i="12"/>
  <c r="V122" i="12"/>
  <c r="U122" i="12"/>
  <c r="W172" i="12"/>
  <c r="X172" i="12"/>
  <c r="D79" i="12"/>
  <c r="E79" i="6"/>
  <c r="H53" i="8"/>
  <c r="U39" i="12"/>
  <c r="V39" i="12"/>
  <c r="T39" i="12"/>
  <c r="W45" i="12"/>
  <c r="X45" i="12"/>
  <c r="V134" i="12"/>
  <c r="U134" i="12"/>
  <c r="T134" i="12"/>
  <c r="T169" i="12"/>
  <c r="V169" i="12"/>
  <c r="U169" i="12"/>
  <c r="W189" i="12"/>
  <c r="X189" i="12"/>
  <c r="T48" i="12"/>
  <c r="V48" i="12"/>
  <c r="U48" i="12"/>
  <c r="X54" i="12"/>
  <c r="W54" i="12"/>
  <c r="H83" i="8"/>
  <c r="E179" i="6"/>
  <c r="D179" i="12"/>
  <c r="W35" i="12"/>
  <c r="X35" i="12"/>
  <c r="N45" i="12"/>
  <c r="X73" i="12"/>
  <c r="W73" i="12"/>
  <c r="Y175" i="12"/>
  <c r="X177" i="12"/>
  <c r="W177" i="12"/>
  <c r="E65" i="6" l="1"/>
  <c r="D65" i="12"/>
  <c r="T83" i="12"/>
  <c r="Y20" i="12"/>
  <c r="V160" i="12"/>
  <c r="U160" i="12"/>
  <c r="T160" i="12"/>
  <c r="V189" i="12"/>
  <c r="U189" i="12"/>
  <c r="T189" i="12"/>
  <c r="T45" i="12"/>
  <c r="U45" i="12"/>
  <c r="V45" i="12"/>
  <c r="V172" i="12"/>
  <c r="U172" i="12"/>
  <c r="T172" i="12"/>
  <c r="W31" i="12"/>
  <c r="X31" i="12"/>
  <c r="AB132" i="5"/>
  <c r="AB108" i="5" s="1"/>
  <c r="U90" i="12"/>
  <c r="V90" i="12"/>
  <c r="T90" i="12"/>
  <c r="T97" i="12"/>
  <c r="U97" i="12"/>
  <c r="V97" i="12"/>
  <c r="I60" i="12"/>
  <c r="AC60" i="5"/>
  <c r="R41" i="8"/>
  <c r="AM60" i="5"/>
  <c r="Z60" i="5"/>
  <c r="L60" i="5"/>
  <c r="T103" i="12"/>
  <c r="V103" i="12"/>
  <c r="U103" i="12"/>
  <c r="U19" i="12"/>
  <c r="T19" i="12"/>
  <c r="V19" i="12"/>
  <c r="U109" i="12"/>
  <c r="T109" i="12"/>
  <c r="V109" i="12"/>
  <c r="C27" i="6"/>
  <c r="O27" i="5"/>
  <c r="AB27" i="5"/>
  <c r="AB26" i="5" s="1"/>
  <c r="T146" i="12"/>
  <c r="V146" i="12"/>
  <c r="U146" i="12"/>
  <c r="U178" i="12"/>
  <c r="T178" i="12"/>
  <c r="V178" i="12"/>
  <c r="W58" i="12"/>
  <c r="X58" i="12"/>
  <c r="V21" i="12"/>
  <c r="U21" i="12"/>
  <c r="T21" i="12"/>
  <c r="T166" i="12"/>
  <c r="U166" i="12"/>
  <c r="V166" i="12"/>
  <c r="C18" i="6"/>
  <c r="O18" i="5"/>
  <c r="O67" i="5"/>
  <c r="C67" i="6"/>
  <c r="AB67" i="5"/>
  <c r="AB66" i="5" s="1"/>
  <c r="W179" i="12"/>
  <c r="X179" i="12"/>
  <c r="U32" i="12"/>
  <c r="T32" i="12"/>
  <c r="V32" i="12"/>
  <c r="V76" i="12"/>
  <c r="U76" i="12"/>
  <c r="T76" i="12"/>
  <c r="T124" i="12"/>
  <c r="V124" i="12"/>
  <c r="U124" i="12"/>
  <c r="T180" i="12"/>
  <c r="U180" i="12"/>
  <c r="V180" i="12"/>
  <c r="W100" i="12"/>
  <c r="X100" i="12"/>
  <c r="X28" i="12"/>
  <c r="W28" i="12"/>
  <c r="AM108" i="5"/>
  <c r="I108" i="12"/>
  <c r="AC108" i="5"/>
  <c r="R68" i="8"/>
  <c r="L108" i="5"/>
  <c r="Z108" i="5"/>
  <c r="M132" i="12"/>
  <c r="M108" i="12" s="1"/>
  <c r="C132" i="12"/>
  <c r="O132" i="12"/>
  <c r="AO132" i="12"/>
  <c r="V191" i="12"/>
  <c r="T191" i="12"/>
  <c r="U191" i="12"/>
  <c r="T63" i="12"/>
  <c r="U63" i="12"/>
  <c r="V63" i="12"/>
  <c r="U154" i="12"/>
  <c r="V154" i="12"/>
  <c r="T154" i="12"/>
  <c r="T185" i="12"/>
  <c r="U185" i="12"/>
  <c r="V185" i="12"/>
  <c r="V84" i="12"/>
  <c r="T84" i="12"/>
  <c r="U84" i="12"/>
  <c r="V165" i="12"/>
  <c r="T165" i="12"/>
  <c r="U165" i="12"/>
  <c r="O64" i="5"/>
  <c r="C64" i="6"/>
  <c r="N20" i="12"/>
  <c r="V44" i="12"/>
  <c r="U44" i="12"/>
  <c r="T44" i="12"/>
  <c r="U161" i="12"/>
  <c r="V161" i="12"/>
  <c r="T161" i="12"/>
  <c r="U145" i="12"/>
  <c r="V145" i="12"/>
  <c r="T145" i="12"/>
  <c r="T69" i="12"/>
  <c r="U69" i="12"/>
  <c r="V69" i="12"/>
  <c r="T149" i="12"/>
  <c r="V149" i="12"/>
  <c r="U149" i="12"/>
  <c r="U148" i="12"/>
  <c r="T148" i="12"/>
  <c r="V148" i="12"/>
  <c r="V123" i="12"/>
  <c r="T123" i="12"/>
  <c r="U123" i="12"/>
  <c r="T24" i="12"/>
  <c r="U24" i="12"/>
  <c r="V24" i="12"/>
  <c r="M27" i="12"/>
  <c r="M26" i="12" s="1"/>
  <c r="AO27" i="12"/>
  <c r="O27" i="12"/>
  <c r="C27" i="12"/>
  <c r="T43" i="12"/>
  <c r="V43" i="12"/>
  <c r="U43" i="12"/>
  <c r="V78" i="12"/>
  <c r="T78" i="12"/>
  <c r="U78" i="12"/>
  <c r="T127" i="12"/>
  <c r="V127" i="12"/>
  <c r="U127" i="12"/>
  <c r="T126" i="12"/>
  <c r="U126" i="12"/>
  <c r="V126" i="12"/>
  <c r="AM17" i="5"/>
  <c r="L17" i="5"/>
  <c r="Z17" i="5"/>
  <c r="I17" i="12"/>
  <c r="R17" i="8"/>
  <c r="AC17" i="5"/>
  <c r="I20" i="5"/>
  <c r="O19" i="5"/>
  <c r="X188" i="12"/>
  <c r="W188" i="12"/>
  <c r="U46" i="12"/>
  <c r="V46" i="12"/>
  <c r="T46" i="12"/>
  <c r="X68" i="12"/>
  <c r="W68" i="12"/>
  <c r="T29" i="12"/>
  <c r="V29" i="12"/>
  <c r="U29" i="12"/>
  <c r="V107" i="12"/>
  <c r="T107" i="12"/>
  <c r="U107" i="12"/>
  <c r="T35" i="12"/>
  <c r="V35" i="12"/>
  <c r="U35" i="12"/>
  <c r="V92" i="12"/>
  <c r="U92" i="12"/>
  <c r="T92" i="12"/>
  <c r="V65" i="12"/>
  <c r="T65" i="12"/>
  <c r="U65" i="12"/>
  <c r="V150" i="12"/>
  <c r="U150" i="12"/>
  <c r="T150" i="12"/>
  <c r="T133" i="12"/>
  <c r="V133" i="12"/>
  <c r="U133" i="12"/>
  <c r="U129" i="12"/>
  <c r="V129" i="12"/>
  <c r="T129" i="12"/>
  <c r="V135" i="12"/>
  <c r="T135" i="12"/>
  <c r="U135" i="12"/>
  <c r="U51" i="12"/>
  <c r="T51" i="12"/>
  <c r="V51" i="12"/>
  <c r="V95" i="12"/>
  <c r="T95" i="12"/>
  <c r="U95" i="12"/>
  <c r="AB64" i="5"/>
  <c r="AB60" i="5" s="1"/>
  <c r="C64" i="12"/>
  <c r="O64" i="12"/>
  <c r="AO64" i="12"/>
  <c r="M64" i="12"/>
  <c r="M60" i="12" s="1"/>
  <c r="W20" i="12"/>
  <c r="X20" i="12"/>
  <c r="W79" i="12"/>
  <c r="X79" i="12"/>
  <c r="T61" i="12"/>
  <c r="V61" i="12"/>
  <c r="U61" i="12"/>
  <c r="V174" i="12"/>
  <c r="T174" i="12"/>
  <c r="U174" i="12"/>
  <c r="V121" i="12"/>
  <c r="U121" i="12"/>
  <c r="T121" i="12"/>
  <c r="T170" i="12"/>
  <c r="V170" i="12"/>
  <c r="U170" i="12"/>
  <c r="U52" i="12"/>
  <c r="T52" i="12"/>
  <c r="V52" i="12"/>
  <c r="U151" i="12"/>
  <c r="T151" i="12"/>
  <c r="V151" i="12"/>
  <c r="V157" i="12"/>
  <c r="U157" i="12"/>
  <c r="T157" i="12"/>
  <c r="U176" i="12"/>
  <c r="T176" i="12"/>
  <c r="V176" i="12"/>
  <c r="V136" i="12"/>
  <c r="T136" i="12"/>
  <c r="U136" i="12"/>
  <c r="T53" i="12"/>
  <c r="V53" i="12"/>
  <c r="U53" i="12"/>
  <c r="AO18" i="12"/>
  <c r="O18" i="12"/>
  <c r="M18" i="12"/>
  <c r="C18" i="12"/>
  <c r="V171" i="12"/>
  <c r="T171" i="12"/>
  <c r="U171" i="12"/>
  <c r="AM66" i="5"/>
  <c r="I66" i="12"/>
  <c r="R44" i="8"/>
  <c r="Z66" i="5"/>
  <c r="L66" i="5"/>
  <c r="AC66" i="5"/>
  <c r="X175" i="12"/>
  <c r="W175" i="12"/>
  <c r="T73" i="12"/>
  <c r="U73" i="12"/>
  <c r="V73" i="12"/>
  <c r="U54" i="12"/>
  <c r="T54" i="12"/>
  <c r="V54" i="12"/>
  <c r="V177" i="12"/>
  <c r="U177" i="12"/>
  <c r="T177" i="12"/>
  <c r="V30" i="12"/>
  <c r="U30" i="12"/>
  <c r="T30" i="12"/>
  <c r="I134" i="5"/>
  <c r="O133" i="5"/>
  <c r="C132" i="6"/>
  <c r="O132" i="5"/>
  <c r="T57" i="12"/>
  <c r="U57" i="12"/>
  <c r="V57" i="12"/>
  <c r="T80" i="12"/>
  <c r="V80" i="12"/>
  <c r="U80" i="12"/>
  <c r="T163" i="12"/>
  <c r="U163" i="12"/>
  <c r="V163" i="12"/>
  <c r="V130" i="12"/>
  <c r="T130" i="12"/>
  <c r="U130" i="12"/>
  <c r="U125" i="12"/>
  <c r="T125" i="12"/>
  <c r="V125" i="12"/>
  <c r="V141" i="12"/>
  <c r="U141" i="12"/>
  <c r="T141" i="12"/>
  <c r="U89" i="12"/>
  <c r="V89" i="12"/>
  <c r="T89" i="12"/>
  <c r="V25" i="12"/>
  <c r="T25" i="12"/>
  <c r="U25" i="12"/>
  <c r="T139" i="12"/>
  <c r="U139" i="12"/>
  <c r="V139" i="12"/>
  <c r="V94" i="12"/>
  <c r="T94" i="12"/>
  <c r="U94" i="12"/>
  <c r="V59" i="12"/>
  <c r="T59" i="12"/>
  <c r="U59" i="12"/>
  <c r="U105" i="12"/>
  <c r="V105" i="12"/>
  <c r="T105" i="12"/>
  <c r="T184" i="12"/>
  <c r="V184" i="12"/>
  <c r="U184" i="12"/>
  <c r="V77" i="12"/>
  <c r="T77" i="12"/>
  <c r="U77" i="12"/>
  <c r="Z26" i="5"/>
  <c r="L26" i="5"/>
  <c r="AM26" i="5"/>
  <c r="I26" i="12"/>
  <c r="R20" i="8"/>
  <c r="AC26" i="5"/>
  <c r="U75" i="12"/>
  <c r="T75" i="12"/>
  <c r="V75" i="12"/>
  <c r="X104" i="12"/>
  <c r="W104" i="12"/>
  <c r="AB18" i="5"/>
  <c r="V159" i="12"/>
  <c r="U159" i="12"/>
  <c r="T159" i="12"/>
  <c r="O67" i="12"/>
  <c r="C67" i="12"/>
  <c r="M67" i="12"/>
  <c r="M66" i="12" s="1"/>
  <c r="AO67" i="12"/>
  <c r="V101" i="12"/>
  <c r="U101" i="12"/>
  <c r="T101" i="12"/>
  <c r="T40" i="12"/>
  <c r="V40" i="12"/>
  <c r="U40" i="12"/>
  <c r="T42" i="12"/>
  <c r="U42" i="12"/>
  <c r="V42" i="12"/>
  <c r="U82" i="12"/>
  <c r="T82" i="12"/>
  <c r="V82" i="12"/>
  <c r="V110" i="12"/>
  <c r="U110" i="12"/>
  <c r="T110" i="12"/>
  <c r="AG88" i="5"/>
  <c r="Y67" i="12" l="1"/>
  <c r="AO66" i="12"/>
  <c r="AB17" i="5"/>
  <c r="C17" i="8" s="1"/>
  <c r="J26" i="12"/>
  <c r="C26" i="12"/>
  <c r="E133" i="6"/>
  <c r="D133" i="12"/>
  <c r="J66" i="12"/>
  <c r="C66" i="12"/>
  <c r="Y18" i="12"/>
  <c r="AO17" i="12"/>
  <c r="V188" i="12"/>
  <c r="U188" i="12"/>
  <c r="T188" i="12"/>
  <c r="O17" i="5"/>
  <c r="C17" i="6"/>
  <c r="Y27" i="12"/>
  <c r="AO26" i="12"/>
  <c r="E64" i="6"/>
  <c r="D64" i="12"/>
  <c r="N132" i="12"/>
  <c r="O108" i="12"/>
  <c r="N108" i="12" s="1"/>
  <c r="O108" i="5"/>
  <c r="C108" i="6"/>
  <c r="V100" i="12"/>
  <c r="U100" i="12"/>
  <c r="T100" i="12"/>
  <c r="U58" i="12"/>
  <c r="T58" i="12"/>
  <c r="V58" i="12"/>
  <c r="C60" i="6"/>
  <c r="O60" i="5"/>
  <c r="V104" i="12"/>
  <c r="U104" i="12"/>
  <c r="T104" i="12"/>
  <c r="I135" i="5"/>
  <c r="O134" i="5"/>
  <c r="C66" i="6"/>
  <c r="O66" i="5"/>
  <c r="U79" i="12"/>
  <c r="V79" i="12"/>
  <c r="T79" i="12"/>
  <c r="Y64" i="12"/>
  <c r="AO60" i="12"/>
  <c r="AC19" i="8"/>
  <c r="AH19" i="8"/>
  <c r="AF19" i="8"/>
  <c r="D19" i="8"/>
  <c r="F17" i="8"/>
  <c r="AL19" i="8"/>
  <c r="AI19" i="8"/>
  <c r="AP19" i="8"/>
  <c r="U19" i="8"/>
  <c r="X19" i="8"/>
  <c r="AN19" i="8"/>
  <c r="W19" i="8"/>
  <c r="F18" i="8"/>
  <c r="T19" i="8"/>
  <c r="Z19" i="8"/>
  <c r="V19" i="8"/>
  <c r="AA19" i="8"/>
  <c r="Y19" i="8"/>
  <c r="AK19" i="8"/>
  <c r="AE19" i="8"/>
  <c r="AB19" i="8"/>
  <c r="AJ19" i="8"/>
  <c r="AO19" i="8"/>
  <c r="AM19" i="8"/>
  <c r="G18" i="8"/>
  <c r="G17" i="8"/>
  <c r="I18" i="8" s="1"/>
  <c r="AG19" i="8"/>
  <c r="AQ19" i="8"/>
  <c r="AD19" i="8"/>
  <c r="AI70" i="8"/>
  <c r="AJ70" i="8"/>
  <c r="AM70" i="8"/>
  <c r="T70" i="8"/>
  <c r="AB70" i="8"/>
  <c r="AQ70" i="8"/>
  <c r="AF70" i="8"/>
  <c r="AL70" i="8"/>
  <c r="U70" i="8"/>
  <c r="AC70" i="8"/>
  <c r="W70" i="8"/>
  <c r="Z70" i="8"/>
  <c r="G68" i="8"/>
  <c r="I69" i="8" s="1"/>
  <c r="AD70" i="8"/>
  <c r="AK70" i="8"/>
  <c r="F68" i="8"/>
  <c r="AG70" i="8"/>
  <c r="AH70" i="8"/>
  <c r="AO70" i="8"/>
  <c r="AP70" i="8"/>
  <c r="F69" i="8"/>
  <c r="AA70" i="8"/>
  <c r="G69" i="8"/>
  <c r="V70" i="8"/>
  <c r="AE70" i="8"/>
  <c r="AN70" i="8"/>
  <c r="Y70" i="8"/>
  <c r="D70" i="8"/>
  <c r="X70" i="8"/>
  <c r="U28" i="12"/>
  <c r="V28" i="12"/>
  <c r="T28" i="12"/>
  <c r="D27" i="12"/>
  <c r="E27" i="6"/>
  <c r="J60" i="12"/>
  <c r="C60" i="12"/>
  <c r="C68" i="8"/>
  <c r="E132" i="6"/>
  <c r="D132" i="12"/>
  <c r="U175" i="12"/>
  <c r="T175" i="12"/>
  <c r="V175" i="12"/>
  <c r="M17" i="12"/>
  <c r="N64" i="12"/>
  <c r="O60" i="12"/>
  <c r="D19" i="12"/>
  <c r="E19" i="6"/>
  <c r="C17" i="12"/>
  <c r="J17" i="12"/>
  <c r="V179" i="12"/>
  <c r="U179" i="12"/>
  <c r="T179" i="12"/>
  <c r="D67" i="12"/>
  <c r="E67" i="6"/>
  <c r="O26" i="5"/>
  <c r="C26" i="6"/>
  <c r="N67" i="12"/>
  <c r="O66" i="12"/>
  <c r="N66" i="12" s="1"/>
  <c r="F21" i="8"/>
  <c r="AF22" i="8"/>
  <c r="AD22" i="8"/>
  <c r="AG22" i="8"/>
  <c r="AN22" i="8"/>
  <c r="AB22" i="8"/>
  <c r="G20" i="8"/>
  <c r="I21" i="8" s="1"/>
  <c r="Y22" i="8"/>
  <c r="D22" i="8"/>
  <c r="AK22" i="8"/>
  <c r="AI22" i="8"/>
  <c r="AJ22" i="8"/>
  <c r="AH22" i="8"/>
  <c r="AM22" i="8"/>
  <c r="U22" i="8"/>
  <c r="AC22" i="8"/>
  <c r="AP22" i="8"/>
  <c r="AL22" i="8"/>
  <c r="AE22" i="8"/>
  <c r="V22" i="8"/>
  <c r="C20" i="8"/>
  <c r="F20" i="8"/>
  <c r="Z22" i="8"/>
  <c r="AO22" i="8"/>
  <c r="AQ22" i="8"/>
  <c r="AA22" i="8"/>
  <c r="T22" i="8"/>
  <c r="W22" i="8"/>
  <c r="G21" i="8"/>
  <c r="X22" i="8"/>
  <c r="AM46" i="8"/>
  <c r="AI46" i="8"/>
  <c r="Z46" i="8"/>
  <c r="AF46" i="8"/>
  <c r="G45" i="8"/>
  <c r="U46" i="8"/>
  <c r="AH46" i="8"/>
  <c r="X46" i="8"/>
  <c r="AD46" i="8"/>
  <c r="F44" i="8"/>
  <c r="AQ46" i="8"/>
  <c r="AJ46" i="8"/>
  <c r="AC46" i="8"/>
  <c r="AL46" i="8"/>
  <c r="D46" i="8"/>
  <c r="C44" i="8"/>
  <c r="Y46" i="8"/>
  <c r="F45" i="8"/>
  <c r="AP46" i="8"/>
  <c r="AN46" i="8"/>
  <c r="AA46" i="8"/>
  <c r="T46" i="8"/>
  <c r="AO46" i="8"/>
  <c r="G44" i="8"/>
  <c r="I45" i="8" s="1"/>
  <c r="AG46" i="8"/>
  <c r="V46" i="8"/>
  <c r="AK46" i="8"/>
  <c r="AB46" i="8"/>
  <c r="AE46" i="8"/>
  <c r="W46" i="8"/>
  <c r="N18" i="12"/>
  <c r="O17" i="12"/>
  <c r="U20" i="12"/>
  <c r="T20" i="12"/>
  <c r="V20" i="12"/>
  <c r="U68" i="12"/>
  <c r="V68" i="12"/>
  <c r="T68" i="12"/>
  <c r="I21" i="5"/>
  <c r="O20" i="5"/>
  <c r="O26" i="12"/>
  <c r="N26" i="12" s="1"/>
  <c r="N27" i="12"/>
  <c r="Y132" i="12"/>
  <c r="AO108" i="12"/>
  <c r="Y108" i="12" s="1"/>
  <c r="J108" i="12"/>
  <c r="L108" i="12"/>
  <c r="C108" i="12"/>
  <c r="E18" i="6"/>
  <c r="D18" i="12"/>
  <c r="Z43" i="8"/>
  <c r="V43" i="8"/>
  <c r="F42" i="8"/>
  <c r="C41" i="8"/>
  <c r="AC43" i="8"/>
  <c r="U43" i="8"/>
  <c r="AN43" i="8"/>
  <c r="AQ43" i="8"/>
  <c r="AG43" i="8"/>
  <c r="AO43" i="8"/>
  <c r="AH43" i="8"/>
  <c r="AM43" i="8"/>
  <c r="AP43" i="8"/>
  <c r="AA43" i="8"/>
  <c r="D43" i="8"/>
  <c r="AD43" i="8"/>
  <c r="F41" i="8"/>
  <c r="Y43" i="8"/>
  <c r="AE43" i="8"/>
  <c r="G41" i="8"/>
  <c r="I42" i="8" s="1"/>
  <c r="G42" i="8"/>
  <c r="AL43" i="8"/>
  <c r="T43" i="8"/>
  <c r="AI43" i="8"/>
  <c r="AK43" i="8"/>
  <c r="AJ43" i="8"/>
  <c r="W43" i="8"/>
  <c r="AB43" i="8"/>
  <c r="AF43" i="8"/>
  <c r="X43" i="8"/>
  <c r="T31" i="12"/>
  <c r="U31" i="12"/>
  <c r="V31" i="12"/>
  <c r="Y26" i="12" l="1"/>
  <c r="X108" i="12"/>
  <c r="W108" i="12"/>
  <c r="D20" i="12"/>
  <c r="E20" i="6"/>
  <c r="L60" i="12"/>
  <c r="K60" i="12" s="1"/>
  <c r="N60" i="12"/>
  <c r="E134" i="6"/>
  <c r="D134" i="12"/>
  <c r="X27" i="12"/>
  <c r="W27" i="12"/>
  <c r="W18" i="12"/>
  <c r="X18" i="12"/>
  <c r="Y66" i="12"/>
  <c r="X132" i="12"/>
  <c r="W132" i="12"/>
  <c r="I22" i="5"/>
  <c r="O21" i="5"/>
  <c r="L17" i="12"/>
  <c r="K17" i="12" s="1"/>
  <c r="N17" i="12"/>
  <c r="Y60" i="12"/>
  <c r="I136" i="5"/>
  <c r="O135" i="5"/>
  <c r="H41" i="8"/>
  <c r="E60" i="6"/>
  <c r="D60" i="12"/>
  <c r="L66" i="12"/>
  <c r="K66" i="12" s="1"/>
  <c r="X67" i="12"/>
  <c r="W67" i="12"/>
  <c r="K108" i="12"/>
  <c r="D26" i="12"/>
  <c r="E26" i="6"/>
  <c r="H20" i="8"/>
  <c r="X64" i="12"/>
  <c r="W64" i="12"/>
  <c r="E66" i="6"/>
  <c r="D66" i="12"/>
  <c r="H44" i="8"/>
  <c r="D108" i="12"/>
  <c r="E108" i="6"/>
  <c r="H68" i="8"/>
  <c r="H17" i="8"/>
  <c r="D17" i="12"/>
  <c r="E17" i="6"/>
  <c r="Y17" i="12"/>
  <c r="L26" i="12"/>
  <c r="K26" i="12" s="1"/>
  <c r="AN88" i="5"/>
  <c r="W88" i="5"/>
  <c r="X88" i="5" s="1"/>
  <c r="AB88" i="6" l="1"/>
  <c r="AB15" i="6" s="1"/>
  <c r="Q15" i="6" s="1"/>
  <c r="I88" i="5"/>
  <c r="I89" i="5" s="1"/>
  <c r="L88" i="5"/>
  <c r="I88" i="12"/>
  <c r="Z88" i="5"/>
  <c r="AM88" i="5"/>
  <c r="X87" i="5"/>
  <c r="AC88" i="5"/>
  <c r="X16" i="5"/>
  <c r="X15" i="5"/>
  <c r="T67" i="12"/>
  <c r="U67" i="12"/>
  <c r="V67" i="12"/>
  <c r="V64" i="12"/>
  <c r="U64" i="12"/>
  <c r="T64" i="12"/>
  <c r="V132" i="12"/>
  <c r="T132" i="12"/>
  <c r="U132" i="12"/>
  <c r="E135" i="6"/>
  <c r="D135" i="12"/>
  <c r="U18" i="12"/>
  <c r="V18" i="12"/>
  <c r="T18" i="12"/>
  <c r="W26" i="12"/>
  <c r="X26" i="12"/>
  <c r="W17" i="12"/>
  <c r="X17" i="12"/>
  <c r="I137" i="5"/>
  <c r="O136" i="5"/>
  <c r="E21" i="6"/>
  <c r="D21" i="12"/>
  <c r="V27" i="12"/>
  <c r="U27" i="12"/>
  <c r="T27" i="12"/>
  <c r="U108" i="12"/>
  <c r="V108" i="12"/>
  <c r="T108" i="12"/>
  <c r="X60" i="12"/>
  <c r="W60" i="12"/>
  <c r="I23" i="5"/>
  <c r="O22" i="5"/>
  <c r="W66" i="12"/>
  <c r="X66" i="12"/>
  <c r="R14" i="8" l="1"/>
  <c r="L16" i="5"/>
  <c r="O14" i="11"/>
  <c r="Z16" i="5"/>
  <c r="I16" i="12"/>
  <c r="AM16" i="5"/>
  <c r="AC16" i="5"/>
  <c r="AB88" i="5"/>
  <c r="T60" i="12"/>
  <c r="V60" i="12"/>
  <c r="U60" i="12"/>
  <c r="O88" i="12"/>
  <c r="C88" i="12"/>
  <c r="M88" i="12"/>
  <c r="AO88" i="12"/>
  <c r="D136" i="12"/>
  <c r="E136" i="6"/>
  <c r="I24" i="5"/>
  <c r="O23" i="5"/>
  <c r="U26" i="12"/>
  <c r="T26" i="12"/>
  <c r="V26" i="12"/>
  <c r="V66" i="12"/>
  <c r="T66" i="12"/>
  <c r="U66" i="12"/>
  <c r="T17" i="12"/>
  <c r="U17" i="12"/>
  <c r="V17" i="12"/>
  <c r="Z87" i="5"/>
  <c r="AC87" i="5"/>
  <c r="I87" i="12"/>
  <c r="AM87" i="5"/>
  <c r="R56" i="8"/>
  <c r="L87" i="5"/>
  <c r="O88" i="5"/>
  <c r="C88" i="6"/>
  <c r="E22" i="6"/>
  <c r="D22" i="12"/>
  <c r="M73" i="10"/>
  <c r="Q73" i="10"/>
  <c r="AE73" i="10"/>
  <c r="U73" i="10"/>
  <c r="W73" i="10"/>
  <c r="Z15" i="5"/>
  <c r="AA73" i="10"/>
  <c r="AM15" i="5"/>
  <c r="AC73" i="10"/>
  <c r="Y73" i="10"/>
  <c r="S73" i="10"/>
  <c r="I73" i="10"/>
  <c r="O73" i="10"/>
  <c r="K73" i="10"/>
  <c r="I90" i="5"/>
  <c r="O89" i="5"/>
  <c r="I138" i="5"/>
  <c r="O137" i="5"/>
  <c r="O71" i="10" l="1"/>
  <c r="O70" i="10" s="1"/>
  <c r="O72" i="10"/>
  <c r="W72" i="10"/>
  <c r="W71" i="10"/>
  <c r="W70" i="10" s="1"/>
  <c r="M72" i="10"/>
  <c r="M71" i="10"/>
  <c r="M70" i="10" s="1"/>
  <c r="E88" i="6"/>
  <c r="D88" i="12"/>
  <c r="J87" i="12"/>
  <c r="C87" i="12"/>
  <c r="D23" i="12"/>
  <c r="E23" i="6"/>
  <c r="Y88" i="12"/>
  <c r="AO87" i="12"/>
  <c r="AO16" i="12"/>
  <c r="AB87" i="5"/>
  <c r="AB16" i="5"/>
  <c r="AB14" i="11" s="1"/>
  <c r="AB15" i="5"/>
  <c r="AC71" i="10"/>
  <c r="AC70" i="10" s="1"/>
  <c r="AC72" i="10"/>
  <c r="D89" i="12"/>
  <c r="E89" i="6"/>
  <c r="I72" i="10"/>
  <c r="AE9" i="10" s="1"/>
  <c r="I71" i="10"/>
  <c r="I70" i="10" s="1"/>
  <c r="Y9" i="10" s="1"/>
  <c r="U72" i="10"/>
  <c r="U71" i="10"/>
  <c r="U70" i="10" s="1"/>
  <c r="O87" i="5"/>
  <c r="C87" i="6"/>
  <c r="I25" i="5"/>
  <c r="O25" i="5" s="1"/>
  <c r="O24" i="5"/>
  <c r="M87" i="12"/>
  <c r="M16" i="12"/>
  <c r="AC11" i="5"/>
  <c r="W14" i="11"/>
  <c r="L14" i="13"/>
  <c r="C14" i="11"/>
  <c r="O24" i="11"/>
  <c r="I139" i="5"/>
  <c r="O138" i="5"/>
  <c r="I91" i="5"/>
  <c r="O90" i="5"/>
  <c r="S71" i="10"/>
  <c r="S70" i="10" s="1"/>
  <c r="S72" i="10"/>
  <c r="AA72" i="10"/>
  <c r="AA71" i="10"/>
  <c r="AA70" i="10" s="1"/>
  <c r="AE72" i="10"/>
  <c r="AE71" i="10"/>
  <c r="AE70" i="10" s="1"/>
  <c r="AQ58" i="8"/>
  <c r="AQ16" i="8" s="1"/>
  <c r="AQ14" i="8" s="1"/>
  <c r="Z58" i="8"/>
  <c r="Z16" i="8" s="1"/>
  <c r="Z14" i="8" s="1"/>
  <c r="F57" i="8"/>
  <c r="V58" i="8"/>
  <c r="V16" i="8" s="1"/>
  <c r="V14" i="8" s="1"/>
  <c r="AM58" i="8"/>
  <c r="AJ58" i="8"/>
  <c r="AJ16" i="8" s="1"/>
  <c r="AJ14" i="8" s="1"/>
  <c r="AI58" i="8"/>
  <c r="AI16" i="8" s="1"/>
  <c r="AI14" i="8" s="1"/>
  <c r="AE58" i="8"/>
  <c r="AE16" i="8" s="1"/>
  <c r="AE14" i="8" s="1"/>
  <c r="D58" i="8"/>
  <c r="D16" i="8" s="1"/>
  <c r="D102" i="8" s="1"/>
  <c r="T58" i="8"/>
  <c r="T16" i="8" s="1"/>
  <c r="T102" i="8" s="1"/>
  <c r="G57" i="8"/>
  <c r="AL58" i="8"/>
  <c r="AL16" i="8" s="1"/>
  <c r="AL14" i="8" s="1"/>
  <c r="AP58" i="8"/>
  <c r="AP16" i="8" s="1"/>
  <c r="AP14" i="8" s="1"/>
  <c r="X58" i="8"/>
  <c r="X16" i="8" s="1"/>
  <c r="X14" i="8" s="1"/>
  <c r="AC58" i="8"/>
  <c r="AC16" i="8" s="1"/>
  <c r="AC14" i="8" s="1"/>
  <c r="W58" i="8"/>
  <c r="W16" i="8" s="1"/>
  <c r="W14" i="8" s="1"/>
  <c r="AA58" i="8"/>
  <c r="AA16" i="8" s="1"/>
  <c r="AA14" i="8" s="1"/>
  <c r="AB58" i="8"/>
  <c r="AB16" i="8" s="1"/>
  <c r="AB14" i="8" s="1"/>
  <c r="F56" i="8"/>
  <c r="AD58" i="8"/>
  <c r="AD16" i="8" s="1"/>
  <c r="AD14" i="8" s="1"/>
  <c r="AK58" i="8"/>
  <c r="AK16" i="8" s="1"/>
  <c r="AK14" i="8" s="1"/>
  <c r="AG58" i="8"/>
  <c r="AG16" i="8" s="1"/>
  <c r="AG14" i="8" s="1"/>
  <c r="U58" i="8"/>
  <c r="U16" i="8" s="1"/>
  <c r="U14" i="8" s="1"/>
  <c r="AN58" i="8"/>
  <c r="AN16" i="8" s="1"/>
  <c r="AN14" i="8" s="1"/>
  <c r="G56" i="8"/>
  <c r="I57" i="8" s="1"/>
  <c r="AH58" i="8"/>
  <c r="AH16" i="8" s="1"/>
  <c r="AH14" i="8" s="1"/>
  <c r="AF58" i="8"/>
  <c r="AF16" i="8" s="1"/>
  <c r="AF14" i="8" s="1"/>
  <c r="AO58" i="8"/>
  <c r="AO16" i="8" s="1"/>
  <c r="AO14" i="8" s="1"/>
  <c r="Y58" i="8"/>
  <c r="Y16" i="8" s="1"/>
  <c r="Y14" i="8" s="1"/>
  <c r="C56" i="8"/>
  <c r="AM16" i="8"/>
  <c r="AM14" i="8" s="1"/>
  <c r="O16" i="5"/>
  <c r="C16" i="6"/>
  <c r="E137" i="6"/>
  <c r="D137" i="12"/>
  <c r="K72" i="10"/>
  <c r="K71" i="10"/>
  <c r="K70" i="10" s="1"/>
  <c r="Y71" i="10"/>
  <c r="Y70" i="10" s="1"/>
  <c r="Y72" i="10"/>
  <c r="Q72" i="10"/>
  <c r="Q71" i="10"/>
  <c r="Q70" i="10" s="1"/>
  <c r="N88" i="12"/>
  <c r="O87" i="12"/>
  <c r="O16" i="12"/>
  <c r="L16" i="12" s="1"/>
  <c r="C16" i="12"/>
  <c r="J16" i="12"/>
  <c r="F14" i="8"/>
  <c r="Q93" i="8"/>
  <c r="H93" i="8" s="1"/>
  <c r="G14" i="8"/>
  <c r="I15" i="8" s="1"/>
  <c r="F15" i="8"/>
  <c r="G15" i="8"/>
  <c r="K16" i="12" l="1"/>
  <c r="D97" i="8"/>
  <c r="D93" i="8" s="1"/>
  <c r="D98" i="8"/>
  <c r="D90" i="12"/>
  <c r="E90" i="6"/>
  <c r="AK14" i="13"/>
  <c r="S14" i="13" s="1"/>
  <c r="M27" i="13" s="1"/>
  <c r="AL14" i="13"/>
  <c r="M14" i="13" s="1"/>
  <c r="M28" i="13" s="1"/>
  <c r="I92" i="5"/>
  <c r="O91" i="5"/>
  <c r="L28" i="13"/>
  <c r="V14" i="13"/>
  <c r="D14" i="13"/>
  <c r="D87" i="12"/>
  <c r="E87" i="6"/>
  <c r="H56" i="8"/>
  <c r="Y16" i="12"/>
  <c r="U102" i="8"/>
  <c r="T98" i="8"/>
  <c r="T97" i="8"/>
  <c r="T93" i="8" s="1"/>
  <c r="AO14" i="13"/>
  <c r="O14" i="13" s="1"/>
  <c r="AN14" i="13"/>
  <c r="U14" i="13" s="1"/>
  <c r="AD4" i="13" s="1"/>
  <c r="N16" i="12"/>
  <c r="D16" i="12"/>
  <c r="E16" i="6"/>
  <c r="H14" i="8"/>
  <c r="E138" i="6"/>
  <c r="D138" i="12"/>
  <c r="E24" i="6"/>
  <c r="D24" i="12"/>
  <c r="Y87" i="12"/>
  <c r="L87" i="12"/>
  <c r="K87" i="12" s="1"/>
  <c r="N87" i="12"/>
  <c r="D101" i="8" a="1"/>
  <c r="D101" i="8" s="1"/>
  <c r="D96" i="8" s="1"/>
  <c r="D14" i="8"/>
  <c r="T14" i="8"/>
  <c r="T101" i="8" a="1"/>
  <c r="T101" i="8" s="1"/>
  <c r="I140" i="5"/>
  <c r="O139" i="5"/>
  <c r="O25" i="11"/>
  <c r="AA7" i="11"/>
  <c r="E25" i="6"/>
  <c r="D25" i="12"/>
  <c r="N14" i="11"/>
  <c r="N24" i="11" s="1"/>
  <c r="AB24" i="11"/>
  <c r="AB7" i="11" s="1"/>
  <c r="W88" i="12"/>
  <c r="X88" i="12"/>
  <c r="V15" i="13" l="1"/>
  <c r="V16" i="13" s="1"/>
  <c r="V17" i="13" s="1"/>
  <c r="V18" i="13" s="1"/>
  <c r="V19" i="13" s="1"/>
  <c r="V20" i="13" s="1"/>
  <c r="V21" i="13" s="1"/>
  <c r="V22" i="13" s="1"/>
  <c r="V23" i="13" s="1"/>
  <c r="I45" i="14" s="1"/>
  <c r="J45" i="14" s="1"/>
  <c r="K45" i="14" s="1"/>
  <c r="L45" i="14" s="1"/>
  <c r="U101" i="8" a="1"/>
  <c r="U101" i="8" s="1"/>
  <c r="T96" i="8"/>
  <c r="U88" i="12"/>
  <c r="T88" i="12"/>
  <c r="V88" i="12"/>
  <c r="D139" i="12"/>
  <c r="E139" i="6"/>
  <c r="D33" i="14"/>
  <c r="L24" i="13"/>
  <c r="O29" i="13"/>
  <c r="M24" i="13"/>
  <c r="I141" i="5"/>
  <c r="O140" i="5"/>
  <c r="U97" i="8"/>
  <c r="U93" i="8" s="1"/>
  <c r="U98" i="8"/>
  <c r="V102" i="8"/>
  <c r="D91" i="12"/>
  <c r="E91" i="6"/>
  <c r="P14" i="13"/>
  <c r="O28" i="13"/>
  <c r="N14" i="13"/>
  <c r="N25" i="11"/>
  <c r="L27" i="13"/>
  <c r="D32" i="14" s="1"/>
  <c r="Z3" i="11"/>
  <c r="AA3" i="11" s="1"/>
  <c r="X87" i="12"/>
  <c r="W87" i="12"/>
  <c r="W16" i="12"/>
  <c r="X16" i="12"/>
  <c r="O92" i="5"/>
  <c r="I93" i="5"/>
  <c r="O93" i="5" s="1"/>
  <c r="AA183" i="5" l="1"/>
  <c r="AA65" i="5"/>
  <c r="I38" i="14"/>
  <c r="J38" i="14" s="1"/>
  <c r="K38" i="14" s="1"/>
  <c r="L38" i="14" s="1"/>
  <c r="I11" i="14"/>
  <c r="J11" i="14" s="1"/>
  <c r="K11" i="14" s="1"/>
  <c r="L11" i="14" s="1"/>
  <c r="I12" i="14"/>
  <c r="J12" i="14" s="1"/>
  <c r="K12" i="14" s="1"/>
  <c r="L12" i="14" s="1"/>
  <c r="I18" i="14"/>
  <c r="J18" i="14" s="1"/>
  <c r="K18" i="14" s="1"/>
  <c r="L18" i="14" s="1"/>
  <c r="I25" i="14"/>
  <c r="J25" i="14" s="1"/>
  <c r="K25" i="14" s="1"/>
  <c r="L25" i="14" s="1"/>
  <c r="I32" i="14"/>
  <c r="J32" i="14" s="1"/>
  <c r="K32" i="14" s="1"/>
  <c r="L32" i="14" s="1"/>
  <c r="I20" i="14"/>
  <c r="J20" i="14" s="1"/>
  <c r="K20" i="14" s="1"/>
  <c r="L20" i="14" s="1"/>
  <c r="I29" i="14"/>
  <c r="J29" i="14" s="1"/>
  <c r="K29" i="14" s="1"/>
  <c r="L29" i="14" s="1"/>
  <c r="I31" i="14"/>
  <c r="J31" i="14" s="1"/>
  <c r="K31" i="14" s="1"/>
  <c r="L31" i="14" s="1"/>
  <c r="I9" i="14"/>
  <c r="J9" i="14" s="1"/>
  <c r="K9" i="14" s="1"/>
  <c r="L9" i="14" s="1"/>
  <c r="T16" i="12"/>
  <c r="V16" i="12"/>
  <c r="U16" i="12"/>
  <c r="I142" i="5"/>
  <c r="O141" i="5"/>
  <c r="V87" i="12"/>
  <c r="U87" i="12"/>
  <c r="T87" i="12"/>
  <c r="I43" i="14"/>
  <c r="J43" i="14" s="1"/>
  <c r="K43" i="14" s="1"/>
  <c r="L43" i="14" s="1"/>
  <c r="I7" i="14"/>
  <c r="J7" i="14" s="1"/>
  <c r="K7" i="14" s="1"/>
  <c r="L7" i="14" s="1"/>
  <c r="I46" i="14"/>
  <c r="J46" i="14" s="1"/>
  <c r="K46" i="14" s="1"/>
  <c r="L46" i="14" s="1"/>
  <c r="I37" i="14"/>
  <c r="J37" i="14" s="1"/>
  <c r="K37" i="14" s="1"/>
  <c r="L37" i="14" s="1"/>
  <c r="I16" i="14"/>
  <c r="J16" i="14" s="1"/>
  <c r="K16" i="14" s="1"/>
  <c r="L16" i="14" s="1"/>
  <c r="I40" i="14"/>
  <c r="J40" i="14" s="1"/>
  <c r="K40" i="14" s="1"/>
  <c r="L40" i="14" s="1"/>
  <c r="I30" i="14"/>
  <c r="J30" i="14" s="1"/>
  <c r="K30" i="14" s="1"/>
  <c r="L30" i="14" s="1"/>
  <c r="I28" i="14"/>
  <c r="J28" i="14" s="1"/>
  <c r="K28" i="14" s="1"/>
  <c r="L28" i="14" s="1"/>
  <c r="I14" i="14"/>
  <c r="J14" i="14" s="1"/>
  <c r="K14" i="14" s="1"/>
  <c r="L14" i="14" s="1"/>
  <c r="I35" i="14"/>
  <c r="J35" i="14" s="1"/>
  <c r="K35" i="14" s="1"/>
  <c r="L35" i="14" s="1"/>
  <c r="AD23" i="11"/>
  <c r="AD17" i="11"/>
  <c r="AD16" i="11"/>
  <c r="AD12" i="11"/>
  <c r="AD15" i="11"/>
  <c r="AD20" i="11"/>
  <c r="AD18" i="11"/>
  <c r="AD14" i="11"/>
  <c r="AD22" i="11"/>
  <c r="AD19" i="11"/>
  <c r="AD21" i="11"/>
  <c r="AA164" i="5"/>
  <c r="AA105" i="5"/>
  <c r="AA40" i="5"/>
  <c r="AA160" i="5"/>
  <c r="AA156" i="5"/>
  <c r="AA142" i="5"/>
  <c r="AA81" i="5"/>
  <c r="AA191" i="5"/>
  <c r="AA145" i="5"/>
  <c r="AA136" i="5"/>
  <c r="AA126" i="5"/>
  <c r="AA172" i="5"/>
  <c r="AA143" i="5"/>
  <c r="AA110" i="5"/>
  <c r="AA155" i="5"/>
  <c r="AA30" i="5"/>
  <c r="AA43" i="5"/>
  <c r="AA80" i="5"/>
  <c r="AA77" i="5"/>
  <c r="AA69" i="5"/>
  <c r="AA114" i="5"/>
  <c r="AA76" i="5"/>
  <c r="AA116" i="5"/>
  <c r="AA147" i="5"/>
  <c r="AA56" i="5"/>
  <c r="AA52" i="5"/>
  <c r="AA176" i="5"/>
  <c r="AA44" i="5"/>
  <c r="AA36" i="5"/>
  <c r="AA140" i="5"/>
  <c r="AA98" i="5"/>
  <c r="AA48" i="5"/>
  <c r="AA49" i="5"/>
  <c r="AA125" i="5"/>
  <c r="AA150" i="5"/>
  <c r="AA165" i="5"/>
  <c r="AA153" i="5"/>
  <c r="AA151" i="5"/>
  <c r="AA113" i="5"/>
  <c r="AA89" i="5"/>
  <c r="AA32" i="5"/>
  <c r="AA185" i="5"/>
  <c r="AA59" i="5"/>
  <c r="AA58" i="5" s="1"/>
  <c r="B38" i="8" s="1"/>
  <c r="AA190" i="5"/>
  <c r="AA63" i="5"/>
  <c r="AA21" i="5"/>
  <c r="AA73" i="5"/>
  <c r="AA168" i="5"/>
  <c r="AA35" i="5"/>
  <c r="AA34" i="5"/>
  <c r="AA61" i="5"/>
  <c r="AA86" i="5"/>
  <c r="AA91" i="5"/>
  <c r="AA72" i="5"/>
  <c r="AA39" i="5"/>
  <c r="AA174" i="5"/>
  <c r="AA57" i="5"/>
  <c r="AA135" i="5"/>
  <c r="AA181" i="5"/>
  <c r="AA97" i="5"/>
  <c r="AA187" i="5"/>
  <c r="AA53" i="5"/>
  <c r="AA128" i="5"/>
  <c r="AA177" i="5"/>
  <c r="AA99" i="5"/>
  <c r="AA139" i="5"/>
  <c r="AA54" i="5"/>
  <c r="AA111" i="5"/>
  <c r="AA70" i="5"/>
  <c r="AA158" i="5"/>
  <c r="AA129" i="5"/>
  <c r="AA169" i="5"/>
  <c r="AA121" i="5"/>
  <c r="AA22" i="5"/>
  <c r="AA78" i="5"/>
  <c r="AA138" i="5"/>
  <c r="AA166" i="5"/>
  <c r="AA25" i="5"/>
  <c r="AA38" i="5"/>
  <c r="AA85" i="5"/>
  <c r="AA95" i="5"/>
  <c r="AA102" i="5"/>
  <c r="AA101" i="5"/>
  <c r="AA47" i="5"/>
  <c r="AA131" i="5"/>
  <c r="AA133" i="5"/>
  <c r="AA118" i="5"/>
  <c r="AA162" i="5"/>
  <c r="AA103" i="5"/>
  <c r="AA123" i="5"/>
  <c r="AA23" i="5"/>
  <c r="AA141" i="5"/>
  <c r="AA115" i="5"/>
  <c r="AA93" i="5"/>
  <c r="AA167" i="5"/>
  <c r="AA144" i="5"/>
  <c r="AA180" i="5"/>
  <c r="AA117" i="5"/>
  <c r="AA62" i="5"/>
  <c r="AA154" i="5"/>
  <c r="AA71" i="5"/>
  <c r="AA50" i="5"/>
  <c r="AA55" i="5"/>
  <c r="AA124" i="5"/>
  <c r="AA137" i="5"/>
  <c r="AA112" i="5"/>
  <c r="AA74" i="5"/>
  <c r="AA163" i="5"/>
  <c r="AA120" i="5"/>
  <c r="AA29" i="5"/>
  <c r="AA161" i="5"/>
  <c r="AA96" i="5"/>
  <c r="AA157" i="5"/>
  <c r="AA178" i="5"/>
  <c r="AA146" i="5"/>
  <c r="AA130" i="5"/>
  <c r="AA92" i="5"/>
  <c r="AA173" i="5"/>
  <c r="AA119" i="5"/>
  <c r="AA46" i="5"/>
  <c r="AA122" i="5"/>
  <c r="AA134" i="5"/>
  <c r="AA182" i="5"/>
  <c r="AA83" i="5"/>
  <c r="AA19" i="5"/>
  <c r="AA90" i="5"/>
  <c r="AA84" i="5"/>
  <c r="AA24" i="5"/>
  <c r="AA186" i="5"/>
  <c r="AA148" i="5"/>
  <c r="AA107" i="5"/>
  <c r="AA41" i="5"/>
  <c r="AA189" i="5"/>
  <c r="AA33" i="5"/>
  <c r="AA127" i="5"/>
  <c r="AA106" i="5"/>
  <c r="AA82" i="5"/>
  <c r="AA170" i="5"/>
  <c r="AA152" i="5"/>
  <c r="AA109" i="5"/>
  <c r="AA37" i="5"/>
  <c r="AA20" i="5"/>
  <c r="AA27" i="5"/>
  <c r="AA26" i="5" s="1"/>
  <c r="B20" i="8" s="1"/>
  <c r="AA67" i="5"/>
  <c r="AA66" i="5" s="1"/>
  <c r="B44" i="8" s="1"/>
  <c r="AA18" i="5"/>
  <c r="AA132" i="5"/>
  <c r="AA64" i="5"/>
  <c r="AA88" i="5"/>
  <c r="AD27" i="13"/>
  <c r="N28" i="13"/>
  <c r="AE4" i="13" s="1"/>
  <c r="O27" i="13" s="1"/>
  <c r="O24" i="13"/>
  <c r="AC27" i="13"/>
  <c r="F33" i="14"/>
  <c r="AD6" i="13"/>
  <c r="AE6" i="13" s="1"/>
  <c r="P24" i="13"/>
  <c r="F34" i="14" s="1"/>
  <c r="D140" i="12"/>
  <c r="E140" i="6"/>
  <c r="I6" i="14"/>
  <c r="J6" i="14" s="1"/>
  <c r="K6" i="14" s="1"/>
  <c r="L6" i="14" s="1"/>
  <c r="I19" i="14"/>
  <c r="J19" i="14" s="1"/>
  <c r="K19" i="14" s="1"/>
  <c r="L19" i="14" s="1"/>
  <c r="I41" i="14"/>
  <c r="J41" i="14" s="1"/>
  <c r="K41" i="14" s="1"/>
  <c r="L41" i="14" s="1"/>
  <c r="I26" i="14"/>
  <c r="J26" i="14" s="1"/>
  <c r="K26" i="14" s="1"/>
  <c r="L26" i="14" s="1"/>
  <c r="I13" i="14"/>
  <c r="J13" i="14" s="1"/>
  <c r="K13" i="14" s="1"/>
  <c r="L13" i="14" s="1"/>
  <c r="I36" i="14"/>
  <c r="J36" i="14" s="1"/>
  <c r="K36" i="14" s="1"/>
  <c r="L36" i="14" s="1"/>
  <c r="I21" i="14"/>
  <c r="J21" i="14" s="1"/>
  <c r="K21" i="14" s="1"/>
  <c r="L21" i="14" s="1"/>
  <c r="I15" i="14"/>
  <c r="J15" i="14" s="1"/>
  <c r="K15" i="14" s="1"/>
  <c r="L15" i="14" s="1"/>
  <c r="I22" i="14"/>
  <c r="J22" i="14" s="1"/>
  <c r="K22" i="14" s="1"/>
  <c r="L22" i="14" s="1"/>
  <c r="I17" i="14"/>
  <c r="J17" i="14" s="1"/>
  <c r="K17" i="14" s="1"/>
  <c r="L17" i="14" s="1"/>
  <c r="V98" i="8"/>
  <c r="W102" i="8"/>
  <c r="V97" i="8"/>
  <c r="V93" i="8" s="1"/>
  <c r="V101" i="8" a="1"/>
  <c r="V101" i="8" s="1"/>
  <c r="U96" i="8"/>
  <c r="I44" i="14"/>
  <c r="J44" i="14" s="1"/>
  <c r="K44" i="14" s="1"/>
  <c r="L44" i="14" s="1"/>
  <c r="I24" i="14"/>
  <c r="J24" i="14" s="1"/>
  <c r="K24" i="14" s="1"/>
  <c r="L24" i="14" s="1"/>
  <c r="I10" i="14"/>
  <c r="J10" i="14" s="1"/>
  <c r="K10" i="14" s="1"/>
  <c r="L10" i="14" s="1"/>
  <c r="I8" i="14"/>
  <c r="J8" i="14" s="1"/>
  <c r="K8" i="14" s="1"/>
  <c r="L8" i="14" s="1"/>
  <c r="I42" i="14"/>
  <c r="J42" i="14" s="1"/>
  <c r="K42" i="14" s="1"/>
  <c r="L42" i="14" s="1"/>
  <c r="I34" i="14"/>
  <c r="J34" i="14" s="1"/>
  <c r="K34" i="14" s="1"/>
  <c r="L34" i="14" s="1"/>
  <c r="I33" i="14"/>
  <c r="J33" i="14" s="1"/>
  <c r="K33" i="14" s="1"/>
  <c r="L33" i="14" s="1"/>
  <c r="I27" i="14"/>
  <c r="J27" i="14" s="1"/>
  <c r="K27" i="14" s="1"/>
  <c r="L27" i="14" s="1"/>
  <c r="I39" i="14"/>
  <c r="J39" i="14" s="1"/>
  <c r="K39" i="14" s="1"/>
  <c r="L39" i="14" s="1"/>
  <c r="I23" i="14"/>
  <c r="J23" i="14" s="1"/>
  <c r="K23" i="14" s="1"/>
  <c r="L23" i="14" s="1"/>
  <c r="E93" i="6"/>
  <c r="D93" i="12"/>
  <c r="D92" i="12"/>
  <c r="E92" i="6"/>
  <c r="AA87" i="5" l="1"/>
  <c r="B56" i="8" s="1"/>
  <c r="AA108" i="5"/>
  <c r="B68" i="8" s="1"/>
  <c r="AA45" i="5"/>
  <c r="B32" i="8" s="1"/>
  <c r="AE20" i="11"/>
  <c r="M20" i="11" s="1"/>
  <c r="L20" i="11" s="1"/>
  <c r="AA28" i="5"/>
  <c r="B23" i="8" s="1"/>
  <c r="AA188" i="5"/>
  <c r="B89" i="8" s="1"/>
  <c r="AA179" i="5"/>
  <c r="B83" i="8" s="1"/>
  <c r="X102" i="8"/>
  <c r="W97" i="8"/>
  <c r="W93" i="8" s="1"/>
  <c r="W98" i="8"/>
  <c r="E34" i="14"/>
  <c r="E33" i="14"/>
  <c r="N24" i="13"/>
  <c r="AA184" i="5"/>
  <c r="B86" i="8" s="1"/>
  <c r="AA51" i="5"/>
  <c r="B35" i="8" s="1"/>
  <c r="AA75" i="5"/>
  <c r="B50" i="8" s="1"/>
  <c r="AA79" i="5"/>
  <c r="B53" i="8" s="1"/>
  <c r="AA104" i="5"/>
  <c r="B65" i="8" s="1"/>
  <c r="AE21" i="11"/>
  <c r="M21" i="11" s="1"/>
  <c r="L21" i="11" s="1"/>
  <c r="AE14" i="11"/>
  <c r="AE22" i="11"/>
  <c r="M22" i="11" s="1"/>
  <c r="L22" i="11" s="1"/>
  <c r="AE23" i="11"/>
  <c r="M23" i="11" s="1"/>
  <c r="L23" i="11" s="1"/>
  <c r="V96" i="8"/>
  <c r="W101" i="8" a="1"/>
  <c r="W101" i="8" s="1"/>
  <c r="AA17" i="5"/>
  <c r="B17" i="8" s="1"/>
  <c r="AA15" i="5"/>
  <c r="AA16" i="5"/>
  <c r="AA94" i="5"/>
  <c r="B59" i="8" s="1"/>
  <c r="AA31" i="5"/>
  <c r="B26" i="8" s="1"/>
  <c r="AA42" i="5"/>
  <c r="B29" i="8" s="1"/>
  <c r="AE12" i="11"/>
  <c r="M12" i="11" s="1"/>
  <c r="L12" i="11" s="1"/>
  <c r="AA68" i="5"/>
  <c r="B47" i="8" s="1"/>
  <c r="AA171" i="5"/>
  <c r="B77" i="8" s="1"/>
  <c r="AA159" i="5"/>
  <c r="B74" i="8" s="1"/>
  <c r="AE17" i="11"/>
  <c r="M17" i="11" s="1"/>
  <c r="L17" i="11" s="1"/>
  <c r="AE15" i="11"/>
  <c r="M15" i="11" s="1"/>
  <c r="L15" i="11" s="1"/>
  <c r="D141" i="12"/>
  <c r="E141" i="6"/>
  <c r="F32" i="14"/>
  <c r="N27" i="13"/>
  <c r="E32" i="14" s="1"/>
  <c r="AA100" i="5"/>
  <c r="B62" i="8" s="1"/>
  <c r="AA60" i="5"/>
  <c r="B41" i="8" s="1"/>
  <c r="AA149" i="5"/>
  <c r="B71" i="8" s="1"/>
  <c r="AA175" i="5"/>
  <c r="B80" i="8" s="1"/>
  <c r="AE18" i="11"/>
  <c r="M18" i="11" s="1"/>
  <c r="L18" i="11" s="1"/>
  <c r="AE19" i="11"/>
  <c r="M19" i="11" s="1"/>
  <c r="L19" i="11" s="1"/>
  <c r="AE16" i="11"/>
  <c r="M16" i="11" s="1"/>
  <c r="L16" i="11" s="1"/>
  <c r="I143" i="5"/>
  <c r="O142" i="5"/>
  <c r="X101" i="8" l="1" a="1"/>
  <c r="X101" i="8" s="1"/>
  <c r="W96" i="8"/>
  <c r="AA14" i="11"/>
  <c r="AM14" i="13"/>
  <c r="T14" i="13" s="1"/>
  <c r="AD3" i="13" s="1"/>
  <c r="AD2" i="13" s="1"/>
  <c r="AJ14" i="13"/>
  <c r="R14" i="13" s="1"/>
  <c r="M26" i="13" s="1"/>
  <c r="D142" i="12"/>
  <c r="E142" i="6"/>
  <c r="X98" i="8"/>
  <c r="X97" i="8"/>
  <c r="X93" i="8" s="1"/>
  <c r="Y102" i="8"/>
  <c r="I144" i="5"/>
  <c r="O143" i="5"/>
  <c r="T100" i="8" a="1"/>
  <c r="T100" i="8" s="1"/>
  <c r="D100" i="8" a="1"/>
  <c r="D100" i="8" s="1"/>
  <c r="I145" i="5" l="1"/>
  <c r="O144" i="5"/>
  <c r="D95" i="8"/>
  <c r="D99" i="8"/>
  <c r="D94" i="8" s="1"/>
  <c r="M14" i="11"/>
  <c r="AA24" i="11"/>
  <c r="Z14" i="11"/>
  <c r="Z24" i="11" s="1"/>
  <c r="E143" i="6"/>
  <c r="D143" i="12"/>
  <c r="T95" i="8"/>
  <c r="U100" i="8" a="1"/>
  <c r="U100" i="8" s="1"/>
  <c r="T99" i="8"/>
  <c r="T94" i="8" s="1"/>
  <c r="Y97" i="8"/>
  <c r="Y93" i="8" s="1"/>
  <c r="Y98" i="8"/>
  <c r="Z102" i="8"/>
  <c r="M25" i="13"/>
  <c r="AE3" i="13"/>
  <c r="X96" i="8"/>
  <c r="Y101" i="8" a="1"/>
  <c r="Y101" i="8" s="1"/>
  <c r="U95" i="8" l="1"/>
  <c r="V100" i="8" a="1"/>
  <c r="V100" i="8" s="1"/>
  <c r="U99" i="8"/>
  <c r="U94" i="8" s="1"/>
  <c r="Z97" i="8"/>
  <c r="Z93" i="8" s="1"/>
  <c r="AA102" i="8"/>
  <c r="Z98" i="8"/>
  <c r="D144" i="12"/>
  <c r="E144" i="6"/>
  <c r="Z101" i="8" a="1"/>
  <c r="Z101" i="8" s="1"/>
  <c r="Y96" i="8"/>
  <c r="O26" i="13"/>
  <c r="AE2" i="13"/>
  <c r="M24" i="11"/>
  <c r="L14" i="11"/>
  <c r="L24" i="11" s="1"/>
  <c r="I146" i="5"/>
  <c r="O145" i="5"/>
  <c r="Z96" i="8" l="1"/>
  <c r="AA101" i="8" a="1"/>
  <c r="AA101" i="8" s="1"/>
  <c r="F31" i="14"/>
  <c r="N26" i="13"/>
  <c r="E31" i="14" s="1"/>
  <c r="O25" i="13"/>
  <c r="L25" i="11"/>
  <c r="L25" i="13"/>
  <c r="D30" i="14" s="1"/>
  <c r="L10" i="11"/>
  <c r="M10" i="13" s="1"/>
  <c r="E145" i="6"/>
  <c r="D145" i="12"/>
  <c r="I147" i="5"/>
  <c r="O146" i="5"/>
  <c r="M25" i="11"/>
  <c r="M10" i="11"/>
  <c r="N10" i="13" s="1"/>
  <c r="L26" i="13"/>
  <c r="V95" i="8"/>
  <c r="W100" i="8" a="1"/>
  <c r="W100" i="8" s="1"/>
  <c r="V99" i="8"/>
  <c r="V94" i="8" s="1"/>
  <c r="AA97" i="8"/>
  <c r="AA93" i="8" s="1"/>
  <c r="AB102" i="8"/>
  <c r="AA98" i="8"/>
  <c r="D31" i="14" l="1"/>
  <c r="AD26" i="13"/>
  <c r="AC26" i="13"/>
  <c r="I148" i="5"/>
  <c r="O148" i="5" s="1"/>
  <c r="O147" i="5"/>
  <c r="AC102" i="8"/>
  <c r="AB98" i="8"/>
  <c r="AB97" i="8"/>
  <c r="AB93" i="8" s="1"/>
  <c r="G9" i="11"/>
  <c r="N25" i="13"/>
  <c r="E30" i="14" s="1"/>
  <c r="F30" i="14"/>
  <c r="D146" i="12"/>
  <c r="E146" i="6"/>
  <c r="X100" i="8" a="1"/>
  <c r="X100" i="8" s="1"/>
  <c r="W95" i="8"/>
  <c r="W99" i="8"/>
  <c r="W94" i="8" s="1"/>
  <c r="AB101" i="8" a="1"/>
  <c r="AB101" i="8" s="1"/>
  <c r="AA96" i="8"/>
  <c r="AB96" i="8" l="1"/>
  <c r="AC101" i="8" a="1"/>
  <c r="AC101" i="8" s="1"/>
  <c r="E147" i="6"/>
  <c r="D147" i="12"/>
  <c r="E148" i="6"/>
  <c r="D148" i="12"/>
  <c r="Y100" i="8" a="1"/>
  <c r="Y100" i="8" s="1"/>
  <c r="X95" i="8"/>
  <c r="X99" i="8"/>
  <c r="X94" i="8" s="1"/>
  <c r="AC97" i="8"/>
  <c r="AC93" i="8" s="1"/>
  <c r="AC98" i="8"/>
  <c r="AD102" i="8"/>
  <c r="Z100" i="8" l="1" a="1"/>
  <c r="Z100" i="8" s="1"/>
  <c r="Y95" i="8"/>
  <c r="Y99" i="8"/>
  <c r="Y94" i="8" s="1"/>
  <c r="AD101" i="8" a="1"/>
  <c r="AD101" i="8" s="1"/>
  <c r="AC96" i="8"/>
  <c r="AD98" i="8"/>
  <c r="AD97" i="8"/>
  <c r="AD93" i="8" s="1"/>
  <c r="AE102" i="8"/>
  <c r="AF102" i="8" l="1"/>
  <c r="AR102" i="8"/>
  <c r="AE97" i="8"/>
  <c r="AE93" i="8" s="1"/>
  <c r="AE98" i="8"/>
  <c r="J10" i="13" s="1"/>
  <c r="G10" i="13" s="1"/>
  <c r="AD96" i="8"/>
  <c r="AE101" i="8" a="1"/>
  <c r="AE101" i="8" s="1"/>
  <c r="Z95" i="8"/>
  <c r="AA100" i="8" a="1"/>
  <c r="AA100" i="8" s="1"/>
  <c r="Z99" i="8"/>
  <c r="Z94" i="8" s="1"/>
  <c r="AF101" i="8" l="1" a="1"/>
  <c r="AF101" i="8" s="1"/>
  <c r="AE96" i="8"/>
  <c r="AF98" i="8"/>
  <c r="AG102" i="8"/>
  <c r="AF97" i="8"/>
  <c r="AF93" i="8" s="1"/>
  <c r="AA95" i="8"/>
  <c r="AB100" i="8" a="1"/>
  <c r="AB100" i="8" s="1"/>
  <c r="AA99" i="8"/>
  <c r="AA94" i="8" s="1"/>
  <c r="AG101" i="8" l="1" a="1"/>
  <c r="AG101" i="8" s="1"/>
  <c r="AF96" i="8"/>
  <c r="AC100" i="8" a="1"/>
  <c r="AC100" i="8" s="1"/>
  <c r="AB95" i="8"/>
  <c r="AB99" i="8"/>
  <c r="AB94" i="8" s="1"/>
  <c r="AG98" i="8"/>
  <c r="AH102" i="8"/>
  <c r="AG97" i="8"/>
  <c r="AG93" i="8" s="1"/>
  <c r="AG96" i="8" l="1"/>
  <c r="AH101" i="8" a="1"/>
  <c r="AH101" i="8" s="1"/>
  <c r="AH97" i="8"/>
  <c r="AH93" i="8" s="1"/>
  <c r="AI102" i="8"/>
  <c r="AH98" i="8"/>
  <c r="AD100" i="8" a="1"/>
  <c r="AD100" i="8" s="1"/>
  <c r="AC95" i="8"/>
  <c r="AC99" i="8"/>
  <c r="AC94" i="8" s="1"/>
  <c r="AI97" i="8" l="1"/>
  <c r="AI93" i="8" s="1"/>
  <c r="AJ102" i="8"/>
  <c r="AI98" i="8"/>
  <c r="AE100" i="8" a="1"/>
  <c r="AE100" i="8" s="1"/>
  <c r="AD95" i="8"/>
  <c r="AD99" i="8"/>
  <c r="AD94" i="8" s="1"/>
  <c r="AI101" i="8" a="1"/>
  <c r="AI101" i="8" s="1"/>
  <c r="AH96" i="8"/>
  <c r="AJ101" i="8" l="1" a="1"/>
  <c r="AJ101" i="8" s="1"/>
  <c r="AI96" i="8"/>
  <c r="AF100" i="8" a="1"/>
  <c r="AF100" i="8" s="1"/>
  <c r="AR100" i="8"/>
  <c r="AE95" i="8"/>
  <c r="AE99" i="8"/>
  <c r="AJ97" i="8"/>
  <c r="AJ93" i="8" s="1"/>
  <c r="AJ98" i="8"/>
  <c r="AK102" i="8"/>
  <c r="AF95" i="8" l="1"/>
  <c r="AG100" i="8" a="1"/>
  <c r="AG100" i="8" s="1"/>
  <c r="AF99" i="8"/>
  <c r="AF94" i="8" s="1"/>
  <c r="AR99" i="8"/>
  <c r="AR101" i="8" s="1"/>
  <c r="AE94" i="8"/>
  <c r="AL102" i="8"/>
  <c r="AK97" i="8"/>
  <c r="AK93" i="8" s="1"/>
  <c r="AK98" i="8"/>
  <c r="AJ96" i="8"/>
  <c r="AK101" i="8" a="1"/>
  <c r="AK101" i="8" s="1"/>
  <c r="AL101" i="8" l="1" a="1"/>
  <c r="AL101" i="8" s="1"/>
  <c r="AK96" i="8"/>
  <c r="AH100" i="8" a="1"/>
  <c r="AH100" i="8" s="1"/>
  <c r="AG95" i="8"/>
  <c r="AG99" i="8"/>
  <c r="AG94" i="8" s="1"/>
  <c r="AL98" i="8"/>
  <c r="AM102" i="8"/>
  <c r="AL97" i="8"/>
  <c r="AL93" i="8" s="1"/>
  <c r="AM98" i="8" l="1"/>
  <c r="AM97" i="8"/>
  <c r="AM93" i="8" s="1"/>
  <c r="AN102" i="8"/>
  <c r="AH95" i="8"/>
  <c r="AI100" i="8" a="1"/>
  <c r="AI100" i="8" s="1"/>
  <c r="AH99" i="8"/>
  <c r="AH94" i="8" s="1"/>
  <c r="AM101" i="8" a="1"/>
  <c r="AM101" i="8" s="1"/>
  <c r="AL96" i="8"/>
  <c r="AM96" i="8" l="1"/>
  <c r="AN101" i="8" a="1"/>
  <c r="AN101" i="8" s="1"/>
  <c r="AN98" i="8"/>
  <c r="AO102" i="8"/>
  <c r="AN97" i="8"/>
  <c r="AN93" i="8" s="1"/>
  <c r="AJ100" i="8" a="1"/>
  <c r="AJ100" i="8" s="1"/>
  <c r="AI95" i="8"/>
  <c r="AI99" i="8"/>
  <c r="AI94" i="8" s="1"/>
  <c r="AK100" i="8" l="1" a="1"/>
  <c r="AK100" i="8" s="1"/>
  <c r="AJ95" i="8"/>
  <c r="AJ99" i="8"/>
  <c r="AJ94" i="8" s="1"/>
  <c r="AO98" i="8"/>
  <c r="AO97" i="8"/>
  <c r="AO93" i="8" s="1"/>
  <c r="AP102" i="8"/>
  <c r="AO101" i="8" a="1"/>
  <c r="AO101" i="8" s="1"/>
  <c r="AN96" i="8"/>
  <c r="AP98" i="8" l="1"/>
  <c r="AQ102" i="8"/>
  <c r="AP97" i="8"/>
  <c r="AP93" i="8" s="1"/>
  <c r="AK95" i="8"/>
  <c r="AL100" i="8" a="1"/>
  <c r="AL100" i="8" s="1"/>
  <c r="AK99" i="8"/>
  <c r="AK94" i="8" s="1"/>
  <c r="AO96" i="8"/>
  <c r="AP101" i="8" a="1"/>
  <c r="AP101" i="8" s="1"/>
  <c r="AQ97" i="8" l="1"/>
  <c r="AQ93" i="8" s="1"/>
  <c r="AQ98" i="8"/>
  <c r="J10" i="8"/>
  <c r="AL95" i="8"/>
  <c r="AM100" i="8" a="1"/>
  <c r="AM100" i="8" s="1"/>
  <c r="AL99" i="8"/>
  <c r="AL94" i="8" s="1"/>
  <c r="AQ101" i="8" a="1"/>
  <c r="AQ101" i="8" s="1"/>
  <c r="AQ96" i="8" s="1"/>
  <c r="AP96" i="8"/>
  <c r="AM95" i="8" l="1"/>
  <c r="AN100" i="8" a="1"/>
  <c r="AN100" i="8" s="1"/>
  <c r="AM99" i="8"/>
  <c r="AM94" i="8" s="1"/>
  <c r="AO100" i="8" l="1" a="1"/>
  <c r="AO100" i="8" s="1"/>
  <c r="AN95" i="8"/>
  <c r="AN99" i="8"/>
  <c r="AN94" i="8" s="1"/>
  <c r="AO95" i="8" l="1"/>
  <c r="AP100" i="8" a="1"/>
  <c r="AP100" i="8" s="1"/>
  <c r="AO99" i="8"/>
  <c r="AO94" i="8" s="1"/>
  <c r="AP95" i="8" l="1"/>
  <c r="AQ100" i="8" a="1"/>
  <c r="AQ100" i="8" s="1"/>
  <c r="AP99" i="8"/>
  <c r="AP94" i="8" s="1"/>
  <c r="AQ95" i="8" l="1"/>
  <c r="AQ99" i="8"/>
  <c r="AQ94" i="8" s="1"/>
</calcChain>
</file>

<file path=xl/comments1.xml><?xml version="1.0" encoding="utf-8"?>
<comments xmlns="http://schemas.openxmlformats.org/spreadsheetml/2006/main">
  <authors>
    <author/>
  </authors>
  <commentList>
    <comment ref="F41" authorId="0" shapeId="0">
      <text>
        <r>
          <rPr>
            <sz val="9"/>
            <color indexed="8"/>
            <rFont val="Segoe UI"/>
            <family val="2"/>
          </rPr>
          <t>Informar a data-base do CTEF no formato mm-aaaa.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I6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J7" authorId="0" shapeId="0">
      <text>
        <r>
          <rPr>
            <b/>
            <sz val="9"/>
            <color indexed="8"/>
            <rFont val="Tahoma"/>
            <family val="2"/>
          </rPr>
          <t xml:space="preserve">QUANTIDADES:
</t>
        </r>
        <r>
          <rPr>
            <sz val="9"/>
            <color indexed="8"/>
            <rFont val="Tahoma"/>
            <family val="2"/>
          </rPr>
          <t>PREENCHA AS QUANTIDADES AQUI PARA ACOMPANHAMENTOS POR BM.</t>
        </r>
      </text>
    </comment>
    <comment ref="AL7" authorId="0" shapeId="0">
      <text>
        <r>
          <rPr>
            <b/>
            <sz val="9"/>
            <color indexed="8"/>
            <rFont val="Tahoma"/>
            <family val="2"/>
          </rPr>
          <t xml:space="preserve">PREÇO UNITÁRIO LICITADO:
</t>
        </r>
        <r>
          <rPr>
            <sz val="9"/>
            <color indexed="8"/>
            <rFont val="Tahoma"/>
            <family val="2"/>
          </rPr>
          <t>PREENCHA AQUI O PREÇO UNITÁRIO DA LICITAÇÃO.</t>
        </r>
      </text>
    </comment>
    <comment ref="L8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Y8" authorId="0" shapeId="0">
      <text>
        <r>
          <rPr>
            <b/>
            <sz val="9"/>
            <color indexed="8"/>
            <rFont val="Tahoma"/>
            <family val="2"/>
          </rPr>
          <t xml:space="preserve">RECURSO:
</t>
        </r>
        <r>
          <rPr>
            <sz val="9"/>
            <color indexed="8"/>
            <rFont val="Tahoma"/>
            <family val="2"/>
          </rPr>
          <t>Selecione a composição do item do Orçamento no Investimento.
RA: Rateio proporcional entre Repasse e Contrapartida.
RP: 100% valor de Repasse.
CP: 100%  valor de Contrapartida.
OU: 100% valor "Outros".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D15" authorId="0" shapeId="0">
      <text>
        <r>
          <rPr>
            <sz val="9"/>
            <color indexed="8"/>
            <rFont val="Segoe UI"/>
            <family val="2"/>
          </rPr>
          <t>O evento de administração local é fixo, de uso opcional.
Os serviços agrupados neste evento serão medidos proporcionalmente à execução dos demais eventos.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C7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C8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AB12" authorId="0" shapeId="0">
      <text>
        <r>
          <rPr>
            <sz val="9"/>
            <color indexed="8"/>
            <rFont val="Segoe UI"/>
            <family val="2"/>
          </rPr>
          <t>Digite nestes campos as datas das medições</t>
        </r>
      </text>
    </comment>
    <comment ref="AB13" authorId="0" shapeId="0">
      <text>
        <r>
          <rPr>
            <sz val="9"/>
            <color indexed="8"/>
            <rFont val="Tahoma"/>
            <family val="2"/>
          </rPr>
          <t xml:space="preserve">Para medições além da 12ª, preencha esta coluna com as </t>
        </r>
        <r>
          <rPr>
            <b/>
            <sz val="9"/>
            <color indexed="8"/>
            <rFont val="Tahoma"/>
            <family val="2"/>
          </rPr>
          <t>quantidades acumuladas.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D7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Z25" authorId="0" shapeId="0">
      <text>
        <r>
          <rPr>
            <b/>
            <sz val="9"/>
            <color indexed="8"/>
            <rFont val="Segoe UI"/>
            <family val="2"/>
          </rPr>
          <t xml:space="preserve">Valores de Contrapartida e Outros:
</t>
        </r>
        <r>
          <rPr>
            <sz val="9"/>
            <color indexed="8"/>
            <rFont val="Segoe UI"/>
            <family val="2"/>
          </rPr>
          <t>Digite somente para desbloquear valores diferentes do previsto no RRE.</t>
        </r>
      </text>
    </comment>
  </commentList>
</comments>
</file>

<file path=xl/sharedStrings.xml><?xml version="1.0" encoding="utf-8"?>
<sst xmlns="http://schemas.openxmlformats.org/spreadsheetml/2006/main" count="2449" uniqueCount="787">
  <si>
    <t>PM</t>
  </si>
  <si>
    <t>Licitado</t>
  </si>
  <si>
    <t>Fundo amarelo: células para preencher</t>
  </si>
  <si>
    <t>Fundo azul: células para seleção de opções</t>
  </si>
  <si>
    <t>BM</t>
  </si>
  <si>
    <t>A. DOCUMENTAÇÃO DA PROPOSTA</t>
  </si>
  <si>
    <t>Sub-Itens de Investimento</t>
  </si>
  <si>
    <t>Itens de Investimento</t>
  </si>
  <si>
    <t>Unidades habitacionais</t>
  </si>
  <si>
    <t>Equipamentos comunitários</t>
  </si>
  <si>
    <t>Pavimentação</t>
  </si>
  <si>
    <t xml:space="preserve">Drenagem </t>
  </si>
  <si>
    <t>Abastecimento de água</t>
  </si>
  <si>
    <t>Esgotamento sanitário</t>
  </si>
  <si>
    <t>Energia elétrica e iluminação pública</t>
  </si>
  <si>
    <t>Coleta e tratamento de resíduos sólidos</t>
  </si>
  <si>
    <t xml:space="preserve">Contenção e estabilização de encostas </t>
  </si>
  <si>
    <t>Regularização fundiária</t>
  </si>
  <si>
    <t>Aquisição de terreno</t>
  </si>
  <si>
    <t>Aquisição de equipamentos e insumos</t>
  </si>
  <si>
    <t>Elaboração de estudos e projetos</t>
  </si>
  <si>
    <t>Instrumentos e ações em planejamento e gestão pública</t>
  </si>
  <si>
    <t>Ações complementares às obras</t>
  </si>
  <si>
    <t>Gerenciamento</t>
  </si>
  <si>
    <t>Trabalho social</t>
  </si>
  <si>
    <t>Dados do Contrato (Inicial)</t>
  </si>
  <si>
    <t>Aquisição</t>
  </si>
  <si>
    <t>un</t>
  </si>
  <si>
    <t>Convivência comunitária, assistência social e/ou comunitária</t>
  </si>
  <si>
    <t>m²</t>
  </si>
  <si>
    <t>Capeamento de vias</t>
  </si>
  <si>
    <t xml:space="preserve">Obras de microdrenagem </t>
  </si>
  <si>
    <t>m</t>
  </si>
  <si>
    <t>Captação subterrânea</t>
  </si>
  <si>
    <t>m³/s</t>
  </si>
  <si>
    <t>Ligações domiciliares e/ou intradomiciliares</t>
  </si>
  <si>
    <t>Iluminação pública - luminárias</t>
  </si>
  <si>
    <t xml:space="preserve">Acondicionamento </t>
  </si>
  <si>
    <t>Estabilização de taludes</t>
  </si>
  <si>
    <t>Desapropriacões/Indenizações</t>
  </si>
  <si>
    <t>Avaliação pós intervenção</t>
  </si>
  <si>
    <t>%CT</t>
  </si>
  <si>
    <t>Projeto de Trabalho Social Preliminar</t>
  </si>
  <si>
    <t>nº fam</t>
  </si>
  <si>
    <t>Fonte de recursos:</t>
  </si>
  <si>
    <t>Construção</t>
  </si>
  <si>
    <t>Educação e cultura</t>
  </si>
  <si>
    <t>Recapeamento de vias</t>
  </si>
  <si>
    <t>Desassoreamento de cursos de água</t>
  </si>
  <si>
    <t>Captação superficial</t>
  </si>
  <si>
    <t>Rede coletora e/ou condominial</t>
  </si>
  <si>
    <t>Ligações domiciliares</t>
  </si>
  <si>
    <t>Aterro sanitário e/ou disposição final</t>
  </si>
  <si>
    <t>m³</t>
  </si>
  <si>
    <t>Obras complementares a ações de redução de risco e/ou contenções</t>
  </si>
  <si>
    <t>Projeto de Regularização Fundiária</t>
  </si>
  <si>
    <t>Benfeitorias</t>
  </si>
  <si>
    <t>Demolições</t>
  </si>
  <si>
    <t>Projeto de Trabalho Social</t>
  </si>
  <si>
    <t>Proponente/Tomador:</t>
  </si>
  <si>
    <t>Reforma e/ou melhoria</t>
  </si>
  <si>
    <t>Esportes</t>
  </si>
  <si>
    <t>Obras de artes especiais</t>
  </si>
  <si>
    <t>Canalização de cursos de água</t>
  </si>
  <si>
    <t>Estação de bombeamento de água bruta</t>
  </si>
  <si>
    <t>Coletor tronco e/ou interceptores</t>
  </si>
  <si>
    <t xml:space="preserve">Linhas de distribuição - baixa tensão </t>
  </si>
  <si>
    <t>Erradicação de lixões</t>
  </si>
  <si>
    <t>Plano de Reassentamento e medidas compensatórias</t>
  </si>
  <si>
    <t>Plano de Desenvolvimento Socioterritorial</t>
  </si>
  <si>
    <t>Município/UF:</t>
  </si>
  <si>
    <t>Lazer e turismo</t>
  </si>
  <si>
    <t>Pavimentação de calçadas</t>
  </si>
  <si>
    <t>Recomposição de vegetação ciliar, renaturalização de cursos de água ou restauração de margens</t>
  </si>
  <si>
    <t>Adução</t>
  </si>
  <si>
    <t>Emissário</t>
  </si>
  <si>
    <t xml:space="preserve">Linhas de transmissão - alta tensão </t>
  </si>
  <si>
    <t>Sistema de coleta seletiva tradicional, transporte e/ou equipamentos</t>
  </si>
  <si>
    <t>Plano de Gestão Condominial</t>
  </si>
  <si>
    <t>Nº da Operação (0000000-00):</t>
  </si>
  <si>
    <t>Saúde</t>
  </si>
  <si>
    <t>Pavimentação de vias</t>
  </si>
  <si>
    <t>Reservatório de amortecimento de cheias</t>
  </si>
  <si>
    <t>Estação de Tratamento de Água (ETA)</t>
  </si>
  <si>
    <t>Estação Elevatória</t>
  </si>
  <si>
    <t xml:space="preserve">Tratamento local </t>
  </si>
  <si>
    <t>Segurança pública</t>
  </si>
  <si>
    <t>Sinalização</t>
  </si>
  <si>
    <t>Estação de Bombeamento</t>
  </si>
  <si>
    <t>Estação de bombeamento de água tratada</t>
  </si>
  <si>
    <t>Estação de Tratamento de Esgoto (ETE)</t>
  </si>
  <si>
    <t xml:space="preserve">Usinas de reciclagem </t>
  </si>
  <si>
    <t>Linha de recalque</t>
  </si>
  <si>
    <t>Sistema simplificado de tratamento</t>
  </si>
  <si>
    <t>Valor de Contrapartida Contratada (R$):</t>
  </si>
  <si>
    <t>Reservação</t>
  </si>
  <si>
    <t>Unidades sanitárias</t>
  </si>
  <si>
    <t>% mínimo de Contrapartida:</t>
  </si>
  <si>
    <t>Rede de distribuição</t>
  </si>
  <si>
    <t>R$ mínimo de Contrapartida (se houver):</t>
  </si>
  <si>
    <t>% máximo de Contrapartida:</t>
  </si>
  <si>
    <t>Sistema simplificado de abastecimento</t>
  </si>
  <si>
    <t>Dados do Empreendimento e Orçamento</t>
  </si>
  <si>
    <t>Nome/apelido:</t>
  </si>
  <si>
    <t>Descrição do Objeto do Lote / CTEF:</t>
  </si>
  <si>
    <t>Regime previdenciário previsto para a obra:</t>
  </si>
  <si>
    <t>Data base do Orçamento:</t>
  </si>
  <si>
    <t>Responsável pelo Orçamento</t>
  </si>
  <si>
    <t>Nome:</t>
  </si>
  <si>
    <t>CREA/CAU:</t>
  </si>
  <si>
    <t>ART/RRT:</t>
  </si>
  <si>
    <t>Data do preenchimento:</t>
  </si>
  <si>
    <t>Responsável pelo Tomador (Prefeito, no caso de Municípios)</t>
  </si>
  <si>
    <t>Cargo:</t>
  </si>
  <si>
    <t>B. RESULTADO DO PROCESSO LICITATÓRIO</t>
  </si>
  <si>
    <t>Licitação</t>
  </si>
  <si>
    <t>Data de emissão dos documentos de licitação:</t>
  </si>
  <si>
    <t>Nº do CTEF (contrato com empresa):</t>
  </si>
  <si>
    <t>Nome da empresa:</t>
  </si>
  <si>
    <t>CNPJ da empresa:</t>
  </si>
  <si>
    <t>Regime de execução do CTEF:</t>
  </si>
  <si>
    <t>Data base do CTEF:</t>
  </si>
  <si>
    <t>C. ACOMPANHAMENTO DO EMPREENDIMENTO</t>
  </si>
  <si>
    <t>Dados da obra</t>
  </si>
  <si>
    <t>Data do Início da Obra:</t>
  </si>
  <si>
    <t>Data de fechamento do RRE:</t>
  </si>
  <si>
    <t>Responsável pela Fiscalização</t>
  </si>
  <si>
    <t>Profissão:</t>
  </si>
  <si>
    <t>CREA/CAU (para obras/projetos):</t>
  </si>
  <si>
    <t>ART/RRT (para obras/projetos):</t>
  </si>
  <si>
    <t>D. ACOMPANHAMENTO CAIXA</t>
  </si>
  <si>
    <t>Responsável Gerencial</t>
  </si>
  <si>
    <t>Função:</t>
  </si>
  <si>
    <t>Novidades da Versão</t>
  </si>
  <si>
    <t>V3.0.0</t>
  </si>
  <si>
    <t>GERAL</t>
  </si>
  <si>
    <t>Lançamento: Adequação à Portaria 424/2016. Acompanhamento por Eventos.</t>
  </si>
  <si>
    <t>MIN</t>
  </si>
  <si>
    <t>MED</t>
  </si>
  <si>
    <t>MAX</t>
  </si>
  <si>
    <t>Grau de Sigilo</t>
  </si>
  <si>
    <t>Construção e Reforma de Edifícios</t>
  </si>
  <si>
    <t>AC</t>
  </si>
  <si>
    <t>#PUBLICO</t>
  </si>
  <si>
    <t>SG</t>
  </si>
  <si>
    <t>R</t>
  </si>
  <si>
    <t>Nº OPERAÇÃO</t>
  </si>
  <si>
    <t>PROPONENTE / TOMADOR</t>
  </si>
  <si>
    <t>DF</t>
  </si>
  <si>
    <t>L</t>
  </si>
  <si>
    <t>BDI PAD</t>
  </si>
  <si>
    <t>APELIDO DO EMPREENDIMENTO / DESCRIÇÃO DO LOTE</t>
  </si>
  <si>
    <t>Construção de Praças Urbanas, Rodovias, Ferrovias e recapeamento e pavimentação de vias urbanas</t>
  </si>
  <si>
    <t>Conforme legislação tributária municipal, definir estimativa de percentual da base de cálculo para o ISS:</t>
  </si>
  <si>
    <t>Sobre a base de cálculo, definir a respectiva alíquota do ISS (entre 2% e 5%):</t>
  </si>
  <si>
    <t>Construção de Redes de Abastecimento de Água, Coleta de Esgoto</t>
  </si>
  <si>
    <t>BDI 1</t>
  </si>
  <si>
    <t>TIPO DE OBRA</t>
  </si>
  <si>
    <t>Itens</t>
  </si>
  <si>
    <t>Siglas</t>
  </si>
  <si>
    <t>% Adotado</t>
  </si>
  <si>
    <t>Situação</t>
  </si>
  <si>
    <t>1º Quartil</t>
  </si>
  <si>
    <t>Médio</t>
  </si>
  <si>
    <t>3º Quartil</t>
  </si>
  <si>
    <t>Construção e Manutenção de Estações e Redes de Distribuição de Energia Elétrica</t>
  </si>
  <si>
    <t>-</t>
  </si>
  <si>
    <t>Obras Portuárias, Marítimas e Fluviais</t>
  </si>
  <si>
    <t>Tributos (impostos COFINS 3%, e  PIS 0,65%)</t>
  </si>
  <si>
    <t>CP</t>
  </si>
  <si>
    <t>Tributos (ISS, variável de acordo com o município)</t>
  </si>
  <si>
    <t>ISS</t>
  </si>
  <si>
    <t>Tributos (Contribuição Previdenciária sobre a Receita Bruta - 0% ou 4,5% - Desoneração)</t>
  </si>
  <si>
    <t>CPRB</t>
  </si>
  <si>
    <t>BDI SEM desoneração (Fórmula Acórdão TCU)</t>
  </si>
  <si>
    <t>BDI COM desoneração</t>
  </si>
  <si>
    <t>BDI DES</t>
  </si>
  <si>
    <t>Fornecimento de Materiais e Equipamentos (aquisição indireta - em conjunto com licitação de obras)</t>
  </si>
  <si>
    <t>Os valores de BDI foram calculados com o emprego da fórmula:</t>
  </si>
  <si>
    <t>BDI =</t>
  </si>
  <si>
    <t xml:space="preserve"> - 1</t>
  </si>
  <si>
    <t>(1-CP-ISS-CRPB)</t>
  </si>
  <si>
    <t>Fornecimento de Materiais e Equipamentos (aquisição direta)</t>
  </si>
  <si>
    <t>Estudos e Projetos, Planos e Gerenciamento e outros correlatos</t>
  </si>
  <si>
    <t>K1</t>
  </si>
  <si>
    <t>K2</t>
  </si>
  <si>
    <t>K3</t>
  </si>
  <si>
    <t>Observações:</t>
  </si>
  <si>
    <t>Local</t>
  </si>
  <si>
    <t>Data</t>
  </si>
  <si>
    <t>Responsável Técnico</t>
  </si>
  <si>
    <t>BDI 2</t>
  </si>
  <si>
    <t>BDI 3</t>
  </si>
  <si>
    <t>PO - PLANILHA ORÇAMENTÁRIA</t>
  </si>
  <si>
    <t>LOTE</t>
  </si>
  <si>
    <t>Meta</t>
  </si>
  <si>
    <t>Nível 2</t>
  </si>
  <si>
    <t>Nível 3</t>
  </si>
  <si>
    <t>Nível 4</t>
  </si>
  <si>
    <t>Serviço</t>
  </si>
  <si>
    <t>Arredondamento</t>
  </si>
  <si>
    <t>Nmax</t>
  </si>
  <si>
    <t>APELIDO DO EMPREENDIMENTO</t>
  </si>
  <si>
    <t>Quantidade</t>
  </si>
  <si>
    <t>LOCALIDADE SINAPI</t>
  </si>
  <si>
    <t>DATA BASE</t>
  </si>
  <si>
    <t>Custo Unitáro</t>
  </si>
  <si>
    <t>QUANTIDADES: ACOMP. POR BM</t>
  </si>
  <si>
    <t>PREÇO UNITÁRIO LICITADO</t>
  </si>
  <si>
    <t>FILTRO</t>
  </si>
  <si>
    <t>RECURSO</t>
  </si>
  <si>
    <t>SGL RECURSO</t>
  </si>
  <si>
    <t>BDI</t>
  </si>
  <si>
    <t>Preço Unitário</t>
  </si>
  <si>
    <t>ERRO GERAL</t>
  </si>
  <si>
    <t>Preço Total</t>
  </si>
  <si>
    <t>Valores não Arredondados</t>
  </si>
  <si>
    <t>↓</t>
  </si>
  <si>
    <t>Nível E</t>
  </si>
  <si>
    <t>Save Nivel</t>
  </si>
  <si>
    <t>Nível C</t>
  </si>
  <si>
    <t>Altura</t>
  </si>
  <si>
    <t>n1</t>
  </si>
  <si>
    <t>n2</t>
  </si>
  <si>
    <t>n3</t>
  </si>
  <si>
    <t>n4</t>
  </si>
  <si>
    <t>n5</t>
  </si>
  <si>
    <t>Czero</t>
  </si>
  <si>
    <t>Cnível</t>
  </si>
  <si>
    <t>Nível</t>
  </si>
  <si>
    <t>Nível Corrigido</t>
  </si>
  <si>
    <t>Item</t>
  </si>
  <si>
    <t>Fonte</t>
  </si>
  <si>
    <t>Código</t>
  </si>
  <si>
    <t>Descrição</t>
  </si>
  <si>
    <t>Unidade</t>
  </si>
  <si>
    <t>Preço Unitário (com BDI) (R$)</t>
  </si>
  <si>
    <t>Preço Total
(R$)</t>
  </si>
  <si>
    <t>Contrapartida (R$)</t>
  </si>
  <si>
    <t>Outros (R$)</t>
  </si>
  <si>
    <t>Erro de Dados</t>
  </si>
  <si>
    <t>Lista Crono</t>
  </si>
  <si>
    <t>Concatenação Fonte-Código</t>
  </si>
  <si>
    <t>BancoDesloc</t>
  </si>
  <si>
    <t>Preço Total
Licit. (R$)</t>
  </si>
  <si>
    <t>RA</t>
  </si>
  <si>
    <t>F</t>
  </si>
  <si>
    <t>SINAPI</t>
  </si>
  <si>
    <t>Encargos sociais:</t>
  </si>
  <si>
    <t>Para elaboração deste orçamento, foram utilizados os encargos sociais do SINAPI para a Unidade da Federação indicada.</t>
  </si>
  <si>
    <t>Siglas da Composição do Investimento: RA - Rateio proporcional entre Repasse e Contrapartida; RP - 100% Repasse; CP - 100% Contrapartida; OU - 100% Outros.</t>
  </si>
  <si>
    <t>Preços dos serviços por frente</t>
  </si>
  <si>
    <t>Mês do cronograma</t>
  </si>
  <si>
    <t>Número da Medição</t>
  </si>
  <si>
    <t>Empty</t>
  </si>
  <si>
    <t>.</t>
  </si>
  <si>
    <t>Nº AGRUPADOR DE EVENTOS</t>
  </si>
  <si>
    <t>FRENTES DE OBRA:</t>
  </si>
  <si>
    <t>AUTOEVENTO</t>
  </si>
  <si>
    <t>Memória de Cálculo</t>
  </si>
  <si>
    <t>Nº</t>
  </si>
  <si>
    <t># Evento</t>
  </si>
  <si>
    <t>Agrupador de Eventos</t>
  </si>
  <si>
    <t>TOTAL FINANC. POR FRENTE (R$):</t>
  </si>
  <si>
    <t>AGRUPADORES DE EVENTOS</t>
  </si>
  <si>
    <t>1. Selecione abaixo a forma de definição dos agrupadores de eventos:</t>
  </si>
  <si>
    <t>Nº do Evento</t>
  </si>
  <si>
    <t>Título do Evento</t>
  </si>
  <si>
    <t>Valor Total dos Eventos (R$)</t>
  </si>
  <si>
    <t>Administração Local</t>
  </si>
  <si>
    <t>% Período:</t>
  </si>
  <si>
    <t>Níveis a Exibir no Cronograma:</t>
  </si>
  <si>
    <t>PROPONENTE TOMADOR</t>
  </si>
  <si>
    <t>APELIDO EMPREENDIMENTO</t>
  </si>
  <si>
    <t>Falta distribuir:</t>
  </si>
  <si>
    <t>Valor (R$)</t>
  </si>
  <si>
    <t>Parcelas:</t>
  </si>
  <si>
    <t>Item CRONO</t>
  </si>
  <si>
    <t>OU</t>
  </si>
  <si>
    <t>Linha PO
Linha QCI
Total Adm Local</t>
  </si>
  <si>
    <t>Linhas a somar</t>
  </si>
  <si>
    <t>#</t>
  </si>
  <si>
    <t>%:</t>
  </si>
  <si>
    <t>Período:</t>
  </si>
  <si>
    <t>Contrapartida:</t>
  </si>
  <si>
    <t>Outros:</t>
  </si>
  <si>
    <t>Investimento:</t>
  </si>
  <si>
    <t>Acumulado:</t>
  </si>
  <si>
    <t>CRONOGRAMA PREVISTO PLE</t>
  </si>
  <si>
    <t>1. Digite nas células em amarelo o número do período em que os eventos serão concluídos:</t>
  </si>
  <si>
    <t>Filtro</t>
  </si>
  <si>
    <t>Título dos Eventos</t>
  </si>
  <si>
    <t>Informe abaixo o NÚMERO DO PERÍODO em que os eventos serão concluídos</t>
  </si>
  <si>
    <t>PLE - PLANILHA DE LEVANTAMENTO DE EVENTOS</t>
  </si>
  <si>
    <t>Medição:</t>
  </si>
  <si>
    <t>% Realizado Período.:</t>
  </si>
  <si>
    <t>% Realizado Acum.:</t>
  </si>
  <si>
    <t>Informe abaixo o NÚMERO DA MEDIÇÃO em que os eventos foram concluídos</t>
  </si>
  <si>
    <t>Data das Medições</t>
  </si>
  <si>
    <t>Medições</t>
  </si>
  <si>
    <t>%</t>
  </si>
  <si>
    <t>R$</t>
  </si>
  <si>
    <t>Responsável Técnico pela Fiscalização</t>
  </si>
  <si>
    <t>QCI - Quadro de Composição do Investimento</t>
  </si>
  <si>
    <t>% Maior:</t>
  </si>
  <si>
    <t>% Rateio CP Fin:</t>
  </si>
  <si>
    <t>MUNICÍPIO / UF</t>
  </si>
  <si>
    <t>VALORES CONTRATADOS (R$):</t>
  </si>
  <si>
    <t>CONTRAPARTIDA</t>
  </si>
  <si>
    <t>INVESTIMENTO</t>
  </si>
  <si>
    <t>% CP Min Prog:</t>
  </si>
  <si>
    <t>% CP Absoluta:</t>
  </si>
  <si>
    <t>% CP Max Rep:</t>
  </si>
  <si>
    <t>Saldo a Reprogramar</t>
  </si>
  <si>
    <t>Ordem Meta</t>
  </si>
  <si>
    <t>Arred</t>
  </si>
  <si>
    <t>Repasse (R$)</t>
  </si>
  <si>
    <t>Proporcional</t>
  </si>
  <si>
    <t>Busca</t>
  </si>
  <si>
    <t>Item de Investimento</t>
  </si>
  <si>
    <t>Subitem de Investimento</t>
  </si>
  <si>
    <t>Descrição da Meta</t>
  </si>
  <si>
    <t>Unid.</t>
  </si>
  <si>
    <t>Lote de Licitação / nº do CTEF</t>
  </si>
  <si>
    <t>Contrapartida Financeira (R$)</t>
  </si>
  <si>
    <t>Investimento (R$)</t>
  </si>
  <si>
    <t>Divisão do Investimento</t>
  </si>
  <si>
    <t>TR$</t>
  </si>
  <si>
    <t>TOTAL</t>
  </si>
  <si>
    <t>T%</t>
  </si>
  <si>
    <t>Representante Tomador</t>
  </si>
  <si>
    <t>Modo CAIXA</t>
  </si>
  <si>
    <t>INÍCIO DE OBRA</t>
  </si>
  <si>
    <t xml:space="preserve">Regime </t>
  </si>
  <si>
    <t>Fórmula CopMed</t>
  </si>
  <si>
    <t>Nº CTEF</t>
  </si>
  <si>
    <t>EMPRESA EXECUTORA</t>
  </si>
  <si>
    <t>CNPJ</t>
  </si>
  <si>
    <t>PERÍODO DA MEDIÇÃO</t>
  </si>
  <si>
    <t>Nº MEDIÇÃO</t>
  </si>
  <si>
    <t>ARREDMED</t>
  </si>
  <si>
    <t>Anexo</t>
  </si>
  <si>
    <t>Datas das Medições</t>
  </si>
  <si>
    <t>Orçamento Contratado</t>
  </si>
  <si>
    <t>Evolução Financeira (R$)</t>
  </si>
  <si>
    <t>Quadro de Glosas</t>
  </si>
  <si>
    <t>Acum. Anterior</t>
  </si>
  <si>
    <t>Período</t>
  </si>
  <si>
    <t>Acum. Incluindo o Período</t>
  </si>
  <si>
    <t>Valor Total Glosado (R$)</t>
  </si>
  <si>
    <t>Motivo da Glosa</t>
  </si>
  <si>
    <t>Valor Total Medido (R$)</t>
  </si>
  <si>
    <t>TOTAL:</t>
  </si>
  <si>
    <t>Observações</t>
  </si>
  <si>
    <t>Profissional CAIXA:</t>
  </si>
  <si>
    <t>Matrícula</t>
  </si>
  <si>
    <t>Acum. Previsto</t>
  </si>
  <si>
    <t>Acum. Chegada</t>
  </si>
  <si>
    <t>Outros</t>
  </si>
  <si>
    <t>Nº RRE</t>
  </si>
  <si>
    <t>Investimento</t>
  </si>
  <si>
    <t>Situação do TC/CR:</t>
  </si>
  <si>
    <t>Percentual previsto em:</t>
  </si>
  <si>
    <t>Lista CTEF</t>
  </si>
  <si>
    <t>PLE</t>
  </si>
  <si>
    <t>Acumulado Período Anterior</t>
  </si>
  <si>
    <t>Acumulado incluindo o Período</t>
  </si>
  <si>
    <t>Linha
PO</t>
  </si>
  <si>
    <t>BM / PLE nº</t>
  </si>
  <si>
    <t>Valor Total (R$)</t>
  </si>
  <si>
    <t>Acum. Período Anterior - CP</t>
  </si>
  <si>
    <t>Acum. Período Anterior - Outros</t>
  </si>
  <si>
    <t>No Período</t>
  </si>
  <si>
    <t>Acum. Incluindo Período - CP</t>
  </si>
  <si>
    <t>Acum. Incluindo Período - Outros</t>
  </si>
  <si>
    <t>Execução Física Acum.</t>
  </si>
  <si>
    <t>(%)</t>
  </si>
  <si>
    <t>Anterior (R$)</t>
  </si>
  <si>
    <t>Acumulado (R$)</t>
  </si>
  <si>
    <t>Max CP/OU Ant.</t>
  </si>
  <si>
    <t>Max CP/OU Acum.</t>
  </si>
  <si>
    <t>Contrapartida</t>
  </si>
  <si>
    <t># PÚBLICO</t>
  </si>
  <si>
    <t>Resumo de Valores por CTEF:</t>
  </si>
  <si>
    <t>CTEF:</t>
  </si>
  <si>
    <t>Valor Vigente (R$)</t>
  </si>
  <si>
    <t>Valor desta Medição (R$)</t>
  </si>
  <si>
    <t>Valor Acumulado (R$)</t>
  </si>
  <si>
    <t>Ofício n°:</t>
  </si>
  <si>
    <t>À</t>
  </si>
  <si>
    <t>CAIXA ECONÔMICA FEDERAL</t>
  </si>
  <si>
    <t>Assunto:</t>
  </si>
  <si>
    <t>REF:</t>
  </si>
  <si>
    <t>Objeto:</t>
  </si>
  <si>
    <t>Proponente / Tomador:</t>
  </si>
  <si>
    <t>Valores Vigentes do TC/CR</t>
  </si>
  <si>
    <t>Valores Medidos Acumulados</t>
  </si>
  <si>
    <t>Contrapartida Financeira:</t>
  </si>
  <si>
    <t>Execução Física:</t>
  </si>
  <si>
    <t>Atenciosamente,</t>
  </si>
  <si>
    <t>DADOS DO CONTRATO</t>
  </si>
  <si>
    <t>NOVIDADES DA VERSÃO</t>
  </si>
  <si>
    <t>LEGENDA:</t>
  </si>
  <si>
    <t>Fundo azul: navegação entre abas</t>
  </si>
  <si>
    <t>Fundo laranja: execução de macro</t>
  </si>
  <si>
    <r>
      <t xml:space="preserve">Cores das </t>
    </r>
    <r>
      <rPr>
        <b/>
        <sz val="10"/>
        <rFont val="Arial"/>
        <family val="2"/>
      </rPr>
      <t>células</t>
    </r>
    <r>
      <rPr>
        <sz val="10"/>
        <rFont val="Arial"/>
        <family val="2"/>
      </rPr>
      <t>:</t>
    </r>
  </si>
  <si>
    <r>
      <t xml:space="preserve">Cores dos </t>
    </r>
    <r>
      <rPr>
        <b/>
        <sz val="10"/>
        <rFont val="Arial"/>
        <family val="2"/>
      </rPr>
      <t>botões</t>
    </r>
    <r>
      <rPr>
        <sz val="10"/>
        <rFont val="Arial"/>
        <family val="2"/>
      </rPr>
      <t>:</t>
    </r>
  </si>
  <si>
    <t>Proposto</t>
  </si>
  <si>
    <t>Automática, conforme os agrupadores Nível 2 do Orçamento</t>
  </si>
  <si>
    <t>(SELECIONAR)</t>
  </si>
  <si>
    <t>GIGOV</t>
  </si>
  <si>
    <t>Lista CTEFs</t>
  </si>
  <si>
    <t>V3.0.1</t>
  </si>
  <si>
    <t>PO</t>
  </si>
  <si>
    <t>Preço Unitário Edital (R$)</t>
  </si>
  <si>
    <t>Ajustes de formatações.</t>
  </si>
  <si>
    <t>Correção da aplicação do BDI não desonerado.</t>
  </si>
  <si>
    <t>Inclusão de coluna exclusiva "Preço Unitário Edital", para o Modo 'Orçamento Licitado'.</t>
  </si>
  <si>
    <t>Custo Unitário Referência (R$)</t>
  </si>
  <si>
    <t>V3.0.2</t>
  </si>
  <si>
    <t>CRONOGRAMA</t>
  </si>
  <si>
    <t>QCI</t>
  </si>
  <si>
    <t>Correção na formulação do total por Repasse, CP e Outros.</t>
  </si>
  <si>
    <t>Correção na formulação do arredondamento no rateio dos valores do QCI.</t>
  </si>
  <si>
    <t>Correção na formulação do total acumulado por Repasse, CP e Outros</t>
  </si>
  <si>
    <t>RRE</t>
  </si>
  <si>
    <t>ORÇAMENTO</t>
  </si>
  <si>
    <t>Ampliada obtenção de dados da Planilha Referência de 20.000 para 65.536 linhas.</t>
  </si>
  <si>
    <t>Correção do Problema de Guias ocultas no BROFFICE.</t>
  </si>
  <si>
    <t>V3.0.3</t>
  </si>
  <si>
    <t>CÁLCULO</t>
  </si>
  <si>
    <t>Corrigida lentidão e travamento ao incluir e excluir frentes.</t>
  </si>
  <si>
    <t>V3.0.4</t>
  </si>
  <si>
    <t>Correção da CPRB que exibia 4,5% mesmo quando não desonerado.</t>
  </si>
  <si>
    <t>Correção da distribuição de Repasse, CP e Outros para as metas manuais.</t>
  </si>
  <si>
    <t>Adicionado botão para adotar a CP do QCI como CP do contrato (zera saldo a reprogramar de CP).</t>
  </si>
  <si>
    <t>V3.0.5</t>
  </si>
  <si>
    <t>Corrigido modo de Cálculo da Planilha para Automático.</t>
  </si>
  <si>
    <t>v3.0.6</t>
  </si>
  <si>
    <t>Arredondamento das frentes:</t>
  </si>
  <si>
    <t>Tradicional</t>
  </si>
  <si>
    <t>V3.0.6</t>
  </si>
  <si>
    <t>Nº do TransfereGOV (000000):</t>
  </si>
  <si>
    <t>Nº TransfereGOV</t>
  </si>
  <si>
    <t>Adicionado modo de arredondamento para compatibilidade com o TransfereGOV, altera na aba DADOS</t>
  </si>
  <si>
    <t>A planilha passará a ser disponibilizada com o formato .xlsm. Deve ser usado arquivo referência 1.9 ou superior, também no formato .xlsm</t>
  </si>
  <si>
    <t>Nº TRANSFEREGOV</t>
  </si>
  <si>
    <t>Nº TGOV</t>
  </si>
  <si>
    <t>NILSON DO PRADO RODRIGUES</t>
  </si>
  <si>
    <t>172357-5</t>
  </si>
  <si>
    <t>NÃO DESONERADO</t>
  </si>
  <si>
    <t xml:space="preserve">ADMINISTRAÇÃO LOCAL </t>
  </si>
  <si>
    <t xml:space="preserve">PONTE </t>
  </si>
  <si>
    <t>SINAPI-I</t>
  </si>
  <si>
    <t xml:space="preserve">2 containers *5 meses </t>
  </si>
  <si>
    <t xml:space="preserve">10horas emanais * 4 semanas *5 meses </t>
  </si>
  <si>
    <t>5</t>
  </si>
  <si>
    <t>EMPREITADA POR PREÇO GLOBAL</t>
  </si>
  <si>
    <t>103325</t>
  </si>
  <si>
    <t>87775</t>
  </si>
  <si>
    <t>100324</t>
  </si>
  <si>
    <t>LAJE</t>
  </si>
  <si>
    <t>87905</t>
  </si>
  <si>
    <t>101964</t>
  </si>
  <si>
    <t>87886</t>
  </si>
  <si>
    <t>90406</t>
  </si>
  <si>
    <t>103689</t>
  </si>
  <si>
    <t>101153</t>
  </si>
  <si>
    <t>93368</t>
  </si>
  <si>
    <t xml:space="preserve">REGULARIZAÇÃO TERRENO </t>
  </si>
  <si>
    <t>96521</t>
  </si>
  <si>
    <t>93382</t>
  </si>
  <si>
    <t>96527</t>
  </si>
  <si>
    <t>103672</t>
  </si>
  <si>
    <t>92762</t>
  </si>
  <si>
    <t>6081</t>
  </si>
  <si>
    <t>97084</t>
  </si>
  <si>
    <t>103674</t>
  </si>
  <si>
    <t xml:space="preserve">ESQUADRIAS </t>
  </si>
  <si>
    <t>94569</t>
  </si>
  <si>
    <t>100674</t>
  </si>
  <si>
    <t xml:space="preserve">PINTURA </t>
  </si>
  <si>
    <t>88489</t>
  </si>
  <si>
    <t>88415</t>
  </si>
  <si>
    <t xml:space="preserve">COBERTURA </t>
  </si>
  <si>
    <t>92616</t>
  </si>
  <si>
    <t>92580</t>
  </si>
  <si>
    <t>96557</t>
  </si>
  <si>
    <t>96534</t>
  </si>
  <si>
    <t xml:space="preserve">ESCAVAÇÃO BALDRAME </t>
  </si>
  <si>
    <t>PILARES (INCLUSO COLARINHO)</t>
  </si>
  <si>
    <t>92763</t>
  </si>
  <si>
    <t>92759</t>
  </si>
  <si>
    <t>VIGAS (INCLUSO BALDRAME)</t>
  </si>
  <si>
    <t>92761</t>
  </si>
  <si>
    <t xml:space="preserve">ALVENARIAS </t>
  </si>
  <si>
    <t xml:space="preserve">IMPERMEABILIZAÇÃO BALDRAME </t>
  </si>
  <si>
    <t>COMPOSIÇÃO</t>
  </si>
  <si>
    <t>C007</t>
  </si>
  <si>
    <t>98557</t>
  </si>
  <si>
    <t>PISO</t>
  </si>
  <si>
    <t>94994</t>
  </si>
  <si>
    <t>88650</t>
  </si>
  <si>
    <t>87259</t>
  </si>
  <si>
    <t>100327</t>
  </si>
  <si>
    <t>94228</t>
  </si>
  <si>
    <t>90850</t>
  </si>
  <si>
    <t>102218</t>
  </si>
  <si>
    <t>FUNDAÇÃO (estaca e blocos)</t>
  </si>
  <si>
    <t>92443</t>
  </si>
  <si>
    <t>96536</t>
  </si>
  <si>
    <t>SPDA</t>
  </si>
  <si>
    <t xml:space="preserve">PREVENTIVO DE INCENDIO </t>
  </si>
  <si>
    <t xml:space="preserve">ELÉTRICA </t>
  </si>
  <si>
    <t>91931</t>
  </si>
  <si>
    <t>91936</t>
  </si>
  <si>
    <t>HIDRAULICO</t>
  </si>
  <si>
    <t>101908</t>
  </si>
  <si>
    <t>97599</t>
  </si>
  <si>
    <t>37560</t>
  </si>
  <si>
    <t>98525</t>
  </si>
  <si>
    <t>105009</t>
  </si>
  <si>
    <t>98459</t>
  </si>
  <si>
    <t>COMPLEMENTARES</t>
  </si>
  <si>
    <t>86932</t>
  </si>
  <si>
    <t>93441</t>
  </si>
  <si>
    <t>ACESSORIOS</t>
  </si>
  <si>
    <t>SANITÁRIO</t>
  </si>
  <si>
    <t>86942</t>
  </si>
  <si>
    <t>99804</t>
  </si>
  <si>
    <t>99821</t>
  </si>
  <si>
    <t>89356</t>
  </si>
  <si>
    <t>89353</t>
  </si>
  <si>
    <t>89410</t>
  </si>
  <si>
    <t>91914</t>
  </si>
  <si>
    <t>89395</t>
  </si>
  <si>
    <t>89740</t>
  </si>
  <si>
    <t>89403</t>
  </si>
  <si>
    <t>89386</t>
  </si>
  <si>
    <t>89426</t>
  </si>
  <si>
    <t>89712</t>
  </si>
  <si>
    <t>89713</t>
  </si>
  <si>
    <t>89714</t>
  </si>
  <si>
    <t>98110</t>
  </si>
  <si>
    <t>97906</t>
  </si>
  <si>
    <t>89811</t>
  </si>
  <si>
    <t>104344</t>
  </si>
  <si>
    <t>89833</t>
  </si>
  <si>
    <t>104063</t>
  </si>
  <si>
    <t>89733</t>
  </si>
  <si>
    <t>104329</t>
  </si>
  <si>
    <t>89578</t>
  </si>
  <si>
    <t>95695</t>
  </si>
  <si>
    <t>BIBLIOTECA ÉRICO VERÍSSIMO</t>
  </si>
  <si>
    <t>100702</t>
  </si>
  <si>
    <t xml:space="preserve">CALÇADA EXTERNA </t>
  </si>
  <si>
    <t>96622</t>
  </si>
  <si>
    <t>94993</t>
  </si>
  <si>
    <t>98689</t>
  </si>
  <si>
    <t>DIVISÓRIA EM VIDRO FIXO</t>
  </si>
  <si>
    <t>C010</t>
  </si>
  <si>
    <t>OGU</t>
  </si>
  <si>
    <t>INSTITUTO FEDERAL FARROUPILHA</t>
  </si>
  <si>
    <t>SANTO ÂNGELO - RS</t>
  </si>
  <si>
    <t>BIBLIOTECA  ÉRICO VERISSIMO</t>
  </si>
  <si>
    <t>100652</t>
  </si>
  <si>
    <t>100651</t>
  </si>
  <si>
    <t>94213</t>
  </si>
  <si>
    <t>96544</t>
  </si>
  <si>
    <t>96543</t>
  </si>
  <si>
    <t>96545</t>
  </si>
  <si>
    <t>96546</t>
  </si>
  <si>
    <t>87273</t>
  </si>
  <si>
    <t>101510</t>
  </si>
  <si>
    <t>95644</t>
  </si>
  <si>
    <t>SERVIÇOS PRELIMINARES  E PROVISÓRIOS</t>
  </si>
  <si>
    <t>C001</t>
  </si>
  <si>
    <t xml:space="preserve">COMPOSIÇÃO </t>
  </si>
  <si>
    <t>C002</t>
  </si>
  <si>
    <t>C005</t>
  </si>
  <si>
    <t>91925</t>
  </si>
  <si>
    <t>91935</t>
  </si>
  <si>
    <t>91927</t>
  </si>
  <si>
    <t>101563</t>
  </si>
  <si>
    <t>91929</t>
  </si>
  <si>
    <t>92004</t>
  </si>
  <si>
    <t>92023</t>
  </si>
  <si>
    <t>92027</t>
  </si>
  <si>
    <t>39469</t>
  </si>
  <si>
    <t>101795</t>
  </si>
  <si>
    <t>91835</t>
  </si>
  <si>
    <t>92868</t>
  </si>
  <si>
    <t>38091</t>
  </si>
  <si>
    <t>101881</t>
  </si>
  <si>
    <t>104750</t>
  </si>
  <si>
    <t>96985</t>
  </si>
  <si>
    <t>100903</t>
  </si>
  <si>
    <t>C006</t>
  </si>
  <si>
    <t>39599</t>
  </si>
  <si>
    <t>98307</t>
  </si>
  <si>
    <t>1587</t>
  </si>
  <si>
    <t>1585</t>
  </si>
  <si>
    <t>1535</t>
  </si>
  <si>
    <t>1570</t>
  </si>
  <si>
    <t>ACESSIBILIDADE</t>
  </si>
  <si>
    <t>101094</t>
  </si>
  <si>
    <t>100867</t>
  </si>
  <si>
    <t>100853</t>
  </si>
  <si>
    <t>CLIMATIZADORES</t>
  </si>
  <si>
    <t>103255</t>
  </si>
  <si>
    <t>97328</t>
  </si>
  <si>
    <t>89865</t>
  </si>
  <si>
    <t>43437</t>
  </si>
  <si>
    <t>1573</t>
  </si>
  <si>
    <t>1575</t>
  </si>
  <si>
    <t>1577</t>
  </si>
  <si>
    <t>11839</t>
  </si>
  <si>
    <t>34641</t>
  </si>
  <si>
    <t>C011</t>
  </si>
  <si>
    <t>10848</t>
  </si>
  <si>
    <t>863</t>
  </si>
  <si>
    <t>92869</t>
  </si>
  <si>
    <t>91853</t>
  </si>
  <si>
    <t>93010</t>
  </si>
  <si>
    <t>ORSE</t>
  </si>
  <si>
    <t>11961</t>
  </si>
  <si>
    <t>39445</t>
  </si>
  <si>
    <t>39446</t>
  </si>
  <si>
    <t>34729</t>
  </si>
  <si>
    <t>34653</t>
  </si>
  <si>
    <t>43432</t>
  </si>
  <si>
    <t>101799</t>
  </si>
  <si>
    <t>97669</t>
  </si>
  <si>
    <t xml:space="preserve">TAXAS DE ART CREA-RS DE EXECUÇÃO (ARQUITETÔNICO, ELÉTRICO, HIDROSSANITÁRIO, PPCI, GAS ESTRUTURAL, AR CONDICIONADO E CONTROLE DE MATERIAIS DE ACABAMENTO </t>
  </si>
  <si>
    <t>FORNECIMENTO E INSTALAÇÃO DE PLACA DE OBRA COM CHAPA GALVANIZADA E ESTRUTURA DE MADEIRA. AF_03/2022_PS</t>
  </si>
  <si>
    <t>INSTALAÇÕES PROVISÓRIAS DE OBRA  PARA ALMOXARIFADO, ESCRITORIO, VESTIÁRIO, DEPÓSITO DE MATERIAIS, BANHEIROS, REFEITORIO, CENTRAL DE ARMADURA E CENTRAL DE FORMA, SEGUINDO A NR 18 (AREA DE 80 M²)</t>
  </si>
  <si>
    <t>TAPUME COM TELHA METÁLICA. AF_03/2024</t>
  </si>
  <si>
    <t>KIT CAVALETE PARA MEDIÇÃO DE ÁGUA - ENTRADA INDIVIDUALIZADA, EM PVC 32 MM (1"), PARA 1 MEDIDOR - FORNECIMENTO E INSTALAÇÃO (EXCLUSIVE HIDRÔMETRO). AF_03/2024</t>
  </si>
  <si>
    <t>LOCAÇÃO CONVENCIONAL DE OBRA, UTILIZANDO GABARITO DE TÁBUAS CORRIDAS PONTALETADAS A CADA 1,50M -  2 UTILIZAÇÕES. AF_03/2024</t>
  </si>
  <si>
    <t>ENTRADA DE ENERGIA ELÉTRICA, AÉREA, TRIFÁSICA, COM CAIXA DE EMBUTIR, CABO DE 16 MM2 E DISJUNTOR DIN 50A (NÃO INCLUSO O POSTE DE CONCRETO). AF_07/2020</t>
  </si>
  <si>
    <t>LIMPEZA MECANIZADA DE CAMADA VEGETAL, VEGETAÇÃO E PEQUENAS ÁRVORES (DIÂMETRO DE TRONCO MENOR QUE 0,20 M), COM TRATOR DE ESTEIRAS. AF_03/2024</t>
  </si>
  <si>
    <t xml:space="preserve">ADMINISTRAÇÃ LOCAL DA OBRA, CONTENDO ENGENHEIRO CIVIL, MESTRE DE OBRAS, TECNICO DE SEGURANÇA DO TRABALHO , APONTADOR E LIMPEZA PERMANENTE DA OBRA, CONSIDERANDO 15 MESES DE OBRA, UNIDADE PORCENTAGEM DE OBRA EXECUTADA. </t>
  </si>
  <si>
    <t>ESCAVAÇÃO HORIZONTAL, INCLUINDO ESCARIFICAÇÃO, CARGA, DESCARGA E TRANSPORTE EM SOLO DE 2A CATEGORIA COM TRATOR DE ESTEIRAS (125HP/LÂMINA: 2,70M3) E CAMINHÃO BASCULANTE DE 14M3, DMT ATÉ 200M. AF_07/2020</t>
  </si>
  <si>
    <t>REATERRO MECANIZADO DE VALA COM ESCAVADEIRA HIDRÁULICA (CAPACIDADE DA CAÇAMBA: 0,8 M³/POTÊNCIA: 111 HP), LARGURA ATÉ 1,5 M, PROFUNDIDADE DE 1,5 A 3,0 M, COM SOLO (SEM SUBSTITUIÇÃO) DE 1ª CATEGORIA, COM COMPACTADOR DE SOLOS DE PERCUSSÃO. AF_08/2023</t>
  </si>
  <si>
    <t>ESCAVAÇÃO MECANIZADA PARA BLOCO DE COROAMENTO OU SAPATA COM RETROESCAVADEIRA (INCLUINDO ESCAVAÇÃO PARA COLOCAÇÃO DE FÔRMAS). AF_01/2024</t>
  </si>
  <si>
    <t>REATERRO MANUAL DE VALAS, COM COMPACTADOR DE SOLOS DE PERCUSSÃO. AF_08/2023</t>
  </si>
  <si>
    <t>FABRICAÇÃO, MONTAGEM E DESMONTAGEM DE FÔRMA PARA BLOCO DE COROAMENTO, EM MADEIRA SERRADA, E=25 MM, 4 UTILIZAÇÕES. AF_01/2024</t>
  </si>
  <si>
    <t>ARMAÇÃO DE BLOCO UTILIZANDO AÇO CA-50 DE 6,3 MM - MONTAGEM. AF_01/2024</t>
  </si>
  <si>
    <t>ARMAÇÃO DE BLOCO UTILIZANDO AÇO CA-50 DE 8 MM - MONTAGEM. AF_01/2024</t>
  </si>
  <si>
    <t>ARMAÇÃO DE BLOCO UTILIZANDO AÇO CA-50 DE 10 MM - MONTAGEM. AF_01/2024</t>
  </si>
  <si>
    <t>ARMAÇÃO DE BLOCO UTILIZANDO AÇO CA-60 DE 5 MM - MONTAGEM. AF_01/2024</t>
  </si>
  <si>
    <t>CONCRETAGEM DE BLOCO DE COROAMENTO OU VIGA BALDRAME, FCK 30 MPA, COM USO DE BOMBA - LANÇAMENTO, ADENSAMENTO E ACABAMENTO. AF_01/2024</t>
  </si>
  <si>
    <t>ESTACA HÉLICE CONTÍNUA, DIÂMETRO DE 30 CM, INCLUSO CONCRETO FCK=30MPA E ARMADURA MÍNIMA (EXCLUSIVE BOMBEAMENTO, MOBILIZAÇÃO E DESMOBILIZAÇÃO). AF_12/2019_PA</t>
  </si>
  <si>
    <t>ESTACA HÉLICE CONTÍNUA , DIÂMETRO DE 50 CM, INCLUSO CONCRETO FCK=30MPA E ARMADURA MÍNIMA (EXCLUSIVE BOMBEAMENTO, MOBILIZAÇÃO E DESMOBILIZAÇÃO). AF_12/2019_PA</t>
  </si>
  <si>
    <t>ESCAVAÇÃO MANUAL PARA VIGA BALDRAME OU SAPATA CORRIDA (INCLUINDO ESCAVAÇÃO PARA COLOCAÇÃO DE FÔRMAS). AF_01/2024</t>
  </si>
  <si>
    <t>MONTAGEM E DESMONTAGEM DE FÔRMA DE PILARES RETANGULARES E ESTRUTURAS SIMILARES, PÉ-DIREITO SIMPLES, EM CHAPA DE MADEIRA COMPENSADA PLASTIFICADA, 18 UTILIZAÇÕES. AF_09/2020</t>
  </si>
  <si>
    <t>CONCRETAGEM DE PILARES, FCK = 25 MPA, COM USO DE BOMBA - LANÇAMENTO, ADENSAMENTO E ACABAMENTO. AF_02/2022_PS</t>
  </si>
  <si>
    <t>ARMAÇÃO DE PILAR OU VIGA DE ESTRUTURA CONVENCIONAL DE CONCRETO ARMADO UTILIZANDO AÇO CA-50 DE 10,0 MM - MONTAGEM. AF_06/2022</t>
  </si>
  <si>
    <t>ARMAÇÃO DE PILAR OU VIGA DE ESTRUTURA CONVENCIONAL DE CONCRETO ARMADO UTILIZANDO AÇO CA-50 DE 12,5 MM - MONTAGEM. AF_06/2022</t>
  </si>
  <si>
    <t>ARMAÇÃO DE PILAR OU VIGA DE ESTRUTURA CONVENCIONAL DE CONCRETO ARMADO UTILIZANDO AÇO CA-60 DE 5,0 MM - MONTAGEM. AF_06/2022</t>
  </si>
  <si>
    <t>FABRICAÇÃO, MONTAGEM E DESMONTAGEM DE FÔRMA PARA VIGA BALDRAME, EM MADEIRA SERRADA, E=25 MM, 4 UTILIZAÇÕES. AF_01/2024</t>
  </si>
  <si>
    <t>CONCRETAGEM DE VIGAS E LAJES, FCK=25 MPA, PARA LAJES PREMOLDADAS COM USO DE BOMBA - LANÇAMENTO, ADENSAMENTO E ACABAMENTO. AF_02/2022_PS</t>
  </si>
  <si>
    <t>ARMAÇÃO DE PILAR OU VIGA DE ESTRUTURA CONVENCIONAL DE CONCRETO ARMADO UTILIZANDO AÇO CA-50 DE 8,0 MM - MONTAGEM. AF_06/2022</t>
  </si>
  <si>
    <t>IMPERMEABILIZAÇÃO DE SUPERFÍCIE COM EMULSÃO ASFÁLTICA, 2 DEMÃOS. AF_09/2023</t>
  </si>
  <si>
    <t>ALVENARIA DE VEDAÇÃO DE BLOCOS CERÂMICOS FURADOS NA VERTICAL DE 14X19X39 CM (ESPESSURA 14 CM) E ARGAMASSA DE ASSENTAMENTO COM PREPARO MANUAL. AF_12/2021</t>
  </si>
  <si>
    <t>EMBOÇO OU MASSA ÚNICA EM ARGAMASSA TRAÇO 1:2:8, PREPARO MECÂNICO COM BETONEIRA 400 L, APLICADA MANUALMENTE EM PANOS DE FACHADA COM PRESENÇA DE VÃOS, ESPESSURA DE 25 MM. AF_08/2022</t>
  </si>
  <si>
    <t>CHAPISCO APLICADO EM ALVENARIA (COM PRESENÇA DE VÃOS) E ESTRUTURAS DE CONCRETO DE FACHADA, COM COLHER DE PEDREIRO.  ARGAMASSA TRAÇO 1:3 COM PREPARO EM BETONEIRA 400L. AF_10/2022</t>
  </si>
  <si>
    <t>PAREDE INTERNA DE DIVISÓRIA  EM PLACA CIMENTÍCIA 10MM, DUPLA COM ESTRUTURA METALICA TIPO DRYWALL</t>
  </si>
  <si>
    <t>REVESTIMENTO CERÂMICO PARA PAREDES INTERNAS COM PLACAS TIPO ESMALTADA DE DIMENSÕES 33X45 CM APLICADAS NA ALTURA INTEIRA DAS PAREDES. AF_02/2023_PE</t>
  </si>
  <si>
    <t xml:space="preserve">DIVISÓRIA  FIXA, EM ALUMINIO PERFIL 20, 60 X 80 CM (A X L), BATENTE/REQUADRO DE 3 A 14 CM, COM VIDRO  DUPLO 4 MM, SEM GUARNICAO/ALIZAR, ACABAMENTO ALUM BRANCO OU BRILHANTE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</si>
  <si>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ARGILA OU BARRO PARA ATERRO/REATERRO (COM TRANSPORTE ATE 10 KM)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</si>
  <si>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COMPACTAÇÃO MECÂNICA DE SOLO PARA EXECUÇÃO DE RADIER, PISO DE CONCRETO OU LAJE SOBRE SOLO, COM COMPACTADOR DE SOLOS TIPO PLACA VIBRATÓRIA. AF_09/2021</t>
  </si>
  <si>
    <t>LASTRO COM MATERIAL GRANULAR (PEDRA BRITADA N.1 E PEDRA BRITADA N.2), APLICADO EM PISOS OU LAJES SOBRE SOLO, ESPESSURA DE *10 CM*. AF_01/2024</t>
  </si>
  <si>
    <t>EXECUÇÃO DE PASSEIO (CALÇADA) OU PISO DE CONCRETO COM CONCRETO MOLDADO IN LOCO, FEITO EM OBRA, ACABAMENTO CONVENCIONAL, ESPESSURA 8 CM, ARMADO. AF_08/2022</t>
  </si>
  <si>
    <t>REVESTIMENTO CERÂMICO PARA PISO COM PLACAS TIPO PORCELANATO DE DIMENSÕES 45X45 CM APLICADA EM AMBIENTES DE ÁREA ENTRE 5 M² E 10 M². AF_02/2023_PE</t>
  </si>
  <si>
    <t>RODAPÉ CERÂMICO DE 7CM DE ALTURA COM PLACAS TIPO ESMALTADA DE DIMENSÕES 60X60CM. AF_02/2023</t>
  </si>
  <si>
    <t>LAJE PRÉ-MOLDADA UNIDIRECIONAL, BIAPOIADA, PARA FORRO, ENCHIMENTO EM CERÂMICA, VIGOTA CONVENCIONAL, ALTURA TOTAL DA LAJE (ENCHIMENTO+CAPA) = (8+3). AF_11/2020_PA</t>
  </si>
  <si>
    <t>CHAPISCO APLICADO NO TETO OU EM ESTRUTURA, COM DESEMPENADEIRA DENTADA. ARGAMASSA INDUSTRIALIZADA COM PREPARO MANUAL. AF_10/2022</t>
  </si>
  <si>
    <t>MASSA ÚNICA, EM ARGAMASSA TRAÇO 1:2:8, PREPARO MECÂNICO, APLICADA MANUALMENTE EM TETO, E = 17,5MM, COM TALISCAS. AF_03/2024</t>
  </si>
  <si>
    <t>FABRICAÇÃO E INSTALAÇÃO DE TESOURA INTEIRA EM AÇO, VÃO DE 10 M, PARA TELHA ONDULADA DE FIBROCIMENTO, METÁLICA, PLÁSTICA OU TERMOACÚSTICA, INCLUSO IÇAMENTO. AF_07/2019</t>
  </si>
  <si>
    <t>TRAMA DE AÇO COMPOSTA POR TERÇAS PARA TELHADOS DE ATÉ 2 ÁGUAS PARA TELHA ONDULADA DE FIBROCIMENTO, METÁLICA, PLÁSTICA OU TERMOACÚSTICA, INCLUSO TRANSPORTE VERTICAL. AF_07/2019</t>
  </si>
  <si>
    <t>TELHAMENTO COM TELHA DE AÇO/ALUMÍNIO E = 0,5 MM, COM ATÉ 2 ÁGUAS, INCLUSO IÇAMENTO. AF_07/2019</t>
  </si>
  <si>
    <t>RUFO EXTERNO/INTERNO EM CHAPA DE AÇO GALVANIZADO NÚMERO 26, CORTE DE 33 CM, INCLUSO IÇAMENTO. AF_07/2019</t>
  </si>
  <si>
    <t>CALHA EM CHAPA DE AÇO GALVANIZADO NÚMERO 24, DESENVOLVIMENTO DE 50 CM, INCLUSO TRANSPORTE VERTICAL. AF_07/2019</t>
  </si>
  <si>
    <t>TUBO PVC, SÉRIE R, ÁGUA PLUVIAL, DN 100 MM, FORNECIDO E INSTALADO EM CONDUTORES VERTICAIS DE ÁGUAS PLUVIAIS. AF_06/2022</t>
  </si>
  <si>
    <t>CURVA 90 GRAUS, PVC, SERIE R, ÁGUA PLUVIAL, DN 100 MM, JUNTA ELÁSTICA, FORNECIDO E INSTALADO EM CONDUTORES VERTICAIS DE ÁGUAS PLUVIAIS. AF_06/2022</t>
  </si>
  <si>
    <t>Caixa Equipotencialização 40 x 40 x 10 cm c/ Barramento</t>
  </si>
  <si>
    <t xml:space="preserve">TERMINAL METALICO A PRESSAO PARA 1 CABO DE 300 MM2, COM 1 FURO DE FIXACAO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</si>
  <si>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CABO DE COBRE NU 35 MM2 MEIO-DURO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</si>
  <si>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CAIXA DE ATERRAMENTO EM CONCRETO PRE-MOLDADO, DIAMETRO DE 0,30 M E ALTURA DE 0,35 M, SEM FUNDO E COM TAMPA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</si>
  <si>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CONECTOR GRAMPO METÁLICO TIPO OLHAL, PARA SPDA, PARA HASTE DE ATERRAMENTO DE 5/8'' E CABOS DE 10 A 50 MM2 - FORNECIMENTO E INSTALAÇÃO. AF_08/2023</t>
  </si>
  <si>
    <t>HASTE DE ATERRAMENTO, DIÂMETRO 5/8", COM 3 METROS - FORNECIMENTO E INSTALAÇÃO. AF_08/2023</t>
  </si>
  <si>
    <t>JANELA DE ALUMÍNIO TIPO MAXIM-AR, COM VIDROS, BATENTE E FERRAGENS. EXCLUSIVE ALIZAR, ACABAMENTO E CONTRAMARCO. FORNECIMENTO E INSTALAÇÃO. AF_12/2019</t>
  </si>
  <si>
    <t>JANELA FIXA DE ALUMÍNIO PARA VIDRO, COM VIDRO, BATENTE E FERRAGENS. EXCLUSIVE ACABAMENTO, ALIZAR E CONTRAMARCO. FORNECIMENTO E INSTALAÇÃO. AF_12/2019</t>
  </si>
  <si>
    <t>PORTA DE CORRER DE ALUMÍNIO, COM DUAS FOLHAS PARA VIDRO, INCLUSO VIDRO LISO INCOLOR, FECHADURA E PUXADOR, SEM ALIZAR. AF_12/2019</t>
  </si>
  <si>
    <t>KIT DE PORTA DE MADEIRA PARA PINTURA, SEMI-OCA (LEVE OU MÉDIA), PADRÃO MÉDIO, 90X210CM, ESPESSURA DE 3,5CM, ITENS INCLUSOS: DOBRADIÇAS, MONTAGEM E INSTALAÇÃO DO BATENTE, SEM FECHADURA - FORNECIMENTO E INSTALAÇÃO. AF_12/2019</t>
  </si>
  <si>
    <t>SOLEIRA EM GRANITO, LARGURA 15 CM, ESPESSURA 2,0 CM. AF_09/2020</t>
  </si>
  <si>
    <t>PINTURA LÁTEX ACRÍLICA PREMIUM, APLICAÇÃO MANUAL EM PAREDES, DUAS DEMÃOS. AF_04/2023</t>
  </si>
  <si>
    <t>APLICAÇÃO MANUAL DE FUNDO SELADOR ACRÍLICO EM PAREDES EXTERNAS DE CASAS. AF_03/2024</t>
  </si>
  <si>
    <t>PINTURA TINTA DE ACABAMENTO (PIGMENTADA) ESMALTE SINTÉTICO FOSCO EM MADEIRA, 2 DEMÃOS. AF_01/2021</t>
  </si>
  <si>
    <t>EXTINTOR DE INCÊNDIO PORTÁTIL COM CARGA DE PQS DE 4 KG, CLASSE BC - FORNECIMENTO E INSTALAÇÃO. AF_10/2020_PE</t>
  </si>
  <si>
    <t>LUMINÁRIA DE EMERGÊNCIA, COM 30 LÂMPADAS LED DE 2 W, SEM REATOR - FORNECIMENTO E INSTALAÇÃO. AF_02/2020</t>
  </si>
  <si>
    <t xml:space="preserve">PLACA DE SINALIZACAO DE SEGURANCA CONTRA INCENDIO - ALERTA, TRIANGULAR, BASE DE *30* CM, EM PVC *2* MM ANTI-CHAMAS (SIMBOLOS, CORES E PICTOGRAMAS CONFORME NBR 16820)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</si>
  <si>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CABO DE COBRE FLEXÍVEL ISOLADO, 1,5 MM², ANTI-CHAMA 0,6/1,0 KV, PARA CIRCUITOS TERMINAIS - FORNECIMENTO E INSTALAÇÃO. AF_03/2023</t>
  </si>
  <si>
    <t>CABO DE COBRE FLEXÍVEL ISOLADO, 16 MM², ANTI-CHAMA 0,6/1,0 KV, PARA CIRCUITOS TERMINAIS - FORNECIMENTO E INSTALAÇÃO. AF_03/2023</t>
  </si>
  <si>
    <t>CABO DE COBRE FLEXÍVEL ISOLADO, 2,5 MM², ANTI-CHAMA 0,6/1,0 KV, PARA CIRCUITOS TERMINAIS - FORNECIMENTO E INSTALAÇÃO. AF_03/2023</t>
  </si>
  <si>
    <t>CABO DE COBRE FLEXÍVEL ISOLADO, 35 MM², 0,6/1,0 KV, PARA REDE AÉREA DE DISTRIBUIÇÃO DE ENERGIA ELÉTRICA DE BAIXA TENSÃO - FORNECIMENTO E INSTALAÇÃO. AF_07/2020</t>
  </si>
  <si>
    <t>CABO DE COBRE FLEXÍVEL ISOLADO, 4 MM², ANTI-CHAMA 0,6/1,0 KV, PARA CIRCUITOS TERMINAIS - FORNECIMENTO E INSTALAÇÃO. AF_03/2023</t>
  </si>
  <si>
    <t>CABO DE COBRE FLEXÍVEL ISOLADO, 6 MM², ANTI-CHAMA 0,6/1,0 KV, PARA CIRCUITOS TERMINAIS - FORNECIMENTO E INSTALAÇÃO. AF_03/2023</t>
  </si>
  <si>
    <t>TOMADA MÉDIA DE EMBUTIR (2 MÓDULOS), 2P+T 10 A, INCLUINDO SUPORTE E PLACA - FORNECIMENTO E INSTALAÇÃO. AF_03/2023</t>
  </si>
  <si>
    <t>INTERRUPTOR SIMPLES (1 MÓDULO) COM 1 TOMADA DE EMBUTIR 2P+T 10 A, INCLUINDO SUPORTE E PLACA - FORNECIMENTO E INSTALAÇÃO. AF_03/2023</t>
  </si>
  <si>
    <t>INTERRUPTOR SIMPLES (2 MÓDULOS) COM 1 TOMADA DE EMBUTIR 2P+T 10 A, INCLUINDO SUPORTE E PLACA - FORNECIMENTO E INSTALAÇÃO. AF_03/2023</t>
  </si>
  <si>
    <t>CAIXA RETANGULAR 4" X 2" MÉDIA (1,30 M DO PISO), METÁLICA, INSTALADA EM PAREDE - FORNECIMENTO E INSTALAÇÃO. AF_03/2023</t>
  </si>
  <si>
    <t xml:space="preserve">ESPELHO / PLACA CEGA 4" X 2", PARA INSTALACAO DE TOMADAS E INTERRUPTORES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</si>
  <si>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DISJUNTOR TERMOMAGNETICO AJUSTAVEL, TRIPOLAR DE 100 ATE 250A, CAPACIDADE DE INTERRUPCAO DE 35KA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</si>
  <si>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DISJUNTOR TERMOMAGNETICO PARA TRILHO DIN (IEC), MONOPOLAR, 6 - 32 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</si>
  <si>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DISPOSITIVO DPS CLASSE II, 1 POLO, TENSAO MAXIMA DE 275 V, CORRENTE MAXIMA DE *20* KA (TIPO AC)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</si>
  <si>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DISPOSITIVO DR, 2 POLOS, SENSIBILIDADE DE 30 MA, CORRENTE DE 25 A, TIPO AC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</si>
  <si>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DISPOSITIVO DR, 2 POLOS, SENSIBILIDADE DE 30 MA, CORRENTE DE 40 A, TIPO AC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</si>
  <si>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ELETRODUTO FLEXÍVEL CORRUGADO REFORÇADO, PVC, DN 25 MM (3/4"), PARA CIRCUITOS TERMINAIS, INSTALADO EM FORRO - FORNECIMENTO E INSTALAÇÃO. AF_03/2023_PA</t>
  </si>
  <si>
    <t>ELETRODUTO FLEXÍVEL CORRUGADO REFORÇADO, PVC, DN 20 MM (1/2"), PARA CIRCUITOS TERMINAIS, INSTALADO EM PAREDE - FORNECIMENTO E INSTALAÇÃO. AF_03/2023</t>
  </si>
  <si>
    <t>ELETRODUTO RÍGIDO ROSCÁVEL, PVC, DN 75 MM (2 1/2"), PARA REDE ENTERRADA DE DISTRIBUIÇÃO DE ENERGIA ELÉTRICA - FORNECIMENTO E INSTALAÇÃO. AF_12/2021</t>
  </si>
  <si>
    <t>QUADRO DE DISTRIBUIÇÃO DE ENERGIA EM CHAPA DE AÇO GALVANIZADO, DE EMBUTIR, COM BARRAMENTO TRIFÁSICO, PARA 40 DISJUNTORES DIN 100A - FORNECIMENTO E INSTALAÇÃO. AF_10/2020</t>
  </si>
  <si>
    <t>CAIXA ENTERRADA PARA INSTALAÇÕES TELEFÔNICAS TIPO R1, EM ALVENARIA COM BLOCOS DE CONCRETO, DIMENSÕES INTERNAS: 0,35X0,60X0,60 M, EXCLUINDO TAMPÃO. AF_12/2020</t>
  </si>
  <si>
    <t>CAIXA OCTOGONAL 4" X 4", PVC, INSTALADA EM LAJE - FORNECIMENTO E INSTALAÇÃO. AF_03/2023</t>
  </si>
  <si>
    <t>CAIXA RETANGULAR 4" X 2" BAIXA (0,30 M DO PISO), METÁLICA, INSTALADA EM PAREDE - FORNECIMENTO E INSTALAÇÃO. AF_03/2023</t>
  </si>
  <si>
    <t>Luminária Sobrepor Tubular Alto Rendimento 2 Lâmpadas Retangular 120cm</t>
  </si>
  <si>
    <t>LÂMPADA TUBULAR LED DE 18/20 W, BASE G13 - FORNECIMENTO E INSTALAÇÃO. AF_02/2020_PS</t>
  </si>
  <si>
    <t xml:space="preserve">CABO DE REDE, PAR TRANCADO UTP, 4 PARES, CATEGORIA 6 (CAT 6), ISOLAMENTO PVC (LSZH)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</si>
  <si>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TOMADA DE REDE RJ45 - FORNECIMENTO E INSTALAÇÃO. AF_11/2019</t>
  </si>
  <si>
    <t xml:space="preserve">TERMINAL METALICO A PRESSAO PARA 1 CABO DE 35 MM2, COM 1 FURO DE FIXACAO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</si>
  <si>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TERMINAL METALICO A PRESSAO PARA 1 CABO DE 16 MM2, COM 1 FURO DE FIXACAO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</si>
  <si>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TERMINAL METALICO A PRESSAO PARA 1 CABO DE 6 A 10 MM2, COM 1 FURO DE FIXACAO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</si>
  <si>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TERMINAL A COMPRESSAO EM COBRE ESTANHADO PARA CABO 2,5 MM2, 1 FURO E 1 COMPRESSAO, PARA PARAFUSO DE FIXACAO M5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</si>
  <si>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CAIXA DE CONCRETO ARMADO PRE-MOLDADO, COM FUNDO E SEM TAMPA, DIMENSOES DE 0,80 X 0,80 X 0,50 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</si>
  <si>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TERMINAL A COMPRESSAO EM COBRE ESTANHADO PARA CABO 35 MM2, 1 FURO E 1 COMPRESSAO, PARA PARAFUSO DE FIXACAO M8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</si>
  <si>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TERMINAL A COMPRESSAO EM COBRE ESTANHADO PARA CABO 16 MM2, 1 FURO E 1 COMPRESSAO, PARA PARAFUSO DE FIXACAO M6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</si>
  <si>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TERMINAL A COMPRESSAO EM COBRE ESTANHADO PARA CABO 6 MM2, 1 FURO E 1 COMPRESSAO, PARA PARAFUSO DE FIXACAO M6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</si>
  <si>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CAIXA DE CONCRETO ARMADO PRE-MOLDADO, SEM FUNDO, QUADRADA, DIMENSOES DE 0,80 X 0,80 X 0,50 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</si>
  <si>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TAMPA PARA CAIXA TIPO R2 E R3, EM FERRO FUNDIDO, DIMENSÕES INTERNAS: 0,55 X 1,10 M - FORNECIMENTO E INSTALAÇÃO. AF_12/2020</t>
  </si>
  <si>
    <t>ELETRODUTO FLEXÍVEL CORRUGADO, PEAD, DN 90 (3"), PARA REDE ENTERRADA DE DISTRIBUIÇÃO DE ENERGIA ELÉTRICA - FORNECIMENTO E INSTALAÇÃO. AF_12/2021</t>
  </si>
  <si>
    <t>TUBO, PVC, SOLDÁVEL, DE 25MM, INSTALADO EM RAMAL OU SUB-RAMAL DE ÁGUA - FORNECIMENTO E INSTALAÇÃO. AF_06/2022</t>
  </si>
  <si>
    <t>REGISTRO DE GAVETA BRUTO, LATÃO, ROSCÁVEL, 3/4" - FORNECIMENTO E INSTALAÇÃO. AF_08/2021</t>
  </si>
  <si>
    <t>CURVA 90 GRAUS, PVC, SOLDÁVEL, DN 25MM, INSTALADO EM RAMAL DE DISTRIBUIÇÃO DE ÁGUA - FORNECIMENTO E INSTALAÇÃO. AF_06/2022</t>
  </si>
  <si>
    <t>CURVA 90 GRAUS PARA ELETRODUTO, PVC, ROSCÁVEL, DN 25 MM (3/4"), PARA CIRCUITOS TERMINAIS, INSTALADA EM PAREDE - FORNECIMENTO E INSTALAÇÃO. AF_03/2023</t>
  </si>
  <si>
    <t>TE, PVC, SOLDÁVEL, DN 25MM, INSTALADO EM RAMAL OU SUB-RAMAL DE ÁGUA - FORNECIMENTO E INSTALAÇÃO. AF_06/2022</t>
  </si>
  <si>
    <t>LUVA DE TRANSIÇÃO, CPVC, SOLDÁVEL, DN 22MM X 25MM, INSTALADO EM RAMAL DE DISTRIBUIÇÃO DE ÁGUA   FORNECIMENTO E INSTALAÇÃO. AF_06/2022</t>
  </si>
  <si>
    <t>TUBO, PVC, SOLDÁVEL, DE 32MM, INSTALADO EM RAMAL DE DISTRIBUIÇÃO DE ÁGUA - FORNECIMENTO E INSTALAÇÃO. AF_06/2022</t>
  </si>
  <si>
    <t>LUVA, PVC, SOLDÁVEL, DN 32MM, INSTALADO EM RAMAL OU SUB-RAMAL DE ÁGUA - FORNECIMENTO E INSTALAÇÃO. AF_06/2022</t>
  </si>
  <si>
    <t>LUVA DE REDUÇÃO, PVC, SOLDÁVEL, DN 32MM X 25MM, INSTALADO EM RAMAL DE DISTRIBUIÇÃO DE ÁGUA - FORNECIMENTO E INSTALAÇÃO. AF_06/2022</t>
  </si>
  <si>
    <t>TUBO PVC, SERIE NORMAL, ESGOTO PREDIAL, DN 50 MM, FORNECIDO E INSTALADO EM RAMAL DE DESCARGA OU RAMAL DE ESGOTO SANITÁRIO. AF_08/2022</t>
  </si>
  <si>
    <t>TUBO PVC, SERIE NORMAL, ESGOTO PREDIAL, DN 75 MM, FORNECIDO E INSTALADO EM RAMAL DE DESCARGA OU RAMAL DE ESGOTO SANITÁRIO. AF_08/2022</t>
  </si>
  <si>
    <t>TUBO PVC, SERIE NORMAL, ESGOTO PREDIAL, DN 100 MM, FORNECIDO E INSTALADO EM RAMAL DE DESCARGA OU RAMAL DE ESGOTO SANITÁRIO. AF_08/2022</t>
  </si>
  <si>
    <t>CAIXA DE GORDURA PEQUENA (CAPACIDADE: 19 L), CIRCULAR, EM PVC, DIÂMETRO INTERNO= 0,3 M. AF_12/2020</t>
  </si>
  <si>
    <t>CAIXA ENTERRADA HIDRÁULICA RETANGULAR, EM ALVENARIA COM BLOCOS DE CONCRETO, DIMENSÕES INTERNAS: 0,6X0,6X0,6 M PARA REDE DE ESGOTO. AF_12/2020</t>
  </si>
  <si>
    <t>CURVA CURTA 90 GRAUS, PVC, SERIE NORMAL, ESGOTO PREDIAL, DN 100 MM, JUNTA ELÁSTICA, FORNECIDO E INSTALADO EM PRUMADA DE ESGOTO SANITÁRIO OU VENTILAÇÃO. AF_08/2022</t>
  </si>
  <si>
    <t>TE, PVC, SÉRIE NORMAL, ESGOTO PREDIAL, DN 100 X 50 MM, JUNTA ELÁSTICA, FORNECIDO E INSTALADO EM RAMAL DE DESCARGA OU RAMAL DE ESGOTO SANITÁRIO. AF_08/2022</t>
  </si>
  <si>
    <t>TE, PVC, SERIE NORMAL, ESGOTO PREDIAL, DN 100 X 100 MM, JUNTA ELÁSTICA, FORNECIDO E INSTALADO EM PRUMADA DE ESGOTO SANITÁRIO OU VENTILAÇÃO. AF_08/2022</t>
  </si>
  <si>
    <t>CURVA LONGA, 45 GRAUS, PVC OCRE, JUNTA ELÁSTICA, DN 100 MM, PARA COLETOR PREDIAL DE ESGOTO. AF_06/2022</t>
  </si>
  <si>
    <t>CURVA CURTA 90 GRAUS, PVC, SERIE NORMAL, ESGOTO PREDIAL, DN 50 MM, JUNTA ELÁSTICA, FORNECIDO E INSTALADO EM RAMAL DE DESCARGA OU RAMAL DE ESGOTO SANITÁRIO. AF_08/2022</t>
  </si>
  <si>
    <t>CAIXA SIFONADA, COM GRELHA REDONDA, PVC, DN 150 X 150 X 50 MM, JUNTA SOLDÁVEL, FORNECIDA E INSTALADA EM RAMAL DE DESCARGA OU EM RAMAL DE ESGOTO SANITÁRIO. AF_08/2022</t>
  </si>
  <si>
    <t>VASO SANITÁRIO SIFONADO COM CAIXA ACOPLADA LOUÇA BRANCA - PADRÃO MÉDIO, INCLUSO ENGATE FLEXÍVEL EM METAL CROMADO, 1/2  X 40CM - FORNECIMENTO E INSTALAÇÃO. AF_01/2020</t>
  </si>
  <si>
    <t>BANCADA GRANITO CINZA  150 X 60 CM, COM CUBA DE EMBUTIR DE AÇO, VÁLVULA AMERICANA EM METAL, SIFÃO FLEXÍVEL EM PVC, ENGATE FLEXÍVEL 30 CM, TORNEIRA CROMADA LONGA, DE PAREDE, 1/2" OU 3/4", P/ COZINHA, PADRÃO POPULAR - FORNEC. E INSTALAÇÃO. AF_01/2020</t>
  </si>
  <si>
    <t>LAVATÓRIO LOUÇA BRANCA SUSPENSO, 29,5 X 39CM OU EQUIVALENTE, PADRÃO POPULAR, INCLUSO SIFÃO TIPO GARRAFA EM PVC, VÁLVULA E ENGATE FLEXÍVEL 30CM EM PLÁSTICO E TORNEIRA CROMADA DE MESA, PADRÃO POPULAR - FORNECIMENTO E INSTALAÇÃO. AF_01/2020</t>
  </si>
  <si>
    <t>AR CONDICIONADO SPLIT ON/OFF, HI-WALL (PAREDE), 24000 BTUS/H, CICLO QUENTE/FRIO - FORNECIMENTO E INSTALAÇÃO. AF_11/2021_PE</t>
  </si>
  <si>
    <t>TUBO EM COBRE FLEXÍVEL, DN 3/8", COM ISOLAMENTO, INSTALADO EM RAMAL DE ALIMENTAÇÃO DE AR CONDICIONADO COM CONDENSADORA INDIVIDUAL - FORNECIMENTO E INSTALAÇÃO. AF_12/2015</t>
  </si>
  <si>
    <t>TUBO, PVC, SOLDÁVEL, DE 25MM, INSTALADO EM DRENO DE AR-CONDICIONADO - FORNECIMENTO E INSTALAÇÃO. AF_08/2022</t>
  </si>
  <si>
    <t>PISO PODOTÁTIL DE ALERTA OU DIRECIONAL, DE BORRACHA, ASSENTADO SOBRE ARGAMASSA. AF_05/2020</t>
  </si>
  <si>
    <t>BARRA DE APOIO RETA, EM ACO INOX POLIDO, COMPRIMENTO 70 CM,  FIXADA NA PAREDE - FORNECIMENTO E INSTALAÇÃO. AF_01/2020</t>
  </si>
  <si>
    <t>TORNEIRA CROMADA DE MESA PARA LAVATORIO, TIPO MONOCOMANDO. AF_01/2020</t>
  </si>
  <si>
    <t>Alarme Banheiro Pne Deficiente Físico Conforme Nbr 9050 com acionador</t>
  </si>
  <si>
    <t>LASTRO COM MATERIAL GRANULAR, APLICADO EM PISOS OU LAJES SOBRE SOLO, ESPESSURA DE *5 CM*. AF_01/2024</t>
  </si>
  <si>
    <t>EXECUÇÃO DE PASSEIO (CALÇADA) OU PISO DE CONCRETO COM CONCRETO MOLDADO IN LOCO, USINADO, ACABAMENTO CONVENCIONAL, ESPESSURA 6 CM, ARMADO. AF_08/2022</t>
  </si>
  <si>
    <t>LIMPEZA DE PISO CERÂMICO OU PORCELANATO UTILIZANDO DETERGENTE NEUTRO E ESCOVAÇÃO MANUAL. AF_04/2019</t>
  </si>
  <si>
    <t xml:space="preserve">PLACA DE INAUGURACAO METALICA, *40* CM X *60* CM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</si>
  <si>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LIMPEZA DE JANELA DE VIDRO COM CAIXILHO EM AÇO/ALUMÍNIO/PVC. AF_04/2019</t>
  </si>
  <si>
    <t>UNIDADE</t>
  </si>
  <si>
    <t>M2</t>
  </si>
  <si>
    <t>UN</t>
  </si>
  <si>
    <t>M</t>
  </si>
  <si>
    <t>M3</t>
  </si>
  <si>
    <t>KG</t>
  </si>
  <si>
    <t>M²</t>
  </si>
  <si>
    <t xml:space="preserve">M3    </t>
  </si>
  <si>
    <t xml:space="preserve">UNIDADE </t>
  </si>
  <si>
    <t xml:space="preserve">UN    </t>
  </si>
  <si>
    <t xml:space="preserve">M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</si>
</sst>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&quot;R$ &quot;* #,##0.00_);_(&quot;R$ &quot;* \(#,##0.00\);_(&quot;R$ &quot;* \-??_);_(@_)"/>
    <numFmt numFmtId="165" formatCode="_-* #,##0.00_-;\-* #,##0.00_-;_-* \-??_-;_-@_-"/>
    <numFmt numFmtId="166" formatCode="mm\-yyyy"/>
    <numFmt numFmtId="167" formatCode="General;General"/>
    <numFmt numFmtId="168" formatCode="dddd&quot;, &quot;mmmm\ dd&quot;, &quot;yyyy"/>
    <numFmt numFmtId="169" formatCode="dd&quot; de &quot;mmmm&quot; de &quot;yyyy"/>
    <numFmt numFmtId="170" formatCode="mmm\-yy;@"/>
    <numFmt numFmtId="171" formatCode="_(* #,##0.00_);_(* \(#,##0.00\);_(* \-??_);_(@_)"/>
    <numFmt numFmtId="172" formatCode="0\."/>
    <numFmt numFmtId="173" formatCode="_(\ #,##0.00_);_(&quot; (&quot;#,##0.00\);_(&quot; -&quot;??_);_(@_)"/>
    <numFmt numFmtId="174" formatCode="mm/yy"/>
    <numFmt numFmtId="175" formatCode="General;;"/>
    <numFmt numFmtId="176" formatCode="&quot;Medição &quot;0"/>
    <numFmt numFmtId="177" formatCode="_(#,##0.00_);_(* \(#,##0.00\);_(* \-??_);_(@_)"/>
    <numFmt numFmtId="178" formatCode="_-#,##0.00_-;\-#,##0.00_-;_-&quot; -&quot;??_-;_-@_-"/>
    <numFmt numFmtId="179" formatCode="##\."/>
    <numFmt numFmtId="180" formatCode="_-&quot;R$ &quot;* #,##0.00_-;&quot;-R$ &quot;* #,##0.00_-;_-&quot;R$ &quot;* \-??_-;_-@_-"/>
    <numFmt numFmtId="181" formatCode="&quot;( &quot;0.00%&quot; )&quot;"/>
    <numFmt numFmtId="182" formatCode="dd/mm/yy;@"/>
    <numFmt numFmtId="183" formatCode="&quot;Medição &quot;##"/>
    <numFmt numFmtId="184" formatCode="#,##0.00_ ;\-#,##0.00\ "/>
    <numFmt numFmtId="185" formatCode="_(* #,##0.00_);_(* \(#,##0.00\);;_(@_)"/>
    <numFmt numFmtId="186" formatCode="[$-F800]dddd\,\ mmmm\ dd\,\ yyyy"/>
    <numFmt numFmtId="187" formatCode="#,##0.0"/>
  </numFmts>
  <fonts count="67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9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18"/>
      <color indexed="54"/>
      <name val="Calibri Light"/>
      <family val="2"/>
    </font>
    <font>
      <b/>
      <sz val="11"/>
      <name val="Arial"/>
      <family val="2"/>
    </font>
    <font>
      <b/>
      <sz val="13"/>
      <name val="Arial"/>
      <family val="2"/>
    </font>
    <font>
      <b/>
      <sz val="18"/>
      <name val="Arial"/>
      <family val="2"/>
    </font>
    <font>
      <b/>
      <sz val="11"/>
      <color indexed="10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color indexed="8"/>
      <name val="Segoe UI"/>
      <family val="2"/>
    </font>
    <font>
      <b/>
      <sz val="18"/>
      <color indexed="8"/>
      <name val="Calibri"/>
      <family val="2"/>
    </font>
    <font>
      <b/>
      <sz val="14"/>
      <color indexed="8"/>
      <name val="Calibri"/>
      <family val="2"/>
    </font>
    <font>
      <u/>
      <sz val="11"/>
      <color indexed="8"/>
      <name val="Calibri"/>
      <family val="2"/>
    </font>
    <font>
      <b/>
      <sz val="10"/>
      <color indexed="12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i/>
      <sz val="12"/>
      <name val="Calibri"/>
      <family val="2"/>
    </font>
    <font>
      <i/>
      <u/>
      <sz val="12"/>
      <name val="Calibri"/>
      <family val="2"/>
    </font>
    <font>
      <u/>
      <sz val="10"/>
      <name val="Arial"/>
      <family val="2"/>
    </font>
    <font>
      <sz val="14"/>
      <color indexed="9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Calibri"/>
      <family val="2"/>
    </font>
    <font>
      <b/>
      <sz val="9"/>
      <color indexed="8"/>
      <name val="Tahoma"/>
      <family val="2"/>
    </font>
    <font>
      <sz val="9"/>
      <color indexed="8"/>
      <name val="Tahoma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Calibri"/>
      <family val="2"/>
    </font>
    <font>
      <b/>
      <sz val="7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name val="Arial Narrow"/>
      <family val="2"/>
    </font>
    <font>
      <sz val="11"/>
      <color indexed="10"/>
      <name val="Arial"/>
      <family val="2"/>
    </font>
    <font>
      <b/>
      <i/>
      <sz val="10"/>
      <name val="Arial"/>
      <family val="2"/>
    </font>
    <font>
      <b/>
      <sz val="9"/>
      <color indexed="8"/>
      <name val="Segoe UI"/>
      <family val="2"/>
    </font>
    <font>
      <i/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color indexed="9"/>
      <name val="Arial"/>
      <family val="2"/>
    </font>
    <font>
      <b/>
      <sz val="12"/>
      <color indexed="10"/>
      <name val="Arial"/>
      <family val="2"/>
    </font>
    <font>
      <b/>
      <sz val="8"/>
      <color indexed="10"/>
      <name val="Calibri"/>
      <family val="2"/>
    </font>
    <font>
      <b/>
      <sz val="11"/>
      <color indexed="10"/>
      <name val="Calibri"/>
      <family val="2"/>
    </font>
    <font>
      <sz val="10"/>
      <color indexed="44"/>
      <name val="Arial"/>
      <family val="2"/>
    </font>
    <font>
      <u/>
      <sz val="10"/>
      <color theme="10"/>
      <name val="Arial"/>
      <family val="2"/>
    </font>
    <font>
      <sz val="8"/>
      <color rgb="FF000000"/>
      <name val="Segoe UI"/>
      <family val="2"/>
    </font>
    <font>
      <sz val="10"/>
      <color rgb="FF00000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7"/>
        <bgColor indexed="42"/>
      </patternFill>
    </fill>
    <fill>
      <patternFill patternType="solid">
        <fgColor indexed="4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24"/>
        <bgColor indexed="46"/>
      </patternFill>
    </fill>
    <fill>
      <patternFill patternType="solid">
        <fgColor indexed="22"/>
        <bgColor indexed="44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9"/>
        <bgColor indexed="41"/>
      </patternFill>
    </fill>
    <fill>
      <patternFill patternType="solid">
        <fgColor indexed="55"/>
        <bgColor indexed="46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62"/>
        <bgColor indexed="56"/>
      </patternFill>
    </fill>
    <fill>
      <patternFill patternType="solid">
        <fgColor indexed="31"/>
        <bgColor indexed="42"/>
      </patternFill>
    </fill>
    <fill>
      <patternFill patternType="solid">
        <fgColor indexed="23"/>
        <bgColor indexed="55"/>
      </patternFill>
    </fill>
    <fill>
      <patternFill patternType="solid">
        <fgColor indexed="44"/>
        <bgColor indexed="22"/>
      </patternFill>
    </fill>
    <fill>
      <patternFill patternType="solid">
        <fgColor indexed="41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4"/>
        <bgColor indexed="26"/>
      </patternFill>
    </fill>
    <fill>
      <patternFill patternType="lightUp"/>
    </fill>
    <fill>
      <patternFill patternType="lightUp">
        <fgColor indexed="22"/>
      </patternFill>
    </fill>
    <fill>
      <patternFill patternType="lightUp">
        <bgColor indexed="42"/>
      </patternFill>
    </fill>
    <fill>
      <patternFill patternType="lightUp">
        <fgColor indexed="31"/>
      </patternFill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</fills>
  <borders count="1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55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55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55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55"/>
      </top>
      <bottom/>
      <diagonal/>
    </border>
    <border>
      <left style="thin">
        <color indexed="8"/>
      </left>
      <right style="hair">
        <color indexed="8"/>
      </right>
      <top style="hair">
        <color indexed="55"/>
      </top>
      <bottom/>
      <diagonal/>
    </border>
    <border>
      <left style="hair">
        <color indexed="8"/>
      </left>
      <right style="thin">
        <color indexed="8"/>
      </right>
      <top style="hair">
        <color indexed="55"/>
      </top>
      <bottom/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2" borderId="0" applyNumberFormat="0" applyBorder="0" applyAlignment="0" applyProtection="0"/>
    <xf numFmtId="0" fontId="4" fillId="11" borderId="1" applyNumberFormat="0" applyAlignment="0" applyProtection="0"/>
    <xf numFmtId="0" fontId="5" fillId="12" borderId="2" applyNumberFormat="0" applyAlignment="0" applyProtection="0"/>
    <xf numFmtId="0" fontId="6" fillId="0" borderId="3" applyNumberFormat="0" applyFill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7" fillId="3" borderId="1" applyNumberFormat="0" applyAlignment="0" applyProtection="0"/>
    <xf numFmtId="0" fontId="64" fillId="0" borderId="0" applyNumberFormat="0" applyFill="0" applyBorder="0" applyAlignment="0" applyProtection="0"/>
    <xf numFmtId="180" fontId="56" fillId="0" borderId="0" applyFill="0" applyBorder="0" applyAlignment="0" applyProtection="0"/>
    <xf numFmtId="164" fontId="56" fillId="0" borderId="0" applyFill="0" applyBorder="0" applyAlignment="0" applyProtection="0"/>
    <xf numFmtId="0" fontId="56" fillId="0" borderId="0"/>
    <xf numFmtId="0" fontId="1" fillId="0" borderId="0"/>
    <xf numFmtId="0" fontId="8" fillId="0" borderId="0"/>
    <xf numFmtId="0" fontId="56" fillId="5" borderId="4" applyNumberFormat="0" applyAlignment="0" applyProtection="0"/>
    <xf numFmtId="9" fontId="56" fillId="0" borderId="0" applyFill="0" applyBorder="0" applyAlignment="0" applyProtection="0"/>
    <xf numFmtId="9" fontId="56" fillId="0" borderId="0" applyFill="0" applyBorder="0" applyAlignment="0" applyProtection="0"/>
    <xf numFmtId="0" fontId="9" fillId="11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2" fillId="0" borderId="9" applyNumberFormat="0" applyFill="0" applyAlignment="0" applyProtection="0"/>
    <xf numFmtId="171" fontId="56" fillId="0" borderId="0" applyFill="0" applyBorder="0" applyAlignment="0" applyProtection="0"/>
    <xf numFmtId="165" fontId="56" fillId="0" borderId="0" applyFill="0" applyBorder="0" applyAlignment="0" applyProtection="0"/>
  </cellStyleXfs>
  <cellXfs count="867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vertical="center"/>
    </xf>
    <xf numFmtId="0" fontId="0" fillId="0" borderId="12" xfId="0" applyFill="1" applyBorder="1"/>
    <xf numFmtId="0" fontId="0" fillId="6" borderId="0" xfId="0" applyFont="1" applyFill="1" applyBorder="1"/>
    <xf numFmtId="0" fontId="0" fillId="16" borderId="0" xfId="0" applyFont="1" applyFill="1" applyBorder="1" applyAlignment="1" applyProtection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/>
    </xf>
    <xf numFmtId="0" fontId="23" fillId="0" borderId="0" xfId="0" applyFont="1" applyAlignment="1">
      <alignment vertical="center"/>
    </xf>
    <xf numFmtId="0" fontId="0" fillId="0" borderId="13" xfId="0" applyBorder="1"/>
    <xf numFmtId="0" fontId="24" fillId="0" borderId="0" xfId="0" applyFont="1"/>
    <xf numFmtId="0" fontId="24" fillId="0" borderId="14" xfId="0" applyFont="1" applyBorder="1" applyAlignment="1" applyProtection="1">
      <alignment horizontal="left"/>
    </xf>
    <xf numFmtId="0" fontId="24" fillId="0" borderId="14" xfId="0" applyFont="1" applyBorder="1" applyAlignment="1" applyProtection="1">
      <alignment horizontal="center"/>
    </xf>
    <xf numFmtId="0" fontId="0" fillId="0" borderId="0" xfId="0" applyFont="1" applyAlignment="1" applyProtection="1">
      <alignment horizontal="left"/>
    </xf>
    <xf numFmtId="0" fontId="0" fillId="0" borderId="0" xfId="0" applyFont="1" applyProtection="1"/>
    <xf numFmtId="0" fontId="0" fillId="0" borderId="0" xfId="0" applyFont="1" applyFill="1" applyAlignment="1" applyProtection="1">
      <alignment horizontal="center"/>
    </xf>
    <xf numFmtId="0" fontId="0" fillId="0" borderId="0" xfId="0" applyFont="1" applyFill="1" applyAlignment="1" applyProtection="1">
      <alignment horizontal="left"/>
    </xf>
    <xf numFmtId="0" fontId="0" fillId="0" borderId="0" xfId="0" applyFont="1" applyFill="1" applyProtection="1"/>
    <xf numFmtId="0" fontId="0" fillId="0" borderId="0" xfId="0" applyFont="1" applyAlignment="1" applyProtection="1">
      <alignment horizontal="center"/>
    </xf>
    <xf numFmtId="0" fontId="0" fillId="0" borderId="15" xfId="0" applyFont="1" applyBorder="1" applyAlignment="1">
      <alignment vertical="center"/>
    </xf>
    <xf numFmtId="0" fontId="0" fillId="16" borderId="16" xfId="0" applyFont="1" applyFill="1" applyBorder="1" applyAlignment="1" applyProtection="1">
      <alignment vertical="center"/>
      <protection locked="0"/>
    </xf>
    <xf numFmtId="0" fontId="0" fillId="0" borderId="17" xfId="0" applyFont="1" applyBorder="1" applyAlignment="1">
      <alignment vertical="center"/>
    </xf>
    <xf numFmtId="49" fontId="0" fillId="6" borderId="18" xfId="0" applyNumberFormat="1" applyFont="1" applyFill="1" applyBorder="1" applyAlignment="1" applyProtection="1">
      <alignment vertical="center"/>
      <protection locked="0"/>
    </xf>
    <xf numFmtId="0" fontId="0" fillId="0" borderId="19" xfId="0" applyFont="1" applyBorder="1" applyAlignment="1">
      <alignment vertical="center"/>
    </xf>
    <xf numFmtId="49" fontId="0" fillId="6" borderId="20" xfId="0" applyNumberFormat="1" applyFont="1" applyFill="1" applyBorder="1" applyAlignment="1" applyProtection="1">
      <alignment vertical="center"/>
      <protection locked="0"/>
    </xf>
    <xf numFmtId="4" fontId="0" fillId="6" borderId="20" xfId="0" applyNumberFormat="1" applyFill="1" applyBorder="1" applyAlignment="1" applyProtection="1">
      <alignment horizontal="left" vertical="center"/>
      <protection locked="0"/>
    </xf>
    <xf numFmtId="10" fontId="0" fillId="6" borderId="20" xfId="0" applyNumberFormat="1" applyFill="1" applyBorder="1" applyAlignment="1" applyProtection="1">
      <alignment horizontal="left" vertical="center"/>
      <protection locked="0"/>
    </xf>
    <xf numFmtId="0" fontId="0" fillId="0" borderId="21" xfId="0" applyFont="1" applyBorder="1" applyAlignment="1">
      <alignment vertical="center"/>
    </xf>
    <xf numFmtId="10" fontId="0" fillId="6" borderId="22" xfId="0" applyNumberFormat="1" applyFill="1" applyBorder="1" applyAlignment="1" applyProtection="1">
      <alignment horizontal="left" vertical="center"/>
      <protection locked="0"/>
    </xf>
    <xf numFmtId="10" fontId="0" fillId="0" borderId="0" xfId="0" applyNumberFormat="1" applyFill="1" applyBorder="1" applyAlignment="1" applyProtection="1">
      <alignment horizontal="left" vertical="center"/>
    </xf>
    <xf numFmtId="0" fontId="0" fillId="0" borderId="23" xfId="0" applyFont="1" applyBorder="1" applyAlignment="1">
      <alignment vertical="center"/>
    </xf>
    <xf numFmtId="49" fontId="0" fillId="6" borderId="24" xfId="0" applyNumberFormat="1" applyFont="1" applyFill="1" applyBorder="1" applyAlignment="1" applyProtection="1">
      <alignment vertical="center" wrapText="1"/>
      <protection locked="0"/>
    </xf>
    <xf numFmtId="0" fontId="0" fillId="0" borderId="19" xfId="0" applyFont="1" applyFill="1" applyBorder="1" applyAlignment="1">
      <alignment vertical="center"/>
    </xf>
    <xf numFmtId="0" fontId="0" fillId="16" borderId="25" xfId="0" applyFont="1" applyFill="1" applyBorder="1" applyAlignment="1" applyProtection="1">
      <alignment vertical="center"/>
      <protection locked="0"/>
    </xf>
    <xf numFmtId="0" fontId="0" fillId="0" borderId="26" xfId="0" applyFont="1" applyBorder="1" applyAlignment="1">
      <alignment vertical="center"/>
    </xf>
    <xf numFmtId="166" fontId="0" fillId="6" borderId="22" xfId="0" applyNumberFormat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0" fillId="6" borderId="18" xfId="0" applyFont="1" applyFill="1" applyBorder="1" applyAlignment="1" applyProtection="1">
      <alignment vertical="center"/>
      <protection locked="0"/>
    </xf>
    <xf numFmtId="14" fontId="0" fillId="6" borderId="22" xfId="0" applyNumberFormat="1" applyFill="1" applyBorder="1" applyAlignment="1" applyProtection="1">
      <alignment horizontal="left" vertical="center"/>
      <protection locked="0"/>
    </xf>
    <xf numFmtId="0" fontId="0" fillId="6" borderId="16" xfId="0" applyFont="1" applyFill="1" applyBorder="1" applyAlignment="1" applyProtection="1">
      <alignment vertical="center"/>
      <protection locked="0"/>
    </xf>
    <xf numFmtId="0" fontId="0" fillId="6" borderId="22" xfId="0" applyFont="1" applyFill="1" applyBorder="1" applyAlignment="1" applyProtection="1">
      <alignment vertical="center"/>
      <protection locked="0"/>
    </xf>
    <xf numFmtId="14" fontId="0" fillId="6" borderId="16" xfId="0" applyNumberFormat="1" applyFill="1" applyBorder="1" applyAlignment="1" applyProtection="1">
      <alignment horizontal="left" vertical="center"/>
      <protection locked="0"/>
    </xf>
    <xf numFmtId="0" fontId="0" fillId="0" borderId="17" xfId="0" applyFont="1" applyFill="1" applyBorder="1" applyAlignment="1">
      <alignment vertical="center"/>
    </xf>
    <xf numFmtId="0" fontId="0" fillId="0" borderId="26" xfId="0" applyFont="1" applyFill="1" applyBorder="1" applyAlignment="1">
      <alignment vertical="center"/>
    </xf>
    <xf numFmtId="166" fontId="0" fillId="6" borderId="27" xfId="0" applyNumberFormat="1" applyFill="1" applyBorder="1" applyAlignment="1" applyProtection="1">
      <alignment horizontal="left" vertical="center"/>
      <protection locked="0"/>
    </xf>
    <xf numFmtId="14" fontId="0" fillId="6" borderId="28" xfId="0" applyNumberFormat="1" applyFill="1" applyBorder="1" applyAlignment="1" applyProtection="1">
      <alignment horizontal="left" vertical="center"/>
      <protection locked="0"/>
    </xf>
    <xf numFmtId="49" fontId="0" fillId="6" borderId="16" xfId="0" applyNumberFormat="1" applyFont="1" applyFill="1" applyBorder="1" applyAlignment="1" applyProtection="1">
      <alignment vertical="center"/>
      <protection locked="0"/>
    </xf>
    <xf numFmtId="49" fontId="0" fillId="6" borderId="28" xfId="0" applyNumberFormat="1" applyFont="1" applyFill="1" applyBorder="1" applyAlignment="1" applyProtection="1">
      <alignment vertical="center"/>
      <protection locked="0"/>
    </xf>
    <xf numFmtId="49" fontId="0" fillId="6" borderId="16" xfId="0" applyNumberFormat="1" applyFill="1" applyBorder="1" applyAlignment="1" applyProtection="1">
      <alignment vertical="center"/>
      <protection locked="0"/>
    </xf>
    <xf numFmtId="49" fontId="0" fillId="6" borderId="22" xfId="0" applyNumberFormat="1" applyFill="1" applyBorder="1" applyAlignment="1" applyProtection="1">
      <alignment vertical="center"/>
      <protection locked="0"/>
    </xf>
    <xf numFmtId="0" fontId="26" fillId="0" borderId="12" xfId="0" applyFont="1" applyBorder="1" applyAlignment="1">
      <alignment horizontal="left"/>
    </xf>
    <xf numFmtId="0" fontId="0" fillId="0" borderId="29" xfId="0" applyBorder="1"/>
    <xf numFmtId="0" fontId="27" fillId="0" borderId="30" xfId="0" applyFont="1" applyBorder="1" applyAlignment="1">
      <alignment horizontal="left" indent="1"/>
    </xf>
    <xf numFmtId="0" fontId="0" fillId="0" borderId="30" xfId="0" applyBorder="1" applyAlignment="1">
      <alignment vertical="center"/>
    </xf>
    <xf numFmtId="0" fontId="28" fillId="0" borderId="12" xfId="0" applyFont="1" applyBorder="1"/>
    <xf numFmtId="0" fontId="27" fillId="0" borderId="0" xfId="0" applyFont="1" applyAlignment="1">
      <alignment horizontal="left" indent="1"/>
    </xf>
    <xf numFmtId="0" fontId="0" fillId="0" borderId="12" xfId="0" applyBorder="1"/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left" vertical="top" indent="1"/>
    </xf>
    <xf numFmtId="0" fontId="12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left" vertical="top" indent="1"/>
    </xf>
    <xf numFmtId="0" fontId="0" fillId="0" borderId="0" xfId="0" applyBorder="1" applyAlignment="1">
      <alignment vertical="center"/>
    </xf>
    <xf numFmtId="0" fontId="0" fillId="0" borderId="0" xfId="33" applyFont="1" applyProtection="1"/>
    <xf numFmtId="0" fontId="24" fillId="0" borderId="0" xfId="33" applyFont="1" applyAlignment="1" applyProtection="1">
      <alignment horizontal="center"/>
    </xf>
    <xf numFmtId="0" fontId="23" fillId="0" borderId="0" xfId="33" applyFont="1" applyAlignment="1" applyProtection="1">
      <alignment horizontal="center"/>
    </xf>
    <xf numFmtId="0" fontId="0" fillId="0" borderId="31" xfId="0" applyFont="1" applyBorder="1" applyAlignment="1" applyProtection="1">
      <alignment horizontal="center"/>
    </xf>
    <xf numFmtId="0" fontId="24" fillId="0" borderId="32" xfId="33" applyFont="1" applyBorder="1" applyAlignment="1" applyProtection="1">
      <alignment horizontal="center"/>
    </xf>
    <xf numFmtId="10" fontId="29" fillId="0" borderId="32" xfId="33" applyNumberFormat="1" applyFont="1" applyFill="1" applyBorder="1" applyAlignment="1" applyProtection="1">
      <alignment horizontal="center"/>
    </xf>
    <xf numFmtId="0" fontId="24" fillId="0" borderId="31" xfId="35" applyFont="1" applyBorder="1" applyAlignment="1" applyProtection="1">
      <alignment horizontal="left" vertical="top"/>
    </xf>
    <xf numFmtId="0" fontId="0" fillId="0" borderId="14" xfId="33" applyFont="1" applyFill="1" applyBorder="1" applyAlignment="1" applyProtection="1">
      <alignment horizontal="left" vertical="top" wrapText="1"/>
    </xf>
    <xf numFmtId="0" fontId="24" fillId="0" borderId="0" xfId="33" applyFont="1" applyProtection="1"/>
    <xf numFmtId="0" fontId="24" fillId="0" borderId="32" xfId="33" applyFont="1" applyFill="1" applyBorder="1" applyAlignment="1" applyProtection="1">
      <alignment horizontal="center" vertical="center" wrapText="1"/>
    </xf>
    <xf numFmtId="0" fontId="8" fillId="0" borderId="0" xfId="33" applyFont="1" applyFill="1" applyBorder="1" applyAlignment="1" applyProtection="1">
      <alignment horizontal="left"/>
    </xf>
    <xf numFmtId="0" fontId="30" fillId="0" borderId="32" xfId="33" applyFont="1" applyBorder="1" applyAlignment="1" applyProtection="1">
      <alignment horizontal="center" vertical="center"/>
    </xf>
    <xf numFmtId="10" fontId="30" fillId="6" borderId="32" xfId="33" applyNumberFormat="1" applyFont="1" applyFill="1" applyBorder="1" applyAlignment="1" applyProtection="1">
      <alignment horizontal="center" vertical="center"/>
      <protection locked="0"/>
    </xf>
    <xf numFmtId="10" fontId="30" fillId="0" borderId="32" xfId="33" applyNumberFormat="1" applyFont="1" applyFill="1" applyBorder="1" applyAlignment="1" applyProtection="1">
      <alignment horizontal="center" vertical="center"/>
    </xf>
    <xf numFmtId="10" fontId="30" fillId="0" borderId="32" xfId="33" applyNumberFormat="1" applyFont="1" applyFill="1" applyBorder="1" applyAlignment="1" applyProtection="1">
      <alignment horizontal="center" vertical="center" wrapText="1"/>
    </xf>
    <xf numFmtId="0" fontId="30" fillId="0" borderId="32" xfId="33" applyFont="1" applyFill="1" applyBorder="1" applyAlignment="1" applyProtection="1">
      <alignment horizontal="center" vertical="center" wrapText="1"/>
    </xf>
    <xf numFmtId="0" fontId="30" fillId="8" borderId="32" xfId="33" applyFont="1" applyFill="1" applyBorder="1" applyAlignment="1" applyProtection="1">
      <alignment horizontal="center" vertical="center" wrapText="1"/>
    </xf>
    <xf numFmtId="10" fontId="17" fillId="8" borderId="32" xfId="33" applyNumberFormat="1" applyFont="1" applyFill="1" applyBorder="1" applyAlignment="1" applyProtection="1">
      <alignment horizontal="center" vertical="center"/>
    </xf>
    <xf numFmtId="0" fontId="31" fillId="0" borderId="0" xfId="33" applyFont="1" applyBorder="1" applyAlignment="1" applyProtection="1">
      <alignment horizontal="right" vertical="center"/>
    </xf>
    <xf numFmtId="0" fontId="0" fillId="0" borderId="0" xfId="33" applyFont="1" applyBorder="1" applyAlignment="1" applyProtection="1">
      <alignment horizontal="center" vertical="top"/>
    </xf>
    <xf numFmtId="0" fontId="33" fillId="0" borderId="0" xfId="0" applyFont="1" applyBorder="1" applyAlignment="1" applyProtection="1">
      <alignment horizontal="right" vertical="center"/>
    </xf>
    <xf numFmtId="0" fontId="33" fillId="0" borderId="0" xfId="0" applyFont="1" applyBorder="1" applyAlignment="1" applyProtection="1">
      <alignment horizontal="left" vertical="center"/>
    </xf>
    <xf numFmtId="0" fontId="33" fillId="0" borderId="0" xfId="0" applyFont="1" applyBorder="1" applyAlignment="1" applyProtection="1">
      <alignment horizontal="center" vertical="top"/>
    </xf>
    <xf numFmtId="0" fontId="35" fillId="0" borderId="0" xfId="33" applyFont="1" applyBorder="1" applyAlignment="1" applyProtection="1">
      <alignment horizontal="center" vertical="top"/>
    </xf>
    <xf numFmtId="169" fontId="0" fillId="0" borderId="0" xfId="33" applyNumberFormat="1" applyFont="1" applyAlignment="1" applyProtection="1"/>
    <xf numFmtId="0" fontId="24" fillId="0" borderId="10" xfId="33" applyFont="1" applyBorder="1" applyAlignment="1" applyProtection="1">
      <alignment horizontal="left"/>
    </xf>
    <xf numFmtId="0" fontId="0" fillId="0" borderId="10" xfId="33" applyFont="1" applyBorder="1" applyProtection="1"/>
    <xf numFmtId="0" fontId="30" fillId="0" borderId="0" xfId="33" applyFont="1" applyBorder="1" applyProtection="1"/>
    <xf numFmtId="0" fontId="0" fillId="0" borderId="0" xfId="33" applyFont="1" applyBorder="1" applyProtection="1"/>
    <xf numFmtId="0" fontId="24" fillId="0" borderId="0" xfId="35" applyFont="1" applyBorder="1" applyAlignment="1" applyProtection="1">
      <alignment horizontal="left" vertical="top"/>
    </xf>
    <xf numFmtId="0" fontId="0" fillId="0" borderId="0" xfId="33" applyNumberFormat="1" applyFont="1" applyFill="1" applyBorder="1" applyAlignment="1" applyProtection="1">
      <alignment vertical="top"/>
    </xf>
    <xf numFmtId="167" fontId="0" fillId="0" borderId="0" xfId="33" applyNumberFormat="1" applyFont="1" applyFill="1" applyBorder="1" applyAlignment="1" applyProtection="1"/>
    <xf numFmtId="0" fontId="30" fillId="0" borderId="0" xfId="33" applyFont="1" applyProtection="1"/>
    <xf numFmtId="167" fontId="0" fillId="0" borderId="0" xfId="33" applyNumberFormat="1" applyFont="1" applyFill="1" applyBorder="1" applyAlignment="1" applyProtection="1">
      <alignment vertical="top"/>
    </xf>
    <xf numFmtId="0" fontId="0" fillId="0" borderId="0" xfId="0" applyFont="1" applyFill="1"/>
    <xf numFmtId="0" fontId="0" fillId="0" borderId="0" xfId="0" applyBorder="1"/>
    <xf numFmtId="0" fontId="36" fillId="0" borderId="0" xfId="0" applyFont="1" applyFill="1" applyAlignment="1">
      <alignment vertical="center"/>
    </xf>
    <xf numFmtId="0" fontId="23" fillId="0" borderId="0" xfId="0" applyFont="1" applyAlignment="1">
      <alignment horizontal="left" vertical="center"/>
    </xf>
    <xf numFmtId="0" fontId="0" fillId="0" borderId="0" xfId="0" applyFont="1" applyBorder="1" applyAlignment="1" applyProtection="1">
      <alignment horizontal="center"/>
    </xf>
    <xf numFmtId="0" fontId="0" fillId="0" borderId="0" xfId="0" applyFont="1"/>
    <xf numFmtId="0" fontId="0" fillId="0" borderId="0" xfId="0" applyFont="1" applyBorder="1"/>
    <xf numFmtId="0" fontId="37" fillId="0" borderId="0" xfId="0" applyFont="1" applyAlignment="1">
      <alignment horizontal="left" vertical="center"/>
    </xf>
    <xf numFmtId="0" fontId="24" fillId="0" borderId="0" xfId="0" applyFont="1" applyBorder="1" applyAlignment="1" applyProtection="1">
      <alignment horizontal="center"/>
    </xf>
    <xf numFmtId="0" fontId="38" fillId="0" borderId="0" xfId="0" applyFont="1"/>
    <xf numFmtId="0" fontId="0" fillId="0" borderId="0" xfId="0" applyFont="1" applyAlignment="1">
      <alignment wrapText="1"/>
    </xf>
    <xf numFmtId="10" fontId="0" fillId="0" borderId="0" xfId="0" applyNumberFormat="1" applyFont="1"/>
    <xf numFmtId="0" fontId="24" fillId="0" borderId="31" xfId="35" applyFont="1" applyBorder="1" applyAlignment="1" applyProtection="1">
      <alignment vertical="top"/>
    </xf>
    <xf numFmtId="0" fontId="0" fillId="0" borderId="32" xfId="0" applyFont="1" applyBorder="1"/>
    <xf numFmtId="0" fontId="0" fillId="0" borderId="32" xfId="0" applyFont="1" applyBorder="1" applyProtection="1">
      <protection locked="0"/>
    </xf>
    <xf numFmtId="0" fontId="0" fillId="0" borderId="0" xfId="0" applyFont="1" applyAlignment="1">
      <alignment horizontal="center"/>
    </xf>
    <xf numFmtId="10" fontId="0" fillId="0" borderId="0" xfId="0" applyNumberFormat="1" applyBorder="1"/>
    <xf numFmtId="10" fontId="0" fillId="0" borderId="0" xfId="0" applyNumberFormat="1"/>
    <xf numFmtId="0" fontId="0" fillId="0" borderId="14" xfId="33" applyFont="1" applyFill="1" applyBorder="1" applyAlignment="1" applyProtection="1">
      <alignment vertical="top" wrapText="1"/>
    </xf>
    <xf numFmtId="0" fontId="0" fillId="0" borderId="29" xfId="33" applyFont="1" applyFill="1" applyBorder="1" applyAlignment="1" applyProtection="1">
      <alignment vertical="top" wrapText="1"/>
    </xf>
    <xf numFmtId="0" fontId="0" fillId="0" borderId="0" xfId="33" applyFont="1" applyFill="1" applyBorder="1" applyAlignment="1" applyProtection="1">
      <alignment horizontal="left" vertical="top" wrapText="1"/>
    </xf>
    <xf numFmtId="0" fontId="0" fillId="0" borderId="32" xfId="0" applyNumberFormat="1" applyFont="1" applyBorder="1" applyProtection="1">
      <protection locked="0"/>
    </xf>
    <xf numFmtId="0" fontId="0" fillId="0" borderId="10" xfId="33" applyFont="1" applyFill="1" applyBorder="1" applyAlignment="1" applyProtection="1">
      <alignment horizontal="left" vertical="top" wrapText="1"/>
    </xf>
    <xf numFmtId="0" fontId="0" fillId="0" borderId="10" xfId="33" applyFont="1" applyFill="1" applyBorder="1" applyAlignment="1" applyProtection="1">
      <alignment vertical="top" wrapText="1"/>
    </xf>
    <xf numFmtId="0" fontId="22" fillId="0" borderId="0" xfId="0" applyFont="1" applyBorder="1" applyAlignment="1">
      <alignment horizontal="center"/>
    </xf>
    <xf numFmtId="0" fontId="24" fillId="0" borderId="33" xfId="35" applyFont="1" applyBorder="1" applyAlignment="1" applyProtection="1">
      <alignment horizontal="left" vertical="top"/>
    </xf>
    <xf numFmtId="0" fontId="24" fillId="0" borderId="0" xfId="35" applyFont="1" applyBorder="1" applyAlignment="1" applyProtection="1">
      <alignment horizontal="center" vertical="top"/>
    </xf>
    <xf numFmtId="0" fontId="24" fillId="0" borderId="31" xfId="35" applyFont="1" applyBorder="1" applyAlignment="1" applyProtection="1">
      <alignment horizontal="center" vertical="top"/>
    </xf>
    <xf numFmtId="0" fontId="0" fillId="0" borderId="0" xfId="0" applyFont="1" applyFill="1" applyAlignment="1" applyProtection="1"/>
    <xf numFmtId="170" fontId="0" fillId="0" borderId="14" xfId="33" applyNumberFormat="1" applyFont="1" applyFill="1" applyBorder="1" applyAlignment="1" applyProtection="1">
      <alignment vertical="top" shrinkToFit="1"/>
    </xf>
    <xf numFmtId="0" fontId="0" fillId="0" borderId="30" xfId="33" applyFont="1" applyFill="1" applyBorder="1" applyAlignment="1" applyProtection="1">
      <alignment horizontal="center" vertical="top" wrapText="1"/>
    </xf>
    <xf numFmtId="0" fontId="0" fillId="0" borderId="14" xfId="33" applyFont="1" applyFill="1" applyBorder="1" applyAlignment="1" applyProtection="1">
      <alignment horizontal="center" vertical="top" wrapText="1"/>
    </xf>
    <xf numFmtId="10" fontId="0" fillId="0" borderId="0" xfId="0" applyNumberFormat="1" applyFont="1" applyAlignment="1" applyProtection="1">
      <alignment vertical="center" wrapText="1"/>
    </xf>
    <xf numFmtId="0" fontId="42" fillId="0" borderId="34" xfId="0" applyFont="1" applyBorder="1" applyAlignment="1" applyProtection="1">
      <alignment horizontal="center" vertical="center" wrapText="1"/>
    </xf>
    <xf numFmtId="0" fontId="43" fillId="0" borderId="0" xfId="0" applyFont="1"/>
    <xf numFmtId="0" fontId="22" fillId="0" borderId="14" xfId="0" applyFont="1" applyBorder="1" applyAlignment="1">
      <alignment horizontal="center"/>
    </xf>
    <xf numFmtId="1" fontId="44" fillId="0" borderId="0" xfId="0" applyNumberFormat="1" applyFont="1" applyAlignment="1">
      <alignment horizontal="center" vertical="center"/>
    </xf>
    <xf numFmtId="0" fontId="24" fillId="0" borderId="32" xfId="0" applyFont="1" applyBorder="1" applyAlignment="1" applyProtection="1">
      <alignment horizontal="center" vertical="center" wrapText="1"/>
    </xf>
    <xf numFmtId="0" fontId="45" fillId="0" borderId="32" xfId="0" applyFont="1" applyBorder="1" applyAlignment="1" applyProtection="1">
      <alignment horizontal="center" vertical="center" wrapText="1"/>
    </xf>
    <xf numFmtId="0" fontId="24" fillId="0" borderId="32" xfId="0" applyFont="1" applyBorder="1" applyAlignment="1" applyProtection="1">
      <alignment horizontal="center" vertical="center"/>
    </xf>
    <xf numFmtId="0" fontId="24" fillId="0" borderId="35" xfId="0" applyFont="1" applyFill="1" applyBorder="1" applyAlignment="1" applyProtection="1">
      <alignment horizontal="center" vertical="center" wrapText="1"/>
    </xf>
    <xf numFmtId="0" fontId="24" fillId="0" borderId="36" xfId="0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>
      <alignment horizontal="center" vertical="center" wrapText="1"/>
    </xf>
    <xf numFmtId="0" fontId="24" fillId="0" borderId="37" xfId="0" applyFont="1" applyBorder="1" applyAlignment="1" applyProtection="1">
      <alignment horizontal="center" vertical="center" wrapText="1"/>
    </xf>
    <xf numFmtId="0" fontId="39" fillId="0" borderId="0" xfId="0" applyFont="1" applyAlignment="1">
      <alignment horizontal="center"/>
    </xf>
    <xf numFmtId="0" fontId="8" fillId="16" borderId="38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8" xfId="0" applyNumberFormat="1" applyFont="1" applyFill="1" applyBorder="1" applyAlignment="1" applyProtection="1">
      <alignment horizontal="center" vertical="center" wrapText="1"/>
    </xf>
    <xf numFmtId="0" fontId="0" fillId="0" borderId="39" xfId="0" applyNumberFormat="1" applyFont="1" applyFill="1" applyBorder="1" applyAlignment="1">
      <alignment vertical="center" wrapText="1" shrinkToFit="1"/>
    </xf>
    <xf numFmtId="49" fontId="0" fillId="16" borderId="40" xfId="0" applyNumberFormat="1" applyFont="1" applyFill="1" applyBorder="1" applyAlignment="1" applyProtection="1">
      <alignment horizontal="center" vertical="center" wrapText="1"/>
      <protection locked="0"/>
    </xf>
    <xf numFmtId="49" fontId="0" fillId="6" borderId="40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40" xfId="0" applyNumberFormat="1" applyFont="1" applyFill="1" applyBorder="1" applyAlignment="1" applyProtection="1">
      <alignment horizontal="left" vertical="center" wrapText="1"/>
      <protection locked="0"/>
    </xf>
    <xf numFmtId="0" fontId="0" fillId="6" borderId="40" xfId="0" applyNumberFormat="1" applyFont="1" applyFill="1" applyBorder="1" applyAlignment="1" applyProtection="1">
      <alignment horizontal="center" vertical="center" wrapText="1"/>
      <protection locked="0"/>
    </xf>
    <xf numFmtId="171" fontId="0" fillId="0" borderId="40" xfId="48" applyNumberFormat="1" applyFont="1" applyFill="1" applyBorder="1" applyAlignment="1" applyProtection="1">
      <alignment vertical="center" shrinkToFit="1"/>
    </xf>
    <xf numFmtId="171" fontId="0" fillId="6" borderId="40" xfId="48" applyFont="1" applyFill="1" applyBorder="1" applyAlignment="1" applyProtection="1">
      <alignment vertical="center" wrapText="1"/>
      <protection locked="0"/>
    </xf>
    <xf numFmtId="10" fontId="0" fillId="16" borderId="40" xfId="37" applyNumberFormat="1" applyFont="1" applyFill="1" applyBorder="1" applyAlignment="1" applyProtection="1">
      <alignment horizontal="center" vertical="center" wrapText="1"/>
      <protection locked="0"/>
    </xf>
    <xf numFmtId="171" fontId="0" fillId="0" borderId="41" xfId="48" applyNumberFormat="1" applyFont="1" applyFill="1" applyBorder="1" applyAlignment="1" applyProtection="1">
      <alignment horizontal="center" vertical="center" shrinkToFit="1"/>
    </xf>
    <xf numFmtId="10" fontId="39" fillId="16" borderId="42" xfId="37" applyNumberFormat="1" applyFont="1" applyFill="1" applyBorder="1" applyAlignment="1" applyProtection="1">
      <alignment horizontal="center" vertical="center"/>
      <protection locked="0"/>
    </xf>
    <xf numFmtId="0" fontId="0" fillId="0" borderId="43" xfId="0" applyFont="1" applyBorder="1"/>
    <xf numFmtId="0" fontId="0" fillId="0" borderId="44" xfId="0" applyFont="1" applyBorder="1"/>
    <xf numFmtId="0" fontId="22" fillId="0" borderId="0" xfId="0" applyFont="1" applyFill="1"/>
    <xf numFmtId="0" fontId="0" fillId="0" borderId="0" xfId="0" applyFont="1" applyAlignment="1">
      <alignment horizontal="left"/>
    </xf>
    <xf numFmtId="0" fontId="24" fillId="17" borderId="32" xfId="0" applyNumberFormat="1" applyFont="1" applyFill="1" applyBorder="1" applyAlignment="1" applyProtection="1">
      <alignment horizontal="center" vertical="center"/>
    </xf>
    <xf numFmtId="49" fontId="24" fillId="17" borderId="45" xfId="0" applyNumberFormat="1" applyFont="1" applyFill="1" applyBorder="1" applyAlignment="1" applyProtection="1">
      <alignment horizontal="center" vertical="center"/>
    </xf>
    <xf numFmtId="171" fontId="24" fillId="17" borderId="45" xfId="48" applyNumberFormat="1" applyFont="1" applyFill="1" applyBorder="1" applyAlignment="1" applyProtection="1">
      <alignment horizontal="center" vertical="center"/>
    </xf>
    <xf numFmtId="10" fontId="24" fillId="17" borderId="45" xfId="37" applyNumberFormat="1" applyFont="1" applyFill="1" applyBorder="1" applyAlignment="1" applyProtection="1">
      <alignment horizontal="center" vertical="center"/>
    </xf>
    <xf numFmtId="171" fontId="24" fillId="17" borderId="46" xfId="48" applyNumberFormat="1" applyFont="1" applyFill="1" applyBorder="1" applyAlignment="1" applyProtection="1">
      <alignment horizontal="center" vertical="center" shrinkToFit="1"/>
    </xf>
    <xf numFmtId="171" fontId="21" fillId="17" borderId="46" xfId="48" applyNumberFormat="1" applyFont="1" applyFill="1" applyBorder="1" applyAlignment="1" applyProtection="1">
      <alignment horizontal="center" vertical="center" shrinkToFit="1"/>
    </xf>
    <xf numFmtId="0" fontId="22" fillId="0" borderId="0" xfId="0" applyFont="1"/>
    <xf numFmtId="0" fontId="0" fillId="4" borderId="13" xfId="0" applyFont="1" applyFill="1" applyBorder="1"/>
    <xf numFmtId="0" fontId="0" fillId="4" borderId="46" xfId="0" applyFont="1" applyFill="1" applyBorder="1"/>
    <xf numFmtId="0" fontId="30" fillId="0" borderId="0" xfId="0" applyFont="1"/>
    <xf numFmtId="0" fontId="30" fillId="0" borderId="33" xfId="0" applyFont="1" applyBorder="1" applyAlignment="1" applyProtection="1">
      <alignment horizontal="left" vertical="center"/>
    </xf>
    <xf numFmtId="0" fontId="0" fillId="0" borderId="12" xfId="0" applyFont="1" applyBorder="1"/>
    <xf numFmtId="0" fontId="30" fillId="0" borderId="0" xfId="0" applyFont="1" applyFill="1" applyBorder="1" applyAlignment="1" applyProtection="1">
      <alignment horizontal="left" wrapText="1"/>
      <protection locked="0"/>
    </xf>
    <xf numFmtId="0" fontId="17" fillId="0" borderId="0" xfId="0" applyFont="1" applyFill="1" applyBorder="1" applyAlignment="1" applyProtection="1">
      <alignment horizontal="left" wrapText="1"/>
    </xf>
    <xf numFmtId="167" fontId="0" fillId="0" borderId="30" xfId="0" applyNumberFormat="1" applyFont="1" applyBorder="1" applyAlignment="1" applyProtection="1">
      <alignment horizontal="left"/>
    </xf>
    <xf numFmtId="0" fontId="17" fillId="0" borderId="30" xfId="33" applyFont="1" applyBorder="1" applyAlignment="1" applyProtection="1">
      <alignment vertical="center"/>
    </xf>
    <xf numFmtId="0" fontId="0" fillId="0" borderId="0" xfId="0" applyFill="1"/>
    <xf numFmtId="0" fontId="24" fillId="0" borderId="10" xfId="0" applyFont="1" applyBorder="1"/>
    <xf numFmtId="0" fontId="0" fillId="0" borderId="10" xfId="0" applyFont="1" applyBorder="1"/>
    <xf numFmtId="0" fontId="23" fillId="0" borderId="0" xfId="0" applyFont="1" applyAlignment="1">
      <alignment horizontal="left" vertical="center" indent="10"/>
    </xf>
    <xf numFmtId="0" fontId="23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 indent="10"/>
    </xf>
    <xf numFmtId="0" fontId="37" fillId="0" borderId="0" xfId="0" applyFont="1" applyAlignment="1">
      <alignment horizontal="center" vertical="center"/>
    </xf>
    <xf numFmtId="0" fontId="24" fillId="0" borderId="33" xfId="35" applyFont="1" applyBorder="1" applyAlignment="1" applyProtection="1">
      <alignment vertical="top"/>
    </xf>
    <xf numFmtId="0" fontId="24" fillId="0" borderId="0" xfId="35" applyFont="1" applyBorder="1" applyAlignment="1" applyProtection="1">
      <alignment vertical="top"/>
    </xf>
    <xf numFmtId="0" fontId="24" fillId="0" borderId="12" xfId="35" applyFont="1" applyBorder="1" applyAlignment="1" applyProtection="1">
      <alignment vertical="top"/>
    </xf>
    <xf numFmtId="0" fontId="0" fillId="0" borderId="47" xfId="33" applyNumberFormat="1" applyFont="1" applyFill="1" applyBorder="1" applyAlignment="1" applyProtection="1">
      <alignment vertical="top"/>
    </xf>
    <xf numFmtId="0" fontId="0" fillId="0" borderId="30" xfId="33" applyFont="1" applyFill="1" applyBorder="1" applyAlignment="1" applyProtection="1">
      <alignment vertical="top" wrapText="1"/>
    </xf>
    <xf numFmtId="0" fontId="32" fillId="0" borderId="0" xfId="0" applyFont="1" applyAlignment="1">
      <alignment horizontal="center"/>
    </xf>
    <xf numFmtId="0" fontId="22" fillId="0" borderId="30" xfId="0" applyFont="1" applyBorder="1" applyAlignment="1">
      <alignment vertical="center" wrapText="1"/>
    </xf>
    <xf numFmtId="0" fontId="22" fillId="0" borderId="30" xfId="0" applyFont="1" applyBorder="1" applyAlignment="1">
      <alignment horizontal="right" vertical="center" wrapText="1"/>
    </xf>
    <xf numFmtId="0" fontId="47" fillId="0" borderId="0" xfId="0" applyFont="1"/>
    <xf numFmtId="1" fontId="44" fillId="0" borderId="0" xfId="0" applyNumberFormat="1" applyFont="1" applyAlignment="1">
      <alignment horizontal="left" textRotation="90" wrapText="1"/>
    </xf>
    <xf numFmtId="0" fontId="22" fillId="0" borderId="30" xfId="0" applyFont="1" applyBorder="1" applyAlignment="1">
      <alignment horizontal="center" vertical="center" wrapText="1"/>
    </xf>
    <xf numFmtId="0" fontId="0" fillId="6" borderId="48" xfId="0" applyFill="1" applyBorder="1" applyAlignment="1" applyProtection="1">
      <alignment horizontal="center" textRotation="90" wrapText="1"/>
      <protection locked="0"/>
    </xf>
    <xf numFmtId="0" fontId="0" fillId="6" borderId="49" xfId="0" applyFill="1" applyBorder="1" applyAlignment="1" applyProtection="1">
      <alignment horizontal="center" textRotation="90" wrapText="1"/>
      <protection locked="0"/>
    </xf>
    <xf numFmtId="0" fontId="0" fillId="0" borderId="37" xfId="0" applyFill="1" applyBorder="1" applyAlignment="1" applyProtection="1">
      <alignment horizontal="center" textRotation="90" wrapText="1"/>
    </xf>
    <xf numFmtId="0" fontId="0" fillId="0" borderId="48" xfId="0" applyFill="1" applyBorder="1" applyAlignment="1" applyProtection="1">
      <alignment horizontal="center" textRotation="90" wrapText="1"/>
    </xf>
    <xf numFmtId="0" fontId="0" fillId="0" borderId="49" xfId="0" applyFill="1" applyBorder="1" applyAlignment="1" applyProtection="1">
      <alignment horizontal="center" textRotation="90" wrapText="1"/>
    </xf>
    <xf numFmtId="0" fontId="24" fillId="0" borderId="0" xfId="0" applyFont="1" applyAlignment="1">
      <alignment horizontal="center"/>
    </xf>
    <xf numFmtId="0" fontId="24" fillId="0" borderId="50" xfId="0" applyFont="1" applyBorder="1" applyAlignment="1" applyProtection="1">
      <alignment horizontal="center" vertical="center" wrapText="1"/>
    </xf>
    <xf numFmtId="0" fontId="24" fillId="0" borderId="51" xfId="0" applyFont="1" applyBorder="1" applyAlignment="1" applyProtection="1">
      <alignment horizontal="center" vertical="center" wrapText="1"/>
    </xf>
    <xf numFmtId="0" fontId="24" fillId="0" borderId="52" xfId="0" applyFont="1" applyBorder="1" applyAlignment="1" applyProtection="1">
      <alignment horizontal="center" vertical="center" wrapText="1"/>
    </xf>
    <xf numFmtId="0" fontId="24" fillId="0" borderId="48" xfId="0" applyFont="1" applyBorder="1" applyAlignment="1" applyProtection="1">
      <alignment horizontal="center" vertical="center" wrapText="1"/>
    </xf>
    <xf numFmtId="0" fontId="24" fillId="0" borderId="49" xfId="0" applyFont="1" applyBorder="1" applyAlignment="1" applyProtection="1">
      <alignment horizontal="center" vertical="center" wrapText="1"/>
    </xf>
    <xf numFmtId="0" fontId="0" fillId="0" borderId="39" xfId="0" applyNumberFormat="1" applyFont="1" applyFill="1" applyBorder="1" applyAlignment="1" applyProtection="1">
      <alignment vertical="center" wrapText="1" shrinkToFit="1"/>
    </xf>
    <xf numFmtId="0" fontId="0" fillId="0" borderId="40" xfId="0" applyNumberFormat="1" applyFont="1" applyFill="1" applyBorder="1" applyAlignment="1" applyProtection="1">
      <alignment horizontal="left" vertical="center" wrapText="1"/>
    </xf>
    <xf numFmtId="0" fontId="0" fillId="0" borderId="40" xfId="0" applyNumberFormat="1" applyFont="1" applyFill="1" applyBorder="1" applyAlignment="1" applyProtection="1">
      <alignment horizontal="center" vertical="center" wrapText="1"/>
    </xf>
    <xf numFmtId="0" fontId="0" fillId="16" borderId="42" xfId="48" applyNumberFormat="1" applyFont="1" applyFill="1" applyBorder="1" applyAlignment="1" applyProtection="1">
      <alignment horizontal="left" vertical="center"/>
      <protection locked="0"/>
    </xf>
    <xf numFmtId="0" fontId="47" fillId="0" borderId="0" xfId="0" applyFont="1" applyAlignment="1">
      <alignment horizontal="center"/>
    </xf>
    <xf numFmtId="0" fontId="21" fillId="0" borderId="36" xfId="48" applyNumberFormat="1" applyFont="1" applyFill="1" applyBorder="1" applyAlignment="1" applyProtection="1">
      <alignment horizontal="center" vertical="center" wrapText="1" shrinkToFit="1"/>
    </xf>
    <xf numFmtId="0" fontId="21" fillId="0" borderId="42" xfId="48" applyNumberFormat="1" applyFont="1" applyFill="1" applyBorder="1" applyAlignment="1" applyProtection="1">
      <alignment vertical="center" wrapText="1" shrinkToFit="1"/>
    </xf>
    <xf numFmtId="171" fontId="0" fillId="6" borderId="39" xfId="48" applyFont="1" applyFill="1" applyBorder="1" applyAlignment="1" applyProtection="1">
      <alignment vertical="center" shrinkToFit="1"/>
      <protection locked="0"/>
    </xf>
    <xf numFmtId="171" fontId="0" fillId="6" borderId="40" xfId="48" applyFont="1" applyFill="1" applyBorder="1" applyAlignment="1" applyProtection="1">
      <alignment vertical="center" shrinkToFit="1"/>
      <protection locked="0"/>
    </xf>
    <xf numFmtId="171" fontId="0" fillId="6" borderId="41" xfId="48" applyFont="1" applyFill="1" applyBorder="1" applyAlignment="1" applyProtection="1">
      <alignment vertical="center" shrinkToFit="1"/>
      <protection locked="0"/>
    </xf>
    <xf numFmtId="1" fontId="0" fillId="0" borderId="53" xfId="48" applyNumberFormat="1" applyFont="1" applyFill="1" applyBorder="1" applyAlignment="1" applyProtection="1">
      <alignment horizontal="center" vertical="center" shrinkToFit="1"/>
    </xf>
    <xf numFmtId="1" fontId="0" fillId="0" borderId="54" xfId="48" applyNumberFormat="1" applyFont="1" applyFill="1" applyBorder="1" applyAlignment="1" applyProtection="1">
      <alignment horizontal="center" vertical="center" shrinkToFit="1"/>
    </xf>
    <xf numFmtId="0" fontId="24" fillId="17" borderId="32" xfId="0" applyNumberFormat="1" applyFont="1" applyFill="1" applyBorder="1" applyAlignment="1" applyProtection="1">
      <alignment horizontal="left" vertical="center"/>
    </xf>
    <xf numFmtId="0" fontId="24" fillId="14" borderId="32" xfId="0" applyNumberFormat="1" applyFont="1" applyFill="1" applyBorder="1" applyAlignment="1" applyProtection="1">
      <alignment horizontal="center" vertical="center"/>
    </xf>
    <xf numFmtId="0" fontId="24" fillId="17" borderId="32" xfId="0" applyNumberFormat="1" applyFont="1" applyFill="1" applyBorder="1" applyAlignment="1" applyProtection="1">
      <alignment horizontal="right" vertical="center"/>
    </xf>
    <xf numFmtId="4" fontId="24" fillId="17" borderId="55" xfId="0" applyNumberFormat="1" applyFont="1" applyFill="1" applyBorder="1" applyAlignment="1" applyProtection="1">
      <alignment horizontal="right" vertical="center" shrinkToFit="1"/>
    </xf>
    <xf numFmtId="4" fontId="24" fillId="17" borderId="56" xfId="0" applyNumberFormat="1" applyFont="1" applyFill="1" applyBorder="1" applyAlignment="1" applyProtection="1">
      <alignment horizontal="right" vertical="center" shrinkToFit="1"/>
    </xf>
    <xf numFmtId="4" fontId="24" fillId="17" borderId="57" xfId="0" applyNumberFormat="1" applyFont="1" applyFill="1" applyBorder="1" applyAlignment="1" applyProtection="1">
      <alignment horizontal="right" vertical="center" shrinkToFit="1"/>
    </xf>
    <xf numFmtId="4" fontId="24" fillId="17" borderId="37" xfId="0" applyNumberFormat="1" applyFont="1" applyFill="1" applyBorder="1" applyAlignment="1" applyProtection="1">
      <alignment horizontal="right" vertical="center" shrinkToFit="1"/>
    </xf>
    <xf numFmtId="0" fontId="24" fillId="17" borderId="37" xfId="0" applyNumberFormat="1" applyFont="1" applyFill="1" applyBorder="1" applyAlignment="1" applyProtection="1">
      <alignment horizontal="right" vertical="center" shrinkToFit="1"/>
    </xf>
    <xf numFmtId="0" fontId="0" fillId="18" borderId="13" xfId="0" applyFill="1" applyBorder="1"/>
    <xf numFmtId="0" fontId="0" fillId="4" borderId="45" xfId="0" applyFont="1" applyFill="1" applyBorder="1"/>
    <xf numFmtId="167" fontId="0" fillId="0" borderId="30" xfId="0" applyNumberFormat="1" applyFont="1" applyBorder="1" applyAlignment="1" applyProtection="1"/>
    <xf numFmtId="0" fontId="0" fillId="0" borderId="30" xfId="0" applyBorder="1"/>
    <xf numFmtId="0" fontId="0" fillId="0" borderId="0" xfId="33" applyFont="1" applyBorder="1" applyAlignment="1" applyProtection="1">
      <alignment vertical="center"/>
    </xf>
    <xf numFmtId="0" fontId="12" fillId="0" borderId="32" xfId="0" applyFont="1" applyBorder="1" applyProtection="1"/>
    <xf numFmtId="0" fontId="12" fillId="0" borderId="32" xfId="0" applyFont="1" applyBorder="1" applyAlignment="1" applyProtection="1">
      <alignment horizontal="center"/>
    </xf>
    <xf numFmtId="0" fontId="46" fillId="0" borderId="32" xfId="0" applyFont="1" applyBorder="1" applyAlignment="1">
      <alignment horizontal="center" vertical="center"/>
    </xf>
    <xf numFmtId="171" fontId="56" fillId="0" borderId="32" xfId="48" applyFill="1" applyBorder="1" applyAlignment="1" applyProtection="1"/>
    <xf numFmtId="0" fontId="46" fillId="18" borderId="32" xfId="0" applyFont="1" applyFill="1" applyBorder="1" applyAlignment="1">
      <alignment horizontal="center" vertical="center"/>
    </xf>
    <xf numFmtId="171" fontId="56" fillId="18" borderId="32" xfId="48" applyFill="1" applyBorder="1" applyAlignment="1" applyProtection="1"/>
    <xf numFmtId="0" fontId="0" fillId="18" borderId="45" xfId="0" applyFill="1" applyBorder="1"/>
    <xf numFmtId="0" fontId="0" fillId="18" borderId="46" xfId="0" applyFill="1" applyBorder="1"/>
    <xf numFmtId="0" fontId="46" fillId="0" borderId="0" xfId="34" applyFont="1" applyAlignment="1">
      <alignment horizontal="center"/>
    </xf>
    <xf numFmtId="0" fontId="46" fillId="0" borderId="0" xfId="34" applyFont="1"/>
    <xf numFmtId="165" fontId="0" fillId="0" borderId="0" xfId="49" applyFont="1" applyFill="1" applyBorder="1" applyAlignment="1" applyProtection="1">
      <alignment horizontal="center"/>
    </xf>
    <xf numFmtId="10" fontId="47" fillId="0" borderId="58" xfId="38" applyNumberFormat="1" applyFont="1" applyFill="1" applyBorder="1" applyAlignment="1" applyProtection="1">
      <alignment horizontal="center"/>
    </xf>
    <xf numFmtId="10" fontId="46" fillId="0" borderId="34" xfId="34" applyNumberFormat="1" applyFont="1" applyBorder="1" applyAlignment="1">
      <alignment horizontal="center"/>
    </xf>
    <xf numFmtId="172" fontId="46" fillId="0" borderId="59" xfId="34" applyNumberFormat="1" applyFont="1" applyBorder="1" applyAlignment="1">
      <alignment horizontal="left"/>
    </xf>
    <xf numFmtId="10" fontId="46" fillId="0" borderId="60" xfId="34" applyNumberFormat="1" applyFont="1" applyBorder="1" applyAlignment="1">
      <alignment horizontal="left"/>
    </xf>
    <xf numFmtId="1" fontId="46" fillId="0" borderId="60" xfId="34" applyNumberFormat="1" applyFont="1" applyBorder="1" applyAlignment="1">
      <alignment horizontal="center"/>
    </xf>
    <xf numFmtId="0" fontId="46" fillId="0" borderId="60" xfId="34" applyFont="1" applyBorder="1" applyAlignment="1">
      <alignment horizontal="center"/>
    </xf>
    <xf numFmtId="173" fontId="56" fillId="0" borderId="61" xfId="48" applyNumberFormat="1" applyFill="1" applyBorder="1" applyAlignment="1" applyProtection="1">
      <alignment horizontal="right" shrinkToFit="1"/>
    </xf>
    <xf numFmtId="173" fontId="0" fillId="0" borderId="34" xfId="48" applyNumberFormat="1" applyFont="1" applyFill="1" applyBorder="1" applyAlignment="1" applyProtection="1">
      <alignment horizontal="center" vertical="center"/>
    </xf>
    <xf numFmtId="10" fontId="47" fillId="0" borderId="62" xfId="38" applyNumberFormat="1" applyFont="1" applyFill="1" applyBorder="1" applyAlignment="1" applyProtection="1">
      <alignment horizontal="center"/>
    </xf>
    <xf numFmtId="10" fontId="47" fillId="0" borderId="63" xfId="38" applyNumberFormat="1" applyFont="1" applyFill="1" applyBorder="1" applyAlignment="1" applyProtection="1">
      <alignment horizontal="center"/>
    </xf>
    <xf numFmtId="0" fontId="46" fillId="0" borderId="31" xfId="34" applyFont="1" applyBorder="1" applyAlignment="1">
      <alignment horizontal="center"/>
    </xf>
    <xf numFmtId="0" fontId="46" fillId="0" borderId="64" xfId="34" applyFont="1" applyBorder="1"/>
    <xf numFmtId="0" fontId="32" fillId="0" borderId="64" xfId="34" applyFont="1" applyBorder="1" applyAlignment="1"/>
    <xf numFmtId="0" fontId="46" fillId="0" borderId="64" xfId="34" applyFont="1" applyBorder="1" applyAlignment="1">
      <alignment horizontal="center"/>
    </xf>
    <xf numFmtId="165" fontId="0" fillId="0" borderId="64" xfId="49" applyFont="1" applyFill="1" applyBorder="1" applyAlignment="1" applyProtection="1">
      <alignment horizontal="right" shrinkToFit="1"/>
    </xf>
    <xf numFmtId="173" fontId="0" fillId="0" borderId="31" xfId="48" applyNumberFormat="1" applyFont="1" applyFill="1" applyBorder="1" applyAlignment="1" applyProtection="1">
      <alignment horizontal="center" vertical="center"/>
    </xf>
    <xf numFmtId="165" fontId="48" fillId="0" borderId="65" xfId="49" applyFont="1" applyFill="1" applyBorder="1" applyAlignment="1" applyProtection="1">
      <alignment horizontal="center"/>
    </xf>
    <xf numFmtId="0" fontId="46" fillId="0" borderId="14" xfId="34" applyFont="1" applyBorder="1" applyAlignment="1">
      <alignment horizontal="center"/>
    </xf>
    <xf numFmtId="165" fontId="48" fillId="0" borderId="0" xfId="49" applyFont="1" applyFill="1" applyBorder="1" applyAlignment="1" applyProtection="1">
      <alignment horizontal="center"/>
    </xf>
    <xf numFmtId="165" fontId="0" fillId="0" borderId="14" xfId="49" applyFont="1" applyFill="1" applyBorder="1" applyAlignment="1" applyProtection="1">
      <alignment horizontal="center"/>
    </xf>
    <xf numFmtId="165" fontId="48" fillId="0" borderId="56" xfId="49" applyFont="1" applyFill="1" applyBorder="1" applyAlignment="1" applyProtection="1">
      <alignment horizontal="center"/>
    </xf>
    <xf numFmtId="165" fontId="48" fillId="0" borderId="57" xfId="49" applyFont="1" applyFill="1" applyBorder="1" applyAlignment="1" applyProtection="1">
      <alignment horizontal="center"/>
    </xf>
    <xf numFmtId="165" fontId="23" fillId="0" borderId="0" xfId="49" applyFont="1" applyFill="1" applyBorder="1" applyAlignment="1" applyProtection="1">
      <alignment horizontal="left"/>
    </xf>
    <xf numFmtId="0" fontId="46" fillId="0" borderId="0" xfId="34" applyFont="1" applyBorder="1"/>
    <xf numFmtId="0" fontId="46" fillId="0" borderId="0" xfId="34" applyFont="1" applyBorder="1" applyAlignment="1">
      <alignment horizontal="center"/>
    </xf>
    <xf numFmtId="0" fontId="39" fillId="0" borderId="0" xfId="0" applyFont="1" applyAlignment="1">
      <alignment horizontal="center" textRotation="90"/>
    </xf>
    <xf numFmtId="0" fontId="49" fillId="0" borderId="33" xfId="34" applyFont="1" applyBorder="1"/>
    <xf numFmtId="0" fontId="46" fillId="0" borderId="12" xfId="34" applyFont="1" applyBorder="1"/>
    <xf numFmtId="0" fontId="24" fillId="0" borderId="33" xfId="49" applyNumberFormat="1" applyFont="1" applyFill="1" applyBorder="1" applyAlignment="1" applyProtection="1">
      <alignment horizontal="left"/>
    </xf>
    <xf numFmtId="165" fontId="24" fillId="0" borderId="33" xfId="49" applyFont="1" applyFill="1" applyBorder="1" applyAlignment="1" applyProtection="1">
      <alignment horizontal="left"/>
    </xf>
    <xf numFmtId="165" fontId="0" fillId="0" borderId="12" xfId="49" applyFont="1" applyFill="1" applyBorder="1" applyAlignment="1" applyProtection="1">
      <alignment horizontal="center"/>
    </xf>
    <xf numFmtId="0" fontId="49" fillId="0" borderId="31" xfId="34" applyFont="1" applyBorder="1" applyAlignment="1">
      <alignment horizontal="center"/>
    </xf>
    <xf numFmtId="0" fontId="46" fillId="0" borderId="47" xfId="34" applyFont="1" applyBorder="1" applyAlignment="1"/>
    <xf numFmtId="0" fontId="46" fillId="0" borderId="14" xfId="34" applyNumberFormat="1" applyFont="1" applyBorder="1" applyAlignment="1">
      <alignment horizontal="center"/>
    </xf>
    <xf numFmtId="0" fontId="46" fillId="16" borderId="32" xfId="34" applyFont="1" applyFill="1" applyBorder="1" applyAlignment="1" applyProtection="1">
      <alignment horizontal="center"/>
      <protection locked="0"/>
    </xf>
    <xf numFmtId="0" fontId="46" fillId="0" borderId="30" xfId="34" applyFont="1" applyBorder="1" applyAlignment="1"/>
    <xf numFmtId="0" fontId="49" fillId="0" borderId="50" xfId="34" applyFont="1" applyBorder="1" applyAlignment="1">
      <alignment horizontal="center"/>
    </xf>
    <xf numFmtId="0" fontId="49" fillId="0" borderId="10" xfId="34" applyFont="1" applyBorder="1" applyAlignment="1">
      <alignment horizontal="left" vertical="center" wrapText="1"/>
    </xf>
    <xf numFmtId="0" fontId="46" fillId="0" borderId="10" xfId="34" applyFont="1" applyBorder="1" applyAlignment="1">
      <alignment horizontal="center" vertical="center"/>
    </xf>
    <xf numFmtId="0" fontId="49" fillId="0" borderId="51" xfId="34" applyFont="1" applyFill="1" applyBorder="1" applyAlignment="1" applyProtection="1">
      <alignment horizontal="center"/>
      <protection locked="0"/>
    </xf>
    <xf numFmtId="0" fontId="49" fillId="0" borderId="52" xfId="34" applyFont="1" applyBorder="1" applyAlignment="1">
      <alignment horizontal="center"/>
    </xf>
    <xf numFmtId="0" fontId="46" fillId="0" borderId="0" xfId="34" applyFont="1" applyAlignment="1">
      <alignment horizontal="center" wrapText="1"/>
    </xf>
    <xf numFmtId="174" fontId="49" fillId="0" borderId="55" xfId="34" applyNumberFormat="1" applyFont="1" applyBorder="1" applyAlignment="1">
      <alignment horizontal="center"/>
    </xf>
    <xf numFmtId="0" fontId="49" fillId="0" borderId="30" xfId="34" applyFont="1" applyBorder="1" applyAlignment="1">
      <alignment horizontal="left" vertical="center" wrapText="1"/>
    </xf>
    <xf numFmtId="0" fontId="46" fillId="0" borderId="30" xfId="34" applyFont="1" applyBorder="1" applyAlignment="1">
      <alignment horizontal="center" vertical="center"/>
    </xf>
    <xf numFmtId="0" fontId="46" fillId="0" borderId="30" xfId="34" applyFont="1" applyBorder="1" applyAlignment="1">
      <alignment horizontal="center" vertical="center" wrapText="1"/>
    </xf>
    <xf numFmtId="174" fontId="49" fillId="0" borderId="56" xfId="34" applyNumberFormat="1" applyFont="1" applyFill="1" applyBorder="1" applyAlignment="1" applyProtection="1">
      <alignment horizontal="center"/>
      <protection locked="0"/>
    </xf>
    <xf numFmtId="174" fontId="49" fillId="0" borderId="57" xfId="34" applyNumberFormat="1" applyFont="1" applyBorder="1" applyAlignment="1">
      <alignment horizontal="center"/>
    </xf>
    <xf numFmtId="10" fontId="0" fillId="0" borderId="54" xfId="38" applyNumberFormat="1" applyFont="1" applyFill="1" applyBorder="1" applyAlignment="1" applyProtection="1"/>
    <xf numFmtId="0" fontId="46" fillId="8" borderId="34" xfId="34" applyFont="1" applyFill="1" applyBorder="1"/>
    <xf numFmtId="165" fontId="24" fillId="0" borderId="0" xfId="49" applyFont="1" applyFill="1" applyBorder="1" applyAlignment="1" applyProtection="1">
      <alignment horizontal="center" shrinkToFit="1"/>
    </xf>
    <xf numFmtId="165" fontId="0" fillId="8" borderId="66" xfId="49" applyFont="1" applyFill="1" applyBorder="1" applyAlignment="1" applyProtection="1">
      <alignment horizontal="center"/>
    </xf>
    <xf numFmtId="165" fontId="0" fillId="8" borderId="67" xfId="49" applyFont="1" applyFill="1" applyBorder="1" applyAlignment="1" applyProtection="1">
      <alignment horizontal="right"/>
    </xf>
    <xf numFmtId="10" fontId="0" fillId="8" borderId="53" xfId="38" applyNumberFormat="1" applyFont="1" applyFill="1" applyBorder="1" applyAlignment="1" applyProtection="1"/>
    <xf numFmtId="10" fontId="0" fillId="8" borderId="54" xfId="38" applyNumberFormat="1" applyFont="1" applyFill="1" applyBorder="1" applyAlignment="1" applyProtection="1"/>
    <xf numFmtId="10" fontId="0" fillId="8" borderId="68" xfId="38" applyNumberFormat="1" applyFont="1" applyFill="1" applyBorder="1" applyAlignment="1" applyProtection="1"/>
    <xf numFmtId="171" fontId="56" fillId="0" borderId="40" xfId="48" applyFill="1" applyBorder="1" applyAlignment="1" applyProtection="1">
      <alignment shrinkToFit="1"/>
    </xf>
    <xf numFmtId="0" fontId="46" fillId="8" borderId="31" xfId="34" applyFont="1" applyFill="1" applyBorder="1"/>
    <xf numFmtId="165" fontId="0" fillId="0" borderId="38" xfId="49" applyFont="1" applyFill="1" applyBorder="1" applyAlignment="1" applyProtection="1">
      <alignment horizontal="center"/>
    </xf>
    <xf numFmtId="165" fontId="0" fillId="0" borderId="69" xfId="49" applyFont="1" applyFill="1" applyBorder="1" applyAlignment="1" applyProtection="1">
      <alignment horizontal="right"/>
    </xf>
    <xf numFmtId="171" fontId="56" fillId="0" borderId="39" xfId="48" applyFill="1" applyBorder="1" applyAlignment="1" applyProtection="1">
      <alignment shrinkToFit="1"/>
    </xf>
    <xf numFmtId="171" fontId="56" fillId="0" borderId="41" xfId="48" applyFill="1" applyBorder="1" applyAlignment="1" applyProtection="1">
      <alignment shrinkToFit="1"/>
    </xf>
    <xf numFmtId="0" fontId="49" fillId="0" borderId="0" xfId="34" applyFont="1" applyAlignment="1">
      <alignment horizontal="left"/>
    </xf>
    <xf numFmtId="0" fontId="46" fillId="8" borderId="31" xfId="34" applyFont="1" applyFill="1" applyBorder="1" applyAlignment="1">
      <alignment horizontal="center"/>
    </xf>
    <xf numFmtId="165" fontId="0" fillId="8" borderId="38" xfId="49" applyFont="1" applyFill="1" applyBorder="1" applyAlignment="1" applyProtection="1">
      <alignment horizontal="center"/>
    </xf>
    <xf numFmtId="165" fontId="0" fillId="8" borderId="69" xfId="49" applyFont="1" applyFill="1" applyBorder="1" applyAlignment="1" applyProtection="1">
      <alignment horizontal="right"/>
    </xf>
    <xf numFmtId="171" fontId="56" fillId="8" borderId="39" xfId="48" applyFill="1" applyBorder="1" applyAlignment="1" applyProtection="1">
      <alignment shrinkToFit="1"/>
    </xf>
    <xf numFmtId="171" fontId="56" fillId="8" borderId="40" xfId="48" applyFill="1" applyBorder="1" applyAlignment="1" applyProtection="1">
      <alignment shrinkToFit="1"/>
    </xf>
    <xf numFmtId="171" fontId="56" fillId="8" borderId="41" xfId="48" applyFill="1" applyBorder="1" applyAlignment="1" applyProtection="1">
      <alignment shrinkToFit="1"/>
    </xf>
    <xf numFmtId="171" fontId="56" fillId="0" borderId="43" xfId="48" applyFill="1" applyBorder="1" applyAlignment="1" applyProtection="1">
      <alignment shrinkToFit="1"/>
    </xf>
    <xf numFmtId="165" fontId="0" fillId="0" borderId="59" xfId="49" applyFont="1" applyFill="1" applyBorder="1" applyAlignment="1" applyProtection="1">
      <alignment horizontal="center"/>
    </xf>
    <xf numFmtId="165" fontId="0" fillId="0" borderId="61" xfId="49" applyFont="1" applyFill="1" applyBorder="1" applyAlignment="1" applyProtection="1">
      <alignment horizontal="right"/>
    </xf>
    <xf numFmtId="171" fontId="56" fillId="0" borderId="70" xfId="48" applyFill="1" applyBorder="1" applyAlignment="1" applyProtection="1">
      <alignment shrinkToFit="1"/>
    </xf>
    <xf numFmtId="171" fontId="56" fillId="0" borderId="44" xfId="48" applyFill="1" applyBorder="1" applyAlignment="1" applyProtection="1">
      <alignment shrinkToFit="1"/>
    </xf>
    <xf numFmtId="165" fontId="24" fillId="0" borderId="71" xfId="49" applyFont="1" applyFill="1" applyBorder="1" applyAlignment="1" applyProtection="1">
      <alignment shrinkToFit="1"/>
    </xf>
    <xf numFmtId="0" fontId="46" fillId="8" borderId="14" xfId="34" applyFont="1" applyFill="1" applyBorder="1"/>
    <xf numFmtId="165" fontId="24" fillId="8" borderId="72" xfId="49" applyFont="1" applyFill="1" applyBorder="1" applyAlignment="1" applyProtection="1">
      <alignment horizontal="center"/>
    </xf>
    <xf numFmtId="165" fontId="24" fillId="8" borderId="73" xfId="49" applyFont="1" applyFill="1" applyBorder="1" applyAlignment="1" applyProtection="1">
      <alignment horizontal="right"/>
    </xf>
    <xf numFmtId="165" fontId="24" fillId="8" borderId="74" xfId="49" applyFont="1" applyFill="1" applyBorder="1" applyAlignment="1" applyProtection="1">
      <alignment shrinkToFit="1"/>
    </xf>
    <xf numFmtId="165" fontId="24" fillId="8" borderId="71" xfId="49" applyFont="1" applyFill="1" applyBorder="1" applyAlignment="1" applyProtection="1">
      <alignment shrinkToFit="1"/>
    </xf>
    <xf numFmtId="165" fontId="24" fillId="8" borderId="75" xfId="49" applyFont="1" applyFill="1" applyBorder="1" applyAlignment="1" applyProtection="1">
      <alignment shrinkToFit="1"/>
    </xf>
    <xf numFmtId="0" fontId="0" fillId="0" borderId="30" xfId="0" applyFont="1" applyBorder="1"/>
    <xf numFmtId="0" fontId="46" fillId="0" borderId="30" xfId="34" applyFont="1" applyBorder="1" applyAlignment="1">
      <alignment horizontal="center"/>
    </xf>
    <xf numFmtId="165" fontId="0" fillId="0" borderId="30" xfId="49" applyFont="1" applyFill="1" applyBorder="1" applyAlignment="1" applyProtection="1">
      <alignment horizontal="center"/>
    </xf>
    <xf numFmtId="0" fontId="24" fillId="0" borderId="0" xfId="0" applyFont="1" applyBorder="1"/>
    <xf numFmtId="0" fontId="0" fillId="0" borderId="40" xfId="0" applyBorder="1" applyAlignment="1">
      <alignment horizontal="center"/>
    </xf>
    <xf numFmtId="0" fontId="0" fillId="0" borderId="40" xfId="0" applyBorder="1" applyAlignment="1">
      <alignment horizontal="left"/>
    </xf>
    <xf numFmtId="1" fontId="0" fillId="6" borderId="40" xfId="0" applyNumberFormat="1" applyFill="1" applyBorder="1" applyAlignment="1" applyProtection="1">
      <alignment horizontal="center"/>
      <protection locked="0"/>
    </xf>
    <xf numFmtId="0" fontId="20" fillId="0" borderId="0" xfId="0" applyFont="1"/>
    <xf numFmtId="0" fontId="0" fillId="0" borderId="0" xfId="0" applyFont="1" applyAlignment="1">
      <alignment textRotation="90"/>
    </xf>
    <xf numFmtId="4" fontId="0" fillId="0" borderId="0" xfId="0" applyNumberFormat="1"/>
    <xf numFmtId="175" fontId="51" fillId="8" borderId="1" xfId="0" applyNumberFormat="1" applyFont="1" applyFill="1" applyBorder="1" applyAlignment="1">
      <alignment horizontal="center" textRotation="90" wrapText="1"/>
    </xf>
    <xf numFmtId="0" fontId="24" fillId="8" borderId="1" xfId="0" applyFont="1" applyFill="1" applyBorder="1" applyAlignment="1">
      <alignment horizontal="center"/>
    </xf>
    <xf numFmtId="0" fontId="24" fillId="8" borderId="76" xfId="0" applyFont="1" applyFill="1" applyBorder="1" applyAlignment="1"/>
    <xf numFmtId="0" fontId="24" fillId="8" borderId="77" xfId="0" applyFont="1" applyFill="1" applyBorder="1" applyAlignment="1"/>
    <xf numFmtId="0" fontId="24" fillId="8" borderId="78" xfId="0" applyFont="1" applyFill="1" applyBorder="1" applyAlignment="1"/>
    <xf numFmtId="0" fontId="0" fillId="18" borderId="40" xfId="0" applyFill="1" applyBorder="1" applyAlignment="1">
      <alignment horizontal="center"/>
    </xf>
    <xf numFmtId="0" fontId="0" fillId="18" borderId="40" xfId="0" applyFont="1" applyFill="1" applyBorder="1"/>
    <xf numFmtId="0" fontId="0" fillId="8" borderId="79" xfId="0" applyFill="1" applyBorder="1"/>
    <xf numFmtId="0" fontId="0" fillId="8" borderId="80" xfId="0" applyFont="1" applyFill="1" applyBorder="1"/>
    <xf numFmtId="0" fontId="0" fillId="8" borderId="81" xfId="0" applyFill="1" applyBorder="1"/>
    <xf numFmtId="0" fontId="46" fillId="19" borderId="32" xfId="34" applyFont="1" applyFill="1" applyBorder="1" applyAlignment="1">
      <alignment horizontal="center"/>
    </xf>
    <xf numFmtId="0" fontId="49" fillId="0" borderId="12" xfId="34" applyFont="1" applyBorder="1"/>
    <xf numFmtId="0" fontId="46" fillId="0" borderId="12" xfId="34" applyFont="1" applyBorder="1" applyAlignment="1">
      <alignment horizontal="center"/>
    </xf>
    <xf numFmtId="0" fontId="0" fillId="0" borderId="33" xfId="0" applyBorder="1"/>
    <xf numFmtId="0" fontId="52" fillId="0" borderId="0" xfId="0" applyFont="1"/>
    <xf numFmtId="0" fontId="24" fillId="0" borderId="0" xfId="0" applyFont="1" applyAlignment="1">
      <alignment horizontal="right"/>
    </xf>
    <xf numFmtId="0" fontId="23" fillId="0" borderId="33" xfId="0" applyFont="1" applyBorder="1" applyAlignment="1"/>
    <xf numFmtId="0" fontId="0" fillId="4" borderId="13" xfId="0" applyFill="1" applyBorder="1"/>
    <xf numFmtId="0" fontId="24" fillId="8" borderId="32" xfId="0" applyFont="1" applyFill="1" applyBorder="1" applyAlignment="1">
      <alignment horizontal="center"/>
    </xf>
    <xf numFmtId="0" fontId="24" fillId="0" borderId="34" xfId="0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0" fillId="0" borderId="0" xfId="33" applyNumberFormat="1" applyFont="1" applyFill="1" applyBorder="1" applyAlignment="1" applyProtection="1">
      <alignment horizontal="left" vertical="top"/>
    </xf>
    <xf numFmtId="0" fontId="0" fillId="0" borderId="0" xfId="0" applyAlignment="1">
      <alignment horizontal="left"/>
    </xf>
    <xf numFmtId="0" fontId="23" fillId="0" borderId="0" xfId="0" applyFont="1" applyAlignment="1">
      <alignment horizontal="left" vertical="center" indent="2"/>
    </xf>
    <xf numFmtId="0" fontId="0" fillId="0" borderId="32" xfId="0" applyFont="1" applyFill="1" applyBorder="1" applyAlignment="1" applyProtection="1"/>
    <xf numFmtId="10" fontId="0" fillId="0" borderId="32" xfId="0" applyNumberFormat="1" applyFont="1" applyBorder="1" applyAlignment="1" applyProtection="1">
      <alignment horizontal="center" vertical="center" wrapText="1"/>
    </xf>
    <xf numFmtId="0" fontId="24" fillId="0" borderId="31" xfId="0" applyFont="1" applyBorder="1"/>
    <xf numFmtId="0" fontId="0" fillId="0" borderId="14" xfId="0" applyBorder="1"/>
    <xf numFmtId="4" fontId="0" fillId="0" borderId="14" xfId="33" applyNumberFormat="1" applyFont="1" applyFill="1" applyBorder="1" applyAlignment="1" applyProtection="1">
      <alignment vertical="top" wrapText="1"/>
    </xf>
    <xf numFmtId="0" fontId="0" fillId="0" borderId="0" xfId="33" applyFont="1" applyFill="1" applyBorder="1" applyAlignment="1" applyProtection="1">
      <alignment vertical="top" wrapText="1"/>
    </xf>
    <xf numFmtId="0" fontId="21" fillId="0" borderId="34" xfId="0" applyFont="1" applyBorder="1" applyAlignment="1">
      <alignment horizontal="center"/>
    </xf>
    <xf numFmtId="178" fontId="0" fillId="0" borderId="47" xfId="0" applyNumberFormat="1" applyBorder="1" applyAlignment="1">
      <alignment horizontal="center" vertical="center"/>
    </xf>
    <xf numFmtId="178" fontId="0" fillId="0" borderId="14" xfId="0" applyNumberFormat="1" applyBorder="1" applyAlignment="1">
      <alignment horizontal="center" vertical="center"/>
    </xf>
    <xf numFmtId="179" fontId="24" fillId="0" borderId="39" xfId="0" applyNumberFormat="1" applyFont="1" applyBorder="1" applyAlignment="1">
      <alignment horizontal="center" vertical="center"/>
    </xf>
    <xf numFmtId="49" fontId="0" fillId="16" borderId="40" xfId="0" applyNumberFormat="1" applyFill="1" applyBorder="1" applyAlignment="1" applyProtection="1">
      <alignment horizontal="center" vertical="center" wrapText="1"/>
      <protection locked="0"/>
    </xf>
    <xf numFmtId="0" fontId="0" fillId="0" borderId="40" xfId="0" applyBorder="1" applyAlignment="1">
      <alignment horizontal="center" vertical="center"/>
    </xf>
    <xf numFmtId="178" fontId="0" fillId="0" borderId="38" xfId="0" applyNumberFormat="1" applyBorder="1" applyAlignment="1">
      <alignment horizontal="center" vertical="center"/>
    </xf>
    <xf numFmtId="178" fontId="0" fillId="0" borderId="79" xfId="0" applyNumberFormat="1" applyBorder="1" applyAlignment="1">
      <alignment horizontal="center" vertical="center"/>
    </xf>
    <xf numFmtId="178" fontId="0" fillId="0" borderId="69" xfId="0" applyNumberFormat="1" applyBorder="1" applyAlignment="1">
      <alignment horizontal="center" vertical="center"/>
    </xf>
    <xf numFmtId="178" fontId="0" fillId="0" borderId="42" xfId="0" applyNumberFormat="1" applyBorder="1" applyAlignment="1">
      <alignment horizontal="center" vertical="center"/>
    </xf>
    <xf numFmtId="49" fontId="0" fillId="6" borderId="70" xfId="0" applyNumberFormat="1" applyFill="1" applyBorder="1" applyAlignment="1" applyProtection="1">
      <alignment horizontal="center"/>
      <protection locked="0"/>
    </xf>
    <xf numFmtId="178" fontId="0" fillId="6" borderId="70" xfId="0" applyNumberFormat="1" applyFill="1" applyBorder="1" applyAlignment="1" applyProtection="1">
      <alignment horizontal="center" vertical="center"/>
      <protection locked="0"/>
    </xf>
    <xf numFmtId="178" fontId="0" fillId="6" borderId="43" xfId="0" applyNumberFormat="1" applyFill="1" applyBorder="1" applyAlignment="1" applyProtection="1">
      <alignment horizontal="center" vertical="center"/>
      <protection locked="0"/>
    </xf>
    <xf numFmtId="178" fontId="0" fillId="6" borderId="44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4" fontId="0" fillId="0" borderId="0" xfId="31" applyNumberFormat="1" applyFont="1" applyFill="1" applyBorder="1" applyAlignment="1" applyProtection="1">
      <alignment vertical="center" wrapText="1"/>
    </xf>
    <xf numFmtId="0" fontId="0" fillId="0" borderId="0" xfId="0" applyAlignment="1">
      <alignment wrapText="1"/>
    </xf>
    <xf numFmtId="0" fontId="24" fillId="0" borderId="0" xfId="0" applyFont="1" applyAlignment="1">
      <alignment wrapText="1"/>
    </xf>
    <xf numFmtId="0" fontId="24" fillId="0" borderId="13" xfId="0" applyFont="1" applyBorder="1" applyAlignment="1" applyProtection="1">
      <alignment horizontal="center" vertical="center" wrapText="1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24" fillId="0" borderId="34" xfId="0" applyFont="1" applyBorder="1" applyAlignment="1" applyProtection="1">
      <alignment horizontal="center" vertical="center" wrapText="1"/>
    </xf>
    <xf numFmtId="0" fontId="24" fillId="0" borderId="11" xfId="0" applyFont="1" applyBorder="1" applyAlignment="1" applyProtection="1">
      <alignment horizontal="center" vertical="center" wrapText="1"/>
    </xf>
    <xf numFmtId="0" fontId="0" fillId="8" borderId="82" xfId="0" applyFill="1" applyBorder="1"/>
    <xf numFmtId="0" fontId="0" fillId="8" borderId="10" xfId="0" applyFill="1" applyBorder="1"/>
    <xf numFmtId="178" fontId="17" fillId="8" borderId="82" xfId="0" applyNumberFormat="1" applyFont="1" applyFill="1" applyBorder="1" applyAlignment="1">
      <alignment horizontal="center" vertical="center"/>
    </xf>
    <xf numFmtId="178" fontId="17" fillId="8" borderId="10" xfId="0" applyNumberFormat="1" applyFont="1" applyFill="1" applyBorder="1" applyAlignment="1">
      <alignment horizontal="center" vertical="center"/>
    </xf>
    <xf numFmtId="178" fontId="17" fillId="8" borderId="11" xfId="0" applyNumberFormat="1" applyFont="1" applyFill="1" applyBorder="1" applyAlignment="1">
      <alignment horizontal="center" vertical="center"/>
    </xf>
    <xf numFmtId="178" fontId="17" fillId="8" borderId="34" xfId="0" applyNumberFormat="1" applyFont="1" applyFill="1" applyBorder="1" applyAlignment="1">
      <alignment horizontal="center" vertical="center"/>
    </xf>
    <xf numFmtId="0" fontId="0" fillId="18" borderId="34" xfId="0" applyFill="1" applyBorder="1"/>
    <xf numFmtId="0" fontId="0" fillId="18" borderId="34" xfId="0" applyFill="1" applyBorder="1" applyAlignment="1">
      <alignment horizontal="center"/>
    </xf>
    <xf numFmtId="0" fontId="0" fillId="18" borderId="82" xfId="0" applyFill="1" applyBorder="1"/>
    <xf numFmtId="0" fontId="0" fillId="18" borderId="10" xfId="0" applyFill="1" applyBorder="1" applyAlignment="1">
      <alignment horizontal="center"/>
    </xf>
    <xf numFmtId="0" fontId="0" fillId="18" borderId="10" xfId="0" applyFill="1" applyBorder="1"/>
    <xf numFmtId="0" fontId="0" fillId="18" borderId="11" xfId="0" applyFill="1" applyBorder="1"/>
    <xf numFmtId="0" fontId="0" fillId="0" borderId="32" xfId="0" applyBorder="1"/>
    <xf numFmtId="0" fontId="0" fillId="8" borderId="47" xfId="0" applyFill="1" applyBorder="1"/>
    <xf numFmtId="0" fontId="0" fillId="8" borderId="30" xfId="0" applyFill="1" applyBorder="1"/>
    <xf numFmtId="181" fontId="8" fillId="8" borderId="47" xfId="0" applyNumberFormat="1" applyFont="1" applyFill="1" applyBorder="1" applyAlignment="1">
      <alignment horizontal="center"/>
    </xf>
    <xf numFmtId="181" fontId="8" fillId="8" borderId="30" xfId="0" applyNumberFormat="1" applyFont="1" applyFill="1" applyBorder="1" applyAlignment="1">
      <alignment horizontal="center"/>
    </xf>
    <xf numFmtId="181" fontId="8" fillId="8" borderId="29" xfId="0" applyNumberFormat="1" applyFont="1" applyFill="1" applyBorder="1" applyAlignment="1">
      <alignment horizontal="center"/>
    </xf>
    <xf numFmtId="181" fontId="8" fillId="8" borderId="14" xfId="0" applyNumberFormat="1" applyFont="1" applyFill="1" applyBorder="1" applyAlignment="1">
      <alignment horizontal="center"/>
    </xf>
    <xf numFmtId="0" fontId="0" fillId="18" borderId="14" xfId="0" applyFill="1" applyBorder="1"/>
    <xf numFmtId="0" fontId="0" fillId="18" borderId="14" xfId="0" applyFill="1" applyBorder="1" applyAlignment="1">
      <alignment horizontal="center"/>
    </xf>
    <xf numFmtId="0" fontId="0" fillId="18" borderId="47" xfId="0" applyFill="1" applyBorder="1"/>
    <xf numFmtId="0" fontId="0" fillId="18" borderId="30" xfId="0" applyFill="1" applyBorder="1" applyAlignment="1">
      <alignment horizontal="center"/>
    </xf>
    <xf numFmtId="0" fontId="0" fillId="18" borderId="30" xfId="0" applyFill="1" applyBorder="1"/>
    <xf numFmtId="0" fontId="0" fillId="18" borderId="29" xfId="0" applyFill="1" applyBorder="1"/>
    <xf numFmtId="0" fontId="23" fillId="0" borderId="0" xfId="0" applyFont="1" applyAlignment="1">
      <alignment horizontal="left" vertical="center" indent="12"/>
    </xf>
    <xf numFmtId="0" fontId="0" fillId="0" borderId="0" xfId="0" applyFont="1" applyFill="1" applyAlignment="1">
      <alignment horizontal="center" vertical="top"/>
    </xf>
    <xf numFmtId="0" fontId="0" fillId="0" borderId="82" xfId="0" applyFont="1" applyBorder="1"/>
    <xf numFmtId="0" fontId="0" fillId="0" borderId="11" xfId="0" applyBorder="1"/>
    <xf numFmtId="0" fontId="37" fillId="0" borderId="0" xfId="0" applyFont="1" applyAlignment="1">
      <alignment horizontal="left" vertical="center" indent="12"/>
    </xf>
    <xf numFmtId="0" fontId="0" fillId="0" borderId="47" xfId="33" applyFont="1" applyFill="1" applyBorder="1" applyAlignment="1" applyProtection="1">
      <alignment vertical="top" wrapText="1"/>
    </xf>
    <xf numFmtId="182" fontId="0" fillId="0" borderId="29" xfId="33" applyNumberFormat="1" applyFont="1" applyFill="1" applyBorder="1" applyAlignment="1" applyProtection="1">
      <alignment horizontal="left" vertical="top" wrapText="1"/>
    </xf>
    <xf numFmtId="0" fontId="0" fillId="0" borderId="34" xfId="0" applyFont="1" applyBorder="1"/>
    <xf numFmtId="0" fontId="0" fillId="0" borderId="31" xfId="0" applyBorder="1"/>
    <xf numFmtId="49" fontId="0" fillId="0" borderId="14" xfId="33" applyNumberFormat="1" applyFont="1" applyFill="1" applyBorder="1" applyAlignment="1" applyProtection="1">
      <alignment vertical="top" wrapText="1"/>
    </xf>
    <xf numFmtId="0" fontId="23" fillId="0" borderId="47" xfId="0" applyFont="1" applyBorder="1"/>
    <xf numFmtId="14" fontId="24" fillId="6" borderId="37" xfId="0" applyNumberFormat="1" applyFont="1" applyFill="1" applyBorder="1" applyAlignment="1" applyProtection="1">
      <alignment horizontal="center" vertical="center" wrapText="1"/>
      <protection locked="0"/>
    </xf>
    <xf numFmtId="14" fontId="24" fillId="6" borderId="48" xfId="0" applyNumberFormat="1" applyFont="1" applyFill="1" applyBorder="1" applyAlignment="1" applyProtection="1">
      <alignment horizontal="center" vertical="center" wrapText="1"/>
      <protection locked="0"/>
    </xf>
    <xf numFmtId="14" fontId="24" fillId="6" borderId="49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4" xfId="0" applyFont="1" applyBorder="1" applyAlignment="1" applyProtection="1">
      <alignment horizontal="center" vertical="center"/>
    </xf>
    <xf numFmtId="0" fontId="24" fillId="0" borderId="0" xfId="0" applyFont="1" applyBorder="1" applyAlignment="1" applyProtection="1">
      <alignment horizontal="center" vertical="center" wrapText="1"/>
    </xf>
    <xf numFmtId="183" fontId="24" fillId="8" borderId="34" xfId="0" applyNumberFormat="1" applyFont="1" applyFill="1" applyBorder="1" applyAlignment="1" applyProtection="1">
      <alignment horizontal="center" vertical="center" wrapText="1"/>
    </xf>
    <xf numFmtId="171" fontId="0" fillId="0" borderId="38" xfId="48" applyNumberFormat="1" applyFont="1" applyFill="1" applyBorder="1" applyAlignment="1" applyProtection="1">
      <alignment vertical="center" shrinkToFit="1"/>
    </xf>
    <xf numFmtId="171" fontId="0" fillId="0" borderId="69" xfId="48" applyNumberFormat="1" applyFont="1" applyFill="1" applyBorder="1" applyAlignment="1" applyProtection="1">
      <alignment vertical="center" shrinkToFit="1"/>
    </xf>
    <xf numFmtId="171" fontId="0" fillId="0" borderId="39" xfId="48" applyNumberFormat="1" applyFont="1" applyFill="1" applyBorder="1" applyAlignment="1" applyProtection="1">
      <alignment horizontal="center" vertical="center" shrinkToFit="1"/>
    </xf>
    <xf numFmtId="171" fontId="0" fillId="0" borderId="40" xfId="48" applyNumberFormat="1" applyFont="1" applyFill="1" applyBorder="1" applyAlignment="1" applyProtection="1">
      <alignment horizontal="center" vertical="center" shrinkToFit="1"/>
    </xf>
    <xf numFmtId="171" fontId="0" fillId="6" borderId="39" xfId="48" applyFont="1" applyFill="1" applyBorder="1" applyAlignment="1" applyProtection="1">
      <protection locked="0"/>
    </xf>
    <xf numFmtId="171" fontId="0" fillId="6" borderId="41" xfId="48" applyFont="1" applyFill="1" applyBorder="1" applyAlignment="1" applyProtection="1">
      <protection locked="0"/>
    </xf>
    <xf numFmtId="165" fontId="0" fillId="0" borderId="40" xfId="0" applyNumberFormat="1" applyBorder="1"/>
    <xf numFmtId="171" fontId="24" fillId="17" borderId="14" xfId="48" applyNumberFormat="1" applyFont="1" applyFill="1" applyBorder="1" applyAlignment="1" applyProtection="1">
      <alignment horizontal="center" vertical="center"/>
    </xf>
    <xf numFmtId="171" fontId="24" fillId="17" borderId="14" xfId="48" applyNumberFormat="1" applyFont="1" applyFill="1" applyBorder="1" applyAlignment="1" applyProtection="1">
      <alignment horizontal="center" vertical="center" shrinkToFit="1"/>
    </xf>
    <xf numFmtId="0" fontId="0" fillId="17" borderId="42" xfId="0" applyFill="1" applyBorder="1"/>
    <xf numFmtId="0" fontId="0" fillId="17" borderId="35" xfId="0" applyFill="1" applyBorder="1"/>
    <xf numFmtId="0" fontId="0" fillId="17" borderId="64" xfId="0" applyFill="1" applyBorder="1"/>
    <xf numFmtId="0" fontId="0" fillId="17" borderId="83" xfId="0" applyFill="1" applyBorder="1"/>
    <xf numFmtId="0" fontId="23" fillId="0" borderId="0" xfId="0" applyFont="1" applyAlignment="1">
      <alignment horizontal="left" vertical="center" indent="15"/>
    </xf>
    <xf numFmtId="0" fontId="0" fillId="0" borderId="13" xfId="0" applyFont="1" applyFill="1" applyBorder="1" applyAlignment="1" applyProtection="1">
      <alignment horizontal="center" wrapText="1"/>
    </xf>
    <xf numFmtId="0" fontId="0" fillId="0" borderId="46" xfId="0" applyFont="1" applyFill="1" applyBorder="1" applyAlignment="1" applyProtection="1">
      <alignment horizontal="center" wrapText="1"/>
    </xf>
    <xf numFmtId="0" fontId="24" fillId="0" borderId="32" xfId="0" applyFont="1" applyFill="1" applyBorder="1" applyAlignment="1" applyProtection="1">
      <alignment horizontal="right" vertical="center" wrapText="1"/>
    </xf>
    <xf numFmtId="184" fontId="24" fillId="0" borderId="32" xfId="31" applyNumberFormat="1" applyFont="1" applyFill="1" applyBorder="1" applyAlignment="1" applyProtection="1">
      <alignment horizontal="right" vertical="center" shrinkToFit="1"/>
    </xf>
    <xf numFmtId="0" fontId="0" fillId="0" borderId="0" xfId="0" applyBorder="1" applyAlignment="1"/>
    <xf numFmtId="0" fontId="24" fillId="0" borderId="12" xfId="35" applyFont="1" applyBorder="1" applyAlignment="1" applyProtection="1"/>
    <xf numFmtId="0" fontId="0" fillId="0" borderId="29" xfId="0" applyBorder="1" applyAlignment="1">
      <alignment shrinkToFit="1"/>
    </xf>
    <xf numFmtId="0" fontId="0" fillId="0" borderId="31" xfId="33" applyFont="1" applyFill="1" applyBorder="1" applyAlignment="1" applyProtection="1">
      <alignment vertical="top" wrapText="1"/>
    </xf>
    <xf numFmtId="4" fontId="0" fillId="0" borderId="14" xfId="33" applyNumberFormat="1" applyFont="1" applyFill="1" applyBorder="1" applyAlignment="1" applyProtection="1">
      <alignment horizontal="left" vertical="top" wrapText="1"/>
    </xf>
    <xf numFmtId="4" fontId="0" fillId="0" borderId="47" xfId="33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wrapText="1"/>
    </xf>
    <xf numFmtId="0" fontId="21" fillId="0" borderId="11" xfId="0" applyFont="1" applyBorder="1" applyAlignment="1">
      <alignment horizontal="center"/>
    </xf>
    <xf numFmtId="0" fontId="53" fillId="0" borderId="0" xfId="0" applyFont="1" applyBorder="1" applyAlignment="1" applyProtection="1">
      <alignment horizontal="center" vertical="center" wrapText="1"/>
    </xf>
    <xf numFmtId="170" fontId="24" fillId="0" borderId="47" xfId="0" applyNumberFormat="1" applyFont="1" applyBorder="1" applyAlignment="1" applyProtection="1">
      <alignment horizontal="center"/>
    </xf>
    <xf numFmtId="10" fontId="24" fillId="0" borderId="29" xfId="0" applyNumberFormat="1" applyFont="1" applyFill="1" applyBorder="1" applyAlignment="1" applyProtection="1">
      <alignment horizontal="center" shrinkToFit="1"/>
    </xf>
    <xf numFmtId="178" fontId="0" fillId="0" borderId="30" xfId="0" applyNumberFormat="1" applyBorder="1" applyAlignment="1">
      <alignment horizontal="center" vertical="center"/>
    </xf>
    <xf numFmtId="0" fontId="0" fillId="0" borderId="10" xfId="0" applyFont="1" applyBorder="1" applyAlignment="1" applyProtection="1">
      <alignment wrapText="1"/>
    </xf>
    <xf numFmtId="0" fontId="24" fillId="0" borderId="32" xfId="0" applyFont="1" applyBorder="1" applyAlignment="1">
      <alignment horizontal="center" vertical="center"/>
    </xf>
    <xf numFmtId="179" fontId="24" fillId="0" borderId="39" xfId="0" applyNumberFormat="1" applyFont="1" applyBorder="1" applyAlignment="1" applyProtection="1">
      <alignment horizontal="center" vertical="center"/>
    </xf>
    <xf numFmtId="0" fontId="0" fillId="0" borderId="40" xfId="0" applyBorder="1" applyAlignment="1" applyProtection="1">
      <alignment horizontal="left" vertical="top"/>
    </xf>
    <xf numFmtId="49" fontId="0" fillId="0" borderId="40" xfId="0" applyNumberFormat="1" applyFill="1" applyBorder="1" applyAlignment="1" applyProtection="1">
      <alignment horizontal="center" vertical="center" wrapText="1"/>
    </xf>
    <xf numFmtId="0" fontId="0" fillId="0" borderId="40" xfId="0" applyFill="1" applyBorder="1" applyAlignment="1" applyProtection="1">
      <alignment horizontal="center"/>
    </xf>
    <xf numFmtId="0" fontId="0" fillId="0" borderId="40" xfId="0" applyBorder="1" applyAlignment="1" applyProtection="1">
      <alignment horizontal="center" vertical="center"/>
    </xf>
    <xf numFmtId="0" fontId="0" fillId="0" borderId="41" xfId="0" applyBorder="1" applyAlignment="1" applyProtection="1">
      <alignment horizontal="center" vertical="center"/>
    </xf>
    <xf numFmtId="0" fontId="0" fillId="0" borderId="79" xfId="0" applyBorder="1" applyAlignment="1" applyProtection="1">
      <alignment horizontal="center" vertical="center"/>
    </xf>
    <xf numFmtId="178" fontId="0" fillId="0" borderId="42" xfId="0" applyNumberFormat="1" applyBorder="1" applyAlignment="1" applyProtection="1">
      <alignment horizontal="center" vertical="center"/>
    </xf>
    <xf numFmtId="178" fontId="0" fillId="0" borderId="0" xfId="0" applyNumberFormat="1" applyFont="1" applyBorder="1" applyAlignment="1" applyProtection="1">
      <alignment horizontal="center" vertical="center"/>
    </xf>
    <xf numFmtId="178" fontId="0" fillId="0" borderId="38" xfId="0" applyNumberFormat="1" applyBorder="1" applyAlignment="1" applyProtection="1">
      <alignment horizontal="center" vertical="center"/>
    </xf>
    <xf numFmtId="178" fontId="0" fillId="0" borderId="79" xfId="0" applyNumberFormat="1" applyBorder="1" applyAlignment="1" applyProtection="1">
      <alignment horizontal="center" vertical="center"/>
    </xf>
    <xf numFmtId="178" fontId="0" fillId="0" borderId="69" xfId="0" applyNumberFormat="1" applyBorder="1" applyAlignment="1" applyProtection="1">
      <alignment horizontal="center" vertical="center"/>
    </xf>
    <xf numFmtId="10" fontId="0" fillId="0" borderId="69" xfId="0" applyNumberFormat="1" applyBorder="1" applyAlignment="1" applyProtection="1">
      <alignment horizontal="center" vertical="center"/>
    </xf>
    <xf numFmtId="0" fontId="0" fillId="0" borderId="33" xfId="0" applyFont="1" applyBorder="1" applyAlignment="1" applyProtection="1">
      <alignment horizontal="center" vertical="center" wrapText="1"/>
    </xf>
    <xf numFmtId="181" fontId="8" fillId="8" borderId="84" xfId="0" applyNumberFormat="1" applyFont="1" applyFill="1" applyBorder="1" applyAlignment="1">
      <alignment horizontal="center"/>
    </xf>
    <xf numFmtId="181" fontId="8" fillId="8" borderId="85" xfId="0" applyNumberFormat="1" applyFont="1" applyFill="1" applyBorder="1" applyAlignment="1">
      <alignment horizontal="center"/>
    </xf>
    <xf numFmtId="181" fontId="8" fillId="8" borderId="66" xfId="0" applyNumberFormat="1" applyFont="1" applyFill="1" applyBorder="1" applyAlignment="1">
      <alignment horizontal="center"/>
    </xf>
    <xf numFmtId="181" fontId="8" fillId="8" borderId="67" xfId="0" applyNumberFormat="1" applyFont="1" applyFill="1" applyBorder="1" applyAlignment="1">
      <alignment horizontal="center"/>
    </xf>
    <xf numFmtId="0" fontId="0" fillId="18" borderId="82" xfId="0" applyFill="1" applyBorder="1" applyAlignment="1"/>
    <xf numFmtId="0" fontId="0" fillId="18" borderId="10" xfId="0" applyFill="1" applyBorder="1" applyAlignment="1"/>
    <xf numFmtId="0" fontId="0" fillId="18" borderId="11" xfId="0" applyFill="1" applyBorder="1" applyAlignment="1"/>
    <xf numFmtId="178" fontId="0" fillId="0" borderId="42" xfId="0" applyNumberFormat="1" applyFont="1" applyFill="1" applyBorder="1" applyAlignment="1">
      <alignment horizontal="center" vertical="center"/>
    </xf>
    <xf numFmtId="178" fontId="0" fillId="0" borderId="38" xfId="0" applyNumberFormat="1" applyFont="1" applyFill="1" applyBorder="1" applyAlignment="1">
      <alignment horizontal="center" vertical="center"/>
    </xf>
    <xf numFmtId="178" fontId="0" fillId="0" borderId="79" xfId="0" applyNumberFormat="1" applyFont="1" applyFill="1" applyBorder="1" applyAlignment="1">
      <alignment horizontal="center" vertical="center"/>
    </xf>
    <xf numFmtId="178" fontId="0" fillId="0" borderId="69" xfId="0" applyNumberFormat="1" applyFont="1" applyFill="1" applyBorder="1" applyAlignment="1">
      <alignment horizontal="center" vertical="center"/>
    </xf>
    <xf numFmtId="0" fontId="0" fillId="18" borderId="33" xfId="0" applyFill="1" applyBorder="1" applyAlignment="1"/>
    <xf numFmtId="0" fontId="0" fillId="18" borderId="0" xfId="0" applyFont="1" applyFill="1" applyBorder="1" applyAlignment="1">
      <alignment horizontal="center"/>
    </xf>
    <xf numFmtId="0" fontId="0" fillId="18" borderId="12" xfId="0" applyFont="1" applyFill="1" applyBorder="1" applyAlignment="1">
      <alignment horizontal="center"/>
    </xf>
    <xf numFmtId="0" fontId="21" fillId="0" borderId="0" xfId="0" applyFont="1"/>
    <xf numFmtId="178" fontId="0" fillId="8" borderId="42" xfId="0" applyNumberFormat="1" applyFont="1" applyFill="1" applyBorder="1" applyAlignment="1">
      <alignment horizontal="center" vertical="center"/>
    </xf>
    <xf numFmtId="178" fontId="0" fillId="8" borderId="38" xfId="0" applyNumberFormat="1" applyFont="1" applyFill="1" applyBorder="1" applyAlignment="1">
      <alignment horizontal="center" vertical="center"/>
    </xf>
    <xf numFmtId="178" fontId="0" fillId="8" borderId="79" xfId="0" applyNumberFormat="1" applyFont="1" applyFill="1" applyBorder="1" applyAlignment="1">
      <alignment horizontal="center" vertical="center"/>
    </xf>
    <xf numFmtId="178" fontId="0" fillId="8" borderId="69" xfId="0" applyNumberFormat="1" applyFont="1" applyFill="1" applyBorder="1" applyAlignment="1">
      <alignment horizontal="center" vertical="center"/>
    </xf>
    <xf numFmtId="0" fontId="0" fillId="18" borderId="84" xfId="0" applyFont="1" applyFill="1" applyBorder="1" applyAlignment="1">
      <alignment horizontal="right"/>
    </xf>
    <xf numFmtId="178" fontId="55" fillId="0" borderId="40" xfId="0" applyNumberFormat="1" applyFont="1" applyBorder="1"/>
    <xf numFmtId="178" fontId="0" fillId="0" borderId="86" xfId="0" applyNumberFormat="1" applyFont="1" applyFill="1" applyBorder="1" applyAlignment="1">
      <alignment horizontal="center" vertical="center"/>
    </xf>
    <xf numFmtId="178" fontId="0" fillId="0" borderId="59" xfId="0" applyNumberFormat="1" applyFont="1" applyFill="1" applyBorder="1" applyAlignment="1">
      <alignment horizontal="center" vertical="center"/>
    </xf>
    <xf numFmtId="178" fontId="0" fillId="0" borderId="60" xfId="0" applyNumberFormat="1" applyFont="1" applyFill="1" applyBorder="1" applyAlignment="1">
      <alignment horizontal="center" vertical="center"/>
    </xf>
    <xf numFmtId="178" fontId="0" fillId="0" borderId="61" xfId="0" applyNumberFormat="1" applyFont="1" applyFill="1" applyBorder="1" applyAlignment="1">
      <alignment horizontal="center" vertical="center"/>
    </xf>
    <xf numFmtId="0" fontId="0" fillId="18" borderId="87" xfId="0" applyFont="1" applyFill="1" applyBorder="1" applyAlignment="1">
      <alignment horizontal="right"/>
    </xf>
    <xf numFmtId="178" fontId="17" fillId="8" borderId="32" xfId="0" applyNumberFormat="1" applyFont="1" applyFill="1" applyBorder="1" applyAlignment="1">
      <alignment horizontal="center" vertical="center"/>
    </xf>
    <xf numFmtId="178" fontId="17" fillId="8" borderId="13" xfId="0" applyNumberFormat="1" applyFont="1" applyFill="1" applyBorder="1" applyAlignment="1">
      <alignment horizontal="center" vertical="center"/>
    </xf>
    <xf numFmtId="178" fontId="17" fillId="8" borderId="45" xfId="0" applyNumberFormat="1" applyFont="1" applyFill="1" applyBorder="1" applyAlignment="1">
      <alignment horizontal="center" vertical="center"/>
    </xf>
    <xf numFmtId="178" fontId="17" fillId="8" borderId="46" xfId="0" applyNumberFormat="1" applyFont="1" applyFill="1" applyBorder="1" applyAlignment="1">
      <alignment horizontal="center" vertical="center"/>
    </xf>
    <xf numFmtId="0" fontId="0" fillId="18" borderId="47" xfId="0" applyFill="1" applyBorder="1" applyAlignment="1"/>
    <xf numFmtId="0" fontId="0" fillId="18" borderId="30" xfId="0" applyFill="1" applyBorder="1" applyAlignment="1"/>
    <xf numFmtId="0" fontId="0" fillId="18" borderId="29" xfId="0" applyFill="1" applyBorder="1" applyAlignment="1"/>
    <xf numFmtId="178" fontId="0" fillId="0" borderId="0" xfId="0" applyNumberFormat="1"/>
    <xf numFmtId="0" fontId="17" fillId="0" borderId="0" xfId="33" applyFont="1" applyBorder="1" applyAlignment="1" applyProtection="1">
      <alignment vertical="center"/>
    </xf>
    <xf numFmtId="0" fontId="0" fillId="0" borderId="0" xfId="33" applyFont="1" applyBorder="1" applyAlignment="1" applyProtection="1">
      <alignment horizontal="left" vertical="center"/>
    </xf>
    <xf numFmtId="0" fontId="0" fillId="0" borderId="0" xfId="33" applyFont="1"/>
    <xf numFmtId="0" fontId="0" fillId="0" borderId="0" xfId="33" applyFont="1" applyFill="1" applyBorder="1" applyAlignment="1" applyProtection="1"/>
    <xf numFmtId="0" fontId="0" fillId="0" borderId="10" xfId="0" applyFont="1" applyBorder="1" applyAlignment="1" applyProtection="1">
      <alignment horizontal="right"/>
    </xf>
    <xf numFmtId="171" fontId="21" fillId="0" borderId="0" xfId="48" applyFont="1" applyFill="1" applyBorder="1" applyAlignment="1" applyProtection="1"/>
    <xf numFmtId="168" fontId="0" fillId="0" borderId="0" xfId="33" applyNumberFormat="1" applyFont="1" applyFill="1" applyBorder="1" applyAlignment="1" applyProtection="1">
      <alignment horizontal="left"/>
    </xf>
    <xf numFmtId="0" fontId="0" fillId="0" borderId="0" xfId="33" applyFont="1" applyAlignment="1" applyProtection="1"/>
    <xf numFmtId="171" fontId="56" fillId="0" borderId="0" xfId="48" applyFill="1" applyBorder="1" applyAlignment="1" applyProtection="1"/>
    <xf numFmtId="0" fontId="0" fillId="0" borderId="0" xfId="33" applyFont="1" applyFill="1" applyBorder="1" applyAlignment="1" applyProtection="1">
      <alignment horizontal="left"/>
    </xf>
    <xf numFmtId="0" fontId="0" fillId="6" borderId="0" xfId="33" applyFont="1" applyFill="1" applyBorder="1" applyAlignment="1" applyProtection="1">
      <alignment vertical="top"/>
      <protection locked="0"/>
    </xf>
    <xf numFmtId="0" fontId="24" fillId="0" borderId="0" xfId="33" applyFont="1" applyFill="1" applyBorder="1" applyAlignment="1" applyProtection="1">
      <alignment vertical="top"/>
    </xf>
    <xf numFmtId="0" fontId="0" fillId="0" borderId="0" xfId="33" applyFont="1" applyFill="1" applyBorder="1" applyAlignment="1" applyProtection="1">
      <alignment horizontal="left" vertical="top"/>
    </xf>
    <xf numFmtId="180" fontId="24" fillId="0" borderId="40" xfId="48" applyNumberFormat="1" applyFont="1" applyFill="1" applyBorder="1" applyAlignment="1" applyProtection="1">
      <alignment vertical="top" shrinkToFit="1"/>
    </xf>
    <xf numFmtId="180" fontId="24" fillId="0" borderId="71" xfId="48" applyNumberFormat="1" applyFont="1" applyFill="1" applyBorder="1" applyAlignment="1" applyProtection="1">
      <alignment horizontal="right" vertical="top" shrinkToFit="1"/>
    </xf>
    <xf numFmtId="10" fontId="24" fillId="0" borderId="71" xfId="37" applyNumberFormat="1" applyFont="1" applyFill="1" applyBorder="1" applyAlignment="1" applyProtection="1">
      <alignment horizontal="right" vertical="top" shrinkToFit="1"/>
    </xf>
    <xf numFmtId="0" fontId="0" fillId="6" borderId="0" xfId="33" applyFont="1" applyFill="1" applyBorder="1" applyAlignment="1" applyProtection="1">
      <alignment vertical="top" wrapText="1"/>
      <protection locked="0"/>
    </xf>
    <xf numFmtId="0" fontId="0" fillId="0" borderId="30" xfId="33" applyFont="1" applyBorder="1" applyAlignment="1" applyProtection="1"/>
    <xf numFmtId="0" fontId="0" fillId="0" borderId="0" xfId="33" applyFont="1" applyBorder="1" applyAlignment="1" applyProtection="1"/>
    <xf numFmtId="0" fontId="59" fillId="0" borderId="0" xfId="0" applyFont="1" applyAlignment="1">
      <alignment horizontal="center"/>
    </xf>
    <xf numFmtId="0" fontId="0" fillId="0" borderId="0" xfId="0" applyFill="1" applyBorder="1"/>
    <xf numFmtId="0" fontId="0" fillId="20" borderId="0" xfId="0" applyFill="1"/>
    <xf numFmtId="0" fontId="0" fillId="20" borderId="0" xfId="0" applyFill="1" applyAlignment="1">
      <alignment horizontal="center" vertical="center"/>
    </xf>
    <xf numFmtId="0" fontId="18" fillId="20" borderId="0" xfId="0" applyFont="1" applyFill="1" applyAlignment="1">
      <alignment vertical="center"/>
    </xf>
    <xf numFmtId="0" fontId="19" fillId="20" borderId="0" xfId="0" applyFont="1" applyFill="1" applyAlignment="1">
      <alignment horizontal="center" vertical="top"/>
    </xf>
    <xf numFmtId="0" fontId="19" fillId="20" borderId="0" xfId="0" applyFont="1" applyFill="1" applyAlignment="1">
      <alignment vertical="top"/>
    </xf>
    <xf numFmtId="0" fontId="0" fillId="20" borderId="0" xfId="0" applyFill="1" applyBorder="1"/>
    <xf numFmtId="0" fontId="0" fillId="20" borderId="0" xfId="0" applyFill="1" applyBorder="1" applyAlignment="1">
      <alignment horizontal="center" vertical="center"/>
    </xf>
    <xf numFmtId="0" fontId="58" fillId="21" borderId="88" xfId="30" applyFont="1" applyFill="1" applyBorder="1" applyAlignment="1">
      <alignment horizontal="center" vertical="center"/>
    </xf>
    <xf numFmtId="0" fontId="17" fillId="22" borderId="88" xfId="30" applyFont="1" applyFill="1" applyBorder="1" applyAlignment="1">
      <alignment horizontal="center" vertical="center"/>
    </xf>
    <xf numFmtId="0" fontId="23" fillId="22" borderId="88" xfId="30" applyFont="1" applyFill="1" applyBorder="1" applyAlignment="1">
      <alignment horizontal="center" vertical="center"/>
    </xf>
    <xf numFmtId="0" fontId="57" fillId="22" borderId="88" xfId="30" applyFont="1" applyFill="1" applyBorder="1" applyAlignment="1">
      <alignment horizontal="center" vertical="center"/>
    </xf>
    <xf numFmtId="0" fontId="59" fillId="0" borderId="0" xfId="0" applyFont="1" applyFill="1" applyBorder="1" applyAlignment="1" applyProtection="1">
      <alignment horizontal="center" vertical="center"/>
      <protection locked="0"/>
    </xf>
    <xf numFmtId="0" fontId="17" fillId="23" borderId="88" xfId="30" applyFont="1" applyFill="1" applyBorder="1" applyAlignment="1">
      <alignment horizontal="center" vertical="center"/>
    </xf>
    <xf numFmtId="0" fontId="57" fillId="23" borderId="88" xfId="30" applyFont="1" applyFill="1" applyBorder="1" applyAlignment="1">
      <alignment horizontal="center" vertical="center"/>
    </xf>
    <xf numFmtId="0" fontId="24" fillId="24" borderId="88" xfId="30" applyFont="1" applyFill="1" applyBorder="1" applyAlignment="1">
      <alignment horizontal="center" vertical="center"/>
    </xf>
    <xf numFmtId="0" fontId="23" fillId="24" borderId="88" xfId="30" applyFont="1" applyFill="1" applyBorder="1" applyAlignment="1">
      <alignment horizontal="center" vertical="center"/>
    </xf>
    <xf numFmtId="0" fontId="57" fillId="24" borderId="88" xfId="30" applyFont="1" applyFill="1" applyBorder="1" applyAlignment="1">
      <alignment horizontal="center" vertical="center"/>
    </xf>
    <xf numFmtId="0" fontId="0" fillId="25" borderId="0" xfId="0" applyFont="1" applyFill="1" applyBorder="1"/>
    <xf numFmtId="0" fontId="0" fillId="3" borderId="0" xfId="0" applyFont="1" applyFill="1" applyBorder="1" applyAlignment="1" applyProtection="1">
      <alignment vertical="center"/>
    </xf>
    <xf numFmtId="0" fontId="0" fillId="0" borderId="89" xfId="0" applyBorder="1"/>
    <xf numFmtId="0" fontId="0" fillId="0" borderId="90" xfId="0" applyBorder="1"/>
    <xf numFmtId="0" fontId="0" fillId="0" borderId="91" xfId="0" applyBorder="1"/>
    <xf numFmtId="0" fontId="0" fillId="0" borderId="92" xfId="0" applyBorder="1"/>
    <xf numFmtId="0" fontId="24" fillId="0" borderId="0" xfId="0" applyFont="1" applyBorder="1" applyAlignment="1">
      <alignment vertical="center"/>
    </xf>
    <xf numFmtId="0" fontId="0" fillId="0" borderId="93" xfId="0" applyBorder="1"/>
    <xf numFmtId="0" fontId="0" fillId="0" borderId="93" xfId="0" applyFont="1" applyFill="1" applyBorder="1" applyAlignment="1">
      <alignment vertical="center"/>
    </xf>
    <xf numFmtId="0" fontId="0" fillId="0" borderId="93" xfId="0" applyFont="1" applyFill="1" applyBorder="1"/>
    <xf numFmtId="0" fontId="0" fillId="0" borderId="94" xfId="0" applyBorder="1"/>
    <xf numFmtId="0" fontId="0" fillId="0" borderId="95" xfId="0" applyBorder="1"/>
    <xf numFmtId="0" fontId="0" fillId="0" borderId="96" xfId="0" applyBorder="1"/>
    <xf numFmtId="0" fontId="59" fillId="0" borderId="0" xfId="0" applyFont="1"/>
    <xf numFmtId="0" fontId="0" fillId="0" borderId="45" xfId="0" applyFont="1" applyFill="1" applyBorder="1"/>
    <xf numFmtId="0" fontId="47" fillId="0" borderId="0" xfId="0" applyFont="1" applyFill="1" applyAlignment="1">
      <alignment horizontal="center"/>
    </xf>
    <xf numFmtId="0" fontId="47" fillId="26" borderId="13" xfId="0" applyFont="1" applyFill="1" applyBorder="1"/>
    <xf numFmtId="0" fontId="0" fillId="26" borderId="13" xfId="0" applyFill="1" applyBorder="1"/>
    <xf numFmtId="0" fontId="0" fillId="26" borderId="45" xfId="0" applyFont="1" applyFill="1" applyBorder="1"/>
    <xf numFmtId="0" fontId="0" fillId="26" borderId="46" xfId="0" applyFont="1" applyFill="1" applyBorder="1"/>
    <xf numFmtId="0" fontId="0" fillId="26" borderId="32" xfId="0" applyFont="1" applyFill="1" applyBorder="1" applyProtection="1"/>
    <xf numFmtId="0" fontId="0" fillId="26" borderId="13" xfId="0" applyFont="1" applyFill="1" applyBorder="1"/>
    <xf numFmtId="0" fontId="0" fillId="26" borderId="32" xfId="0" applyFont="1" applyFill="1" applyBorder="1" applyAlignment="1">
      <alignment horizontal="left"/>
    </xf>
    <xf numFmtId="0" fontId="0" fillId="26" borderId="32" xfId="0" applyFont="1" applyFill="1" applyBorder="1" applyAlignment="1" applyProtection="1">
      <alignment horizontal="center"/>
    </xf>
    <xf numFmtId="0" fontId="24" fillId="6" borderId="14" xfId="0" applyNumberFormat="1" applyFont="1" applyFill="1" applyBorder="1" applyAlignment="1" applyProtection="1">
      <alignment horizontal="center" vertical="center" wrapText="1"/>
      <protection locked="0"/>
    </xf>
    <xf numFmtId="0" fontId="24" fillId="6" borderId="29" xfId="0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ont="1" applyFill="1" applyBorder="1"/>
    <xf numFmtId="0" fontId="0" fillId="27" borderId="46" xfId="0" applyFont="1" applyFill="1" applyBorder="1" applyProtection="1"/>
    <xf numFmtId="0" fontId="0" fillId="27" borderId="45" xfId="0" applyFont="1" applyFill="1" applyBorder="1"/>
    <xf numFmtId="0" fontId="0" fillId="27" borderId="46" xfId="0" applyFont="1" applyFill="1" applyBorder="1"/>
    <xf numFmtId="0" fontId="0" fillId="28" borderId="32" xfId="0" applyFont="1" applyFill="1" applyBorder="1"/>
    <xf numFmtId="171" fontId="21" fillId="17" borderId="32" xfId="48" applyNumberFormat="1" applyFont="1" applyFill="1" applyBorder="1" applyAlignment="1" applyProtection="1">
      <alignment horizontal="center" vertical="center" shrinkToFit="1"/>
    </xf>
    <xf numFmtId="0" fontId="42" fillId="0" borderId="52" xfId="0" applyFont="1" applyBorder="1" applyAlignment="1" applyProtection="1">
      <alignment horizontal="center" vertical="center" wrapText="1"/>
    </xf>
    <xf numFmtId="171" fontId="0" fillId="0" borderId="39" xfId="48" applyNumberFormat="1" applyFont="1" applyFill="1" applyBorder="1" applyAlignment="1" applyProtection="1">
      <alignment vertical="center" shrinkToFit="1"/>
    </xf>
    <xf numFmtId="10" fontId="0" fillId="0" borderId="41" xfId="48" applyNumberFormat="1" applyFont="1" applyFill="1" applyBorder="1" applyAlignment="1" applyProtection="1">
      <alignment vertical="center" shrinkToFit="1"/>
    </xf>
    <xf numFmtId="10" fontId="24" fillId="17" borderId="14" xfId="48" applyNumberFormat="1" applyFont="1" applyFill="1" applyBorder="1" applyAlignment="1" applyProtection="1">
      <alignment horizontal="center" vertical="center"/>
    </xf>
    <xf numFmtId="171" fontId="0" fillId="6" borderId="42" xfId="48" applyFont="1" applyFill="1" applyBorder="1" applyAlignment="1" applyProtection="1">
      <alignment vertical="center" wrapText="1"/>
      <protection locked="0"/>
    </xf>
    <xf numFmtId="0" fontId="46" fillId="28" borderId="45" xfId="34" applyFont="1" applyFill="1" applyBorder="1"/>
    <xf numFmtId="0" fontId="46" fillId="26" borderId="0" xfId="34" applyFont="1" applyFill="1"/>
    <xf numFmtId="0" fontId="46" fillId="27" borderId="32" xfId="34" applyFont="1" applyFill="1" applyBorder="1" applyAlignment="1">
      <alignment horizontal="center"/>
    </xf>
    <xf numFmtId="0" fontId="46" fillId="27" borderId="13" xfId="34" applyFont="1" applyFill="1" applyBorder="1"/>
    <xf numFmtId="0" fontId="46" fillId="27" borderId="45" xfId="34" applyFont="1" applyFill="1" applyBorder="1"/>
    <xf numFmtId="0" fontId="46" fillId="29" borderId="45" xfId="34" applyFont="1" applyFill="1" applyBorder="1" applyAlignment="1">
      <alignment horizontal="center"/>
    </xf>
    <xf numFmtId="165" fontId="0" fillId="27" borderId="45" xfId="49" applyFont="1" applyFill="1" applyBorder="1" applyAlignment="1" applyProtection="1">
      <alignment horizontal="center"/>
    </xf>
    <xf numFmtId="0" fontId="46" fillId="27" borderId="46" xfId="34" applyFont="1" applyFill="1" applyBorder="1"/>
    <xf numFmtId="0" fontId="46" fillId="26" borderId="13" xfId="34" applyFont="1" applyFill="1" applyBorder="1" applyAlignment="1">
      <alignment horizontal="center"/>
    </xf>
    <xf numFmtId="0" fontId="46" fillId="26" borderId="46" xfId="34" applyFont="1" applyFill="1" applyBorder="1" applyAlignment="1">
      <alignment horizontal="center"/>
    </xf>
    <xf numFmtId="0" fontId="46" fillId="26" borderId="45" xfId="34" applyFont="1" applyFill="1" applyBorder="1" applyAlignment="1">
      <alignment horizontal="center"/>
    </xf>
    <xf numFmtId="0" fontId="0" fillId="26" borderId="45" xfId="0" applyFill="1" applyBorder="1"/>
    <xf numFmtId="0" fontId="0" fillId="26" borderId="46" xfId="0" applyFill="1" applyBorder="1"/>
    <xf numFmtId="0" fontId="0" fillId="26" borderId="37" xfId="0" applyFont="1" applyFill="1" applyBorder="1"/>
    <xf numFmtId="0" fontId="0" fillId="26" borderId="48" xfId="0" applyFont="1" applyFill="1" applyBorder="1"/>
    <xf numFmtId="0" fontId="0" fillId="26" borderId="49" xfId="0" applyFont="1" applyFill="1" applyBorder="1"/>
    <xf numFmtId="171" fontId="0" fillId="6" borderId="40" xfId="48" applyFont="1" applyFill="1" applyBorder="1" applyAlignment="1" applyProtection="1">
      <protection locked="0"/>
    </xf>
    <xf numFmtId="0" fontId="0" fillId="8" borderId="19" xfId="0" applyFill="1" applyBorder="1" applyAlignment="1">
      <alignment horizontal="center"/>
    </xf>
    <xf numFmtId="4" fontId="0" fillId="8" borderId="40" xfId="0" applyNumberFormat="1" applyFill="1" applyBorder="1"/>
    <xf numFmtId="4" fontId="0" fillId="8" borderId="25" xfId="0" applyNumberFormat="1" applyFill="1" applyBorder="1"/>
    <xf numFmtId="0" fontId="0" fillId="8" borderId="26" xfId="0" applyFill="1" applyBorder="1" applyAlignment="1">
      <alignment horizontal="center"/>
    </xf>
    <xf numFmtId="4" fontId="0" fillId="8" borderId="97" xfId="0" applyNumberFormat="1" applyFill="1" applyBorder="1"/>
    <xf numFmtId="4" fontId="0" fillId="8" borderId="27" xfId="0" applyNumberFormat="1" applyFill="1" applyBorder="1"/>
    <xf numFmtId="0" fontId="0" fillId="8" borderId="17" xfId="0" applyFill="1" applyBorder="1" applyAlignment="1">
      <alignment horizontal="center"/>
    </xf>
    <xf numFmtId="4" fontId="0" fillId="8" borderId="98" xfId="0" applyNumberFormat="1" applyFill="1" applyBorder="1"/>
    <xf numFmtId="4" fontId="0" fillId="8" borderId="99" xfId="0" applyNumberFormat="1" applyFill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1" fontId="0" fillId="6" borderId="0" xfId="0" applyNumberFormat="1" applyFill="1" applyBorder="1" applyAlignment="1" applyProtection="1">
      <alignment horizontal="center"/>
      <protection locked="0"/>
    </xf>
    <xf numFmtId="171" fontId="0" fillId="6" borderId="39" xfId="48" applyFont="1" applyFill="1" applyBorder="1" applyAlignment="1" applyProtection="1">
      <alignment vertical="center" wrapText="1"/>
      <protection locked="0"/>
    </xf>
    <xf numFmtId="10" fontId="24" fillId="17" borderId="74" xfId="48" applyNumberFormat="1" applyFont="1" applyFill="1" applyBorder="1" applyAlignment="1" applyProtection="1">
      <alignment horizontal="center" vertical="center"/>
    </xf>
    <xf numFmtId="171" fontId="24" fillId="17" borderId="74" xfId="48" applyNumberFormat="1" applyFont="1" applyFill="1" applyBorder="1" applyAlignment="1" applyProtection="1">
      <alignment horizontal="center" vertical="center"/>
    </xf>
    <xf numFmtId="10" fontId="24" fillId="17" borderId="75" xfId="48" applyNumberFormat="1" applyFont="1" applyFill="1" applyBorder="1" applyAlignment="1" applyProtection="1">
      <alignment horizontal="center" vertical="center"/>
    </xf>
    <xf numFmtId="0" fontId="0" fillId="0" borderId="47" xfId="0" applyNumberFormat="1" applyBorder="1" applyProtection="1">
      <protection locked="0"/>
    </xf>
    <xf numFmtId="184" fontId="0" fillId="0" borderId="0" xfId="0" applyNumberFormat="1"/>
    <xf numFmtId="10" fontId="47" fillId="0" borderId="100" xfId="38" applyNumberFormat="1" applyFont="1" applyFill="1" applyBorder="1" applyAlignment="1" applyProtection="1">
      <alignment horizontal="center"/>
      <protection locked="0"/>
    </xf>
    <xf numFmtId="0" fontId="30" fillId="0" borderId="0" xfId="0" applyFont="1" applyFill="1" applyBorder="1" applyAlignment="1" applyProtection="1">
      <alignment horizontal="left" wrapText="1"/>
    </xf>
    <xf numFmtId="0" fontId="0" fillId="0" borderId="0" xfId="0" applyProtection="1"/>
    <xf numFmtId="4" fontId="0" fillId="6" borderId="53" xfId="0" applyNumberFormat="1" applyFill="1" applyBorder="1" applyAlignment="1" applyProtection="1">
      <protection locked="0"/>
    </xf>
    <xf numFmtId="4" fontId="0" fillId="6" borderId="68" xfId="0" applyNumberFormat="1" applyFill="1" applyBorder="1" applyAlignment="1" applyProtection="1">
      <protection locked="0"/>
    </xf>
    <xf numFmtId="4" fontId="0" fillId="6" borderId="74" xfId="0" applyNumberFormat="1" applyFill="1" applyBorder="1" applyAlignment="1" applyProtection="1">
      <protection locked="0"/>
    </xf>
    <xf numFmtId="4" fontId="0" fillId="6" borderId="75" xfId="0" applyNumberFormat="1" applyFill="1" applyBorder="1" applyAlignment="1" applyProtection="1">
      <protection locked="0"/>
    </xf>
    <xf numFmtId="0" fontId="0" fillId="0" borderId="101" xfId="0" applyBorder="1" applyAlignment="1">
      <alignment horizontal="center"/>
    </xf>
    <xf numFmtId="0" fontId="0" fillId="0" borderId="102" xfId="0" applyBorder="1" applyAlignment="1">
      <alignment horizontal="center"/>
    </xf>
    <xf numFmtId="0" fontId="0" fillId="0" borderId="103" xfId="0" applyBorder="1" applyAlignment="1">
      <alignment horizontal="center"/>
    </xf>
    <xf numFmtId="0" fontId="24" fillId="0" borderId="64" xfId="0" applyFont="1" applyBorder="1" applyAlignment="1"/>
    <xf numFmtId="0" fontId="0" fillId="0" borderId="93" xfId="0" applyFont="1" applyBorder="1"/>
    <xf numFmtId="0" fontId="0" fillId="6" borderId="37" xfId="0" applyFill="1" applyBorder="1" applyAlignment="1" applyProtection="1">
      <alignment horizontal="center" textRotation="90" wrapText="1"/>
      <protection locked="0"/>
    </xf>
    <xf numFmtId="171" fontId="0" fillId="0" borderId="37" xfId="48" applyFont="1" applyFill="1" applyBorder="1" applyAlignment="1" applyProtection="1">
      <alignment vertical="center" shrinkToFit="1"/>
    </xf>
    <xf numFmtId="171" fontId="0" fillId="0" borderId="48" xfId="48" applyFont="1" applyFill="1" applyBorder="1" applyAlignment="1" applyProtection="1">
      <alignment vertical="center" shrinkToFit="1"/>
    </xf>
    <xf numFmtId="171" fontId="0" fillId="0" borderId="49" xfId="48" applyFont="1" applyFill="1" applyBorder="1" applyAlignment="1" applyProtection="1">
      <alignment vertical="center" shrinkToFit="1"/>
    </xf>
    <xf numFmtId="185" fontId="0" fillId="0" borderId="40" xfId="48" applyNumberFormat="1" applyFont="1" applyFill="1" applyBorder="1" applyAlignment="1" applyProtection="1">
      <alignment vertical="center" shrinkToFit="1"/>
    </xf>
    <xf numFmtId="49" fontId="24" fillId="17" borderId="30" xfId="0" applyNumberFormat="1" applyFont="1" applyFill="1" applyBorder="1" applyAlignment="1" applyProtection="1">
      <alignment horizontal="center" vertical="center"/>
    </xf>
    <xf numFmtId="171" fontId="24" fillId="17" borderId="30" xfId="48" applyNumberFormat="1" applyFont="1" applyFill="1" applyBorder="1" applyAlignment="1" applyProtection="1">
      <alignment horizontal="center" vertical="center"/>
    </xf>
    <xf numFmtId="171" fontId="24" fillId="17" borderId="29" xfId="48" applyNumberFormat="1" applyFont="1" applyFill="1" applyBorder="1" applyAlignment="1" applyProtection="1">
      <alignment horizontal="center" vertical="center" shrinkToFit="1"/>
    </xf>
    <xf numFmtId="1" fontId="61" fillId="0" borderId="0" xfId="0" applyNumberFormat="1" applyFont="1" applyAlignment="1">
      <alignment horizontal="center" vertical="center"/>
    </xf>
    <xf numFmtId="186" fontId="0" fillId="0" borderId="30" xfId="0" applyNumberFormat="1" applyFont="1" applyBorder="1" applyAlignment="1" applyProtection="1">
      <alignment horizontal="left"/>
    </xf>
    <xf numFmtId="0" fontId="17" fillId="0" borderId="95" xfId="33" applyFont="1" applyBorder="1" applyAlignment="1" applyProtection="1">
      <alignment vertical="center"/>
    </xf>
    <xf numFmtId="0" fontId="0" fillId="0" borderId="95" xfId="0" applyBorder="1" applyAlignment="1">
      <alignment horizontal="center"/>
    </xf>
    <xf numFmtId="0" fontId="24" fillId="0" borderId="0" xfId="33" applyNumberFormat="1" applyFont="1" applyFill="1" applyBorder="1" applyAlignment="1" applyProtection="1">
      <alignment vertical="top"/>
    </xf>
    <xf numFmtId="0" fontId="46" fillId="0" borderId="95" xfId="34" applyFont="1" applyBorder="1" applyAlignment="1">
      <alignment horizontal="center"/>
    </xf>
    <xf numFmtId="0" fontId="0" fillId="0" borderId="41" xfId="0" applyBorder="1" applyAlignment="1">
      <alignment horizontal="center" vertical="center" wrapText="1"/>
    </xf>
    <xf numFmtId="165" fontId="0" fillId="6" borderId="40" xfId="0" applyNumberFormat="1" applyFill="1" applyBorder="1" applyAlignment="1" applyProtection="1">
      <alignment horizontal="center" vertical="center"/>
      <protection locked="0"/>
    </xf>
    <xf numFmtId="0" fontId="0" fillId="0" borderId="40" xfId="0" applyBorder="1" applyAlignment="1">
      <alignment horizontal="left" vertical="center" wrapText="1"/>
    </xf>
    <xf numFmtId="0" fontId="0" fillId="6" borderId="86" xfId="0" applyFill="1" applyBorder="1" applyAlignment="1" applyProtection="1">
      <alignment horizontal="left" vertical="center" wrapText="1"/>
      <protection locked="0"/>
    </xf>
    <xf numFmtId="49" fontId="0" fillId="6" borderId="70" xfId="0" applyNumberFormat="1" applyFill="1" applyBorder="1" applyAlignment="1" applyProtection="1">
      <alignment horizontal="center" vertical="center" wrapText="1"/>
      <protection locked="0"/>
    </xf>
    <xf numFmtId="49" fontId="0" fillId="16" borderId="104" xfId="0" applyNumberFormat="1" applyFont="1" applyFill="1" applyBorder="1" applyAlignment="1" applyProtection="1">
      <alignment horizontal="center" vertical="center"/>
      <protection locked="0"/>
    </xf>
    <xf numFmtId="49" fontId="0" fillId="6" borderId="41" xfId="48" applyNumberFormat="1" applyFont="1" applyFill="1" applyBorder="1" applyAlignment="1" applyProtection="1">
      <alignment horizontal="left" vertical="center" wrapText="1" shrinkToFit="1"/>
      <protection locked="0"/>
    </xf>
    <xf numFmtId="49" fontId="24" fillId="17" borderId="32" xfId="0" applyNumberFormat="1" applyFont="1" applyFill="1" applyBorder="1" applyAlignment="1" applyProtection="1">
      <alignment horizontal="left" vertical="center"/>
    </xf>
    <xf numFmtId="0" fontId="28" fillId="0" borderId="105" xfId="0" applyFont="1" applyBorder="1"/>
    <xf numFmtId="0" fontId="27" fillId="0" borderId="90" xfId="0" applyFont="1" applyBorder="1" applyAlignment="1">
      <alignment horizontal="left" indent="1"/>
    </xf>
    <xf numFmtId="0" fontId="0" fillId="0" borderId="90" xfId="0" applyBorder="1" applyAlignment="1">
      <alignment vertical="center"/>
    </xf>
    <xf numFmtId="171" fontId="0" fillId="0" borderId="41" xfId="48" applyNumberFormat="1" applyFont="1" applyFill="1" applyBorder="1" applyAlignment="1" applyProtection="1">
      <alignment vertical="center" shrinkToFit="1"/>
    </xf>
    <xf numFmtId="171" fontId="24" fillId="17" borderId="71" xfId="48" applyNumberFormat="1" applyFont="1" applyFill="1" applyBorder="1" applyAlignment="1" applyProtection="1">
      <alignment horizontal="center" vertical="center" shrinkToFit="1"/>
    </xf>
    <xf numFmtId="171" fontId="24" fillId="17" borderId="75" xfId="48" applyNumberFormat="1" applyFont="1" applyFill="1" applyBorder="1" applyAlignment="1" applyProtection="1">
      <alignment horizontal="center" vertical="center"/>
    </xf>
    <xf numFmtId="10" fontId="63" fillId="0" borderId="106" xfId="38" applyNumberFormat="1" applyFont="1" applyFill="1" applyBorder="1" applyAlignment="1" applyProtection="1">
      <alignment horizontal="center"/>
      <protection locked="0"/>
    </xf>
    <xf numFmtId="10" fontId="63" fillId="0" borderId="107" xfId="38" applyNumberFormat="1" applyFont="1" applyFill="1" applyBorder="1" applyAlignment="1" applyProtection="1">
      <alignment horizontal="center"/>
      <protection locked="0"/>
    </xf>
    <xf numFmtId="10" fontId="63" fillId="0" borderId="108" xfId="38" applyNumberFormat="1" applyFont="1" applyFill="1" applyBorder="1" applyAlignment="1" applyProtection="1">
      <alignment horizontal="center"/>
      <protection locked="0"/>
    </xf>
    <xf numFmtId="0" fontId="0" fillId="16" borderId="41" xfId="0" applyFill="1" applyBorder="1" applyAlignment="1" applyProtection="1">
      <alignment shrinkToFit="1"/>
      <protection locked="0"/>
    </xf>
    <xf numFmtId="0" fontId="0" fillId="0" borderId="109" xfId="0" applyFont="1" applyFill="1" applyBorder="1" applyAlignment="1">
      <alignment vertical="center"/>
    </xf>
    <xf numFmtId="0" fontId="0" fillId="16" borderId="110" xfId="0" applyFont="1" applyFill="1" applyBorder="1" applyAlignment="1" applyProtection="1">
      <alignment vertical="center"/>
      <protection locked="0"/>
    </xf>
    <xf numFmtId="43" fontId="0" fillId="0" borderId="0" xfId="0" applyNumberFormat="1"/>
    <xf numFmtId="0" fontId="0" fillId="0" borderId="0" xfId="0" applyFont="1"/>
    <xf numFmtId="0" fontId="0" fillId="0" borderId="0" xfId="0" applyFont="1"/>
    <xf numFmtId="0" fontId="0" fillId="0" borderId="0" xfId="0" applyFont="1"/>
    <xf numFmtId="0" fontId="0" fillId="0" borderId="0" xfId="0" applyFont="1"/>
    <xf numFmtId="0" fontId="0" fillId="0" borderId="0" xfId="0" applyFont="1"/>
    <xf numFmtId="0" fontId="0" fillId="0" borderId="0" xfId="0" applyFont="1"/>
    <xf numFmtId="0" fontId="0" fillId="0" borderId="0" xfId="0" applyFont="1"/>
    <xf numFmtId="0" fontId="0" fillId="0" borderId="0" xfId="0" applyFont="1"/>
    <xf numFmtId="187" fontId="66" fillId="30" borderId="118" xfId="0" applyNumberFormat="1" applyFont="1" applyFill="1" applyBorder="1" applyAlignment="1" applyProtection="1">
      <alignment horizontal="right" vertical="center" wrapText="1"/>
      <protection locked="0"/>
    </xf>
    <xf numFmtId="187" fontId="66" fillId="31" borderId="118" xfId="0" applyNumberFormat="1" applyFont="1" applyFill="1" applyBorder="1" applyAlignment="1" applyProtection="1">
      <alignment horizontal="right" vertical="center" wrapText="1"/>
      <protection locked="0"/>
    </xf>
    <xf numFmtId="187" fontId="66" fillId="30" borderId="119" xfId="0" applyNumberFormat="1" applyFont="1" applyFill="1" applyBorder="1" applyAlignment="1" applyProtection="1">
      <alignment horizontal="right" vertical="center" wrapText="1"/>
      <protection locked="0"/>
    </xf>
    <xf numFmtId="187" fontId="66" fillId="31" borderId="119" xfId="0" applyNumberFormat="1" applyFont="1" applyFill="1" applyBorder="1" applyAlignment="1" applyProtection="1">
      <alignment horizontal="right" vertical="center" wrapText="1"/>
      <protection locked="0"/>
    </xf>
    <xf numFmtId="187" fontId="66" fillId="30" borderId="120" xfId="0" applyNumberFormat="1" applyFont="1" applyFill="1" applyBorder="1" applyAlignment="1" applyProtection="1">
      <alignment horizontal="right" vertical="center" wrapText="1"/>
      <protection locked="0"/>
    </xf>
    <xf numFmtId="187" fontId="66" fillId="31" borderId="120" xfId="0" applyNumberFormat="1" applyFont="1" applyFill="1" applyBorder="1" applyAlignment="1" applyProtection="1">
      <alignment horizontal="right" vertical="center" wrapText="1"/>
      <protection locked="0"/>
    </xf>
    <xf numFmtId="187" fontId="66" fillId="31" borderId="121" xfId="0" applyNumberFormat="1" applyFont="1" applyFill="1" applyBorder="1" applyAlignment="1" applyProtection="1">
      <alignment horizontal="right" vertical="center" wrapText="1"/>
      <protection locked="0"/>
    </xf>
    <xf numFmtId="187" fontId="66" fillId="30" borderId="121" xfId="0" applyNumberFormat="1" applyFont="1" applyFill="1" applyBorder="1" applyAlignment="1" applyProtection="1">
      <alignment horizontal="right" vertical="center" wrapText="1"/>
      <protection locked="0"/>
    </xf>
    <xf numFmtId="187" fontId="66" fillId="31" borderId="122" xfId="0" applyNumberFormat="1" applyFont="1" applyFill="1" applyBorder="1" applyAlignment="1" applyProtection="1">
      <alignment horizontal="right" vertical="center" wrapText="1"/>
      <protection locked="0"/>
    </xf>
    <xf numFmtId="187" fontId="66" fillId="30" borderId="123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/>
    <xf numFmtId="0" fontId="0" fillId="0" borderId="0" xfId="0" applyFont="1"/>
    <xf numFmtId="0" fontId="49" fillId="0" borderId="31" xfId="34" applyFont="1" applyBorder="1" applyAlignment="1">
      <alignment horizontal="center"/>
    </xf>
    <xf numFmtId="0" fontId="46" fillId="0" borderId="14" xfId="34" applyNumberFormat="1" applyFont="1" applyBorder="1" applyAlignment="1">
      <alignment horizontal="center"/>
    </xf>
    <xf numFmtId="0" fontId="0" fillId="0" borderId="0" xfId="0" applyFont="1"/>
    <xf numFmtId="0" fontId="0" fillId="0" borderId="0" xfId="0" applyFont="1"/>
    <xf numFmtId="0" fontId="0" fillId="0" borderId="0" xfId="0" applyFont="1"/>
    <xf numFmtId="0" fontId="0" fillId="0" borderId="0" xfId="0" applyFont="1"/>
    <xf numFmtId="0" fontId="0" fillId="0" borderId="0" xfId="0" applyFont="1"/>
    <xf numFmtId="0" fontId="0" fillId="0" borderId="0" xfId="0" applyFont="1"/>
    <xf numFmtId="0" fontId="0" fillId="0" borderId="0" xfId="0" applyFont="1"/>
    <xf numFmtId="0" fontId="0" fillId="0" borderId="0" xfId="0" applyFont="1"/>
    <xf numFmtId="0" fontId="0" fillId="0" borderId="0" xfId="0" applyFont="1"/>
    <xf numFmtId="0" fontId="18" fillId="0" borderId="32" xfId="0" applyFont="1" applyFill="1" applyBorder="1" applyAlignment="1">
      <alignment horizontal="center" vertical="center"/>
    </xf>
    <xf numFmtId="0" fontId="19" fillId="20" borderId="0" xfId="0" applyFont="1" applyFill="1" applyAlignment="1">
      <alignment horizontal="center" vertical="center"/>
    </xf>
    <xf numFmtId="0" fontId="12" fillId="0" borderId="111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/>
    </xf>
    <xf numFmtId="0" fontId="12" fillId="0" borderId="111" xfId="0" applyFont="1" applyFill="1" applyBorder="1" applyAlignment="1">
      <alignment horizontal="center" vertical="center"/>
    </xf>
    <xf numFmtId="0" fontId="0" fillId="0" borderId="10" xfId="33" applyFont="1" applyBorder="1" applyAlignment="1" applyProtection="1">
      <alignment horizontal="left" vertical="center"/>
    </xf>
    <xf numFmtId="0" fontId="8" fillId="0" borderId="32" xfId="33" applyFont="1" applyBorder="1" applyAlignment="1" applyProtection="1">
      <alignment horizontal="left" vertical="center" wrapText="1"/>
    </xf>
    <xf numFmtId="49" fontId="0" fillId="6" borderId="32" xfId="33" applyNumberFormat="1" applyFont="1" applyFill="1" applyBorder="1" applyAlignment="1" applyProtection="1">
      <alignment horizontal="left" vertical="top" wrapText="1"/>
      <protection locked="0"/>
    </xf>
    <xf numFmtId="167" fontId="0" fillId="0" borderId="30" xfId="33" applyNumberFormat="1" applyFont="1" applyFill="1" applyBorder="1" applyAlignment="1" applyProtection="1">
      <alignment horizontal="left"/>
    </xf>
    <xf numFmtId="186" fontId="0" fillId="0" borderId="30" xfId="33" applyNumberFormat="1" applyFont="1" applyFill="1" applyBorder="1" applyAlignment="1" applyProtection="1">
      <alignment horizontal="left"/>
    </xf>
    <xf numFmtId="0" fontId="24" fillId="0" borderId="0" xfId="33" applyFont="1" applyBorder="1" applyAlignment="1" applyProtection="1">
      <alignment horizontal="left" vertical="center"/>
    </xf>
    <xf numFmtId="0" fontId="17" fillId="0" borderId="0" xfId="33" applyFont="1" applyBorder="1" applyAlignment="1" applyProtection="1">
      <alignment horizontal="left" vertical="center"/>
    </xf>
    <xf numFmtId="0" fontId="33" fillId="0" borderId="0" xfId="0" applyFont="1" applyBorder="1" applyAlignment="1" applyProtection="1">
      <alignment horizontal="center" vertical="top"/>
    </xf>
    <xf numFmtId="0" fontId="0" fillId="0" borderId="32" xfId="33" applyFont="1" applyBorder="1" applyAlignment="1" applyProtection="1">
      <alignment horizontal="center" vertical="center" wrapText="1"/>
    </xf>
    <xf numFmtId="4" fontId="17" fillId="0" borderId="32" xfId="33" applyNumberFormat="1" applyFont="1" applyFill="1" applyBorder="1" applyAlignment="1" applyProtection="1">
      <alignment horizontal="center" vertical="center"/>
    </xf>
    <xf numFmtId="4" fontId="17" fillId="0" borderId="32" xfId="33" applyNumberFormat="1" applyFont="1" applyFill="1" applyBorder="1" applyAlignment="1" applyProtection="1">
      <alignment horizontal="center" vertical="center" wrapText="1"/>
    </xf>
    <xf numFmtId="0" fontId="30" fillId="8" borderId="32" xfId="33" applyFont="1" applyFill="1" applyBorder="1" applyAlignment="1" applyProtection="1">
      <alignment horizontal="center" vertical="center" wrapText="1"/>
    </xf>
    <xf numFmtId="0" fontId="32" fillId="0" borderId="0" xfId="33" applyFont="1" applyBorder="1" applyAlignment="1" applyProtection="1">
      <alignment horizontal="left" vertical="center" indent="1"/>
    </xf>
    <xf numFmtId="0" fontId="39" fillId="0" borderId="0" xfId="0" applyFont="1" applyBorder="1" applyAlignment="1">
      <alignment horizontal="center" textRotation="90"/>
    </xf>
    <xf numFmtId="0" fontId="0" fillId="0" borderId="0" xfId="33" applyFont="1" applyBorder="1" applyAlignment="1" applyProtection="1">
      <alignment horizontal="center" vertical="center"/>
    </xf>
    <xf numFmtId="0" fontId="33" fillId="0" borderId="0" xfId="0" applyFont="1" applyBorder="1" applyAlignment="1" applyProtection="1">
      <alignment horizontal="right" vertical="center"/>
    </xf>
    <xf numFmtId="0" fontId="34" fillId="0" borderId="0" xfId="0" applyFont="1" applyBorder="1" applyAlignment="1" applyProtection="1">
      <alignment horizontal="center"/>
    </xf>
    <xf numFmtId="0" fontId="33" fillId="0" borderId="0" xfId="0" applyFont="1" applyBorder="1" applyAlignment="1" applyProtection="1">
      <alignment horizontal="left" vertical="center"/>
    </xf>
    <xf numFmtId="0" fontId="24" fillId="0" borderId="32" xfId="33" applyFont="1" applyFill="1" applyBorder="1" applyAlignment="1" applyProtection="1">
      <alignment horizontal="center" vertical="center"/>
    </xf>
    <xf numFmtId="0" fontId="17" fillId="0" borderId="32" xfId="33" applyFont="1" applyBorder="1" applyAlignment="1" applyProtection="1">
      <alignment horizontal="center" vertical="center"/>
    </xf>
    <xf numFmtId="0" fontId="24" fillId="0" borderId="31" xfId="35" applyFont="1" applyBorder="1" applyAlignment="1" applyProtection="1">
      <alignment horizontal="left" vertical="top"/>
    </xf>
    <xf numFmtId="164" fontId="8" fillId="16" borderId="14" xfId="32" applyFont="1" applyFill="1" applyBorder="1" applyAlignment="1" applyProtection="1">
      <alignment horizontal="left"/>
      <protection locked="0"/>
    </xf>
    <xf numFmtId="0" fontId="23" fillId="0" borderId="32" xfId="33" applyFont="1" applyBorder="1" applyAlignment="1" applyProtection="1">
      <alignment horizontal="center"/>
    </xf>
    <xf numFmtId="0" fontId="0" fillId="0" borderId="14" xfId="33" applyFont="1" applyFill="1" applyBorder="1" applyAlignment="1" applyProtection="1">
      <alignment horizontal="left" vertical="top" wrapText="1"/>
    </xf>
    <xf numFmtId="0" fontId="0" fillId="0" borderId="31" xfId="0" applyFont="1" applyBorder="1" applyAlignment="1" applyProtection="1">
      <alignment horizontal="center"/>
    </xf>
    <xf numFmtId="0" fontId="24" fillId="0" borderId="14" xfId="0" applyFont="1" applyBorder="1" applyAlignment="1" applyProtection="1">
      <alignment horizontal="center"/>
    </xf>
    <xf numFmtId="0" fontId="8" fillId="0" borderId="32" xfId="33" applyFont="1" applyFill="1" applyBorder="1" applyAlignment="1" applyProtection="1">
      <alignment horizontal="left"/>
    </xf>
    <xf numFmtId="10" fontId="8" fillId="6" borderId="32" xfId="33" applyNumberFormat="1" applyFont="1" applyFill="1" applyBorder="1" applyAlignment="1" applyProtection="1">
      <alignment horizontal="center"/>
      <protection locked="0"/>
    </xf>
    <xf numFmtId="0" fontId="8" fillId="0" borderId="14" xfId="32" applyNumberFormat="1" applyFont="1" applyFill="1" applyBorder="1" applyAlignment="1" applyProtection="1">
      <alignment horizontal="left" wrapText="1"/>
    </xf>
    <xf numFmtId="0" fontId="8" fillId="0" borderId="32" xfId="33" applyFont="1" applyFill="1" applyBorder="1" applyAlignment="1" applyProtection="1">
      <alignment horizontal="left" wrapText="1"/>
    </xf>
    <xf numFmtId="0" fontId="0" fillId="0" borderId="32" xfId="0" applyFont="1" applyBorder="1" applyAlignment="1">
      <alignment horizontal="center"/>
    </xf>
    <xf numFmtId="0" fontId="24" fillId="0" borderId="33" xfId="35" applyFont="1" applyBorder="1" applyAlignment="1" applyProtection="1">
      <alignment horizontal="left" vertical="top"/>
    </xf>
    <xf numFmtId="0" fontId="62" fillId="0" borderId="0" xfId="0" applyFont="1" applyBorder="1" applyAlignment="1">
      <alignment horizontal="center" textRotation="90" wrapText="1"/>
    </xf>
    <xf numFmtId="0" fontId="24" fillId="0" borderId="12" xfId="0" applyFont="1" applyBorder="1" applyAlignment="1">
      <alignment horizontal="center"/>
    </xf>
    <xf numFmtId="0" fontId="39" fillId="0" borderId="0" xfId="0" applyFont="1" applyBorder="1" applyAlignment="1">
      <alignment horizontal="center" textRotation="90" wrapText="1"/>
    </xf>
    <xf numFmtId="0" fontId="0" fillId="14" borderId="0" xfId="0" applyFont="1" applyFill="1" applyBorder="1" applyAlignment="1">
      <alignment horizontal="left"/>
    </xf>
    <xf numFmtId="0" fontId="0" fillId="0" borderId="47" xfId="33" applyFont="1" applyFill="1" applyBorder="1" applyAlignment="1" applyProtection="1">
      <alignment horizontal="left" vertical="top" wrapText="1"/>
    </xf>
    <xf numFmtId="186" fontId="0" fillId="0" borderId="0" xfId="0" applyNumberFormat="1" applyFont="1" applyBorder="1" applyAlignment="1" applyProtection="1">
      <alignment horizontal="left"/>
    </xf>
    <xf numFmtId="0" fontId="24" fillId="17" borderId="13" xfId="0" applyNumberFormat="1" applyFont="1" applyFill="1" applyBorder="1" applyAlignment="1" applyProtection="1">
      <alignment horizontal="left" vertical="center" wrapText="1"/>
    </xf>
    <xf numFmtId="0" fontId="30" fillId="0" borderId="32" xfId="0" applyFont="1" applyBorder="1" applyAlignment="1" applyProtection="1">
      <alignment horizontal="left" vertical="center"/>
      <protection locked="0"/>
    </xf>
    <xf numFmtId="0" fontId="30" fillId="6" borderId="14" xfId="0" applyFont="1" applyFill="1" applyBorder="1" applyAlignment="1" applyProtection="1">
      <alignment horizontal="left" vertical="top" wrapText="1"/>
      <protection locked="0"/>
    </xf>
    <xf numFmtId="0" fontId="17" fillId="0" borderId="32" xfId="0" applyFont="1" applyFill="1" applyBorder="1" applyAlignment="1" applyProtection="1">
      <alignment horizontal="left" wrapText="1"/>
    </xf>
    <xf numFmtId="167" fontId="0" fillId="0" borderId="30" xfId="0" applyNumberFormat="1" applyFont="1" applyBorder="1" applyAlignment="1" applyProtection="1">
      <alignment horizontal="left"/>
    </xf>
    <xf numFmtId="0" fontId="0" fillId="0" borderId="32" xfId="0" applyFont="1" applyFill="1" applyBorder="1" applyAlignment="1" applyProtection="1">
      <alignment horizontal="left" wrapText="1"/>
    </xf>
    <xf numFmtId="0" fontId="24" fillId="17" borderId="32" xfId="0" applyNumberFormat="1" applyFont="1" applyFill="1" applyBorder="1" applyAlignment="1" applyProtection="1">
      <alignment horizontal="left" vertical="center" wrapText="1"/>
    </xf>
    <xf numFmtId="0" fontId="23" fillId="0" borderId="0" xfId="0" applyFont="1" applyBorder="1" applyAlignment="1">
      <alignment horizontal="left" vertical="center" indent="10"/>
    </xf>
    <xf numFmtId="0" fontId="37" fillId="0" borderId="0" xfId="0" applyFont="1" applyBorder="1" applyAlignment="1">
      <alignment horizontal="left" vertical="center" indent="10"/>
    </xf>
    <xf numFmtId="0" fontId="46" fillId="6" borderId="32" xfId="0" applyFont="1" applyFill="1" applyBorder="1" applyAlignment="1" applyProtection="1">
      <alignment horizontal="left" vertical="center"/>
      <protection locked="0"/>
    </xf>
    <xf numFmtId="0" fontId="0" fillId="16" borderId="111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>
      <alignment horizontal="left" vertical="top" wrapText="1"/>
    </xf>
    <xf numFmtId="0" fontId="12" fillId="0" borderId="32" xfId="0" applyFont="1" applyBorder="1" applyProtection="1"/>
    <xf numFmtId="0" fontId="46" fillId="18" borderId="32" xfId="0" applyFont="1" applyFill="1" applyBorder="1" applyAlignment="1" applyProtection="1">
      <alignment horizontal="left" vertical="center"/>
    </xf>
    <xf numFmtId="173" fontId="24" fillId="0" borderId="32" xfId="48" applyNumberFormat="1" applyFont="1" applyFill="1" applyBorder="1" applyAlignment="1" applyProtection="1">
      <alignment horizontal="center" vertical="center"/>
    </xf>
    <xf numFmtId="165" fontId="0" fillId="0" borderId="14" xfId="49" applyFont="1" applyFill="1" applyBorder="1" applyAlignment="1" applyProtection="1">
      <alignment horizontal="left"/>
    </xf>
    <xf numFmtId="0" fontId="46" fillId="0" borderId="14" xfId="34" applyFont="1" applyBorder="1" applyAlignment="1">
      <alignment horizontal="left"/>
    </xf>
    <xf numFmtId="0" fontId="22" fillId="0" borderId="30" xfId="34" applyFont="1" applyBorder="1" applyAlignment="1">
      <alignment horizontal="center" vertical="center" wrapText="1"/>
    </xf>
    <xf numFmtId="0" fontId="50" fillId="0" borderId="11" xfId="34" applyFont="1" applyBorder="1" applyAlignment="1">
      <alignment horizontal="left" vertical="top"/>
    </xf>
    <xf numFmtId="0" fontId="46" fillId="0" borderId="32" xfId="34" applyFont="1" applyBorder="1" applyAlignment="1">
      <alignment horizontal="center" wrapText="1"/>
    </xf>
    <xf numFmtId="0" fontId="49" fillId="0" borderId="13" xfId="34" applyFont="1" applyBorder="1" applyAlignment="1">
      <alignment horizontal="center" vertical="center" wrapText="1"/>
    </xf>
    <xf numFmtId="0" fontId="49" fillId="0" borderId="45" xfId="34" applyFont="1" applyBorder="1" applyAlignment="1">
      <alignment horizontal="left" vertical="center" wrapText="1"/>
    </xf>
    <xf numFmtId="186" fontId="0" fillId="0" borderId="30" xfId="0" applyNumberFormat="1" applyFont="1" applyBorder="1" applyAlignment="1" applyProtection="1">
      <alignment horizontal="left"/>
    </xf>
    <xf numFmtId="165" fontId="24" fillId="0" borderId="46" xfId="49" applyFont="1" applyFill="1" applyBorder="1" applyAlignment="1" applyProtection="1">
      <alignment horizontal="center" vertical="center" wrapText="1"/>
    </xf>
    <xf numFmtId="0" fontId="46" fillId="0" borderId="47" xfId="34" applyFont="1" applyBorder="1" applyAlignment="1">
      <alignment horizontal="left"/>
    </xf>
    <xf numFmtId="0" fontId="46" fillId="0" borderId="0" xfId="34" applyFont="1" applyBorder="1" applyAlignment="1">
      <alignment horizontal="center" wrapText="1"/>
    </xf>
    <xf numFmtId="0" fontId="24" fillId="8" borderId="1" xfId="0" applyFont="1" applyFill="1" applyBorder="1" applyAlignment="1">
      <alignment horizontal="center" wrapText="1"/>
    </xf>
    <xf numFmtId="176" fontId="24" fillId="8" borderId="32" xfId="0" applyNumberFormat="1" applyFont="1" applyFill="1" applyBorder="1" applyAlignment="1">
      <alignment horizontal="center" shrinkToFit="1"/>
    </xf>
    <xf numFmtId="10" fontId="56" fillId="0" borderId="82" xfId="37" applyNumberFormat="1" applyFill="1" applyBorder="1" applyAlignment="1" applyProtection="1">
      <alignment horizontal="center"/>
    </xf>
    <xf numFmtId="14" fontId="0" fillId="6" borderId="37" xfId="0" applyNumberFormat="1" applyFill="1" applyBorder="1" applyAlignment="1" applyProtection="1">
      <alignment horizontal="center"/>
      <protection locked="0"/>
    </xf>
    <xf numFmtId="14" fontId="0" fillId="6" borderId="48" xfId="0" applyNumberFormat="1" applyFill="1" applyBorder="1" applyAlignment="1" applyProtection="1">
      <alignment horizontal="center"/>
      <protection locked="0"/>
    </xf>
    <xf numFmtId="0" fontId="0" fillId="0" borderId="40" xfId="0" applyBorder="1" applyAlignment="1">
      <alignment horizontal="left"/>
    </xf>
    <xf numFmtId="0" fontId="24" fillId="0" borderId="32" xfId="0" applyFont="1" applyBorder="1" applyAlignment="1">
      <alignment horizontal="right" vertical="center"/>
    </xf>
    <xf numFmtId="177" fontId="56" fillId="0" borderId="30" xfId="48" applyNumberFormat="1" applyFill="1" applyBorder="1" applyAlignment="1" applyProtection="1">
      <alignment horizontal="center" shrinkToFit="1"/>
    </xf>
    <xf numFmtId="177" fontId="56" fillId="0" borderId="14" xfId="48" applyNumberFormat="1" applyFill="1" applyBorder="1" applyAlignment="1" applyProtection="1">
      <alignment horizontal="center" shrinkToFit="1"/>
    </xf>
    <xf numFmtId="10" fontId="56" fillId="0" borderId="34" xfId="37" applyNumberFormat="1" applyFill="1" applyBorder="1" applyAlignment="1" applyProtection="1">
      <alignment horizontal="center"/>
    </xf>
    <xf numFmtId="10" fontId="56" fillId="0" borderId="10" xfId="37" applyNumberFormat="1" applyFill="1" applyBorder="1" applyAlignment="1" applyProtection="1">
      <alignment horizontal="center"/>
    </xf>
    <xf numFmtId="10" fontId="56" fillId="0" borderId="31" xfId="37" applyNumberFormat="1" applyFill="1" applyBorder="1" applyAlignment="1" applyProtection="1">
      <alignment horizontal="center"/>
    </xf>
    <xf numFmtId="10" fontId="56" fillId="0" borderId="0" xfId="37" applyNumberFormat="1" applyFill="1" applyBorder="1" applyAlignment="1" applyProtection="1">
      <alignment horizontal="center"/>
    </xf>
    <xf numFmtId="10" fontId="56" fillId="0" borderId="33" xfId="37" applyNumberFormat="1" applyFill="1" applyBorder="1" applyAlignment="1" applyProtection="1">
      <alignment horizontal="center"/>
    </xf>
    <xf numFmtId="177" fontId="56" fillId="0" borderId="47" xfId="48" applyNumberFormat="1" applyFill="1" applyBorder="1" applyAlignment="1" applyProtection="1">
      <alignment horizontal="center" shrinkToFit="1"/>
    </xf>
    <xf numFmtId="14" fontId="0" fillId="6" borderId="49" xfId="0" applyNumberFormat="1" applyFill="1" applyBorder="1" applyAlignment="1" applyProtection="1">
      <alignment horizontal="center"/>
      <protection locked="0"/>
    </xf>
    <xf numFmtId="0" fontId="24" fillId="8" borderId="32" xfId="0" applyFont="1" applyFill="1" applyBorder="1" applyAlignment="1">
      <alignment horizontal="center"/>
    </xf>
    <xf numFmtId="0" fontId="0" fillId="18" borderId="40" xfId="0" applyFont="1" applyFill="1" applyBorder="1"/>
    <xf numFmtId="0" fontId="49" fillId="0" borderId="31" xfId="34" applyFont="1" applyBorder="1" applyAlignment="1">
      <alignment horizontal="center"/>
    </xf>
    <xf numFmtId="0" fontId="60" fillId="0" borderId="112" xfId="0" applyFont="1" applyBorder="1" applyAlignment="1">
      <alignment horizontal="center" vertical="top" wrapText="1"/>
    </xf>
    <xf numFmtId="0" fontId="23" fillId="6" borderId="14" xfId="0" applyFont="1" applyFill="1" applyBorder="1" applyAlignment="1" applyProtection="1">
      <alignment horizontal="center"/>
      <protection locked="0"/>
    </xf>
    <xf numFmtId="0" fontId="23" fillId="0" borderId="14" xfId="0" applyFont="1" applyBorder="1" applyAlignment="1">
      <alignment horizontal="center"/>
    </xf>
    <xf numFmtId="0" fontId="46" fillId="0" borderId="14" xfId="34" applyNumberFormat="1" applyFont="1" applyBorder="1" applyAlignment="1">
      <alignment horizontal="center"/>
    </xf>
    <xf numFmtId="10" fontId="23" fillId="0" borderId="14" xfId="37" applyNumberFormat="1" applyFont="1" applyFill="1" applyBorder="1" applyAlignment="1" applyProtection="1">
      <alignment horizontal="center"/>
    </xf>
    <xf numFmtId="0" fontId="24" fillId="0" borderId="0" xfId="0" applyFont="1" applyBorder="1" applyAlignment="1">
      <alignment horizontal="center" wrapText="1"/>
    </xf>
    <xf numFmtId="0" fontId="0" fillId="0" borderId="0" xfId="0" applyFont="1" applyBorder="1" applyAlignment="1" applyProtection="1">
      <alignment horizontal="center" wrapText="1"/>
    </xf>
    <xf numFmtId="0" fontId="24" fillId="8" borderId="46" xfId="0" applyFont="1" applyFill="1" applyBorder="1" applyAlignment="1">
      <alignment horizontal="center" vertical="center"/>
    </xf>
    <xf numFmtId="0" fontId="22" fillId="0" borderId="12" xfId="0" applyFont="1" applyBorder="1" applyAlignment="1">
      <alignment horizontal="center" wrapText="1"/>
    </xf>
    <xf numFmtId="0" fontId="53" fillId="0" borderId="13" xfId="0" applyFont="1" applyBorder="1" applyAlignment="1" applyProtection="1">
      <alignment horizontal="center" vertical="center" wrapText="1"/>
    </xf>
    <xf numFmtId="4" fontId="24" fillId="0" borderId="33" xfId="0" applyNumberFormat="1" applyFont="1" applyBorder="1" applyAlignment="1">
      <alignment horizontal="left"/>
    </xf>
    <xf numFmtId="0" fontId="24" fillId="0" borderId="31" xfId="35" applyFont="1" applyBorder="1" applyAlignment="1" applyProtection="1">
      <alignment horizontal="center"/>
    </xf>
    <xf numFmtId="49" fontId="0" fillId="0" borderId="47" xfId="0" applyNumberFormat="1" applyBorder="1" applyAlignment="1">
      <alignment horizontal="left"/>
    </xf>
    <xf numFmtId="0" fontId="0" fillId="6" borderId="0" xfId="33" applyNumberFormat="1" applyFont="1" applyFill="1" applyBorder="1" applyAlignment="1" applyProtection="1">
      <alignment horizontal="left" vertical="top"/>
      <protection locked="0"/>
    </xf>
    <xf numFmtId="0" fontId="0" fillId="0" borderId="0" xfId="0" applyFont="1" applyBorder="1" applyAlignment="1">
      <alignment horizontal="left"/>
    </xf>
    <xf numFmtId="0" fontId="17" fillId="0" borderId="30" xfId="33" applyFont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left" wrapText="1"/>
    </xf>
    <xf numFmtId="171" fontId="24" fillId="8" borderId="14" xfId="48" applyNumberFormat="1" applyFont="1" applyFill="1" applyBorder="1" applyAlignment="1" applyProtection="1">
      <alignment horizontal="center" vertical="center" shrinkToFit="1"/>
    </xf>
    <xf numFmtId="0" fontId="30" fillId="0" borderId="31" xfId="0" applyFont="1" applyBorder="1" applyAlignment="1" applyProtection="1">
      <alignment horizontal="left" vertical="center"/>
    </xf>
    <xf numFmtId="0" fontId="0" fillId="0" borderId="31" xfId="0" applyFont="1" applyBorder="1" applyAlignment="1">
      <alignment horizontal="left"/>
    </xf>
    <xf numFmtId="0" fontId="0" fillId="6" borderId="14" xfId="0" applyFill="1" applyBorder="1" applyAlignment="1" applyProtection="1">
      <alignment horizontal="left" vertical="top"/>
      <protection locked="0"/>
    </xf>
    <xf numFmtId="0" fontId="24" fillId="17" borderId="47" xfId="0" applyNumberFormat="1" applyFont="1" applyFill="1" applyBorder="1" applyAlignment="1" applyProtection="1">
      <alignment horizontal="left" vertical="center" wrapText="1"/>
    </xf>
    <xf numFmtId="0" fontId="24" fillId="8" borderId="32" xfId="0" applyFont="1" applyFill="1" applyBorder="1" applyAlignment="1" applyProtection="1">
      <alignment horizontal="center"/>
    </xf>
    <xf numFmtId="0" fontId="24" fillId="0" borderId="14" xfId="0" applyFont="1" applyBorder="1" applyAlignment="1">
      <alignment horizontal="center"/>
    </xf>
    <xf numFmtId="0" fontId="24" fillId="0" borderId="14" xfId="0" applyFont="1" applyFill="1" applyBorder="1" applyAlignment="1">
      <alignment horizontal="center"/>
    </xf>
    <xf numFmtId="0" fontId="23" fillId="6" borderId="33" xfId="0" applyFont="1" applyFill="1" applyBorder="1" applyAlignment="1">
      <alignment horizontal="left"/>
    </xf>
    <xf numFmtId="0" fontId="31" fillId="0" borderId="0" xfId="0" applyFont="1" applyBorder="1" applyAlignment="1">
      <alignment horizontal="right" vertical="center" wrapText="1"/>
    </xf>
    <xf numFmtId="165" fontId="23" fillId="0" borderId="0" xfId="0" applyNumberFormat="1" applyFont="1" applyBorder="1" applyAlignment="1">
      <alignment horizontal="right" vertical="top"/>
    </xf>
    <xf numFmtId="0" fontId="0" fillId="0" borderId="14" xfId="0" applyNumberFormat="1" applyBorder="1" applyAlignment="1">
      <alignment horizontal="center"/>
    </xf>
    <xf numFmtId="0" fontId="24" fillId="0" borderId="33" xfId="35" applyFont="1" applyBorder="1" applyAlignment="1" applyProtection="1">
      <alignment horizontal="center"/>
    </xf>
    <xf numFmtId="0" fontId="24" fillId="0" borderId="0" xfId="35" applyFont="1" applyBorder="1" applyAlignment="1" applyProtection="1">
      <alignment horizontal="center"/>
    </xf>
    <xf numFmtId="0" fontId="24" fillId="0" borderId="12" xfId="35" applyFont="1" applyBorder="1" applyAlignment="1" applyProtection="1">
      <alignment horizontal="center"/>
    </xf>
    <xf numFmtId="0" fontId="30" fillId="6" borderId="33" xfId="0" applyFont="1" applyFill="1" applyBorder="1" applyAlignment="1" applyProtection="1">
      <alignment horizontal="left" vertical="top" wrapText="1"/>
      <protection locked="0"/>
    </xf>
    <xf numFmtId="0" fontId="30" fillId="6" borderId="0" xfId="0" applyFont="1" applyFill="1" applyBorder="1" applyAlignment="1" applyProtection="1">
      <alignment horizontal="left" vertical="top" wrapText="1"/>
      <protection locked="0"/>
    </xf>
    <xf numFmtId="0" fontId="30" fillId="6" borderId="12" xfId="0" applyFont="1" applyFill="1" applyBorder="1" applyAlignment="1" applyProtection="1">
      <alignment horizontal="left" vertical="top" wrapText="1"/>
      <protection locked="0"/>
    </xf>
    <xf numFmtId="0" fontId="30" fillId="6" borderId="47" xfId="0" applyFont="1" applyFill="1" applyBorder="1" applyAlignment="1" applyProtection="1">
      <alignment horizontal="left" vertical="top" wrapText="1"/>
      <protection locked="0"/>
    </xf>
    <xf numFmtId="0" fontId="30" fillId="6" borderId="30" xfId="0" applyFont="1" applyFill="1" applyBorder="1" applyAlignment="1" applyProtection="1">
      <alignment horizontal="left" vertical="top" wrapText="1"/>
      <protection locked="0"/>
    </xf>
    <xf numFmtId="0" fontId="30" fillId="6" borderId="29" xfId="0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/>
    </xf>
    <xf numFmtId="0" fontId="0" fillId="8" borderId="84" xfId="0" applyFont="1" applyFill="1" applyBorder="1" applyAlignment="1">
      <alignment horizontal="center" vertical="center"/>
    </xf>
    <xf numFmtId="0" fontId="0" fillId="8" borderId="67" xfId="0" applyFont="1" applyFill="1" applyBorder="1" applyAlignment="1">
      <alignment horizontal="center" vertical="center"/>
    </xf>
    <xf numFmtId="10" fontId="24" fillId="8" borderId="32" xfId="0" applyNumberFormat="1" applyFont="1" applyFill="1" applyBorder="1" applyAlignment="1">
      <alignment horizontal="center" vertical="center"/>
    </xf>
    <xf numFmtId="0" fontId="0" fillId="0" borderId="42" xfId="0" applyFont="1" applyFill="1" applyBorder="1" applyAlignment="1">
      <alignment horizontal="center" vertical="center"/>
    </xf>
    <xf numFmtId="0" fontId="0" fillId="0" borderId="69" xfId="0" applyFont="1" applyFill="1" applyBorder="1" applyAlignment="1">
      <alignment horizontal="center" vertical="center"/>
    </xf>
    <xf numFmtId="0" fontId="0" fillId="8" borderId="42" xfId="0" applyFont="1" applyFill="1" applyBorder="1" applyAlignment="1">
      <alignment horizontal="center" vertical="center"/>
    </xf>
    <xf numFmtId="0" fontId="0" fillId="8" borderId="69" xfId="0" applyFont="1" applyFill="1" applyBorder="1" applyAlignment="1">
      <alignment horizontal="center" vertical="center"/>
    </xf>
    <xf numFmtId="0" fontId="0" fillId="0" borderId="87" xfId="0" applyFont="1" applyFill="1" applyBorder="1" applyAlignment="1">
      <alignment horizontal="center" vertical="center"/>
    </xf>
    <xf numFmtId="0" fontId="0" fillId="0" borderId="73" xfId="0" applyFont="1" applyFill="1" applyBorder="1" applyAlignment="1">
      <alignment horizontal="center" vertical="center"/>
    </xf>
    <xf numFmtId="0" fontId="17" fillId="8" borderId="32" xfId="0" applyFont="1" applyFill="1" applyBorder="1" applyAlignment="1">
      <alignment horizontal="center" vertical="center"/>
    </xf>
    <xf numFmtId="0" fontId="17" fillId="8" borderId="46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right"/>
    </xf>
    <xf numFmtId="0" fontId="24" fillId="0" borderId="32" xfId="0" applyFont="1" applyBorder="1" applyAlignment="1">
      <alignment horizontal="center"/>
    </xf>
    <xf numFmtId="0" fontId="24" fillId="0" borderId="64" xfId="0" applyFont="1" applyBorder="1" applyAlignment="1">
      <alignment horizontal="center"/>
    </xf>
    <xf numFmtId="0" fontId="24" fillId="0" borderId="32" xfId="0" applyFont="1" applyBorder="1" applyAlignment="1">
      <alignment horizontal="center" vertical="center"/>
    </xf>
    <xf numFmtId="49" fontId="0" fillId="0" borderId="14" xfId="0" applyNumberFormat="1" applyBorder="1" applyAlignment="1">
      <alignment horizontal="left"/>
    </xf>
    <xf numFmtId="0" fontId="24" fillId="0" borderId="34" xfId="0" applyFont="1" applyBorder="1" applyAlignment="1" applyProtection="1">
      <alignment horizontal="center"/>
    </xf>
    <xf numFmtId="0" fontId="53" fillId="0" borderId="32" xfId="0" applyFont="1" applyBorder="1" applyAlignment="1" applyProtection="1">
      <alignment horizontal="center" vertical="center" wrapText="1"/>
    </xf>
    <xf numFmtId="4" fontId="24" fillId="0" borderId="31" xfId="0" applyNumberFormat="1" applyFont="1" applyBorder="1" applyAlignment="1">
      <alignment horizontal="left"/>
    </xf>
    <xf numFmtId="0" fontId="0" fillId="0" borderId="0" xfId="33" applyNumberFormat="1" applyFont="1" applyFill="1" applyBorder="1" applyAlignment="1" applyProtection="1">
      <alignment horizontal="left" vertical="top"/>
    </xf>
    <xf numFmtId="0" fontId="0" fillId="0" borderId="0" xfId="0" applyFont="1"/>
    <xf numFmtId="0" fontId="0" fillId="0" borderId="39" xfId="33" applyFont="1" applyBorder="1" applyAlignment="1" applyProtection="1">
      <alignment horizontal="right"/>
    </xf>
    <xf numFmtId="180" fontId="24" fillId="0" borderId="41" xfId="48" applyNumberFormat="1" applyFont="1" applyFill="1" applyBorder="1" applyAlignment="1" applyProtection="1">
      <alignment vertical="top" shrinkToFit="1"/>
    </xf>
    <xf numFmtId="0" fontId="0" fillId="0" borderId="74" xfId="33" applyFont="1" applyBorder="1" applyAlignment="1" applyProtection="1">
      <alignment horizontal="right"/>
    </xf>
    <xf numFmtId="10" fontId="24" fillId="0" borderId="75" xfId="37" applyNumberFormat="1" applyFont="1" applyFill="1" applyBorder="1" applyAlignment="1" applyProtection="1">
      <alignment horizontal="right" vertical="top" shrinkToFit="1"/>
    </xf>
    <xf numFmtId="0" fontId="0" fillId="6" borderId="0" xfId="33" applyFont="1" applyFill="1" applyBorder="1" applyAlignment="1" applyProtection="1">
      <alignment horizontal="left" vertical="top" wrapText="1"/>
      <protection locked="0"/>
    </xf>
    <xf numFmtId="0" fontId="0" fillId="0" borderId="0" xfId="33" applyFont="1" applyBorder="1" applyAlignment="1" applyProtection="1">
      <alignment horizontal="left" vertical="top" wrapText="1"/>
    </xf>
    <xf numFmtId="0" fontId="0" fillId="0" borderId="53" xfId="33" applyFont="1" applyBorder="1" applyAlignment="1" applyProtection="1">
      <alignment horizontal="center"/>
    </xf>
    <xf numFmtId="0" fontId="0" fillId="0" borderId="0" xfId="33" applyFont="1" applyFill="1" applyBorder="1" applyAlignment="1" applyProtection="1">
      <alignment horizontal="left" wrapText="1"/>
    </xf>
    <xf numFmtId="0" fontId="0" fillId="0" borderId="0" xfId="33" applyNumberFormat="1" applyFont="1" applyFill="1" applyBorder="1" applyAlignment="1" applyProtection="1">
      <alignment vertical="center"/>
    </xf>
    <xf numFmtId="0" fontId="0" fillId="6" borderId="0" xfId="33" applyFont="1" applyFill="1" applyBorder="1" applyAlignment="1" applyProtection="1">
      <alignment horizontal="left" vertical="top"/>
      <protection locked="0"/>
    </xf>
    <xf numFmtId="0" fontId="0" fillId="0" borderId="0" xfId="33" applyFont="1" applyFill="1" applyBorder="1" applyAlignment="1" applyProtection="1">
      <alignment horizontal="left"/>
    </xf>
    <xf numFmtId="0" fontId="0" fillId="0" borderId="0" xfId="33" applyFont="1" applyFill="1" applyBorder="1" applyAlignment="1" applyProtection="1">
      <alignment horizontal="left" vertical="top" wrapText="1" shrinkToFit="1"/>
    </xf>
    <xf numFmtId="0" fontId="0" fillId="0" borderId="0" xfId="33" applyNumberFormat="1" applyFont="1" applyFill="1" applyBorder="1" applyAlignment="1" applyProtection="1">
      <alignment horizontal="left" vertical="top" wrapText="1"/>
    </xf>
    <xf numFmtId="0" fontId="0" fillId="0" borderId="54" xfId="33" applyFont="1" applyFill="1" applyBorder="1" applyAlignment="1" applyProtection="1">
      <alignment horizontal="center" vertical="center" wrapText="1"/>
    </xf>
    <xf numFmtId="0" fontId="0" fillId="0" borderId="68" xfId="33" applyFont="1" applyBorder="1" applyAlignment="1" applyProtection="1">
      <alignment horizontal="center" vertical="center" wrapText="1"/>
    </xf>
    <xf numFmtId="0" fontId="24" fillId="8" borderId="113" xfId="0" applyFont="1" applyFill="1" applyBorder="1" applyAlignment="1">
      <alignment horizontal="center" vertical="center" wrapText="1"/>
    </xf>
    <xf numFmtId="0" fontId="24" fillId="8" borderId="114" xfId="0" applyFont="1" applyFill="1" applyBorder="1" applyAlignment="1">
      <alignment horizontal="center" vertical="center" wrapText="1"/>
    </xf>
    <xf numFmtId="49" fontId="0" fillId="6" borderId="0" xfId="33" applyNumberFormat="1" applyFont="1" applyFill="1" applyBorder="1" applyAlignment="1" applyProtection="1">
      <alignment horizontal="left"/>
      <protection locked="0"/>
    </xf>
    <xf numFmtId="168" fontId="0" fillId="0" borderId="0" xfId="33" applyNumberFormat="1" applyFont="1" applyFill="1" applyBorder="1" applyAlignment="1" applyProtection="1">
      <alignment horizontal="right"/>
    </xf>
    <xf numFmtId="0" fontId="0" fillId="0" borderId="0" xfId="33" applyFont="1" applyBorder="1" applyAlignment="1" applyProtection="1">
      <alignment horizontal="center"/>
    </xf>
    <xf numFmtId="171" fontId="24" fillId="8" borderId="115" xfId="48" applyFont="1" applyFill="1" applyBorder="1" applyAlignment="1" applyProtection="1">
      <alignment horizontal="center" vertical="center"/>
    </xf>
    <xf numFmtId="171" fontId="24" fillId="8" borderId="116" xfId="48" applyFont="1" applyFill="1" applyBorder="1" applyAlignment="1" applyProtection="1">
      <alignment horizontal="center" vertical="center"/>
    </xf>
    <xf numFmtId="0" fontId="24" fillId="8" borderId="117" xfId="0" applyFont="1" applyFill="1" applyBorder="1" applyAlignment="1">
      <alignment horizontal="center" vertical="center" wrapText="1"/>
    </xf>
    <xf numFmtId="0" fontId="24" fillId="8" borderId="87" xfId="0" applyFont="1" applyFill="1" applyBorder="1" applyAlignment="1">
      <alignment horizontal="center" vertical="center" wrapText="1"/>
    </xf>
  </cellXfs>
  <cellStyles count="50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Hiperlink" xfId="30" builtinId="8"/>
    <cellStyle name="Moeda" xfId="31" builtinId="4"/>
    <cellStyle name="Moeda_Composicao BDI v2.1" xfId="32"/>
    <cellStyle name="Normal" xfId="0" builtinId="0"/>
    <cellStyle name="Normal 2" xfId="33"/>
    <cellStyle name="Normal 3" xfId="34"/>
    <cellStyle name="Normal_FICHA DE VERIFICAÇÃO PRELIMINAR - Plano R" xfId="35"/>
    <cellStyle name="Nota" xfId="36" builtinId="10" customBuiltin="1"/>
    <cellStyle name="Porcentagem" xfId="37" builtinId="5"/>
    <cellStyle name="Porcentagem 2" xfId="38"/>
    <cellStyle name="Saída" xfId="39" builtinId="21" customBuiltin="1"/>
    <cellStyle name="Texto de Aviso" xfId="40" builtinId="11" customBuiltin="1"/>
    <cellStyle name="Texto Explicativo" xfId="41" builtinId="53" customBuiltin="1"/>
    <cellStyle name="Título 1" xfId="42" builtinId="16" customBuiltin="1"/>
    <cellStyle name="Título 2" xfId="43" builtinId="17" customBuiltin="1"/>
    <cellStyle name="Título 3" xfId="44" builtinId="18" customBuiltin="1"/>
    <cellStyle name="Título 4" xfId="45" builtinId="19" customBuiltin="1"/>
    <cellStyle name="Título 5" xfId="46"/>
    <cellStyle name="Total" xfId="47" builtinId="25" customBuiltin="1"/>
    <cellStyle name="Vírgula" xfId="48" builtinId="3"/>
    <cellStyle name="Vírgula 2" xfId="49"/>
  </cellStyles>
  <dxfs count="1494"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ill>
        <patternFill patternType="solid">
          <fgColor indexed="13"/>
          <bgColor indexed="51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 style="thin">
          <color indexed="64"/>
        </right>
      </border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ill>
        <patternFill>
          <bgColor rgb="FFFFC000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color theme="0"/>
      </font>
      <border>
        <left/>
        <right/>
      </border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9"/>
      </font>
      <border>
        <left/>
      </border>
    </dxf>
    <dxf>
      <font>
        <b val="0"/>
        <condense val="0"/>
        <extend val="0"/>
        <color indexed="44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44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color theme="0"/>
      </font>
      <border>
        <left/>
        <right/>
      </border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9"/>
      </font>
      <border>
        <left/>
      </border>
    </dxf>
    <dxf>
      <font>
        <b val="0"/>
        <condense val="0"/>
        <extend val="0"/>
        <color indexed="44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44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border>
        <top style="thin">
          <color indexed="64"/>
        </top>
      </border>
    </dxf>
    <dxf>
      <border>
        <left style="thin">
          <color indexed="8"/>
        </left>
        <right style="thin">
          <color indexed="8"/>
        </right>
        <top/>
        <bottom/>
      </border>
    </dxf>
    <dxf>
      <font>
        <b/>
        <i val="0"/>
        <condense val="0"/>
        <extend val="0"/>
        <color indexed="10"/>
      </font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</dxf>
    <dxf>
      <font>
        <b val="0"/>
        <condense val="0"/>
        <extend val="0"/>
        <color indexed="17"/>
      </font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condense val="0"/>
        <extend val="0"/>
        <color indexed="10"/>
      </font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 style="thin">
          <color indexed="64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2F2FF"/>
      <rgbColor rgb="00DFDFDF"/>
      <rgbColor rgb="00FFFF99"/>
      <rgbColor rgb="00BFBFBF"/>
      <rgbColor rgb="00FF99CC"/>
      <rgbColor rgb="00A7A7A7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Spin" dx="15" fmlaLink="$J$9" max="30000" min="1" page="10"/>
</file>

<file path=xl/ctrlProps/ctrlProp11.xml><?xml version="1.0" encoding="utf-8"?>
<formControlPr xmlns="http://schemas.microsoft.com/office/spreadsheetml/2009/9/main" objectType="CheckBox" checked="Checked" fmlaLink="$A$9" noThreeD="1"/>
</file>

<file path=xl/ctrlProps/ctrlProp12.xml><?xml version="1.0" encoding="utf-8"?>
<formControlPr xmlns="http://schemas.microsoft.com/office/spreadsheetml/2009/9/main" objectType="Spin" dx="15" fmlaLink="$O$8" max="30000" min="1" page="10"/>
</file>

<file path=xl/ctrlProps/ctrlProp2.xml><?xml version="1.0" encoding="utf-8"?>
<formControlPr xmlns="http://schemas.microsoft.com/office/spreadsheetml/2009/9/main" objectType="Drop" dropStyle="combo" dx="26" fmlaLink="$O$4" fmlaRange="$J$7:$J$8" noThreeD="1" sel="2" val="0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Drop" dropStyle="combo" dx="26" fmlaLink="$O$3" fmlaRange="$J$5:$J$6" noThreeD="1" sel="1" val="0"/>
</file>

<file path=xl/ctrlProps/ctrlProp5.xml><?xml version="1.0" encoding="utf-8"?>
<formControlPr xmlns="http://schemas.microsoft.com/office/spreadsheetml/2009/9/main" objectType="CheckBox" checked="Checked" fmlaLink="$AF$7"/>
</file>

<file path=xl/ctrlProps/ctrlProp6.xml><?xml version="1.0" encoding="utf-8"?>
<formControlPr xmlns="http://schemas.microsoft.com/office/spreadsheetml/2009/9/main" objectType="CheckBox" checked="Checked" fmlaLink="$AF$8"/>
</file>

<file path=xl/ctrlProps/ctrlProp7.xml><?xml version="1.0" encoding="utf-8"?>
<formControlPr xmlns="http://schemas.microsoft.com/office/spreadsheetml/2009/9/main" objectType="CheckBox" checked="Checked" fmlaLink="$AF$9"/>
</file>

<file path=xl/ctrlProps/ctrlProp8.xml><?xml version="1.0" encoding="utf-8"?>
<formControlPr xmlns="http://schemas.microsoft.com/office/spreadsheetml/2009/9/main" objectType="CheckBox" checked="Checked" fmlaLink="$AF$10"/>
</file>

<file path=xl/ctrlProps/ctrlProp9.xml><?xml version="1.0" encoding="utf-8"?>
<formControlPr xmlns="http://schemas.microsoft.com/office/spreadsheetml/2009/9/main" objectType="CheckBox" checked="Checked" fmlaLink="$AF$1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C&#193;LCULO!D13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RRE!E13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RRE!E13"/><Relationship Id="rId2" Type="http://schemas.openxmlformats.org/officeDocument/2006/relationships/image" Target="../media/image2.emf"/><Relationship Id="rId1" Type="http://schemas.openxmlformats.org/officeDocument/2006/relationships/hyperlink" Target="#Menu!E6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Of&#237;cio!C6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RRE!E13"/><Relationship Id="rId1" Type="http://schemas.openxmlformats.org/officeDocument/2006/relationships/hyperlink" Target="#Menu!E6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E6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E6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OR&#199;AMENTO!M13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BDI!Q11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C&#193;LCULO!D13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EVENTOS!A1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OR&#199;AMENTO!M13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C&#193;LCULO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CRONOPLE!B2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CRONO!E7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2087880</xdr:colOff>
      <xdr:row>2</xdr:row>
      <xdr:rowOff>259080</xdr:rowOff>
    </xdr:to>
    <xdr:pic>
      <xdr:nvPicPr>
        <xdr:cNvPr id="20321" name="Imagem 23">
          <a:extLst>
            <a:ext uri="{FF2B5EF4-FFF2-40B4-BE49-F238E27FC236}">
              <a16:creationId xmlns:a16="http://schemas.microsoft.com/office/drawing/2014/main" id="{00000000-0008-0000-0000-0000614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" y="190500"/>
          <a:ext cx="2476500" cy="5410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</xdr:colOff>
          <xdr:row>4</xdr:row>
          <xdr:rowOff>0</xdr:rowOff>
        </xdr:from>
        <xdr:to>
          <xdr:col>2</xdr:col>
          <xdr:colOff>1264920</xdr:colOff>
          <xdr:row>6</xdr:row>
          <xdr:rowOff>7620</xdr:rowOff>
        </xdr:to>
        <xdr:grpSp>
          <xdr:nvGrpSpPr>
            <xdr:cNvPr id="20322" name="TipoOrçamento">
              <a:extLst>
                <a:ext uri="{FF2B5EF4-FFF2-40B4-BE49-F238E27FC236}">
                  <a16:creationId xmlns:a16="http://schemas.microsoft.com/office/drawing/2014/main" id="{00000000-0008-0000-0000-0000624F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579120" y="971545"/>
              <a:ext cx="1257300" cy="483870"/>
              <a:chOff x="523876" y="971528"/>
              <a:chExt cx="1257300" cy="485775"/>
            </a:xfrm>
          </xdr:grpSpPr>
          <xdr:sp macro="" textlink="">
            <xdr:nvSpPr>
              <xdr:cNvPr id="15377" name="Group Box 17" descr="Tipo de Orçamento          " hidden="1">
                <a:extLst>
                  <a:ext uri="{63B3BB69-23CF-44E3-9099-C40C66FF867C}">
                    <a14:compatExt spid="_x0000_s15377"/>
                  </a:ext>
                  <a:ext uri="{FF2B5EF4-FFF2-40B4-BE49-F238E27FC236}">
                    <a16:creationId xmlns:a16="http://schemas.microsoft.com/office/drawing/2014/main" id="{00000000-0008-0000-0000-0000113C0000}"/>
                  </a:ext>
                </a:extLst>
              </xdr:cNvPr>
              <xdr:cNvSpPr/>
            </xdr:nvSpPr>
            <xdr:spPr bwMode="auto">
              <a:xfrm>
                <a:off x="523876" y="971528"/>
                <a:ext cx="1257300" cy="48577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Tipo de Orçamento          </a:t>
                </a:r>
              </a:p>
            </xdr:txBody>
          </xdr:sp>
          <xdr:sp macro="" textlink="">
            <xdr:nvSpPr>
              <xdr:cNvPr id="15453" name="Drop Down 93" hidden="1">
                <a:extLst>
                  <a:ext uri="{63B3BB69-23CF-44E3-9099-C40C66FF867C}">
                    <a14:compatExt spid="_x0000_s15453"/>
                  </a:ext>
                  <a:ext uri="{FF2B5EF4-FFF2-40B4-BE49-F238E27FC236}">
                    <a16:creationId xmlns:a16="http://schemas.microsoft.com/office/drawing/2014/main" id="{00000000-0008-0000-0000-00005D3C0000}"/>
                  </a:ext>
                </a:extLst>
              </xdr:cNvPr>
              <xdr:cNvSpPr/>
            </xdr:nvSpPr>
            <xdr:spPr bwMode="auto">
              <a:xfrm>
                <a:off x="647699" y="1133476"/>
                <a:ext cx="981076" cy="219074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1363980</xdr:colOff>
          <xdr:row>4</xdr:row>
          <xdr:rowOff>0</xdr:rowOff>
        </xdr:from>
        <xdr:to>
          <xdr:col>3</xdr:col>
          <xdr:colOff>22860</xdr:colOff>
          <xdr:row>6</xdr:row>
          <xdr:rowOff>7620</xdr:rowOff>
        </xdr:to>
        <xdr:grpSp>
          <xdr:nvGrpSpPr>
            <xdr:cNvPr id="20323" name="Acompanhamento">
              <a:extLst>
                <a:ext uri="{FF2B5EF4-FFF2-40B4-BE49-F238E27FC236}">
                  <a16:creationId xmlns:a16="http://schemas.microsoft.com/office/drawing/2014/main" id="{00000000-0008-0000-0000-0000634F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935480" y="971539"/>
              <a:ext cx="1230630" cy="483870"/>
              <a:chOff x="1790701" y="971522"/>
              <a:chExt cx="1304925" cy="485775"/>
            </a:xfrm>
          </xdr:grpSpPr>
          <xdr:sp macro="" textlink="">
            <xdr:nvSpPr>
              <xdr:cNvPr id="15384" name="Group Box 24" hidden="1">
                <a:extLst>
                  <a:ext uri="{63B3BB69-23CF-44E3-9099-C40C66FF867C}">
                    <a14:compatExt spid="_x0000_s15384"/>
                  </a:ext>
                  <a:ext uri="{FF2B5EF4-FFF2-40B4-BE49-F238E27FC236}">
                    <a16:creationId xmlns:a16="http://schemas.microsoft.com/office/drawing/2014/main" id="{00000000-0008-0000-0000-0000183C0000}"/>
                  </a:ext>
                </a:extLst>
              </xdr:cNvPr>
              <xdr:cNvSpPr/>
            </xdr:nvSpPr>
            <xdr:spPr bwMode="auto">
              <a:xfrm>
                <a:off x="1790701" y="971522"/>
                <a:ext cx="1304925" cy="48577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Acompanhamento     </a:t>
                </a:r>
              </a:p>
            </xdr:txBody>
          </xdr:sp>
          <xdr:sp macro="" textlink="">
            <xdr:nvSpPr>
              <xdr:cNvPr id="15454" name="Drop Down 94" hidden="1">
                <a:extLst>
                  <a:ext uri="{63B3BB69-23CF-44E3-9099-C40C66FF867C}">
                    <a14:compatExt spid="_x0000_s15454"/>
                  </a:ext>
                  <a:ext uri="{FF2B5EF4-FFF2-40B4-BE49-F238E27FC236}">
                    <a16:creationId xmlns:a16="http://schemas.microsoft.com/office/drawing/2014/main" id="{00000000-0008-0000-0000-00005E3C0000}"/>
                  </a:ext>
                </a:extLst>
              </xdr:cNvPr>
              <xdr:cNvSpPr/>
            </xdr:nvSpPr>
            <xdr:spPr bwMode="auto">
              <a:xfrm>
                <a:off x="1924050" y="1133475"/>
                <a:ext cx="9810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9</xdr:col>
      <xdr:colOff>9526</xdr:colOff>
      <xdr:row>6</xdr:row>
      <xdr:rowOff>160019</xdr:rowOff>
    </xdr:from>
    <xdr:to>
      <xdr:col>9</xdr:col>
      <xdr:colOff>1144906</xdr:colOff>
      <xdr:row>9</xdr:row>
      <xdr:rowOff>38099</xdr:rowOff>
    </xdr:to>
    <xdr:sp macro="[0]!imprimirPROPOSTA" textlink="" fLocksText="0">
      <xdr:nvSpPr>
        <xdr:cNvPr id="10" name="Bot.ImprimirPropost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9629776" y="1600199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9525</xdr:colOff>
      <xdr:row>14</xdr:row>
      <xdr:rowOff>160020</xdr:rowOff>
    </xdr:from>
    <xdr:to>
      <xdr:col>9</xdr:col>
      <xdr:colOff>1144905</xdr:colOff>
      <xdr:row>17</xdr:row>
      <xdr:rowOff>38100</xdr:rowOff>
    </xdr:to>
    <xdr:sp macro="[0]!imprimirLICITADO" textlink="" fLocksText="0">
      <xdr:nvSpPr>
        <xdr:cNvPr id="12" name="Bot.ImprimirLicitaca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9629775" y="3228975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0</xdr:colOff>
      <xdr:row>18</xdr:row>
      <xdr:rowOff>142875</xdr:rowOff>
    </xdr:from>
    <xdr:to>
      <xdr:col>9</xdr:col>
      <xdr:colOff>1135380</xdr:colOff>
      <xdr:row>21</xdr:row>
      <xdr:rowOff>28575</xdr:rowOff>
    </xdr:to>
    <xdr:sp macro="[0]!imprimirMedicao" textlink="" fLocksText="0">
      <xdr:nvSpPr>
        <xdr:cNvPr id="13" name="Bot.ImprimirAcompanhamen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9620250" y="4086225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9524</xdr:colOff>
      <xdr:row>2</xdr:row>
      <xdr:rowOff>0</xdr:rowOff>
    </xdr:from>
    <xdr:to>
      <xdr:col>11</xdr:col>
      <xdr:colOff>47625</xdr:colOff>
      <xdr:row>5</xdr:row>
      <xdr:rowOff>66675</xdr:rowOff>
    </xdr:to>
    <xdr:sp macro="[0]!Importar" textlink="" fLocksText="0">
      <xdr:nvSpPr>
        <xdr:cNvPr id="14" name="Bot.Importar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9629774" y="476250"/>
          <a:ext cx="1504951" cy="7715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IMPORTAR DE OUTRA PLANILHA MÚLTIPLA (A PARTIR DA VERSÃO 3)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137160</xdr:colOff>
      <xdr:row>3</xdr:row>
      <xdr:rowOff>182880</xdr:rowOff>
    </xdr:to>
    <xdr:pic>
      <xdr:nvPicPr>
        <xdr:cNvPr id="11144" name="Picture 2">
          <a:extLst>
            <a:ext uri="{FF2B5EF4-FFF2-40B4-BE49-F238E27FC236}">
              <a16:creationId xmlns:a16="http://schemas.microsoft.com/office/drawing/2014/main" id="{00000000-0008-0000-0900-0000882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185928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0</xdr:colOff>
      <xdr:row>7</xdr:row>
      <xdr:rowOff>147108</xdr:rowOff>
    </xdr:from>
    <xdr:to>
      <xdr:col>2</xdr:col>
      <xdr:colOff>28575</xdr:colOff>
      <xdr:row>9</xdr:row>
      <xdr:rowOff>109185</xdr:rowOff>
    </xdr:to>
    <xdr:sp macro="" textlink="" fLocksText="0">
      <xdr:nvSpPr>
        <xdr:cNvPr id="10243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3280000}"/>
            </a:ext>
          </a:extLst>
        </xdr:cNvPr>
        <xdr:cNvSpPr>
          <a:spLocks noChangeArrowheads="1"/>
        </xdr:cNvSpPr>
      </xdr:nvSpPr>
      <xdr:spPr bwMode="auto">
        <a:xfrm>
          <a:off x="254000" y="1025525"/>
          <a:ext cx="568325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8</xdr:row>
          <xdr:rowOff>9525</xdr:rowOff>
        </xdr:from>
        <xdr:to>
          <xdr:col>11</xdr:col>
          <xdr:colOff>209550</xdr:colOff>
          <xdr:row>9</xdr:row>
          <xdr:rowOff>0</xdr:rowOff>
        </xdr:to>
        <xdr:sp macro="" textlink="">
          <xdr:nvSpPr>
            <xdr:cNvPr id="10246" name="Botão de rotação 275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9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</xdr:col>
      <xdr:colOff>0</xdr:colOff>
      <xdr:row>10</xdr:row>
      <xdr:rowOff>0</xdr:rowOff>
    </xdr:from>
    <xdr:to>
      <xdr:col>2</xdr:col>
      <xdr:colOff>31751</xdr:colOff>
      <xdr:row>10</xdr:row>
      <xdr:rowOff>302683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Arrowheads="1"/>
        </xdr:cNvSpPr>
      </xdr:nvSpPr>
      <xdr:spPr bwMode="auto">
        <a:xfrm>
          <a:off x="254000" y="13970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←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  <xdr:twoCellAnchor>
    <xdr:from>
      <xdr:col>1</xdr:col>
      <xdr:colOff>0</xdr:colOff>
      <xdr:row>10</xdr:row>
      <xdr:rowOff>367453</xdr:rowOff>
    </xdr:from>
    <xdr:to>
      <xdr:col>2</xdr:col>
      <xdr:colOff>31751</xdr:colOff>
      <xdr:row>10</xdr:row>
      <xdr:rowOff>670136</xdr:rowOff>
    </xdr:to>
    <xdr:sp macro="" textlink="" fLocksText="0">
      <xdr:nvSpPr>
        <xdr:cNvPr id="6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 noChangeArrowheads="1"/>
        </xdr:cNvSpPr>
      </xdr:nvSpPr>
      <xdr:spPr bwMode="auto">
        <a:xfrm>
          <a:off x="254000" y="175683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</xdr:colOff>
      <xdr:row>0</xdr:row>
      <xdr:rowOff>0</xdr:rowOff>
    </xdr:from>
    <xdr:to>
      <xdr:col>5</xdr:col>
      <xdr:colOff>114300</xdr:colOff>
      <xdr:row>0</xdr:row>
      <xdr:rowOff>381000</xdr:rowOff>
    </xdr:to>
    <xdr:pic>
      <xdr:nvPicPr>
        <xdr:cNvPr id="23044" name="Picture 2">
          <a:extLst>
            <a:ext uri="{FF2B5EF4-FFF2-40B4-BE49-F238E27FC236}">
              <a16:creationId xmlns:a16="http://schemas.microsoft.com/office/drawing/2014/main" id="{00000000-0008-0000-0A00-0000045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0"/>
          <a:ext cx="184404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13</xdr:col>
      <xdr:colOff>116417</xdr:colOff>
      <xdr:row>7</xdr:row>
      <xdr:rowOff>140970</xdr:rowOff>
    </xdr:from>
    <xdr:to>
      <xdr:col>15</xdr:col>
      <xdr:colOff>2988</xdr:colOff>
      <xdr:row>10</xdr:row>
      <xdr:rowOff>148236</xdr:rowOff>
    </xdr:to>
    <xdr:sp macro="" textlink="" fLocksText="0">
      <xdr:nvSpPr>
        <xdr:cNvPr id="11268" name="AutoShape 317">
          <a:extLst>
            <a:ext uri="{FF2B5EF4-FFF2-40B4-BE49-F238E27FC236}">
              <a16:creationId xmlns:a16="http://schemas.microsoft.com/office/drawing/2014/main" id="{00000000-0008-0000-0A00-0000042C0000}"/>
            </a:ext>
          </a:extLst>
        </xdr:cNvPr>
        <xdr:cNvSpPr>
          <a:spLocks noChangeArrowheads="1"/>
        </xdr:cNvSpPr>
      </xdr:nvSpPr>
      <xdr:spPr bwMode="auto">
        <a:xfrm>
          <a:off x="12096750" y="1361017"/>
          <a:ext cx="2116667" cy="491066"/>
        </a:xfrm>
        <a:prstGeom prst="wedgeRectCallout">
          <a:avLst>
            <a:gd name="adj1" fmla="val 121111"/>
            <a:gd name="adj2" fmla="val 52440"/>
          </a:avLst>
        </a:prstGeom>
        <a:solidFill>
          <a:srgbClr val="FFFF99"/>
        </a:solidFill>
        <a:ln w="9360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2680" rIns="0" bIns="0" anchor="t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Para inclusão de metas de outras Plan. Mult., digite a descrição e valores manualmente ao lado.</a:t>
          </a:r>
        </a:p>
      </xdr:txBody>
    </xdr:sp>
    <xdr:clientData fPrintsWithSheet="0"/>
  </xdr:twoCellAnchor>
  <xdr:twoCellAnchor>
    <xdr:from>
      <xdr:col>3</xdr:col>
      <xdr:colOff>66675</xdr:colOff>
      <xdr:row>8</xdr:row>
      <xdr:rowOff>9525</xdr:rowOff>
    </xdr:from>
    <xdr:to>
      <xdr:col>4</xdr:col>
      <xdr:colOff>198145</xdr:colOff>
      <xdr:row>10</xdr:row>
      <xdr:rowOff>1059</xdr:rowOff>
    </xdr:to>
    <xdr:sp macro="" textlink="" fLocksText="0">
      <xdr:nvSpPr>
        <xdr:cNvPr id="11269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52C0000}"/>
            </a:ext>
          </a:extLst>
        </xdr:cNvPr>
        <xdr:cNvSpPr>
          <a:spLocks noChangeArrowheads="1"/>
        </xdr:cNvSpPr>
      </xdr:nvSpPr>
      <xdr:spPr bwMode="auto">
        <a:xfrm>
          <a:off x="2066925" y="1419225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4</xdr:col>
      <xdr:colOff>369570</xdr:colOff>
      <xdr:row>8</xdr:row>
      <xdr:rowOff>11430</xdr:rowOff>
    </xdr:from>
    <xdr:to>
      <xdr:col>5</xdr:col>
      <xdr:colOff>558186</xdr:colOff>
      <xdr:row>10</xdr:row>
      <xdr:rowOff>9710</xdr:rowOff>
    </xdr:to>
    <xdr:sp macro="[0]!Linhas.AddLinha" textlink="" fLocksText="0">
      <xdr:nvSpPr>
        <xdr:cNvPr id="11270" name="AutoShape 67">
          <a:extLst>
            <a:ext uri="{FF2B5EF4-FFF2-40B4-BE49-F238E27FC236}">
              <a16:creationId xmlns:a16="http://schemas.microsoft.com/office/drawing/2014/main" id="{00000000-0008-0000-0A00-0000062C0000}"/>
            </a:ext>
          </a:extLst>
        </xdr:cNvPr>
        <xdr:cNvSpPr>
          <a:spLocks noChangeArrowheads="1"/>
        </xdr:cNvSpPr>
      </xdr:nvSpPr>
      <xdr:spPr bwMode="auto">
        <a:xfrm>
          <a:off x="2809875" y="142875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5</xdr:col>
      <xdr:colOff>691515</xdr:colOff>
      <xdr:row>8</xdr:row>
      <xdr:rowOff>9525</xdr:rowOff>
    </xdr:from>
    <xdr:to>
      <xdr:col>6</xdr:col>
      <xdr:colOff>198119</xdr:colOff>
      <xdr:row>10</xdr:row>
      <xdr:rowOff>1059</xdr:rowOff>
    </xdr:to>
    <xdr:sp macro="[0]!Linhas.ExcLinhas" textlink="" fLocksText="0">
      <xdr:nvSpPr>
        <xdr:cNvPr id="11271" name="AutoShape 67">
          <a:extLst>
            <a:ext uri="{FF2B5EF4-FFF2-40B4-BE49-F238E27FC236}">
              <a16:creationId xmlns:a16="http://schemas.microsoft.com/office/drawing/2014/main" id="{00000000-0008-0000-0A00-0000072C0000}"/>
            </a:ext>
          </a:extLst>
        </xdr:cNvPr>
        <xdr:cNvSpPr>
          <a:spLocks noChangeArrowheads="1"/>
        </xdr:cNvSpPr>
      </xdr:nvSpPr>
      <xdr:spPr bwMode="auto">
        <a:xfrm>
          <a:off x="4371975" y="1419225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  <xdr:twoCellAnchor>
    <xdr:from>
      <xdr:col>7</xdr:col>
      <xdr:colOff>766657</xdr:colOff>
      <xdr:row>8</xdr:row>
      <xdr:rowOff>10583</xdr:rowOff>
    </xdr:from>
    <xdr:to>
      <xdr:col>9</xdr:col>
      <xdr:colOff>463768</xdr:colOff>
      <xdr:row>10</xdr:row>
      <xdr:rowOff>4233</xdr:rowOff>
    </xdr:to>
    <xdr:sp macro="[0]!cpQCItoCR" textlink="" fLocksText="0">
      <xdr:nvSpPr>
        <xdr:cNvPr id="7" name="AutoShape 67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>
          <a:spLocks noChangeArrowheads="1"/>
        </xdr:cNvSpPr>
      </xdr:nvSpPr>
      <xdr:spPr bwMode="auto">
        <a:xfrm>
          <a:off x="6985000" y="1397000"/>
          <a:ext cx="1599141" cy="31115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CP QCI = CP CONTRATO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1276350</xdr:colOff>
      <xdr:row>8</xdr:row>
      <xdr:rowOff>57150</xdr:rowOff>
    </xdr:from>
    <xdr:to>
      <xdr:col>12</xdr:col>
      <xdr:colOff>445815</xdr:colOff>
      <xdr:row>10</xdr:row>
      <xdr:rowOff>85725</xdr:rowOff>
    </xdr:to>
    <xdr:sp macro="" textlink="" fLocksText="0">
      <xdr:nvSpPr>
        <xdr:cNvPr id="12293" name="TextBoxArred">
          <a:extLst>
            <a:ext uri="{FF2B5EF4-FFF2-40B4-BE49-F238E27FC236}">
              <a16:creationId xmlns:a16="http://schemas.microsoft.com/office/drawing/2014/main" id="{00000000-0008-0000-0B00-000005300000}"/>
            </a:ext>
          </a:extLst>
        </xdr:cNvPr>
        <xdr:cNvSpPr txBox="1">
          <a:spLocks noChangeArrowheads="1"/>
        </xdr:cNvSpPr>
      </xdr:nvSpPr>
      <xdr:spPr bwMode="auto">
        <a:xfrm flipH="1">
          <a:off x="12411075" y="1314450"/>
          <a:ext cx="2790825" cy="352425"/>
        </a:xfrm>
        <a:prstGeom prst="rect">
          <a:avLst/>
        </a:prstGeom>
        <a:noFill/>
        <a:ln w="648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2680" rIns="27360" bIns="0" anchor="t"/>
        <a:lstStyle/>
        <a:p>
          <a:pPr algn="ct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Considerar valores arredondados com (0,00)</a:t>
          </a:r>
        </a:p>
      </xdr:txBody>
    </xdr:sp>
    <xdr:clientData fPrintsWithSheet="0"/>
  </xdr:twoCellAnchor>
  <xdr:twoCellAnchor>
    <xdr:from>
      <xdr:col>3</xdr:col>
      <xdr:colOff>95250</xdr:colOff>
      <xdr:row>8</xdr:row>
      <xdr:rowOff>114300</xdr:rowOff>
    </xdr:from>
    <xdr:to>
      <xdr:col>3</xdr:col>
      <xdr:colOff>681990</xdr:colOff>
      <xdr:row>10</xdr:row>
      <xdr:rowOff>104775</xdr:rowOff>
    </xdr:to>
    <xdr:sp macro="" textlink="" fLocksText="0">
      <xdr:nvSpPr>
        <xdr:cNvPr id="12294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6300000}"/>
            </a:ext>
          </a:extLst>
        </xdr:cNvPr>
        <xdr:cNvSpPr>
          <a:spLocks noChangeArrowheads="1"/>
        </xdr:cNvSpPr>
      </xdr:nvSpPr>
      <xdr:spPr bwMode="auto">
        <a:xfrm>
          <a:off x="3895725" y="1371600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219075</xdr:colOff>
          <xdr:row>9</xdr:row>
          <xdr:rowOff>47625</xdr:rowOff>
        </xdr:from>
        <xdr:to>
          <xdr:col>10</xdr:col>
          <xdr:colOff>523875</xdr:colOff>
          <xdr:row>10</xdr:row>
          <xdr:rowOff>114300</xdr:rowOff>
        </xdr:to>
        <xdr:sp macro="" textlink="">
          <xdr:nvSpPr>
            <xdr:cNvPr id="12295" name="CaixaArredMed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B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28575</xdr:colOff>
          <xdr:row>6</xdr:row>
          <xdr:rowOff>123825</xdr:rowOff>
        </xdr:from>
        <xdr:to>
          <xdr:col>15</xdr:col>
          <xdr:colOff>266700</xdr:colOff>
          <xdr:row>8</xdr:row>
          <xdr:rowOff>0</xdr:rowOff>
        </xdr:to>
        <xdr:sp macro="" textlink="">
          <xdr:nvSpPr>
            <xdr:cNvPr id="12296" name="Botão de rotação 23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B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3</xdr:col>
      <xdr:colOff>22860</xdr:colOff>
      <xdr:row>0</xdr:row>
      <xdr:rowOff>15240</xdr:rowOff>
    </xdr:from>
    <xdr:to>
      <xdr:col>4</xdr:col>
      <xdr:colOff>1135380</xdr:colOff>
      <xdr:row>2</xdr:row>
      <xdr:rowOff>22860</xdr:rowOff>
    </xdr:to>
    <xdr:pic>
      <xdr:nvPicPr>
        <xdr:cNvPr id="22083" name="Picture 2">
          <a:extLst>
            <a:ext uri="{FF2B5EF4-FFF2-40B4-BE49-F238E27FC236}">
              <a16:creationId xmlns:a16="http://schemas.microsoft.com/office/drawing/2014/main" id="{00000000-0008-0000-0B00-0000435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" y="15240"/>
          <a:ext cx="1844040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794385</xdr:colOff>
      <xdr:row>8</xdr:row>
      <xdr:rowOff>112395</xdr:rowOff>
    </xdr:from>
    <xdr:to>
      <xdr:col>4</xdr:col>
      <xdr:colOff>2676525</xdr:colOff>
      <xdr:row>10</xdr:row>
      <xdr:rowOff>95412</xdr:rowOff>
    </xdr:to>
    <xdr:sp macro="[0]!BM.alternaModo" textlink="" fLocksText="0">
      <xdr:nvSpPr>
        <xdr:cNvPr id="12298" name="ShapeModoBM">
          <a:extLst>
            <a:ext uri="{FF2B5EF4-FFF2-40B4-BE49-F238E27FC236}">
              <a16:creationId xmlns:a16="http://schemas.microsoft.com/office/drawing/2014/main" id="{00000000-0008-0000-0B00-00000A300000}"/>
            </a:ext>
          </a:extLst>
        </xdr:cNvPr>
        <xdr:cNvSpPr>
          <a:spLocks noChangeArrowheads="1"/>
        </xdr:cNvSpPr>
      </xdr:nvSpPr>
      <xdr:spPr bwMode="auto">
        <a:xfrm>
          <a:off x="1734608" y="1343025"/>
          <a:ext cx="1828800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Habilitar Modo CAIXA</a:t>
          </a:r>
        </a:p>
      </xdr:txBody>
    </xdr:sp>
    <xdr:clientData fPrintsWithSheet="0"/>
  </xdr:twoCellAnchor>
  <xdr:twoCellAnchor>
    <xdr:from>
      <xdr:col>16</xdr:col>
      <xdr:colOff>0</xdr:colOff>
      <xdr:row>6</xdr:row>
      <xdr:rowOff>42333</xdr:rowOff>
    </xdr:from>
    <xdr:to>
      <xdr:col>16</xdr:col>
      <xdr:colOff>0</xdr:colOff>
      <xdr:row>9</xdr:row>
      <xdr:rowOff>102792</xdr:rowOff>
    </xdr:to>
    <xdr:sp macro="[0]!CopiarMedição" textlink="" fLocksText="0">
      <xdr:nvSpPr>
        <xdr:cNvPr id="8" name="ShapeCopiarMed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>
          <a:spLocks noChangeArrowheads="1"/>
        </xdr:cNvSpPr>
      </xdr:nvSpPr>
      <xdr:spPr bwMode="auto">
        <a:xfrm>
          <a:off x="17187333" y="963083"/>
          <a:ext cx="709083" cy="529167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Copiar da Medição</a:t>
          </a:r>
        </a:p>
      </xdr:txBody>
    </xdr:sp>
    <xdr:clientData/>
  </xdr:twoCellAnchor>
  <xdr:twoCellAnchor>
    <xdr:from>
      <xdr:col>4</xdr:col>
      <xdr:colOff>63500</xdr:colOff>
      <xdr:row>8</xdr:row>
      <xdr:rowOff>116417</xdr:rowOff>
    </xdr:from>
    <xdr:to>
      <xdr:col>4</xdr:col>
      <xdr:colOff>650241</xdr:colOff>
      <xdr:row>10</xdr:row>
      <xdr:rowOff>101600</xdr:rowOff>
    </xdr:to>
    <xdr:sp macro="" textlink="" fLocksText="0">
      <xdr:nvSpPr>
        <xdr:cNvPr id="9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>
          <a:spLocks noChangeArrowheads="1"/>
        </xdr:cNvSpPr>
      </xdr:nvSpPr>
      <xdr:spPr bwMode="auto">
        <a:xfrm>
          <a:off x="1026583" y="1354667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1386840</xdr:colOff>
      <xdr:row>0</xdr:row>
      <xdr:rowOff>381000</xdr:rowOff>
    </xdr:to>
    <xdr:pic>
      <xdr:nvPicPr>
        <xdr:cNvPr id="24595" name="Picture 2">
          <a:extLst>
            <a:ext uri="{FF2B5EF4-FFF2-40B4-BE49-F238E27FC236}">
              <a16:creationId xmlns:a16="http://schemas.microsoft.com/office/drawing/2014/main" id="{00000000-0008-0000-0C00-0000136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0"/>
          <a:ext cx="191262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14</xdr:col>
      <xdr:colOff>102870</xdr:colOff>
      <xdr:row>7</xdr:row>
      <xdr:rowOff>160020</xdr:rowOff>
    </xdr:from>
    <xdr:to>
      <xdr:col>24</xdr:col>
      <xdr:colOff>169545</xdr:colOff>
      <xdr:row>10</xdr:row>
      <xdr:rowOff>49546</xdr:rowOff>
    </xdr:to>
    <xdr:sp macro="" textlink="" fLocksText="0">
      <xdr:nvSpPr>
        <xdr:cNvPr id="13317" name="AutoShape 317">
          <a:extLst>
            <a:ext uri="{FF2B5EF4-FFF2-40B4-BE49-F238E27FC236}">
              <a16:creationId xmlns:a16="http://schemas.microsoft.com/office/drawing/2014/main" id="{00000000-0008-0000-0C00-000005340000}"/>
            </a:ext>
          </a:extLst>
        </xdr:cNvPr>
        <xdr:cNvSpPr>
          <a:spLocks noChangeArrowheads="1"/>
        </xdr:cNvSpPr>
      </xdr:nvSpPr>
      <xdr:spPr bwMode="auto">
        <a:xfrm>
          <a:off x="10487025" y="1562100"/>
          <a:ext cx="2724150" cy="390525"/>
        </a:xfrm>
        <a:prstGeom prst="wedgeRectCallout">
          <a:avLst>
            <a:gd name="adj1" fmla="val 72181"/>
            <a:gd name="adj2" fmla="val 58333"/>
          </a:avLst>
        </a:prstGeom>
        <a:solidFill>
          <a:srgbClr val="FFFF99"/>
        </a:solidFill>
        <a:ln w="9360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2680" rIns="0" bIns="0" anchor="t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Para Metas preenchidas manualmente, digite o valor medido nas colunas à direita.</a:t>
          </a:r>
        </a:p>
      </xdr:txBody>
    </xdr:sp>
    <xdr:clientData fPrintsWithSheet="0"/>
  </xdr:twoCellAnchor>
  <xdr:twoCellAnchor>
    <xdr:from>
      <xdr:col>4</xdr:col>
      <xdr:colOff>85725</xdr:colOff>
      <xdr:row>8</xdr:row>
      <xdr:rowOff>28575</xdr:rowOff>
    </xdr:from>
    <xdr:to>
      <xdr:col>5</xdr:col>
      <xdr:colOff>142875</xdr:colOff>
      <xdr:row>10</xdr:row>
      <xdr:rowOff>11435</xdr:rowOff>
    </xdr:to>
    <xdr:sp macro="" textlink="" fLocksText="0">
      <xdr:nvSpPr>
        <xdr:cNvPr id="13318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6340000}"/>
            </a:ext>
          </a:extLst>
        </xdr:cNvPr>
        <xdr:cNvSpPr>
          <a:spLocks noChangeArrowheads="1"/>
        </xdr:cNvSpPr>
      </xdr:nvSpPr>
      <xdr:spPr bwMode="auto">
        <a:xfrm>
          <a:off x="333375" y="1600200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5</xdr:col>
      <xdr:colOff>240453</xdr:colOff>
      <xdr:row>8</xdr:row>
      <xdr:rowOff>31750</xdr:rowOff>
    </xdr:from>
    <xdr:to>
      <xdr:col>5</xdr:col>
      <xdr:colOff>827194</xdr:colOff>
      <xdr:row>10</xdr:row>
      <xdr:rowOff>9447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>
          <a:spLocks noChangeArrowheads="1"/>
        </xdr:cNvSpPr>
      </xdr:nvSpPr>
      <xdr:spPr bwMode="auto">
        <a:xfrm>
          <a:off x="994833" y="15875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459529</xdr:colOff>
      <xdr:row>1</xdr:row>
      <xdr:rowOff>64559</xdr:rowOff>
    </xdr:from>
    <xdr:to>
      <xdr:col>5</xdr:col>
      <xdr:colOff>486201</xdr:colOff>
      <xdr:row>2</xdr:row>
      <xdr:rowOff>208209</xdr:rowOff>
    </xdr:to>
    <xdr:sp macro="[0]!Plan12.InsereFigura" textlink="" fLocksText="0">
      <xdr:nvSpPr>
        <xdr:cNvPr id="14337" name="ShapeBrasao">
          <a:extLst>
            <a:ext uri="{FF2B5EF4-FFF2-40B4-BE49-F238E27FC236}">
              <a16:creationId xmlns:a16="http://schemas.microsoft.com/office/drawing/2014/main" id="{00000000-0008-0000-0D00-000001380000}"/>
            </a:ext>
          </a:extLst>
        </xdr:cNvPr>
        <xdr:cNvSpPr>
          <a:spLocks noChangeArrowheads="1"/>
        </xdr:cNvSpPr>
      </xdr:nvSpPr>
      <xdr:spPr bwMode="auto">
        <a:xfrm>
          <a:off x="3468159" y="223309"/>
          <a:ext cx="1405467" cy="3024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INSERIR BRASÃO</a:t>
          </a:r>
        </a:p>
      </xdr:txBody>
    </xdr:sp>
    <xdr:clientData fPrintsWithSheet="0"/>
  </xdr:twoCellAnchor>
  <xdr:twoCellAnchor>
    <xdr:from>
      <xdr:col>3</xdr:col>
      <xdr:colOff>596265</xdr:colOff>
      <xdr:row>1</xdr:row>
      <xdr:rowOff>66675</xdr:rowOff>
    </xdr:from>
    <xdr:to>
      <xdr:col>3</xdr:col>
      <xdr:colOff>1183005</xdr:colOff>
      <xdr:row>2</xdr:row>
      <xdr:rowOff>210325</xdr:rowOff>
    </xdr:to>
    <xdr:sp macro="" textlink="" fLocksText="0">
      <xdr:nvSpPr>
        <xdr:cNvPr id="14338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380000}"/>
            </a:ext>
          </a:extLst>
        </xdr:cNvPr>
        <xdr:cNvSpPr>
          <a:spLocks noChangeArrowheads="1"/>
        </xdr:cNvSpPr>
      </xdr:nvSpPr>
      <xdr:spPr bwMode="auto">
        <a:xfrm>
          <a:off x="2210858" y="225425"/>
          <a:ext cx="571500" cy="3024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3</xdr:col>
      <xdr:colOff>1236981</xdr:colOff>
      <xdr:row>1</xdr:row>
      <xdr:rowOff>63499</xdr:rowOff>
    </xdr:from>
    <xdr:to>
      <xdr:col>4</xdr:col>
      <xdr:colOff>399026</xdr:colOff>
      <xdr:row>2</xdr:row>
      <xdr:rowOff>207432</xdr:rowOff>
    </xdr:to>
    <xdr:sp macro="" textlink="" fLocksText="0">
      <xdr:nvSpPr>
        <xdr:cNvPr id="4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>
          <a:spLocks noChangeArrowheads="1"/>
        </xdr:cNvSpPr>
      </xdr:nvSpPr>
      <xdr:spPr bwMode="auto">
        <a:xfrm>
          <a:off x="2836334" y="222249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←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47625</xdr:rowOff>
    </xdr:from>
    <xdr:to>
      <xdr:col>3</xdr:col>
      <xdr:colOff>161925</xdr:colOff>
      <xdr:row>1</xdr:row>
      <xdr:rowOff>152400</xdr:rowOff>
    </xdr:to>
    <xdr:sp macro="" textlink="" fLocksText="0">
      <xdr:nvSpPr>
        <xdr:cNvPr id="2050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Arrowheads="1"/>
        </xdr:cNvSpPr>
      </xdr:nvSpPr>
      <xdr:spPr bwMode="auto">
        <a:xfrm>
          <a:off x="200025" y="47625"/>
          <a:ext cx="17907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76200</xdr:rowOff>
    </xdr:from>
    <xdr:to>
      <xdr:col>1</xdr:col>
      <xdr:colOff>102923</xdr:colOff>
      <xdr:row>2</xdr:row>
      <xdr:rowOff>49540</xdr:rowOff>
    </xdr:to>
    <xdr:sp macro="" textlink="" fLocksText="0">
      <xdr:nvSpPr>
        <xdr:cNvPr id="3073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>
          <a:spLocks noChangeArrowheads="1"/>
        </xdr:cNvSpPr>
      </xdr:nvSpPr>
      <xdr:spPr bwMode="auto">
        <a:xfrm>
          <a:off x="104775" y="762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30480</xdr:colOff>
      <xdr:row>0</xdr:row>
      <xdr:rowOff>15240</xdr:rowOff>
    </xdr:from>
    <xdr:to>
      <xdr:col>11</xdr:col>
      <xdr:colOff>403860</xdr:colOff>
      <xdr:row>2</xdr:row>
      <xdr:rowOff>38100</xdr:rowOff>
    </xdr:to>
    <xdr:pic>
      <xdr:nvPicPr>
        <xdr:cNvPr id="4848" name="Logo1">
          <a:extLst>
            <a:ext uri="{FF2B5EF4-FFF2-40B4-BE49-F238E27FC236}">
              <a16:creationId xmlns:a16="http://schemas.microsoft.com/office/drawing/2014/main" id="{00000000-0008-0000-0300-0000F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" y="15240"/>
          <a:ext cx="1836420" cy="3886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7</xdr:col>
      <xdr:colOff>287020</xdr:colOff>
      <xdr:row>1</xdr:row>
      <xdr:rowOff>30903</xdr:rowOff>
    </xdr:from>
    <xdr:to>
      <xdr:col>8</xdr:col>
      <xdr:colOff>138854</xdr:colOff>
      <xdr:row>3</xdr:row>
      <xdr:rowOff>8555</xdr:rowOff>
    </xdr:to>
    <xdr:sp macro="" textlink="" fLocksText="0">
      <xdr:nvSpPr>
        <xdr:cNvPr id="4098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>
          <a:spLocks noChangeArrowheads="1"/>
        </xdr:cNvSpPr>
      </xdr:nvSpPr>
      <xdr:spPr bwMode="auto">
        <a:xfrm>
          <a:off x="15096067" y="224366"/>
          <a:ext cx="571500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7</xdr:col>
      <xdr:colOff>287019</xdr:colOff>
      <xdr:row>3</xdr:row>
      <xdr:rowOff>57150</xdr:rowOff>
    </xdr:from>
    <xdr:to>
      <xdr:col>8</xdr:col>
      <xdr:colOff>138853</xdr:colOff>
      <xdr:row>5</xdr:row>
      <xdr:rowOff>42333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279399" y="57573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60960</xdr:colOff>
      <xdr:row>0</xdr:row>
      <xdr:rowOff>15240</xdr:rowOff>
    </xdr:from>
    <xdr:to>
      <xdr:col>15</xdr:col>
      <xdr:colOff>1036320</xdr:colOff>
      <xdr:row>1</xdr:row>
      <xdr:rowOff>167640</xdr:rowOff>
    </xdr:to>
    <xdr:pic>
      <xdr:nvPicPr>
        <xdr:cNvPr id="24130" name="Picture 2">
          <a:extLst>
            <a:ext uri="{FF2B5EF4-FFF2-40B4-BE49-F238E27FC236}">
              <a16:creationId xmlns:a16="http://schemas.microsoft.com/office/drawing/2014/main" id="{00000000-0008-0000-0400-0000425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1140" y="15240"/>
          <a:ext cx="1844040" cy="3733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19</xdr:col>
      <xdr:colOff>9102</xdr:colOff>
      <xdr:row>8</xdr:row>
      <xdr:rowOff>152400</xdr:rowOff>
    </xdr:from>
    <xdr:to>
      <xdr:col>23</xdr:col>
      <xdr:colOff>1051560</xdr:colOff>
      <xdr:row>11</xdr:row>
      <xdr:rowOff>36243</xdr:rowOff>
    </xdr:to>
    <xdr:sp macro="" textlink="" fLocksText="0">
      <xdr:nvSpPr>
        <xdr:cNvPr id="5127" name="TextBoxArred">
          <a:extLst>
            <a:ext uri="{FF2B5EF4-FFF2-40B4-BE49-F238E27FC236}">
              <a16:creationId xmlns:a16="http://schemas.microsoft.com/office/drawing/2014/main" id="{00000000-0008-0000-0400-000007140000}"/>
            </a:ext>
          </a:extLst>
        </xdr:cNvPr>
        <xdr:cNvSpPr txBox="1">
          <a:spLocks noChangeArrowheads="1"/>
        </xdr:cNvSpPr>
      </xdr:nvSpPr>
      <xdr:spPr bwMode="auto">
        <a:xfrm flipH="1">
          <a:off x="15811500" y="1438275"/>
          <a:ext cx="4686300" cy="361950"/>
        </a:xfrm>
        <a:prstGeom prst="rect">
          <a:avLst/>
        </a:prstGeom>
        <a:noFill/>
        <a:ln w="648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2680" rIns="27360" bIns="0" anchor="t"/>
        <a:lstStyle/>
        <a:p>
          <a:pPr algn="ct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Considerar valores arredondados com (0,00)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457200</xdr:colOff>
          <xdr:row>9</xdr:row>
          <xdr:rowOff>123825</xdr:rowOff>
        </xdr:from>
        <xdr:to>
          <xdr:col>19</xdr:col>
          <xdr:colOff>895350</xdr:colOff>
          <xdr:row>11</xdr:row>
          <xdr:rowOff>38100</xdr:rowOff>
        </xdr:to>
        <xdr:sp macro="" textlink="">
          <xdr:nvSpPr>
            <xdr:cNvPr id="5128" name="CaixaArredQuant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4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447675</xdr:colOff>
          <xdr:row>9</xdr:row>
          <xdr:rowOff>123825</xdr:rowOff>
        </xdr:from>
        <xdr:to>
          <xdr:col>20</xdr:col>
          <xdr:colOff>876300</xdr:colOff>
          <xdr:row>11</xdr:row>
          <xdr:rowOff>38100</xdr:rowOff>
        </xdr:to>
        <xdr:sp macro="" textlink="">
          <xdr:nvSpPr>
            <xdr:cNvPr id="5129" name="CaixaArredCustoUnit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285750</xdr:colOff>
          <xdr:row>9</xdr:row>
          <xdr:rowOff>123825</xdr:rowOff>
        </xdr:from>
        <xdr:to>
          <xdr:col>21</xdr:col>
          <xdr:colOff>704850</xdr:colOff>
          <xdr:row>11</xdr:row>
          <xdr:rowOff>38100</xdr:rowOff>
        </xdr:to>
        <xdr:sp macro="" textlink="">
          <xdr:nvSpPr>
            <xdr:cNvPr id="5130" name="CaixaArredBDI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361950</xdr:colOff>
          <xdr:row>9</xdr:row>
          <xdr:rowOff>123825</xdr:rowOff>
        </xdr:from>
        <xdr:to>
          <xdr:col>22</xdr:col>
          <xdr:colOff>790575</xdr:colOff>
          <xdr:row>11</xdr:row>
          <xdr:rowOff>38100</xdr:rowOff>
        </xdr:to>
        <xdr:sp macro="" textlink="">
          <xdr:nvSpPr>
            <xdr:cNvPr id="5131" name="CaixaArredPrecoUnit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447675</xdr:colOff>
          <xdr:row>9</xdr:row>
          <xdr:rowOff>104775</xdr:rowOff>
        </xdr:from>
        <xdr:to>
          <xdr:col>23</xdr:col>
          <xdr:colOff>876300</xdr:colOff>
          <xdr:row>11</xdr:row>
          <xdr:rowOff>28575</xdr:rowOff>
        </xdr:to>
        <xdr:sp macro="" textlink="">
          <xdr:nvSpPr>
            <xdr:cNvPr id="5132" name="CaixaArredPrecoTotal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4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12</xdr:col>
      <xdr:colOff>302895</xdr:colOff>
      <xdr:row>0</xdr:row>
      <xdr:rowOff>144780</xdr:rowOff>
    </xdr:from>
    <xdr:to>
      <xdr:col>13</xdr:col>
      <xdr:colOff>285797</xdr:colOff>
      <xdr:row>2</xdr:row>
      <xdr:rowOff>38187</xdr:rowOff>
    </xdr:to>
    <xdr:sp macro="" textlink="" fLocksText="0">
      <xdr:nvSpPr>
        <xdr:cNvPr id="5133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D140000}"/>
            </a:ext>
          </a:extLst>
        </xdr:cNvPr>
        <xdr:cNvSpPr>
          <a:spLocks noChangeArrowheads="1"/>
        </xdr:cNvSpPr>
      </xdr:nvSpPr>
      <xdr:spPr bwMode="auto">
        <a:xfrm>
          <a:off x="6905625" y="1524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14</xdr:col>
      <xdr:colOff>28575</xdr:colOff>
      <xdr:row>9</xdr:row>
      <xdr:rowOff>0</xdr:rowOff>
    </xdr:from>
    <xdr:to>
      <xdr:col>15</xdr:col>
      <xdr:colOff>624896</xdr:colOff>
      <xdr:row>10</xdr:row>
      <xdr:rowOff>160060</xdr:rowOff>
    </xdr:to>
    <xdr:sp macro="[0]!Linhas.AddLinha" textlink="" fLocksText="0">
      <xdr:nvSpPr>
        <xdr:cNvPr id="5134" name="AutoShape 67">
          <a:extLst>
            <a:ext uri="{FF2B5EF4-FFF2-40B4-BE49-F238E27FC236}">
              <a16:creationId xmlns:a16="http://schemas.microsoft.com/office/drawing/2014/main" id="{00000000-0008-0000-0400-00000E140000}"/>
            </a:ext>
          </a:extLst>
        </xdr:cNvPr>
        <xdr:cNvSpPr>
          <a:spLocks noChangeArrowheads="1"/>
        </xdr:cNvSpPr>
      </xdr:nvSpPr>
      <xdr:spPr bwMode="auto">
        <a:xfrm>
          <a:off x="7800975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17</xdr:col>
      <xdr:colOff>93345</xdr:colOff>
      <xdr:row>9</xdr:row>
      <xdr:rowOff>0</xdr:rowOff>
    </xdr:from>
    <xdr:to>
      <xdr:col>17</xdr:col>
      <xdr:colOff>1560297</xdr:colOff>
      <xdr:row>10</xdr:row>
      <xdr:rowOff>160060</xdr:rowOff>
    </xdr:to>
    <xdr:sp macro="[0]!Descrição.fixar" textlink="" fLocksText="0">
      <xdr:nvSpPr>
        <xdr:cNvPr id="5135" name="AutoShape 67">
          <a:extLst>
            <a:ext uri="{FF2B5EF4-FFF2-40B4-BE49-F238E27FC236}">
              <a16:creationId xmlns:a16="http://schemas.microsoft.com/office/drawing/2014/main" id="{00000000-0008-0000-0400-00000F140000}"/>
            </a:ext>
          </a:extLst>
        </xdr:cNvPr>
        <xdr:cNvSpPr>
          <a:spLocks noChangeArrowheads="1"/>
        </xdr:cNvSpPr>
      </xdr:nvSpPr>
      <xdr:spPr bwMode="auto">
        <a:xfrm>
          <a:off x="1080135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FIXAR DESCRIÇÕES</a:t>
          </a:r>
        </a:p>
      </xdr:txBody>
    </xdr:sp>
    <xdr:clientData fPrintsWithSheet="0"/>
  </xdr:twoCellAnchor>
  <xdr:twoCellAnchor>
    <xdr:from>
      <xdr:col>15</xdr:col>
      <xdr:colOff>691515</xdr:colOff>
      <xdr:row>9</xdr:row>
      <xdr:rowOff>0</xdr:rowOff>
    </xdr:from>
    <xdr:to>
      <xdr:col>17</xdr:col>
      <xdr:colOff>9547</xdr:colOff>
      <xdr:row>10</xdr:row>
      <xdr:rowOff>160060</xdr:rowOff>
    </xdr:to>
    <xdr:sp macro="[0]!Linhas.ExcLinhas" textlink="" fLocksText="0">
      <xdr:nvSpPr>
        <xdr:cNvPr id="5136" name="AutoShape 67">
          <a:extLst>
            <a:ext uri="{FF2B5EF4-FFF2-40B4-BE49-F238E27FC236}">
              <a16:creationId xmlns:a16="http://schemas.microsoft.com/office/drawing/2014/main" id="{00000000-0008-0000-0400-000010140000}"/>
            </a:ext>
          </a:extLst>
        </xdr:cNvPr>
        <xdr:cNvSpPr>
          <a:spLocks noChangeArrowheads="1"/>
        </xdr:cNvSpPr>
      </xdr:nvSpPr>
      <xdr:spPr bwMode="auto">
        <a:xfrm>
          <a:off x="929640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  <xdr:twoCellAnchor>
    <xdr:from>
      <xdr:col>17</xdr:col>
      <xdr:colOff>1644015</xdr:colOff>
      <xdr:row>9</xdr:row>
      <xdr:rowOff>0</xdr:rowOff>
    </xdr:from>
    <xdr:to>
      <xdr:col>17</xdr:col>
      <xdr:colOff>3339378</xdr:colOff>
      <xdr:row>10</xdr:row>
      <xdr:rowOff>160060</xdr:rowOff>
    </xdr:to>
    <xdr:sp macro="[0]!Descrição.recuperar" textlink="" fLocksText="0">
      <xdr:nvSpPr>
        <xdr:cNvPr id="5137" name="AutoShape 67">
          <a:extLst>
            <a:ext uri="{FF2B5EF4-FFF2-40B4-BE49-F238E27FC236}">
              <a16:creationId xmlns:a16="http://schemas.microsoft.com/office/drawing/2014/main" id="{00000000-0008-0000-0400-000011140000}"/>
            </a:ext>
          </a:extLst>
        </xdr:cNvPr>
        <xdr:cNvSpPr>
          <a:spLocks noChangeArrowheads="1"/>
        </xdr:cNvSpPr>
      </xdr:nvSpPr>
      <xdr:spPr bwMode="auto">
        <a:xfrm>
          <a:off x="12306300" y="1447800"/>
          <a:ext cx="16573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RECUPERAR FÓRMULAS</a:t>
          </a:r>
        </a:p>
      </xdr:txBody>
    </xdr:sp>
    <xdr:clientData fPrintsWithSheet="0"/>
  </xdr:twoCellAnchor>
  <xdr:twoCellAnchor>
    <xdr:from>
      <xdr:col>17</xdr:col>
      <xdr:colOff>3404023</xdr:colOff>
      <xdr:row>9</xdr:row>
      <xdr:rowOff>1</xdr:rowOff>
    </xdr:from>
    <xdr:to>
      <xdr:col>18</xdr:col>
      <xdr:colOff>272154</xdr:colOff>
      <xdr:row>10</xdr:row>
      <xdr:rowOff>160061</xdr:rowOff>
    </xdr:to>
    <xdr:sp macro="[0]!buscarcodigo" textlink="" fLocksText="0">
      <xdr:nvSpPr>
        <xdr:cNvPr id="14" name="AutoShape 6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7662333" y="1428751"/>
          <a:ext cx="1333500" cy="31115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BUSCAR CÓDIGO</a:t>
          </a:r>
        </a:p>
      </xdr:txBody>
    </xdr:sp>
    <xdr:clientData fPrintsWithSheet="0"/>
  </xdr:twoCellAnchor>
  <xdr:twoCellAnchor>
    <xdr:from>
      <xdr:col>12</xdr:col>
      <xdr:colOff>303953</xdr:colOff>
      <xdr:row>2</xdr:row>
      <xdr:rowOff>84667</xdr:rowOff>
    </xdr:from>
    <xdr:to>
      <xdr:col>13</xdr:col>
      <xdr:colOff>285811</xdr:colOff>
      <xdr:row>4</xdr:row>
      <xdr:rowOff>69850</xdr:rowOff>
    </xdr:to>
    <xdr:sp macro="" textlink="" fLocksText="0">
      <xdr:nvSpPr>
        <xdr:cNvPr id="1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539750" y="5080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←</a:t>
          </a:r>
        </a:p>
      </xdr:txBody>
    </xdr:sp>
    <xdr:clientData/>
  </xdr:twoCellAnchor>
  <xdr:twoCellAnchor>
    <xdr:from>
      <xdr:col>12</xdr:col>
      <xdr:colOff>308186</xdr:colOff>
      <xdr:row>4</xdr:row>
      <xdr:rowOff>120650</xdr:rowOff>
    </xdr:from>
    <xdr:to>
      <xdr:col>13</xdr:col>
      <xdr:colOff>289945</xdr:colOff>
      <xdr:row>7</xdr:row>
      <xdr:rowOff>52916</xdr:rowOff>
    </xdr:to>
    <xdr:sp macro="" textlink="" fLocksText="0">
      <xdr:nvSpPr>
        <xdr:cNvPr id="16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543983" y="86148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0</xdr:row>
      <xdr:rowOff>15240</xdr:rowOff>
    </xdr:from>
    <xdr:to>
      <xdr:col>5</xdr:col>
      <xdr:colOff>1036320</xdr:colOff>
      <xdr:row>2</xdr:row>
      <xdr:rowOff>7620</xdr:rowOff>
    </xdr:to>
    <xdr:pic>
      <xdr:nvPicPr>
        <xdr:cNvPr id="21100" name="Picture 2">
          <a:extLst>
            <a:ext uri="{FF2B5EF4-FFF2-40B4-BE49-F238E27FC236}">
              <a16:creationId xmlns:a16="http://schemas.microsoft.com/office/drawing/2014/main" id="{00000000-0008-0000-0500-00006C5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15240"/>
          <a:ext cx="186690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152400</xdr:colOff>
      <xdr:row>1</xdr:row>
      <xdr:rowOff>9525</xdr:rowOff>
    </xdr:from>
    <xdr:to>
      <xdr:col>3</xdr:col>
      <xdr:colOff>474303</xdr:colOff>
      <xdr:row>2</xdr:row>
      <xdr:rowOff>123825</xdr:rowOff>
    </xdr:to>
    <xdr:sp macro="" textlink="" fLocksText="0">
      <xdr:nvSpPr>
        <xdr:cNvPr id="6147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3180000}"/>
            </a:ext>
          </a:extLst>
        </xdr:cNvPr>
        <xdr:cNvSpPr>
          <a:spLocks noChangeArrowheads="1"/>
        </xdr:cNvSpPr>
      </xdr:nvSpPr>
      <xdr:spPr bwMode="auto">
        <a:xfrm>
          <a:off x="152400" y="209550"/>
          <a:ext cx="56197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5</xdr:col>
      <xdr:colOff>179070</xdr:colOff>
      <xdr:row>11</xdr:row>
      <xdr:rowOff>266700</xdr:rowOff>
    </xdr:from>
    <xdr:to>
      <xdr:col>5</xdr:col>
      <xdr:colOff>2905076</xdr:colOff>
      <xdr:row>11</xdr:row>
      <xdr:rowOff>571500</xdr:rowOff>
    </xdr:to>
    <xdr:sp macro="" textlink="" fLocksText="0">
      <xdr:nvSpPr>
        <xdr:cNvPr id="6148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4180000}"/>
            </a:ext>
          </a:extLst>
        </xdr:cNvPr>
        <xdr:cNvSpPr>
          <a:spLocks noChangeArrowheads="1"/>
        </xdr:cNvSpPr>
      </xdr:nvSpPr>
      <xdr:spPr bwMode="auto">
        <a:xfrm>
          <a:off x="1847850" y="1304925"/>
          <a:ext cx="265747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REDEFINIR AGRUPADORES DE EVENTOS</a:t>
          </a:r>
        </a:p>
      </xdr:txBody>
    </xdr:sp>
    <xdr:clientData fPrintsWithSheet="0"/>
  </xdr:twoCellAnchor>
  <xdr:twoCellAnchor>
    <xdr:from>
      <xdr:col>5</xdr:col>
      <xdr:colOff>2977515</xdr:colOff>
      <xdr:row>11</xdr:row>
      <xdr:rowOff>266700</xdr:rowOff>
    </xdr:from>
    <xdr:to>
      <xdr:col>6</xdr:col>
      <xdr:colOff>26724</xdr:colOff>
      <xdr:row>11</xdr:row>
      <xdr:rowOff>571500</xdr:rowOff>
    </xdr:to>
    <xdr:sp macro="[0]!Colunas.incluirpag" textlink="" fLocksText="0">
      <xdr:nvSpPr>
        <xdr:cNvPr id="6149" name="AutoShape 67">
          <a:extLst>
            <a:ext uri="{FF2B5EF4-FFF2-40B4-BE49-F238E27FC236}">
              <a16:creationId xmlns:a16="http://schemas.microsoft.com/office/drawing/2014/main" id="{00000000-0008-0000-0500-000005180000}"/>
            </a:ext>
          </a:extLst>
        </xdr:cNvPr>
        <xdr:cNvSpPr>
          <a:spLocks noChangeArrowheads="1"/>
        </xdr:cNvSpPr>
      </xdr:nvSpPr>
      <xdr:spPr bwMode="auto">
        <a:xfrm>
          <a:off x="4562475" y="1304925"/>
          <a:ext cx="1514475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8 FRENTES</a:t>
          </a:r>
        </a:p>
      </xdr:txBody>
    </xdr:sp>
    <xdr:clientData fPrintsWithSheet="0"/>
  </xdr:twoCellAnchor>
  <xdr:twoCellAnchor>
    <xdr:from>
      <xdr:col>6</xdr:col>
      <xdr:colOff>93345</xdr:colOff>
      <xdr:row>11</xdr:row>
      <xdr:rowOff>266700</xdr:rowOff>
    </xdr:from>
    <xdr:to>
      <xdr:col>7</xdr:col>
      <xdr:colOff>908727</xdr:colOff>
      <xdr:row>11</xdr:row>
      <xdr:rowOff>581025</xdr:rowOff>
    </xdr:to>
    <xdr:sp macro="[0]!Colunas.excluirpag" textlink="" fLocksText="0">
      <xdr:nvSpPr>
        <xdr:cNvPr id="6150" name="AutoShape 67">
          <a:extLst>
            <a:ext uri="{FF2B5EF4-FFF2-40B4-BE49-F238E27FC236}">
              <a16:creationId xmlns:a16="http://schemas.microsoft.com/office/drawing/2014/main" id="{00000000-0008-0000-0500-000006180000}"/>
            </a:ext>
          </a:extLst>
        </xdr:cNvPr>
        <xdr:cNvSpPr>
          <a:spLocks noChangeArrowheads="1"/>
        </xdr:cNvSpPr>
      </xdr:nvSpPr>
      <xdr:spPr bwMode="auto">
        <a:xfrm>
          <a:off x="6143625" y="1304925"/>
          <a:ext cx="1514475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8 FRENTES</a:t>
          </a:r>
        </a:p>
      </xdr:txBody>
    </xdr:sp>
    <xdr:clientData fPrintsWithSheet="0"/>
  </xdr:twoCellAnchor>
  <xdr:twoCellAnchor>
    <xdr:from>
      <xdr:col>2</xdr:col>
      <xdr:colOff>137584</xdr:colOff>
      <xdr:row>3</xdr:row>
      <xdr:rowOff>13547</xdr:rowOff>
    </xdr:from>
    <xdr:to>
      <xdr:col>3</xdr:col>
      <xdr:colOff>473228</xdr:colOff>
      <xdr:row>4</xdr:row>
      <xdr:rowOff>159597</xdr:rowOff>
    </xdr:to>
    <xdr:sp macro="" textlink="" fLocksText="0">
      <xdr:nvSpPr>
        <xdr:cNvPr id="7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Arrowheads="1"/>
        </xdr:cNvSpPr>
      </xdr:nvSpPr>
      <xdr:spPr bwMode="auto">
        <a:xfrm>
          <a:off x="137584" y="5715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←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2</xdr:col>
      <xdr:colOff>718248</xdr:colOff>
      <xdr:row>7</xdr:row>
      <xdr:rowOff>304800</xdr:rowOff>
    </xdr:to>
    <xdr:sp macro="" textlink="" fLocksText="0">
      <xdr:nvSpPr>
        <xdr:cNvPr id="7170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1C0000}"/>
            </a:ext>
          </a:extLst>
        </xdr:cNvPr>
        <xdr:cNvSpPr>
          <a:spLocks noChangeArrowheads="1"/>
        </xdr:cNvSpPr>
      </xdr:nvSpPr>
      <xdr:spPr bwMode="auto">
        <a:xfrm>
          <a:off x="609600" y="1009650"/>
          <a:ext cx="69532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VOLTAR</a:t>
          </a:r>
        </a:p>
      </xdr:txBody>
    </xdr:sp>
    <xdr:clientData fPrintsWithSheet="0"/>
  </xdr:twoCellAnchor>
  <xdr:twoCellAnchor>
    <xdr:from>
      <xdr:col>3</xdr:col>
      <xdr:colOff>548640</xdr:colOff>
      <xdr:row>7</xdr:row>
      <xdr:rowOff>0</xdr:rowOff>
    </xdr:from>
    <xdr:to>
      <xdr:col>3</xdr:col>
      <xdr:colOff>2007789</xdr:colOff>
      <xdr:row>7</xdr:row>
      <xdr:rowOff>304800</xdr:rowOff>
    </xdr:to>
    <xdr:sp macro="[0]!Linhas.AddLinha" textlink="" fLocksText="0">
      <xdr:nvSpPr>
        <xdr:cNvPr id="7171" name="AutoShape 67">
          <a:extLst>
            <a:ext uri="{FF2B5EF4-FFF2-40B4-BE49-F238E27FC236}">
              <a16:creationId xmlns:a16="http://schemas.microsoft.com/office/drawing/2014/main" id="{00000000-0008-0000-0600-0000031C0000}"/>
            </a:ext>
          </a:extLst>
        </xdr:cNvPr>
        <xdr:cNvSpPr>
          <a:spLocks noChangeArrowheads="1"/>
        </xdr:cNvSpPr>
      </xdr:nvSpPr>
      <xdr:spPr bwMode="auto">
        <a:xfrm>
          <a:off x="1990725" y="1009650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3</xdr:col>
      <xdr:colOff>2074545</xdr:colOff>
      <xdr:row>7</xdr:row>
      <xdr:rowOff>0</xdr:rowOff>
    </xdr:from>
    <xdr:to>
      <xdr:col>5</xdr:col>
      <xdr:colOff>822924</xdr:colOff>
      <xdr:row>7</xdr:row>
      <xdr:rowOff>304800</xdr:rowOff>
    </xdr:to>
    <xdr:sp macro="[0]!Linhas.ExcLinhas" textlink="" fLocksText="0">
      <xdr:nvSpPr>
        <xdr:cNvPr id="7172" name="AutoShape 67">
          <a:extLst>
            <a:ext uri="{FF2B5EF4-FFF2-40B4-BE49-F238E27FC236}">
              <a16:creationId xmlns:a16="http://schemas.microsoft.com/office/drawing/2014/main" id="{00000000-0008-0000-0600-0000041C0000}"/>
            </a:ext>
          </a:extLst>
        </xdr:cNvPr>
        <xdr:cNvSpPr>
          <a:spLocks noChangeArrowheads="1"/>
        </xdr:cNvSpPr>
      </xdr:nvSpPr>
      <xdr:spPr bwMode="auto">
        <a:xfrm>
          <a:off x="3486150" y="1009650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9</xdr:col>
      <xdr:colOff>365760</xdr:colOff>
      <xdr:row>4</xdr:row>
      <xdr:rowOff>167640</xdr:rowOff>
    </xdr:to>
    <xdr:pic>
      <xdr:nvPicPr>
        <xdr:cNvPr id="19188" name="Picture 2">
          <a:extLst>
            <a:ext uri="{FF2B5EF4-FFF2-40B4-BE49-F238E27FC236}">
              <a16:creationId xmlns:a16="http://schemas.microsoft.com/office/drawing/2014/main" id="{00000000-0008-0000-0700-0000F4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" y="0"/>
          <a:ext cx="1851660" cy="3581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142875</xdr:colOff>
      <xdr:row>3</xdr:row>
      <xdr:rowOff>85725</xdr:rowOff>
    </xdr:from>
    <xdr:to>
      <xdr:col>6</xdr:col>
      <xdr:colOff>729615</xdr:colOff>
      <xdr:row>4</xdr:row>
      <xdr:rowOff>190500</xdr:rowOff>
    </xdr:to>
    <xdr:sp macro="" textlink="" fLocksText="0">
      <xdr:nvSpPr>
        <xdr:cNvPr id="8195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3200000}"/>
            </a:ext>
          </a:extLst>
        </xdr:cNvPr>
        <xdr:cNvSpPr>
          <a:spLocks noChangeArrowheads="1"/>
        </xdr:cNvSpPr>
      </xdr:nvSpPr>
      <xdr:spPr bwMode="auto">
        <a:xfrm>
          <a:off x="3181350" y="5715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20</xdr:col>
      <xdr:colOff>104776</xdr:colOff>
      <xdr:row>8</xdr:row>
      <xdr:rowOff>93345</xdr:rowOff>
    </xdr:from>
    <xdr:to>
      <xdr:col>23</xdr:col>
      <xdr:colOff>2956</xdr:colOff>
      <xdr:row>10</xdr:row>
      <xdr:rowOff>76147</xdr:rowOff>
    </xdr:to>
    <xdr:sp macro="" textlink="" fLocksText="0">
      <xdr:nvSpPr>
        <xdr:cNvPr id="8196" name="CRONO.b.preenchEvento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4200000}"/>
            </a:ext>
          </a:extLst>
        </xdr:cNvPr>
        <xdr:cNvSpPr>
          <a:spLocks noChangeArrowheads="1"/>
        </xdr:cNvSpPr>
      </xdr:nvSpPr>
      <xdr:spPr bwMode="auto">
        <a:xfrm>
          <a:off x="11026776" y="1271058"/>
          <a:ext cx="2096558" cy="30797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PREENCHIMENTO POR EVENTOS</a:t>
          </a:r>
        </a:p>
      </xdr:txBody>
    </xdr:sp>
    <xdr:clientData fPrintsWithSheet="0"/>
  </xdr:twoCellAnchor>
  <xdr:twoCellAnchor>
    <xdr:from>
      <xdr:col>7</xdr:col>
      <xdr:colOff>102870</xdr:colOff>
      <xdr:row>8</xdr:row>
      <xdr:rowOff>93345</xdr:rowOff>
    </xdr:from>
    <xdr:to>
      <xdr:col>9</xdr:col>
      <xdr:colOff>76198</xdr:colOff>
      <xdr:row>10</xdr:row>
      <xdr:rowOff>76147</xdr:rowOff>
    </xdr:to>
    <xdr:sp macro="[0]!CRONO.AtualizarLinhas" textlink="" fLocksText="0">
      <xdr:nvSpPr>
        <xdr:cNvPr id="8197" name="AutoShape 67">
          <a:extLst>
            <a:ext uri="{FF2B5EF4-FFF2-40B4-BE49-F238E27FC236}">
              <a16:creationId xmlns:a16="http://schemas.microsoft.com/office/drawing/2014/main" id="{00000000-0008-0000-0700-000005200000}"/>
            </a:ext>
          </a:extLst>
        </xdr:cNvPr>
        <xdr:cNvSpPr>
          <a:spLocks noChangeArrowheads="1"/>
        </xdr:cNvSpPr>
      </xdr:nvSpPr>
      <xdr:spPr bwMode="auto">
        <a:xfrm>
          <a:off x="398145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ATUALIZAR LINHAS</a:t>
          </a:r>
        </a:p>
      </xdr:txBody>
    </xdr:sp>
    <xdr:clientData fPrintsWithSheet="0"/>
  </xdr:twoCellAnchor>
  <xdr:twoCellAnchor>
    <xdr:from>
      <xdr:col>23</xdr:col>
      <xdr:colOff>109008</xdr:colOff>
      <xdr:row>8</xdr:row>
      <xdr:rowOff>93345</xdr:rowOff>
    </xdr:from>
    <xdr:to>
      <xdr:col>25</xdr:col>
      <xdr:colOff>80433</xdr:colOff>
      <xdr:row>10</xdr:row>
      <xdr:rowOff>76147</xdr:rowOff>
    </xdr:to>
    <xdr:sp macro="[0]!incluirpag" textlink="" fLocksText="0">
      <xdr:nvSpPr>
        <xdr:cNvPr id="8198" name="AutoShape 67">
          <a:extLst>
            <a:ext uri="{FF2B5EF4-FFF2-40B4-BE49-F238E27FC236}">
              <a16:creationId xmlns:a16="http://schemas.microsoft.com/office/drawing/2014/main" id="{00000000-0008-0000-0700-000006200000}"/>
            </a:ext>
          </a:extLst>
        </xdr:cNvPr>
        <xdr:cNvSpPr>
          <a:spLocks noChangeArrowheads="1"/>
        </xdr:cNvSpPr>
      </xdr:nvSpPr>
      <xdr:spPr bwMode="auto">
        <a:xfrm>
          <a:off x="13221758" y="1271058"/>
          <a:ext cx="1431925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ADIC. 12 PARCELAS</a:t>
          </a:r>
        </a:p>
      </xdr:txBody>
    </xdr:sp>
    <xdr:clientData fPrintsWithSheet="0"/>
  </xdr:twoCellAnchor>
  <xdr:twoCellAnchor>
    <xdr:from>
      <xdr:col>25</xdr:col>
      <xdr:colOff>137583</xdr:colOff>
      <xdr:row>8</xdr:row>
      <xdr:rowOff>93345</xdr:rowOff>
    </xdr:from>
    <xdr:to>
      <xdr:col>27</xdr:col>
      <xdr:colOff>99483</xdr:colOff>
      <xdr:row>10</xdr:row>
      <xdr:rowOff>76147</xdr:rowOff>
    </xdr:to>
    <xdr:sp macro="[0]!excluirpag" textlink="" fLocksText="0">
      <xdr:nvSpPr>
        <xdr:cNvPr id="8199" name="AutoShape 67">
          <a:extLst>
            <a:ext uri="{FF2B5EF4-FFF2-40B4-BE49-F238E27FC236}">
              <a16:creationId xmlns:a16="http://schemas.microsoft.com/office/drawing/2014/main" id="{00000000-0008-0000-0700-000007200000}"/>
            </a:ext>
          </a:extLst>
        </xdr:cNvPr>
        <xdr:cNvSpPr>
          <a:spLocks noChangeArrowheads="1"/>
        </xdr:cNvSpPr>
      </xdr:nvSpPr>
      <xdr:spPr bwMode="auto">
        <a:xfrm>
          <a:off x="14710833" y="1271058"/>
          <a:ext cx="1422400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EXC. 12 PARCELAS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272415</xdr:colOff>
      <xdr:row>10</xdr:row>
      <xdr:rowOff>228600</xdr:rowOff>
    </xdr:from>
    <xdr:to>
      <xdr:col>2</xdr:col>
      <xdr:colOff>417249</xdr:colOff>
      <xdr:row>10</xdr:row>
      <xdr:rowOff>542925</xdr:rowOff>
    </xdr:to>
    <xdr:sp macro="" textlink="" fLocksText="0">
      <xdr:nvSpPr>
        <xdr:cNvPr id="9218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240000}"/>
            </a:ext>
          </a:extLst>
        </xdr:cNvPr>
        <xdr:cNvSpPr>
          <a:spLocks noChangeArrowheads="1"/>
        </xdr:cNvSpPr>
      </xdr:nvSpPr>
      <xdr:spPr bwMode="auto">
        <a:xfrm>
          <a:off x="514350" y="1428750"/>
          <a:ext cx="695325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VOLTAR</a:t>
          </a:r>
        </a:p>
      </xdr:txBody>
    </xdr:sp>
    <xdr:clientData/>
  </xdr:twoCellAnchor>
  <xdr:twoCellAnchor>
    <xdr:from>
      <xdr:col>2</xdr:col>
      <xdr:colOff>613410</xdr:colOff>
      <xdr:row>10</xdr:row>
      <xdr:rowOff>238125</xdr:rowOff>
    </xdr:from>
    <xdr:to>
      <xdr:col>2</xdr:col>
      <xdr:colOff>2080159</xdr:colOff>
      <xdr:row>10</xdr:row>
      <xdr:rowOff>542925</xdr:rowOff>
    </xdr:to>
    <xdr:sp macro="[0]!CRONO.AtualizarLinhas" textlink="" fLocksText="0">
      <xdr:nvSpPr>
        <xdr:cNvPr id="9219" name="AutoShape 67">
          <a:extLst>
            <a:ext uri="{FF2B5EF4-FFF2-40B4-BE49-F238E27FC236}">
              <a16:creationId xmlns:a16="http://schemas.microsoft.com/office/drawing/2014/main" id="{00000000-0008-0000-0800-000003240000}"/>
            </a:ext>
          </a:extLst>
        </xdr:cNvPr>
        <xdr:cNvSpPr>
          <a:spLocks noChangeArrowheads="1"/>
        </xdr:cNvSpPr>
      </xdr:nvSpPr>
      <xdr:spPr bwMode="auto">
        <a:xfrm>
          <a:off x="1390650" y="1438275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ATUALIZAR LINHAS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trlProp" Target="../ctrlProps/ctrlProp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comments" Target="../comments6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Relationship Id="rId9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5"/>
  <dimension ref="A1:O25"/>
  <sheetViews>
    <sheetView showGridLines="0" zoomScaleNormal="100" zoomScaleSheetLayoutView="85" workbookViewId="0">
      <selection activeCell="E6" sqref="E6"/>
    </sheetView>
  </sheetViews>
  <sheetFormatPr defaultRowHeight="12.75" x14ac:dyDescent="0.2"/>
  <cols>
    <col min="1" max="1" width="2.85546875" style="176" customWidth="1"/>
    <col min="2" max="2" width="5.7109375" style="176" customWidth="1"/>
    <col min="3" max="3" width="38.5703125" style="176" customWidth="1"/>
    <col min="4" max="4" width="5.7109375" style="176" customWidth="1"/>
    <col min="5" max="5" width="38.5703125" style="176" customWidth="1"/>
    <col min="6" max="6" width="5.7109375" style="176" customWidth="1"/>
    <col min="7" max="7" width="38.5703125" style="176" customWidth="1"/>
    <col min="8" max="8" width="5.7109375" style="176" customWidth="1"/>
    <col min="9" max="9" width="2.85546875" style="176" customWidth="1"/>
    <col min="10" max="10" width="19" customWidth="1"/>
    <col min="11" max="11" width="3" customWidth="1"/>
    <col min="13" max="13" width="1.5703125" customWidth="1"/>
    <col min="14" max="14" width="38.85546875" customWidth="1"/>
  </cols>
  <sheetData>
    <row r="1" spans="1:15" ht="15" customHeight="1" x14ac:dyDescent="0.2">
      <c r="A1" s="528"/>
      <c r="B1" s="528"/>
      <c r="C1" s="528"/>
      <c r="D1" s="528"/>
      <c r="E1" s="528"/>
      <c r="F1" s="528"/>
      <c r="G1" s="528"/>
      <c r="H1" s="528"/>
      <c r="I1" s="528"/>
      <c r="J1" t="s">
        <v>0</v>
      </c>
    </row>
    <row r="2" spans="1:15" ht="22.5" customHeight="1" x14ac:dyDescent="0.2">
      <c r="A2" s="528"/>
      <c r="B2" s="530"/>
      <c r="C2" s="530"/>
      <c r="D2" s="530"/>
      <c r="E2" s="696" t="str">
        <f>CHOOSE(MATCH(Objeto,{"PM","PO"}),"PLANILHA MÚLTIPLA ","PLANILHA ORÇAMENTÁRIA ")&amp; Versao</f>
        <v>PLANILHA MÚLTIPLA v3.0.6</v>
      </c>
      <c r="F2" s="696"/>
      <c r="G2" s="696"/>
      <c r="H2" s="532"/>
      <c r="I2" s="530"/>
      <c r="J2" t="s">
        <v>438</v>
      </c>
    </row>
    <row r="3" spans="1:15" ht="22.5" customHeight="1" x14ac:dyDescent="0.2">
      <c r="A3" s="528"/>
      <c r="B3" s="530"/>
      <c r="C3" s="530"/>
      <c r="D3" s="530"/>
      <c r="E3" s="696"/>
      <c r="F3" s="696"/>
      <c r="G3" s="696"/>
      <c r="H3" s="532"/>
      <c r="I3" s="530"/>
      <c r="O3" s="539">
        <v>1</v>
      </c>
    </row>
    <row r="4" spans="1:15" ht="17.100000000000001" customHeight="1" x14ac:dyDescent="0.2">
      <c r="A4" s="528"/>
      <c r="B4" s="530"/>
      <c r="C4" s="530"/>
      <c r="D4" s="530"/>
      <c r="E4" s="530"/>
      <c r="F4" s="531"/>
      <c r="G4" s="532"/>
      <c r="H4" s="532"/>
      <c r="I4" s="530"/>
      <c r="O4" s="539">
        <v>2</v>
      </c>
    </row>
    <row r="5" spans="1:15" ht="17.100000000000001" customHeight="1" thickBot="1" x14ac:dyDescent="0.25">
      <c r="A5" s="528"/>
      <c r="B5" s="530"/>
      <c r="C5" s="530"/>
      <c r="D5" s="530"/>
      <c r="E5" s="530"/>
      <c r="F5" s="531"/>
      <c r="G5" s="532"/>
      <c r="H5" s="532"/>
      <c r="I5" s="530"/>
      <c r="J5" s="558" t="s">
        <v>407</v>
      </c>
    </row>
    <row r="6" spans="1:15" ht="21" customHeight="1" thickBot="1" x14ac:dyDescent="0.25">
      <c r="A6" s="528"/>
      <c r="B6" s="533"/>
      <c r="C6" s="533"/>
      <c r="D6" s="533"/>
      <c r="E6" s="535" t="s">
        <v>400</v>
      </c>
      <c r="F6" s="534"/>
      <c r="G6" s="535" t="s">
        <v>401</v>
      </c>
      <c r="H6" s="533"/>
      <c r="I6" s="528"/>
      <c r="J6" s="558" t="s">
        <v>1</v>
      </c>
    </row>
    <row r="7" spans="1:15" x14ac:dyDescent="0.2">
      <c r="A7" s="528"/>
      <c r="B7" s="528"/>
      <c r="C7" s="528"/>
      <c r="D7" s="528"/>
      <c r="E7" s="528"/>
      <c r="F7" s="528"/>
      <c r="G7" s="528"/>
      <c r="H7" s="528"/>
      <c r="I7" s="528"/>
      <c r="J7" s="558" t="s">
        <v>364</v>
      </c>
      <c r="K7" s="547"/>
      <c r="L7" s="548"/>
      <c r="M7" s="548"/>
      <c r="N7" s="549"/>
    </row>
    <row r="8" spans="1:15" ht="21" customHeight="1" x14ac:dyDescent="0.2">
      <c r="A8" s="530"/>
      <c r="B8" s="695" t="str">
        <f>IF($O$3&lt;&gt;2,"DOCUMENTAÇÃO DA PROPOSTA","PROPOSTA: Para visualizar/preencher esta seção, altere o TIPO DE ORÇAMENTO para 'Proposto'")</f>
        <v>DOCUMENTAÇÃO DA PROPOSTA</v>
      </c>
      <c r="C8" s="695"/>
      <c r="D8" s="695"/>
      <c r="E8" s="695"/>
      <c r="F8" s="695"/>
      <c r="G8" s="695"/>
      <c r="H8" s="695"/>
      <c r="I8" s="528"/>
      <c r="J8" s="558" t="s">
        <v>4</v>
      </c>
      <c r="K8" s="550"/>
      <c r="L8" s="551" t="s">
        <v>402</v>
      </c>
      <c r="M8" s="551"/>
      <c r="N8" s="552"/>
    </row>
    <row r="9" spans="1:15" ht="13.5" thickBot="1" x14ac:dyDescent="0.25">
      <c r="A9" s="528"/>
      <c r="B9" s="528"/>
      <c r="C9" s="528"/>
      <c r="D9" s="528"/>
      <c r="E9" s="528"/>
      <c r="F9" s="528"/>
      <c r="G9" s="528"/>
      <c r="H9" s="528"/>
      <c r="I9" s="528"/>
      <c r="K9" s="550"/>
      <c r="L9" s="100" t="s">
        <v>405</v>
      </c>
      <c r="M9" s="100"/>
      <c r="N9" s="552"/>
    </row>
    <row r="10" spans="1:15" ht="21" customHeight="1" thickBot="1" x14ac:dyDescent="0.25">
      <c r="A10" s="528"/>
      <c r="B10" s="528"/>
      <c r="C10" s="538" t="str">
        <f>IF(TIPOORCAMENTO&lt;&gt;"Proposto","","                    BDI                    ")</f>
        <v xml:space="preserve">                    BDI                    </v>
      </c>
      <c r="D10" s="529"/>
      <c r="E10" s="538" t="str">
        <f>IF(TIPOORCAMENTO&lt;&gt;"Proposto","","             ORÇAMENTO             ")</f>
        <v xml:space="preserve">             ORÇAMENTO             </v>
      </c>
      <c r="F10" s="529"/>
      <c r="G10" s="537" t="str">
        <f>IF(TIPOORCAMENTO&lt;&gt;"Proposto","","MEMÓRIA DE CÁLCULO / PLQ")</f>
        <v>MEMÓRIA DE CÁLCULO / PLQ</v>
      </c>
      <c r="H10" s="528"/>
      <c r="I10" s="528"/>
      <c r="K10" s="550"/>
      <c r="L10" s="6"/>
      <c r="M10" s="4"/>
      <c r="N10" s="553" t="s">
        <v>2</v>
      </c>
    </row>
    <row r="11" spans="1:15" ht="13.5" thickBot="1" x14ac:dyDescent="0.25">
      <c r="A11" s="528"/>
      <c r="B11" s="528"/>
      <c r="C11" s="529"/>
      <c r="D11" s="529"/>
      <c r="E11" s="529"/>
      <c r="F11" s="529"/>
      <c r="G11" s="529"/>
      <c r="H11" s="528"/>
      <c r="I11" s="528"/>
      <c r="K11" s="550"/>
      <c r="L11" s="3"/>
      <c r="M11" s="3"/>
      <c r="N11" s="554"/>
    </row>
    <row r="12" spans="1:15" ht="21" customHeight="1" thickBot="1" x14ac:dyDescent="0.25">
      <c r="A12" s="528"/>
      <c r="B12" s="528"/>
      <c r="C12" s="538" t="str">
        <f>IF(TIPOORCAMENTO&lt;&gt;"Proposto","","                    QCI                    ")</f>
        <v xml:space="preserve">                    QCI                    </v>
      </c>
      <c r="D12" s="529"/>
      <c r="E12" s="536" t="str">
        <f>IF(TIPOORCAMENTO&lt;&gt;"Proposto","","CRONOGRAMA FÍSICO-FINANCEIRO")</f>
        <v>CRONOGRAMA FÍSICO-FINANCEIRO</v>
      </c>
      <c r="F12" s="529"/>
      <c r="G12" s="529"/>
      <c r="H12" s="528"/>
      <c r="I12" s="528"/>
      <c r="K12" s="550"/>
      <c r="L12" s="7"/>
      <c r="M12" s="4"/>
      <c r="N12" s="553" t="s">
        <v>3</v>
      </c>
    </row>
    <row r="13" spans="1:15" x14ac:dyDescent="0.2">
      <c r="A13" s="528"/>
      <c r="B13" s="528"/>
      <c r="C13" s="528"/>
      <c r="D13" s="528"/>
      <c r="E13" s="528"/>
      <c r="F13" s="528"/>
      <c r="G13" s="528"/>
      <c r="H13" s="528"/>
      <c r="I13" s="528"/>
      <c r="K13" s="550"/>
      <c r="L13" s="100"/>
      <c r="M13" s="100"/>
      <c r="N13" s="552"/>
    </row>
    <row r="14" spans="1:15" x14ac:dyDescent="0.2">
      <c r="A14" s="528"/>
      <c r="B14" s="528"/>
      <c r="C14" s="528" t="str">
        <f ca="1">IF(TIPOORCAMENTO&lt;&gt;"Proposto","","Obs: Composições e Cotações devem ser preenchidas diretamente no arquivo Referência "&amp;IF(ISBLANK(Import.DataBase),"mm-aaaa",TEXT(Import.DataBase,"mm-aaaa"))&amp;".xlsm.")</f>
        <v>Obs: Composições e Cotações devem ser preenchidas diretamente no arquivo Referência 07-2024.xlsm.</v>
      </c>
      <c r="D14" s="528"/>
      <c r="E14" s="528"/>
      <c r="F14" s="528"/>
      <c r="G14" s="528"/>
      <c r="H14" s="528"/>
      <c r="I14" s="528"/>
      <c r="K14" s="550"/>
      <c r="L14" s="100"/>
      <c r="M14" s="100"/>
      <c r="N14" s="552"/>
    </row>
    <row r="15" spans="1:15" x14ac:dyDescent="0.2">
      <c r="A15" s="528"/>
      <c r="B15" s="528"/>
      <c r="C15" s="528"/>
      <c r="D15" s="528"/>
      <c r="E15" s="528"/>
      <c r="F15" s="528"/>
      <c r="G15" s="528"/>
      <c r="H15" s="528"/>
      <c r="I15" s="528"/>
      <c r="K15" s="550"/>
      <c r="L15" s="100" t="s">
        <v>406</v>
      </c>
      <c r="M15" s="100"/>
      <c r="N15" s="552"/>
    </row>
    <row r="16" spans="1:15" ht="21" customHeight="1" x14ac:dyDescent="0.2">
      <c r="A16" s="528"/>
      <c r="B16" s="695" t="str">
        <f>IF($O$3&lt;&gt;2,"PÓS-LICITADO: Para visualizar/preencher esta seção, altere o TIPO DE ORÇAMENTO para 'Licitado'","RESULTADO DO PROCESSO LICITATÓRIO")</f>
        <v>PÓS-LICITADO: Para visualizar/preencher esta seção, altere o TIPO DE ORÇAMENTO para 'Licitado'</v>
      </c>
      <c r="C16" s="695"/>
      <c r="D16" s="695"/>
      <c r="E16" s="695"/>
      <c r="F16" s="695"/>
      <c r="G16" s="695"/>
      <c r="H16" s="695"/>
      <c r="I16" s="528"/>
      <c r="K16" s="550"/>
      <c r="L16" s="545"/>
      <c r="M16" s="4"/>
      <c r="N16" s="553" t="s">
        <v>403</v>
      </c>
    </row>
    <row r="17" spans="1:14" ht="13.5" thickBot="1" x14ac:dyDescent="0.25">
      <c r="A17" s="528"/>
      <c r="B17" s="528"/>
      <c r="C17" s="528"/>
      <c r="D17" s="528"/>
      <c r="E17" s="528"/>
      <c r="F17" s="528"/>
      <c r="G17" s="528"/>
      <c r="H17" s="528"/>
      <c r="I17" s="528"/>
      <c r="K17" s="550"/>
      <c r="L17" s="3"/>
      <c r="M17" s="3"/>
      <c r="N17" s="554"/>
    </row>
    <row r="18" spans="1:14" ht="21" customHeight="1" thickBot="1" x14ac:dyDescent="0.25">
      <c r="A18" s="528"/>
      <c r="B18" s="528"/>
      <c r="C18" s="541" t="str">
        <f>IF(TIPOORCAMENTO&lt;&gt;"Licitado","","             ORÇAMENTO             ")</f>
        <v/>
      </c>
      <c r="D18" s="529"/>
      <c r="E18" s="541" t="str">
        <f>IF(TIPOORCAMENTO&lt;&gt;"Licitado","","                    QCI                    ")</f>
        <v/>
      </c>
      <c r="F18" s="529"/>
      <c r="G18" s="540" t="str">
        <f>IF(TIPOORCAMENTO&lt;&gt;"Licitado","","CRONOGRAMA FÍSICO-FINANCEIRO")</f>
        <v/>
      </c>
      <c r="H18" s="528"/>
      <c r="I18" s="528"/>
      <c r="K18" s="550"/>
      <c r="L18" s="546"/>
      <c r="M18" s="4"/>
      <c r="N18" s="553" t="s">
        <v>404</v>
      </c>
    </row>
    <row r="19" spans="1:14" x14ac:dyDescent="0.2">
      <c r="A19" s="528"/>
      <c r="B19" s="528"/>
      <c r="C19" s="528"/>
      <c r="D19" s="528"/>
      <c r="E19" s="528"/>
      <c r="F19" s="528"/>
      <c r="G19" s="528"/>
      <c r="H19" s="528"/>
      <c r="I19" s="528"/>
      <c r="K19" s="555"/>
      <c r="L19" s="556"/>
      <c r="M19" s="556"/>
      <c r="N19" s="557"/>
    </row>
    <row r="20" spans="1:14" ht="21" customHeight="1" x14ac:dyDescent="0.2">
      <c r="A20" s="530"/>
      <c r="B20" s="695" t="str">
        <f>IF($O$3&lt;&gt;2,"ACOMPANHAMENTO: Para visualizar/preencher esta seção, altere o TIPO DE ORÇAMENTO para 'Licitado'","ACOMPANHAMENTO DO EMPREENDIMENTO")</f>
        <v>ACOMPANHAMENTO: Para visualizar/preencher esta seção, altere o TIPO DE ORÇAMENTO para 'Licitado'</v>
      </c>
      <c r="C20" s="695"/>
      <c r="D20" s="695"/>
      <c r="E20" s="695"/>
      <c r="F20" s="695"/>
      <c r="G20" s="695"/>
      <c r="H20" s="695"/>
      <c r="I20" s="528"/>
    </row>
    <row r="21" spans="1:14" ht="13.5" thickBot="1" x14ac:dyDescent="0.25">
      <c r="A21" s="528"/>
      <c r="B21" s="528"/>
      <c r="C21" s="528"/>
      <c r="D21" s="528"/>
      <c r="E21" s="528"/>
      <c r="F21" s="528"/>
      <c r="G21" s="528"/>
      <c r="H21" s="528"/>
      <c r="I21" s="528"/>
    </row>
    <row r="22" spans="1:14" ht="21" customHeight="1" thickBot="1" x14ac:dyDescent="0.25">
      <c r="A22" s="528"/>
      <c r="B22" s="528"/>
      <c r="C22" s="542" t="str">
        <f>IF(OR(TIPOORCAMENTO&lt;&gt;"Licitado",ACOMPANHAMENTO&lt;&gt;"PLE"),"","PLAN. DE LEVANT. DE EVENTOS - PLE")</f>
        <v/>
      </c>
      <c r="D22" s="529"/>
      <c r="E22" s="544" t="str">
        <f>IF(TIPOORCAMENTO&lt;&gt;"Licitado","","                    RRE                    ")</f>
        <v/>
      </c>
      <c r="F22" s="529"/>
      <c r="G22" s="543" t="str">
        <f>IF(OR(TIPOORCAMENTO&lt;&gt;"Licitado",ACOMPANHAMENTO&lt;&gt;"BM"),"","  BOLETIM DE MEDIÇÃO - BM  ")</f>
        <v/>
      </c>
      <c r="H22" s="528"/>
      <c r="I22" s="528"/>
    </row>
    <row r="23" spans="1:14" ht="13.5" thickBot="1" x14ac:dyDescent="0.25">
      <c r="A23" s="528"/>
      <c r="B23" s="528"/>
      <c r="C23" s="529"/>
      <c r="D23" s="529"/>
      <c r="E23" s="529"/>
      <c r="F23" s="529"/>
      <c r="G23" s="529"/>
      <c r="H23" s="528"/>
      <c r="I23" s="528"/>
    </row>
    <row r="24" spans="1:14" ht="21" customHeight="1" thickBot="1" x14ac:dyDescent="0.25">
      <c r="A24" s="528"/>
      <c r="B24" s="528"/>
      <c r="C24" s="529"/>
      <c r="D24" s="529"/>
      <c r="E24" s="542" t="str">
        <f>IF(TIPOORCAMENTO&lt;&gt;"Licitado","","OF. DE SOLICITAÇÃO DE DESBLOQUEIO")</f>
        <v/>
      </c>
      <c r="F24" s="529"/>
      <c r="G24" s="529"/>
      <c r="H24" s="528"/>
      <c r="I24" s="528"/>
    </row>
    <row r="25" spans="1:14" x14ac:dyDescent="0.2">
      <c r="A25" s="528"/>
      <c r="B25" s="528"/>
      <c r="C25" s="528"/>
      <c r="D25" s="528"/>
      <c r="E25" s="528"/>
      <c r="F25" s="528"/>
      <c r="G25" s="528"/>
      <c r="H25" s="528"/>
      <c r="I25" s="528"/>
    </row>
  </sheetData>
  <sheetProtection algorithmName="SHA-512" hashValue="ZjipzJCUXfwYqXUF6x0NfqaPBWuvxOmEo4vRftge9kCbaxrpLe9+32CGduu1xfYyUQMng6kGpu9qAuXFc1/wbg==" saltValue="FeCEYnS0C/1FDaKUcwwHFQ==" spinCount="100000" sheet="1" objects="1" scenarios="1" autoFilter="0"/>
  <mergeCells count="4">
    <mergeCell ref="B20:H20"/>
    <mergeCell ref="B8:H8"/>
    <mergeCell ref="E2:G3"/>
    <mergeCell ref="B16:H16"/>
  </mergeCells>
  <phoneticPr fontId="38" type="noConversion"/>
  <conditionalFormatting sqref="C10:G14">
    <cfRule type="expression" dxfId="1493" priority="70" stopIfTrue="1">
      <formula>TIPOORCAMENTO="Licitado"</formula>
    </cfRule>
  </conditionalFormatting>
  <conditionalFormatting sqref="C18:G18 E22:E24">
    <cfRule type="expression" dxfId="1492" priority="71" stopIfTrue="1">
      <formula>TIPOORCAMENTO&lt;&gt;"Licitado"</formula>
    </cfRule>
  </conditionalFormatting>
  <conditionalFormatting sqref="C22">
    <cfRule type="expression" dxfId="1491" priority="73" stopIfTrue="1">
      <formula>OR(TIPOORCAMENTO&lt;&gt;"Licitado",ACOMPANHAMENTO&lt;&gt;"PLE")</formula>
    </cfRule>
  </conditionalFormatting>
  <conditionalFormatting sqref="G22">
    <cfRule type="expression" dxfId="1490" priority="74" stopIfTrue="1">
      <formula>OR(TIPOORCAMENTO&lt;&gt;"Licitado",ACOMPANHAMENTO&lt;&gt;"BM")</formula>
    </cfRule>
  </conditionalFormatting>
  <conditionalFormatting sqref="B16:H16 B20:H20">
    <cfRule type="expression" dxfId="1489" priority="599" stopIfTrue="1">
      <formula>$O$3&lt;&gt;2</formula>
    </cfRule>
  </conditionalFormatting>
  <conditionalFormatting sqref="B8:H8">
    <cfRule type="expression" dxfId="1488" priority="601" stopIfTrue="1">
      <formula>$O$3&lt;&gt;1</formula>
    </cfRule>
  </conditionalFormatting>
  <hyperlinks>
    <hyperlink ref="E6" location="DADOS!E3" display="DADOS DO CONTRATO"/>
    <hyperlink ref="G6" location="Novo!A1" display="NOVIDADES DA VERSÃO"/>
    <hyperlink ref="C10" location="BDI!Q11" display="BDI!Q11"/>
    <hyperlink ref="E10" location="ORÇAMENTO!M13" display="ORÇAMENTO"/>
    <hyperlink ref="G10" location="CÁLCULO!D13" display="MEMÓRIA DE CÁLCULO / PLQ"/>
    <hyperlink ref="E12" location="CRONO!G12" display="CRONOGRAMA FÍSICO-FINANCEIRO"/>
    <hyperlink ref="C18" location="ORÇAMENTO!AM15" display="             ORÇAMENTO             "/>
    <hyperlink ref="E18" location="QCI!D13" display="                    QCI                    "/>
    <hyperlink ref="G18" location="CRONO!G12" display="CRONOGRAMA FÍSICO-FINANCEIRO"/>
    <hyperlink ref="C22" location="PLE!J8" display="PLAN. DE LEVANT. DE EVENTOS - PLE"/>
    <hyperlink ref="E22" location="RRE!E13" display="                    RRE                    "/>
    <hyperlink ref="G22" location="BM!D13" display="BM!D13"/>
    <hyperlink ref="E24" location="Ofício!C6" display="OF. DE SOLICITAÇÃO DE DESBLOQUEIO"/>
    <hyperlink ref="C12" location="QCI!D13" display="QCI!D13"/>
  </hyperlinks>
  <pageMargins left="0.78740157480314998" right="0.78740157480314998" top="0.78740157480314998" bottom="0.78740157480314998" header="5.7086614173228396" footer="0.59055118110236204"/>
  <pageSetup paperSize="9" scale="60" firstPageNumber="0" orientation="portrait" horizontalDpi="300" verticalDpi="300" r:id="rId1"/>
  <headerFooter alignWithMargins="0">
    <oddHeader>&amp;L_</oddHeader>
    <oddFooter>&amp;LPMv3.0.6&amp;R&amp;P / &amp;N</oddFooter>
  </headerFooter>
  <colBreaks count="1" manualBreakCount="1">
    <brk id="9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84" r:id="rId4" name="Group Box 24">
              <controlPr defaultSize="0" autoFill="0" autoPict="0">
                <anchor moveWithCells="1" sizeWithCells="1">
                  <from>
                    <xdr:col>2</xdr:col>
                    <xdr:colOff>1362075</xdr:colOff>
                    <xdr:row>4</xdr:row>
                    <xdr:rowOff>0</xdr:rowOff>
                  </from>
                  <to>
                    <xdr:col>3</xdr:col>
                    <xdr:colOff>19050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4" r:id="rId5" name="Drop Down 94">
              <controlPr defaultSize="0" autoLine="0" autoPict="0">
                <anchor moveWithCells="1" sizeWithCells="1">
                  <from>
                    <xdr:col>2</xdr:col>
                    <xdr:colOff>1485900</xdr:colOff>
                    <xdr:row>4</xdr:row>
                    <xdr:rowOff>161925</xdr:rowOff>
                  </from>
                  <to>
                    <xdr:col>2</xdr:col>
                    <xdr:colOff>2419350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6" name="Group Box 17">
              <controlPr defaultSize="0" autoFill="0" autoPict="0" altText="Tipo de Orçamento          ">
                <anchor moveWithCells="1" sizeWithCells="1">
                  <from>
                    <xdr:col>2</xdr:col>
                    <xdr:colOff>9525</xdr:colOff>
                    <xdr:row>4</xdr:row>
                    <xdr:rowOff>0</xdr:rowOff>
                  </from>
                  <to>
                    <xdr:col>2</xdr:col>
                    <xdr:colOff>1266825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3" r:id="rId7" name="Drop Down 93">
              <controlPr defaultSize="0" autoLine="0" autoPict="0">
                <anchor moveWithCells="1" sizeWithCells="1">
                  <from>
                    <xdr:col>2</xdr:col>
                    <xdr:colOff>133350</xdr:colOff>
                    <xdr:row>4</xdr:row>
                    <xdr:rowOff>161925</xdr:rowOff>
                  </from>
                  <to>
                    <xdr:col>2</xdr:col>
                    <xdr:colOff>1114425</xdr:colOff>
                    <xdr:row>5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1"/>
  <dimension ref="A1:AG80"/>
  <sheetViews>
    <sheetView showGridLines="0" zoomScale="90" zoomScaleNormal="90" zoomScaleSheetLayoutView="100" workbookViewId="0">
      <pane xSplit="4" ySplit="13" topLeftCell="E14" activePane="bottomRight" state="frozen"/>
      <selection pane="topRight" activeCell="E1" sqref="E1"/>
      <selection pane="bottomLeft" activeCell="A13" sqref="A13"/>
      <selection pane="bottomRight"/>
    </sheetView>
  </sheetViews>
  <sheetFormatPr defaultRowHeight="12.75" x14ac:dyDescent="0.2"/>
  <cols>
    <col min="1" max="1" width="3.85546875" customWidth="1"/>
    <col min="2" max="2" width="8.140625" customWidth="1"/>
    <col min="3" max="3" width="17" customWidth="1"/>
    <col min="4" max="4" width="19.85546875" customWidth="1"/>
    <col min="5" max="5" width="1.42578125" customWidth="1"/>
    <col min="6" max="7" width="0" hidden="1" customWidth="1"/>
    <col min="8" max="32" width="5.7109375" customWidth="1"/>
    <col min="33" max="33" width="0.140625" customWidth="1"/>
  </cols>
  <sheetData>
    <row r="1" spans="1:33" hidden="1" x14ac:dyDescent="0.2">
      <c r="A1" s="9" t="e">
        <f ca="1">IF(AUTOEVENTO="Manual",IF(OFFSET(EVENTOS!$F$14,PLE!$B1,0)&gt;0,"F",""),IF(PLE!B1&lt;=MAX(CÁLCULO!$M$15:$M$192),"F",""))</f>
        <v>#REF!</v>
      </c>
      <c r="B1" s="326" t="e">
        <f ca="1">OFFSET(B1,-1,0)+1</f>
        <v>#REF!</v>
      </c>
      <c r="C1" s="769" t="e">
        <f ca="1">IF(AUTOEVENTO="Manual",IF($B1&lt;&gt;1,OFFSET(EVENTOS!$D$14,$B1,0),0),IF(B1&lt;=MAX(CÁLCULO!$M$15:$M$192),VLOOKUP($B1,CÁLCULO!$M$15:$N$192,2,FALSE),0))</f>
        <v>#REF!</v>
      </c>
      <c r="D1" s="769"/>
      <c r="F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</row>
    <row r="2" spans="1:33" hidden="1" x14ac:dyDescent="0.2">
      <c r="A2" s="9"/>
      <c r="B2" s="608"/>
      <c r="C2" s="609"/>
      <c r="D2" s="609"/>
      <c r="F2" s="610"/>
    </row>
    <row r="3" spans="1:33" ht="15.75" x14ac:dyDescent="0.25">
      <c r="H3" s="263" t="s">
        <v>293</v>
      </c>
      <c r="AD3" s="724" t="s">
        <v>140</v>
      </c>
      <c r="AE3" s="724"/>
      <c r="AF3" s="724"/>
    </row>
    <row r="4" spans="1:33" ht="15.75" x14ac:dyDescent="0.2">
      <c r="B4" s="102"/>
      <c r="C4" s="102"/>
      <c r="H4" s="106" t="str">
        <f>import.recurso</f>
        <v>OGU</v>
      </c>
      <c r="AD4" s="725" t="s">
        <v>143</v>
      </c>
      <c r="AE4" s="725"/>
      <c r="AF4" s="725"/>
    </row>
    <row r="6" spans="1:33" x14ac:dyDescent="0.2">
      <c r="B6" s="267" t="s">
        <v>146</v>
      </c>
      <c r="C6" s="343"/>
      <c r="D6" s="269" t="s">
        <v>443</v>
      </c>
      <c r="E6" s="59"/>
      <c r="H6" s="270" t="s">
        <v>272</v>
      </c>
      <c r="I6" s="264"/>
      <c r="J6" s="264"/>
      <c r="K6" s="264"/>
      <c r="L6" s="265"/>
      <c r="M6" s="265"/>
      <c r="N6" s="344"/>
      <c r="O6" s="267" t="s">
        <v>273</v>
      </c>
      <c r="P6" s="271"/>
      <c r="Q6" s="100"/>
      <c r="R6" s="264"/>
      <c r="S6" s="264"/>
      <c r="T6" s="264"/>
      <c r="U6" s="268"/>
      <c r="V6" s="267" t="str">
        <f>IF(TIPOORCAMENTO="Licitado","NOME DA EMPRESA","DESCRIÇÃO DO LOTE")</f>
        <v>DESCRIÇÃO DO LOTE</v>
      </c>
      <c r="W6" s="264"/>
      <c r="X6" s="264"/>
      <c r="Y6" s="264"/>
      <c r="Z6" s="100"/>
      <c r="AA6" s="100"/>
      <c r="AB6" s="100"/>
      <c r="AC6" s="100"/>
      <c r="AD6" s="59"/>
      <c r="AE6" s="782" t="str">
        <f>IF(TIPOORCAMENTO="Licitado","Nº CTEF","")</f>
        <v/>
      </c>
      <c r="AF6" s="782"/>
    </row>
    <row r="7" spans="1:33" x14ac:dyDescent="0.2">
      <c r="B7" s="754">
        <f>Import.CR</f>
        <v>0</v>
      </c>
      <c r="C7" s="754"/>
      <c r="D7" s="273">
        <f>Import.TransfereGOV</f>
        <v>0</v>
      </c>
      <c r="E7" s="54"/>
      <c r="H7" s="753" t="str">
        <f>Import.Proponente</f>
        <v>INSTITUTO FEDERAL FARROUPILHA</v>
      </c>
      <c r="I7" s="753"/>
      <c r="J7" s="753"/>
      <c r="K7" s="753"/>
      <c r="L7" s="753"/>
      <c r="M7" s="753"/>
      <c r="N7" s="753"/>
      <c r="O7" s="754" t="str">
        <f>Import.Apelido</f>
        <v>BIBLIOTECA  ÉRICO VERISSIMO</v>
      </c>
      <c r="P7" s="754"/>
      <c r="Q7" s="754"/>
      <c r="R7" s="754"/>
      <c r="S7" s="754"/>
      <c r="T7" s="754"/>
      <c r="U7" s="754"/>
      <c r="V7" s="754" t="str">
        <f>IF(TIPOORCAMENTO="Licitado",Import.empresa,Import.DescLote)</f>
        <v>BIBLIOTECA  ÉRICO VERISSIMO</v>
      </c>
      <c r="W7" s="754"/>
      <c r="X7" s="754"/>
      <c r="Y7" s="754"/>
      <c r="Z7" s="754"/>
      <c r="AA7" s="754"/>
      <c r="AB7" s="754"/>
      <c r="AC7" s="754"/>
      <c r="AD7" s="754"/>
      <c r="AE7" s="786" t="str">
        <f>IF(TIPOORCAMENTO="Licitado",Import.CTEF,"")</f>
        <v/>
      </c>
      <c r="AF7" s="786"/>
      <c r="AG7" s="345"/>
    </row>
    <row r="8" spans="1:33" x14ac:dyDescent="0.2">
      <c r="AG8" s="100"/>
    </row>
    <row r="9" spans="1:33" ht="15.75" x14ac:dyDescent="0.25">
      <c r="A9" s="526">
        <v>0</v>
      </c>
      <c r="B9" s="346"/>
      <c r="C9" s="346"/>
      <c r="I9" s="347" t="s">
        <v>294</v>
      </c>
      <c r="J9" s="784">
        <v>1</v>
      </c>
      <c r="K9" s="784"/>
      <c r="M9" s="347" t="s">
        <v>283</v>
      </c>
      <c r="N9" s="785" t="str">
        <f ca="1">TEXT(IF(PLE.Medicao=1,Import.DataInicioObra,OFFSET($H$68,0,1+(PLE.Medicao-$I$69)*2-2)+1),"dd/mm/aaaa")&amp;" a "&amp;TEXT(OFFSET($H$68,0,1+(PLE.Medicao-$I$69)*2),"dd/mm/aaaa")</f>
        <v>00/01/1900 a 00/01/1900</v>
      </c>
      <c r="O9" s="785"/>
      <c r="P9" s="785"/>
      <c r="Q9" s="785"/>
      <c r="R9" s="785"/>
      <c r="S9" s="785"/>
      <c r="T9" s="785"/>
      <c r="U9" s="348"/>
      <c r="X9" s="347" t="s">
        <v>295</v>
      </c>
      <c r="Y9" s="787" t="e">
        <f ca="1">OFFSET($I$69,1+8*(ROUNDUP(($J$9-0)/((COLUMN($AG$14)-COLUMN($G$14)-1)/25*12),0)-1),ROUNDDOWN((($J$9-0)-OFFSET($I$69,8*(ROUNDUP(($J$9-0)/((COLUMN($AG$14)-COLUMN($G$14)-1)/25*12),0)-1),0))*(2+1/12),0))</f>
        <v>#DIV/0!</v>
      </c>
      <c r="Z9" s="787"/>
      <c r="AD9" s="347" t="s">
        <v>296</v>
      </c>
      <c r="AE9" s="787" t="e">
        <f ca="1">OFFSET($I$69,3+8*(ROUNDUP(($J$9-0)/((COLUMN($AG$14)-COLUMN($G$14)-1)/25*12),0)-1),ROUNDDOWN((($J$9-0)-OFFSET($I$69,8*(ROUNDUP(($J$9-0)/((COLUMN($AG$14)-COLUMN($G$14)-1)/25*12),0)-1),0))*(2+1/12),0))</f>
        <v>#DIV/0!</v>
      </c>
      <c r="AF9" s="787"/>
    </row>
    <row r="11" spans="1:33" ht="65.25" customHeight="1" x14ac:dyDescent="0.2">
      <c r="A11" s="330" t="s">
        <v>290</v>
      </c>
      <c r="C11" s="783" t="str">
        <f>IF(TIPOORCAMENTO="proposto","ALTERE O TIPO DE ORÇAMENTO NA ABA 'MENU' PARA LICITADO.",IF(ACOMPANHAMENTO="BM","FOI SELECIONADO NA ABA 'MENU' O ACOMPANHAMENTO POR BM.",""))</f>
        <v>ALTERE O TIPO DE ORÇAMENTO NA ABA 'MENU' PARA LICITADO.</v>
      </c>
      <c r="D11" s="783"/>
      <c r="F11" s="332" t="str">
        <f ca="1">IF(F$12&gt;CÁLCULO.NúmeroDeFrentes,"",OFFSET(CÁLCULO!$P$12,0,F$12))</f>
        <v xml:space="preserve">PONTE </v>
      </c>
      <c r="H11" s="332" t="str">
        <f ca="1">IF(H$12&gt;CÁLCULO.NúmeroDeFrentes,"",OFFSET(CÁLCULO!$P$12,0,H$12))</f>
        <v xml:space="preserve">PONTE </v>
      </c>
      <c r="I11" s="332">
        <f ca="1">IF(I$12&gt;CÁLCULO.NúmeroDeFrentes,"",OFFSET(CÁLCULO!$P$12,0,I$12))</f>
        <v>0</v>
      </c>
      <c r="J11" s="332">
        <f ca="1">IF(J$12&gt;CÁLCULO.NúmeroDeFrentes,"",OFFSET(CÁLCULO!$P$12,0,J$12))</f>
        <v>0</v>
      </c>
      <c r="K11" s="332">
        <f ca="1">IF(K$12&gt;CÁLCULO.NúmeroDeFrentes,"",OFFSET(CÁLCULO!$P$12,0,K$12))</f>
        <v>0</v>
      </c>
      <c r="L11" s="332">
        <f ca="1">IF(L$12&gt;CÁLCULO.NúmeroDeFrentes,"",OFFSET(CÁLCULO!$P$12,0,L$12))</f>
        <v>0</v>
      </c>
      <c r="M11" s="332">
        <f ca="1">IF(M$12&gt;CÁLCULO.NúmeroDeFrentes,"",OFFSET(CÁLCULO!$P$12,0,M$12))</f>
        <v>0</v>
      </c>
      <c r="N11" s="332">
        <f ca="1">IF(N$12&gt;CÁLCULO.NúmeroDeFrentes,"",OFFSET(CÁLCULO!$P$12,0,N$12))</f>
        <v>0</v>
      </c>
      <c r="O11" s="332">
        <f ca="1">IF(O$12&gt;CÁLCULO.NúmeroDeFrentes,"",OFFSET(CÁLCULO!$P$12,0,O$12))</f>
        <v>0</v>
      </c>
      <c r="P11" s="332">
        <f ca="1">IF(P$12&gt;CÁLCULO.NúmeroDeFrentes,"",OFFSET(CÁLCULO!$P$12,0,P$12))</f>
        <v>0</v>
      </c>
      <c r="Q11" s="332">
        <f ca="1">IF(Q$12&gt;CÁLCULO.NúmeroDeFrentes,"",OFFSET(CÁLCULO!$P$12,0,Q$12))</f>
        <v>0</v>
      </c>
      <c r="R11" s="332" t="str">
        <f ca="1">IF(R$12&gt;CÁLCULO.NúmeroDeFrentes,"",OFFSET(CÁLCULO!$P$12,0,R$12))</f>
        <v/>
      </c>
      <c r="S11" s="332" t="str">
        <f ca="1">IF(S$12&gt;CÁLCULO.NúmeroDeFrentes,"",OFFSET(CÁLCULO!$P$12,0,S$12))</f>
        <v/>
      </c>
      <c r="T11" s="332" t="str">
        <f ca="1">IF(T$12&gt;CÁLCULO.NúmeroDeFrentes,"",OFFSET(CÁLCULO!$P$12,0,T$12))</f>
        <v/>
      </c>
      <c r="U11" s="332" t="str">
        <f ca="1">IF(U$12&gt;CÁLCULO.NúmeroDeFrentes,"",OFFSET(CÁLCULO!$P$12,0,U$12))</f>
        <v/>
      </c>
      <c r="V11" s="332" t="str">
        <f ca="1">IF(V$12&gt;CÁLCULO.NúmeroDeFrentes,"",OFFSET(CÁLCULO!$P$12,0,V$12))</f>
        <v/>
      </c>
      <c r="W11" s="332" t="str">
        <f ca="1">IF(W$12&gt;CÁLCULO.NúmeroDeFrentes,"",OFFSET(CÁLCULO!$P$12,0,W$12))</f>
        <v/>
      </c>
      <c r="X11" s="332" t="str">
        <f ca="1">IF(X$12&gt;CÁLCULO.NúmeroDeFrentes,"",OFFSET(CÁLCULO!$P$12,0,X$12))</f>
        <v/>
      </c>
      <c r="Y11" s="332" t="str">
        <f ca="1">IF(Y$12&gt;CÁLCULO.NúmeroDeFrentes,"",OFFSET(CÁLCULO!$P$12,0,Y$12))</f>
        <v/>
      </c>
      <c r="Z11" s="332" t="str">
        <f ca="1">IF(Z$12&gt;CÁLCULO.NúmeroDeFrentes,"",OFFSET(CÁLCULO!$P$12,0,Z$12))</f>
        <v/>
      </c>
      <c r="AA11" s="332" t="str">
        <f ca="1">IF(AA$12&gt;CÁLCULO.NúmeroDeFrentes,"",OFFSET(CÁLCULO!$P$12,0,AA$12))</f>
        <v/>
      </c>
      <c r="AB11" s="332" t="str">
        <f ca="1">IF(AB$12&gt;CÁLCULO.NúmeroDeFrentes,"",OFFSET(CÁLCULO!$P$12,0,AB$12))</f>
        <v/>
      </c>
      <c r="AC11" s="332" t="str">
        <f ca="1">IF(AC$12&gt;CÁLCULO.NúmeroDeFrentes,"",OFFSET(CÁLCULO!$P$12,0,AC$12))</f>
        <v/>
      </c>
      <c r="AD11" s="332" t="str">
        <f ca="1">IF(AD$12&gt;CÁLCULO.NúmeroDeFrentes,"",OFFSET(CÁLCULO!$P$12,0,AD$12))</f>
        <v/>
      </c>
      <c r="AE11" s="332" t="str">
        <f ca="1">IF(AE$12&gt;CÁLCULO.NúmeroDeFrentes,"",OFFSET(CÁLCULO!$P$12,0,AE$12))</f>
        <v/>
      </c>
      <c r="AF11" s="332" t="str">
        <f ca="1">IF(AF$12&gt;CÁLCULO.NúmeroDeFrentes,"",OFFSET(CÁLCULO!$P$12,0,AF$12))</f>
        <v/>
      </c>
    </row>
    <row r="12" spans="1:33" ht="12.75" customHeight="1" x14ac:dyDescent="0.2">
      <c r="A12" s="135" t="s">
        <v>217</v>
      </c>
      <c r="B12" s="764" t="s">
        <v>266</v>
      </c>
      <c r="C12" s="764" t="s">
        <v>291</v>
      </c>
      <c r="D12" s="764"/>
      <c r="F12" s="333">
        <f ca="1">OFFSET(F12,0,-1)+1</f>
        <v>1</v>
      </c>
      <c r="H12" s="333">
        <f ca="1">OFFSET(H12,0,-1)+1</f>
        <v>1</v>
      </c>
      <c r="I12" s="333">
        <f ca="1">OFFSET(I12,0,-1)+1</f>
        <v>2</v>
      </c>
      <c r="J12" s="333">
        <f t="shared" ref="J12:AF12" ca="1" si="0">OFFSET(J12,0,-1)+1</f>
        <v>3</v>
      </c>
      <c r="K12" s="333">
        <f t="shared" ca="1" si="0"/>
        <v>4</v>
      </c>
      <c r="L12" s="333">
        <f t="shared" ca="1" si="0"/>
        <v>5</v>
      </c>
      <c r="M12" s="333">
        <f t="shared" ca="1" si="0"/>
        <v>6</v>
      </c>
      <c r="N12" s="333">
        <f t="shared" ca="1" si="0"/>
        <v>7</v>
      </c>
      <c r="O12" s="333">
        <f t="shared" ca="1" si="0"/>
        <v>8</v>
      </c>
      <c r="P12" s="333">
        <f t="shared" ca="1" si="0"/>
        <v>9</v>
      </c>
      <c r="Q12" s="333">
        <f t="shared" ca="1" si="0"/>
        <v>10</v>
      </c>
      <c r="R12" s="333">
        <f t="shared" ca="1" si="0"/>
        <v>11</v>
      </c>
      <c r="S12" s="333">
        <f t="shared" ca="1" si="0"/>
        <v>12</v>
      </c>
      <c r="T12" s="333">
        <f t="shared" ca="1" si="0"/>
        <v>13</v>
      </c>
      <c r="U12" s="333">
        <f t="shared" ca="1" si="0"/>
        <v>14</v>
      </c>
      <c r="V12" s="333">
        <f t="shared" ca="1" si="0"/>
        <v>15</v>
      </c>
      <c r="W12" s="333">
        <f t="shared" ca="1" si="0"/>
        <v>16</v>
      </c>
      <c r="X12" s="333">
        <f t="shared" ca="1" si="0"/>
        <v>17</v>
      </c>
      <c r="Y12" s="333">
        <f t="shared" ca="1" si="0"/>
        <v>18</v>
      </c>
      <c r="Z12" s="333">
        <f t="shared" ca="1" si="0"/>
        <v>19</v>
      </c>
      <c r="AA12" s="333">
        <f t="shared" ca="1" si="0"/>
        <v>20</v>
      </c>
      <c r="AB12" s="333">
        <f t="shared" ca="1" si="0"/>
        <v>21</v>
      </c>
      <c r="AC12" s="333">
        <f t="shared" ca="1" si="0"/>
        <v>22</v>
      </c>
      <c r="AD12" s="333">
        <f t="shared" ca="1" si="0"/>
        <v>23</v>
      </c>
      <c r="AE12" s="333">
        <f t="shared" ca="1" si="0"/>
        <v>24</v>
      </c>
      <c r="AF12" s="333">
        <f t="shared" ca="1" si="0"/>
        <v>25</v>
      </c>
    </row>
    <row r="13" spans="1:33" x14ac:dyDescent="0.2">
      <c r="B13" s="764"/>
      <c r="C13" s="764"/>
      <c r="D13" s="764"/>
      <c r="F13" s="335"/>
      <c r="H13" s="335"/>
      <c r="I13" s="334"/>
      <c r="J13" s="334"/>
      <c r="K13" s="334"/>
      <c r="L13" s="334"/>
      <c r="M13" s="334"/>
      <c r="N13" s="334" t="s">
        <v>297</v>
      </c>
      <c r="O13" s="334"/>
      <c r="P13" s="334"/>
      <c r="Q13" s="334"/>
      <c r="R13" s="334"/>
      <c r="S13" s="334"/>
      <c r="T13" s="334"/>
      <c r="U13" s="334"/>
      <c r="V13" s="334"/>
      <c r="W13" s="334"/>
      <c r="X13" s="334"/>
      <c r="Y13" s="334"/>
      <c r="Z13" s="334"/>
      <c r="AA13" s="334"/>
      <c r="AB13" s="334"/>
      <c r="AC13" s="334"/>
      <c r="AD13" s="334"/>
      <c r="AE13" s="334"/>
      <c r="AF13" s="336"/>
    </row>
    <row r="14" spans="1:33" ht="7.5" customHeight="1" x14ac:dyDescent="0.2">
      <c r="A14" s="9" t="s">
        <v>246</v>
      </c>
    </row>
    <row r="15" spans="1:33" x14ac:dyDescent="0.2">
      <c r="A15" s="9" t="str">
        <f ca="1">IF(AND(AUTOEVENTO="Manual",OFFSET(EVENTOS!$F$14,1,0)&gt;0),"F","")</f>
        <v/>
      </c>
      <c r="B15" s="337">
        <v>1</v>
      </c>
      <c r="C15" s="781" t="s">
        <v>269</v>
      </c>
      <c r="D15" s="781"/>
      <c r="F15" s="340"/>
      <c r="H15" s="340" t="str">
        <f ca="1">IF(AUTOEVENTO="MANUAL","A administração local será proporcional a execução dos demais eventos, independente de frentes de obra.","Para aplicação de Adm. Local é necessário definir os eventos manualmente.")</f>
        <v>Para aplicação de Adm. Local é necessário definir os eventos manualmente.</v>
      </c>
      <c r="I15" s="339"/>
      <c r="J15" s="339"/>
      <c r="K15" s="339"/>
      <c r="L15" s="339"/>
      <c r="M15" s="339"/>
      <c r="N15" s="339"/>
      <c r="O15" s="339"/>
      <c r="P15" s="339"/>
      <c r="Q15" s="339"/>
      <c r="R15" s="339"/>
      <c r="S15" s="339"/>
      <c r="T15" s="339"/>
      <c r="U15" s="339"/>
      <c r="V15" s="339"/>
      <c r="W15" s="339"/>
      <c r="X15" s="339"/>
      <c r="Y15" s="339"/>
      <c r="Z15" s="339"/>
      <c r="AA15" s="339"/>
      <c r="AB15" s="339"/>
      <c r="AC15" s="339"/>
      <c r="AD15" s="339"/>
      <c r="AE15" s="339"/>
      <c r="AF15" s="341"/>
    </row>
    <row r="16" spans="1:33" x14ac:dyDescent="0.2">
      <c r="A16" s="9" t="str">
        <f ca="1">IF(AUTOEVENTO="Manual",IF(OFFSET(EVENTOS!$F$14,PLE!$B16,0)&gt;0,"F",""),IF(PLE!B16&lt;=MAX(CÁLCULO!$M$15:$M$192),"F",""))</f>
        <v>F</v>
      </c>
      <c r="B16" s="326">
        <f t="shared" ref="B16:B64" ca="1" si="1">OFFSET(B16,-1,0)+1</f>
        <v>2</v>
      </c>
      <c r="C16" s="769" t="str">
        <f ca="1">IF(AUTOEVENTO="Manual",IF($B16&lt;&gt;1,OFFSET(EVENTOS!$D$14,$B16,0),0),IF(B16&lt;=MAX(CÁLCULO!$M$15:$M$192),VLOOKUP($B16,CÁLCULO!$M$15:$N$192,2,FALSE),0))</f>
        <v>SERVIÇOS PRELIMINARES  E PROVISÓRIOS</v>
      </c>
      <c r="D16" s="769"/>
      <c r="F16" s="328"/>
      <c r="H16" s="328"/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  <c r="AE16" s="328"/>
      <c r="AF16" s="328"/>
    </row>
    <row r="17" spans="1:32" x14ac:dyDescent="0.2">
      <c r="A17" s="9" t="str">
        <f ca="1">IF(AUTOEVENTO="Manual",IF(OFFSET(EVENTOS!$F$14,PLE!$B17,0)&gt;0,"F",""),IF(PLE!B17&lt;=MAX(CÁLCULO!$M$15:$M$192),"F",""))</f>
        <v>F</v>
      </c>
      <c r="B17" s="326">
        <f t="shared" ca="1" si="1"/>
        <v>3</v>
      </c>
      <c r="C17" s="769" t="str">
        <f ca="1">IF(AUTOEVENTO="Manual",IF($B17&lt;&gt;1,OFFSET(EVENTOS!$D$14,$B17,0),0),IF(B17&lt;=MAX(CÁLCULO!$M$15:$M$192),VLOOKUP($B17,CÁLCULO!$M$15:$N$192,2,FALSE),0))</f>
        <v xml:space="preserve">ADMINISTRAÇÃO LOCAL </v>
      </c>
      <c r="D17" s="769"/>
      <c r="F17" s="328"/>
      <c r="H17" s="328"/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  <c r="AA17" s="328"/>
      <c r="AB17" s="328"/>
      <c r="AC17" s="328"/>
      <c r="AD17" s="328"/>
      <c r="AE17" s="328"/>
      <c r="AF17" s="328"/>
    </row>
    <row r="18" spans="1:32" x14ac:dyDescent="0.2">
      <c r="A18" s="9" t="str">
        <f ca="1">IF(AUTOEVENTO="Manual",IF(OFFSET(EVENTOS!$F$14,PLE!$B18,0)&gt;0,"F",""),IF(PLE!B18&lt;=MAX(CÁLCULO!$M$15:$M$192),"F",""))</f>
        <v>F</v>
      </c>
      <c r="B18" s="326">
        <f t="shared" ca="1" si="1"/>
        <v>4</v>
      </c>
      <c r="C18" s="769" t="str">
        <f ca="1">IF(AUTOEVENTO="Manual",IF($B18&lt;&gt;1,OFFSET(EVENTOS!$D$14,$B18,0),0),IF(B18&lt;=MAX(CÁLCULO!$M$15:$M$192),VLOOKUP($B18,CÁLCULO!$M$15:$N$192,2,FALSE),0))</f>
        <v xml:space="preserve">REGULARIZAÇÃO TERRENO </v>
      </c>
      <c r="D18" s="769"/>
      <c r="F18" s="328"/>
      <c r="H18" s="328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328"/>
      <c r="AC18" s="328"/>
      <c r="AD18" s="328"/>
      <c r="AE18" s="328"/>
      <c r="AF18" s="328"/>
    </row>
    <row r="19" spans="1:32" x14ac:dyDescent="0.2">
      <c r="A19" s="9" t="str">
        <f ca="1">IF(AUTOEVENTO="Manual",IF(OFFSET(EVENTOS!$F$14,PLE!$B19,0)&gt;0,"F",""),IF(PLE!B19&lt;=MAX(CÁLCULO!$M$15:$M$192),"F",""))</f>
        <v>F</v>
      </c>
      <c r="B19" s="326">
        <f t="shared" ca="1" si="1"/>
        <v>5</v>
      </c>
      <c r="C19" s="769" t="str">
        <f ca="1">IF(AUTOEVENTO="Manual",IF($B19&lt;&gt;1,OFFSET(EVENTOS!$D$14,$B19,0),0),IF(B19&lt;=MAX(CÁLCULO!$M$15:$M$192),VLOOKUP($B19,CÁLCULO!$M$15:$N$192,2,FALSE),0))</f>
        <v>FUNDAÇÃO (estaca e blocos)</v>
      </c>
      <c r="D19" s="769"/>
      <c r="F19" s="328"/>
      <c r="H19" s="328"/>
      <c r="I19" s="328"/>
      <c r="J19" s="328"/>
      <c r="K19" s="328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8"/>
      <c r="AB19" s="328"/>
      <c r="AC19" s="328"/>
      <c r="AD19" s="328"/>
      <c r="AE19" s="328"/>
      <c r="AF19" s="328"/>
    </row>
    <row r="20" spans="1:32" x14ac:dyDescent="0.2">
      <c r="A20" s="9" t="str">
        <f ca="1">IF(AUTOEVENTO="Manual",IF(OFFSET(EVENTOS!$F$14,PLE!$B20,0)&gt;0,"F",""),IF(PLE!B20&lt;=MAX(CÁLCULO!$M$15:$M$192),"F",""))</f>
        <v>F</v>
      </c>
      <c r="B20" s="326">
        <f t="shared" ca="1" si="1"/>
        <v>6</v>
      </c>
      <c r="C20" s="769" t="str">
        <f ca="1">IF(AUTOEVENTO="Manual",IF($B20&lt;&gt;1,OFFSET(EVENTOS!$D$14,$B20,0),0),IF(B20&lt;=MAX(CÁLCULO!$M$15:$M$192),VLOOKUP($B20,CÁLCULO!$M$15:$N$192,2,FALSE),0))</f>
        <v xml:space="preserve">ESCAVAÇÃO BALDRAME </v>
      </c>
      <c r="D20" s="769"/>
      <c r="F20" s="328"/>
      <c r="H20" s="328"/>
      <c r="I20" s="328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  <c r="AA20" s="328"/>
      <c r="AB20" s="328"/>
      <c r="AC20" s="328"/>
      <c r="AD20" s="328"/>
      <c r="AE20" s="328"/>
      <c r="AF20" s="328"/>
    </row>
    <row r="21" spans="1:32" x14ac:dyDescent="0.2">
      <c r="A21" s="9" t="str">
        <f ca="1">IF(AUTOEVENTO="Manual",IF(OFFSET(EVENTOS!$F$14,PLE!$B21,0)&gt;0,"F",""),IF(PLE!B21&lt;=MAX(CÁLCULO!$M$15:$M$192),"F",""))</f>
        <v>F</v>
      </c>
      <c r="B21" s="326">
        <f t="shared" ca="1" si="1"/>
        <v>7</v>
      </c>
      <c r="C21" s="769" t="str">
        <f ca="1">IF(AUTOEVENTO="Manual",IF($B21&lt;&gt;1,OFFSET(EVENTOS!$D$14,$B21,0),0),IF(B21&lt;=MAX(CÁLCULO!$M$15:$M$192),VLOOKUP($B21,CÁLCULO!$M$15:$N$192,2,FALSE),0))</f>
        <v>PILARES (INCLUSO COLARINHO)</v>
      </c>
      <c r="D21" s="769"/>
      <c r="F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  <c r="AB21" s="328"/>
      <c r="AC21" s="328"/>
      <c r="AD21" s="328"/>
      <c r="AE21" s="328"/>
      <c r="AF21" s="328"/>
    </row>
    <row r="22" spans="1:32" x14ac:dyDescent="0.2">
      <c r="A22" s="9" t="str">
        <f ca="1">IF(AUTOEVENTO="Manual",IF(OFFSET(EVENTOS!$F$14,PLE!$B22,0)&gt;0,"F",""),IF(PLE!B22&lt;=MAX(CÁLCULO!$M$15:$M$192),"F",""))</f>
        <v>F</v>
      </c>
      <c r="B22" s="326">
        <f t="shared" ca="1" si="1"/>
        <v>8</v>
      </c>
      <c r="C22" s="769" t="str">
        <f ca="1">IF(AUTOEVENTO="Manual",IF($B22&lt;&gt;1,OFFSET(EVENTOS!$D$14,$B22,0),0),IF(B22&lt;=MAX(CÁLCULO!$M$15:$M$192),VLOOKUP($B22,CÁLCULO!$M$15:$N$192,2,FALSE),0))</f>
        <v>VIGAS (INCLUSO BALDRAME)</v>
      </c>
      <c r="D22" s="769"/>
      <c r="F22" s="328"/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  <c r="AC22" s="328"/>
      <c r="AD22" s="328"/>
      <c r="AE22" s="328"/>
      <c r="AF22" s="328"/>
    </row>
    <row r="23" spans="1:32" x14ac:dyDescent="0.2">
      <c r="A23" s="9" t="str">
        <f ca="1">IF(AUTOEVENTO="Manual",IF(OFFSET(EVENTOS!$F$14,PLE!$B23,0)&gt;0,"F",""),IF(PLE!B23&lt;=MAX(CÁLCULO!$M$15:$M$192),"F",""))</f>
        <v>F</v>
      </c>
      <c r="B23" s="326">
        <f t="shared" ca="1" si="1"/>
        <v>9</v>
      </c>
      <c r="C23" s="769" t="str">
        <f ca="1">IF(AUTOEVENTO="Manual",IF($B23&lt;&gt;1,OFFSET(EVENTOS!$D$14,$B23,0),0),IF(B23&lt;=MAX(CÁLCULO!$M$15:$M$192),VLOOKUP($B23,CÁLCULO!$M$15:$N$192,2,FALSE),0))</f>
        <v xml:space="preserve">IMPERMEABILIZAÇÃO BALDRAME </v>
      </c>
      <c r="D23" s="769"/>
      <c r="F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  <c r="AC23" s="328"/>
      <c r="AD23" s="328"/>
      <c r="AE23" s="328"/>
      <c r="AF23" s="328"/>
    </row>
    <row r="24" spans="1:32" x14ac:dyDescent="0.2">
      <c r="A24" s="9" t="str">
        <f ca="1">IF(AUTOEVENTO="Manual",IF(OFFSET(EVENTOS!$F$14,PLE!$B24,0)&gt;0,"F",""),IF(PLE!B24&lt;=MAX(CÁLCULO!$M$15:$M$192),"F",""))</f>
        <v>F</v>
      </c>
      <c r="B24" s="326">
        <f t="shared" ca="1" si="1"/>
        <v>10</v>
      </c>
      <c r="C24" s="769" t="str">
        <f ca="1">IF(AUTOEVENTO="Manual",IF($B24&lt;&gt;1,OFFSET(EVENTOS!$D$14,$B24,0),0),IF(B24&lt;=MAX(CÁLCULO!$M$15:$M$192),VLOOKUP($B24,CÁLCULO!$M$15:$N$192,2,FALSE),0))</f>
        <v xml:space="preserve">ALVENARIAS </v>
      </c>
      <c r="D24" s="769"/>
      <c r="F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  <c r="AA24" s="328"/>
      <c r="AB24" s="328"/>
      <c r="AC24" s="328"/>
      <c r="AD24" s="328"/>
      <c r="AE24" s="328"/>
      <c r="AF24" s="328"/>
    </row>
    <row r="25" spans="1:32" x14ac:dyDescent="0.2">
      <c r="A25" s="9" t="str">
        <f ca="1">IF(AUTOEVENTO="Manual",IF(OFFSET(EVENTOS!$F$14,PLE!$B25,0)&gt;0,"F",""),IF(PLE!B25&lt;=MAX(CÁLCULO!$M$15:$M$192),"F",""))</f>
        <v>F</v>
      </c>
      <c r="B25" s="326">
        <f t="shared" ca="1" si="1"/>
        <v>11</v>
      </c>
      <c r="C25" s="769" t="str">
        <f ca="1">IF(AUTOEVENTO="Manual",IF($B25&lt;&gt;1,OFFSET(EVENTOS!$D$14,$B25,0),0),IF(B25&lt;=MAX(CÁLCULO!$M$15:$M$192),VLOOKUP($B25,CÁLCULO!$M$15:$N$192,2,FALSE),0))</f>
        <v>DIVISÓRIA EM VIDRO FIXO</v>
      </c>
      <c r="D25" s="769"/>
      <c r="F25" s="328"/>
      <c r="H25" s="328"/>
      <c r="I25" s="328"/>
      <c r="J25" s="328"/>
      <c r="K25" s="328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  <c r="Y25" s="328"/>
      <c r="Z25" s="328"/>
      <c r="AA25" s="328"/>
      <c r="AB25" s="328"/>
      <c r="AC25" s="328"/>
      <c r="AD25" s="328"/>
      <c r="AE25" s="328"/>
      <c r="AF25" s="328"/>
    </row>
    <row r="26" spans="1:32" x14ac:dyDescent="0.2">
      <c r="A26" s="9" t="str">
        <f ca="1">IF(AUTOEVENTO="Manual",IF(OFFSET(EVENTOS!$F$14,PLE!$B26,0)&gt;0,"F",""),IF(PLE!B26&lt;=MAX(CÁLCULO!$M$15:$M$192),"F",""))</f>
        <v>F</v>
      </c>
      <c r="B26" s="326">
        <f t="shared" ca="1" si="1"/>
        <v>12</v>
      </c>
      <c r="C26" s="769" t="str">
        <f ca="1">IF(AUTOEVENTO="Manual",IF($B26&lt;&gt;1,OFFSET(EVENTOS!$D$14,$B26,0),0),IF(B26&lt;=MAX(CÁLCULO!$M$15:$M$192),VLOOKUP($B26,CÁLCULO!$M$15:$N$192,2,FALSE),0))</f>
        <v>PISO</v>
      </c>
      <c r="D26" s="769"/>
      <c r="F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  <c r="AA26" s="328"/>
      <c r="AB26" s="328"/>
      <c r="AC26" s="328"/>
      <c r="AD26" s="328"/>
      <c r="AE26" s="328"/>
      <c r="AF26" s="328"/>
    </row>
    <row r="27" spans="1:32" x14ac:dyDescent="0.2">
      <c r="A27" s="9" t="str">
        <f ca="1">IF(AUTOEVENTO="Manual",IF(OFFSET(EVENTOS!$F$14,PLE!$B27,0)&gt;0,"F",""),IF(PLE!B27&lt;=MAX(CÁLCULO!$M$15:$M$192),"F",""))</f>
        <v>F</v>
      </c>
      <c r="B27" s="326">
        <f t="shared" ca="1" si="1"/>
        <v>13</v>
      </c>
      <c r="C27" s="769" t="str">
        <f ca="1">IF(AUTOEVENTO="Manual",IF($B27&lt;&gt;1,OFFSET(EVENTOS!$D$14,$B27,0),0),IF(B27&lt;=MAX(CÁLCULO!$M$15:$M$192),VLOOKUP($B27,CÁLCULO!$M$15:$N$192,2,FALSE),0))</f>
        <v>LAJE</v>
      </c>
      <c r="D27" s="769"/>
      <c r="F27" s="328"/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  <c r="AA27" s="328"/>
      <c r="AB27" s="328"/>
      <c r="AC27" s="328"/>
      <c r="AD27" s="328"/>
      <c r="AE27" s="328"/>
      <c r="AF27" s="328"/>
    </row>
    <row r="28" spans="1:32" x14ac:dyDescent="0.2">
      <c r="A28" s="9" t="str">
        <f ca="1">IF(AUTOEVENTO="Manual",IF(OFFSET(EVENTOS!$F$14,PLE!$B28,0)&gt;0,"F",""),IF(PLE!B28&lt;=MAX(CÁLCULO!$M$15:$M$192),"F",""))</f>
        <v>F</v>
      </c>
      <c r="B28" s="326">
        <f t="shared" ca="1" si="1"/>
        <v>14</v>
      </c>
      <c r="C28" s="769" t="str">
        <f ca="1">IF(AUTOEVENTO="Manual",IF($B28&lt;&gt;1,OFFSET(EVENTOS!$D$14,$B28,0),0),IF(B28&lt;=MAX(CÁLCULO!$M$15:$M$192),VLOOKUP($B28,CÁLCULO!$M$15:$N$192,2,FALSE),0))</f>
        <v xml:space="preserve">COBERTURA </v>
      </c>
      <c r="D28" s="769"/>
      <c r="F28" s="328"/>
      <c r="H28" s="328"/>
      <c r="I28" s="328"/>
      <c r="J28" s="328"/>
      <c r="K28" s="328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8"/>
      <c r="Z28" s="328"/>
      <c r="AA28" s="328"/>
      <c r="AB28" s="328"/>
      <c r="AC28" s="328"/>
      <c r="AD28" s="328"/>
      <c r="AE28" s="328"/>
      <c r="AF28" s="328"/>
    </row>
    <row r="29" spans="1:32" x14ac:dyDescent="0.2">
      <c r="A29" s="9" t="str">
        <f ca="1">IF(AUTOEVENTO="Manual",IF(OFFSET(EVENTOS!$F$14,PLE!$B29,0)&gt;0,"F",""),IF(PLE!B29&lt;=MAX(CÁLCULO!$M$15:$M$192),"F",""))</f>
        <v>F</v>
      </c>
      <c r="B29" s="326">
        <f t="shared" ca="1" si="1"/>
        <v>15</v>
      </c>
      <c r="C29" s="769" t="str">
        <f ca="1">IF(AUTOEVENTO="Manual",IF($B29&lt;&gt;1,OFFSET(EVENTOS!$D$14,$B29,0),0),IF(B29&lt;=MAX(CÁLCULO!$M$15:$M$192),VLOOKUP($B29,CÁLCULO!$M$15:$N$192,2,FALSE),0))</f>
        <v>SPDA</v>
      </c>
      <c r="D29" s="769"/>
      <c r="F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  <c r="AA29" s="328"/>
      <c r="AB29" s="328"/>
      <c r="AC29" s="328"/>
      <c r="AD29" s="328"/>
      <c r="AE29" s="328"/>
      <c r="AF29" s="328"/>
    </row>
    <row r="30" spans="1:32" x14ac:dyDescent="0.2">
      <c r="A30" s="9" t="str">
        <f ca="1">IF(AUTOEVENTO="Manual",IF(OFFSET(EVENTOS!$F$14,PLE!$B30,0)&gt;0,"F",""),IF(PLE!B30&lt;=MAX(CÁLCULO!$M$15:$M$192),"F",""))</f>
        <v>F</v>
      </c>
      <c r="B30" s="326">
        <f t="shared" ca="1" si="1"/>
        <v>16</v>
      </c>
      <c r="C30" s="769" t="str">
        <f ca="1">IF(AUTOEVENTO="Manual",IF($B30&lt;&gt;1,OFFSET(EVENTOS!$D$14,$B30,0),0),IF(B30&lt;=MAX(CÁLCULO!$M$15:$M$192),VLOOKUP($B30,CÁLCULO!$M$15:$N$192,2,FALSE),0))</f>
        <v xml:space="preserve">ESQUADRIAS </v>
      </c>
      <c r="D30" s="769"/>
      <c r="F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  <c r="AA30" s="328"/>
      <c r="AB30" s="328"/>
      <c r="AC30" s="328"/>
      <c r="AD30" s="328"/>
      <c r="AE30" s="328"/>
      <c r="AF30" s="328"/>
    </row>
    <row r="31" spans="1:32" x14ac:dyDescent="0.2">
      <c r="A31" s="9" t="str">
        <f ca="1">IF(AUTOEVENTO="Manual",IF(OFFSET(EVENTOS!$F$14,PLE!$B31,0)&gt;0,"F",""),IF(PLE!B31&lt;=MAX(CÁLCULO!$M$15:$M$192),"F",""))</f>
        <v>F</v>
      </c>
      <c r="B31" s="326">
        <f t="shared" ca="1" si="1"/>
        <v>17</v>
      </c>
      <c r="C31" s="769" t="str">
        <f ca="1">IF(AUTOEVENTO="Manual",IF($B31&lt;&gt;1,OFFSET(EVENTOS!$D$14,$B31,0),0),IF(B31&lt;=MAX(CÁLCULO!$M$15:$M$192),VLOOKUP($B31,CÁLCULO!$M$15:$N$192,2,FALSE),0))</f>
        <v xml:space="preserve">PINTURA </v>
      </c>
      <c r="D31" s="769"/>
      <c r="F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  <c r="AA31" s="328"/>
      <c r="AB31" s="328"/>
      <c r="AC31" s="328"/>
      <c r="AD31" s="328"/>
      <c r="AE31" s="328"/>
      <c r="AF31" s="328"/>
    </row>
    <row r="32" spans="1:32" x14ac:dyDescent="0.2">
      <c r="A32" s="9" t="str">
        <f ca="1">IF(AUTOEVENTO="Manual",IF(OFFSET(EVENTOS!$F$14,PLE!$B32,0)&gt;0,"F",""),IF(PLE!B32&lt;=MAX(CÁLCULO!$M$15:$M$192),"F",""))</f>
        <v>F</v>
      </c>
      <c r="B32" s="326">
        <f t="shared" ca="1" si="1"/>
        <v>18</v>
      </c>
      <c r="C32" s="769" t="str">
        <f ca="1">IF(AUTOEVENTO="Manual",IF($B32&lt;&gt;1,OFFSET(EVENTOS!$D$14,$B32,0),0),IF(B32&lt;=MAX(CÁLCULO!$M$15:$M$192),VLOOKUP($B32,CÁLCULO!$M$15:$N$192,2,FALSE),0))</f>
        <v xml:space="preserve">PREVENTIVO DE INCENDIO </v>
      </c>
      <c r="D32" s="769"/>
      <c r="F32" s="328"/>
      <c r="H32" s="328"/>
      <c r="I32" s="328"/>
      <c r="J32" s="328"/>
      <c r="K32" s="328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  <c r="AA32" s="328"/>
      <c r="AB32" s="328"/>
      <c r="AC32" s="328"/>
      <c r="AD32" s="328"/>
      <c r="AE32" s="328"/>
      <c r="AF32" s="328"/>
    </row>
    <row r="33" spans="1:32" x14ac:dyDescent="0.2">
      <c r="A33" s="9" t="str">
        <f ca="1">IF(AUTOEVENTO="Manual",IF(OFFSET(EVENTOS!$F$14,PLE!$B33,0)&gt;0,"F",""),IF(PLE!B33&lt;=MAX(CÁLCULO!$M$15:$M$192),"F",""))</f>
        <v>F</v>
      </c>
      <c r="B33" s="326">
        <f t="shared" ca="1" si="1"/>
        <v>19</v>
      </c>
      <c r="C33" s="769" t="str">
        <f ca="1">IF(AUTOEVENTO="Manual",IF($B33&lt;&gt;1,OFFSET(EVENTOS!$D$14,$B33,0),0),IF(B33&lt;=MAX(CÁLCULO!$M$15:$M$192),VLOOKUP($B33,CÁLCULO!$M$15:$N$192,2,FALSE),0))</f>
        <v xml:space="preserve">ELÉTRICA </v>
      </c>
      <c r="D33" s="769"/>
      <c r="F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8"/>
      <c r="Z33" s="328"/>
      <c r="AA33" s="328"/>
      <c r="AB33" s="328"/>
      <c r="AC33" s="328"/>
      <c r="AD33" s="328"/>
      <c r="AE33" s="328"/>
      <c r="AF33" s="328"/>
    </row>
    <row r="34" spans="1:32" x14ac:dyDescent="0.2">
      <c r="A34" s="9" t="str">
        <f ca="1">IF(AUTOEVENTO="Manual",IF(OFFSET(EVENTOS!$F$14,PLE!$B34,0)&gt;0,"F",""),IF(PLE!B34&lt;=MAX(CÁLCULO!$M$15:$M$192),"F",""))</f>
        <v>F</v>
      </c>
      <c r="B34" s="326">
        <f t="shared" ca="1" si="1"/>
        <v>20</v>
      </c>
      <c r="C34" s="769" t="str">
        <f ca="1">IF(AUTOEVENTO="Manual",IF($B34&lt;&gt;1,OFFSET(EVENTOS!$D$14,$B34,0),0),IF(B34&lt;=MAX(CÁLCULO!$M$15:$M$192),VLOOKUP($B34,CÁLCULO!$M$15:$N$192,2,FALSE),0))</f>
        <v>HIDRAULICO</v>
      </c>
      <c r="D34" s="769"/>
      <c r="F34" s="328"/>
      <c r="H34" s="328"/>
      <c r="I34" s="328"/>
      <c r="J34" s="328"/>
      <c r="K34" s="328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28"/>
      <c r="AB34" s="328"/>
      <c r="AC34" s="328"/>
      <c r="AD34" s="328"/>
      <c r="AE34" s="328"/>
      <c r="AF34" s="328"/>
    </row>
    <row r="35" spans="1:32" x14ac:dyDescent="0.2">
      <c r="A35" s="9" t="str">
        <f ca="1">IF(AUTOEVENTO="Manual",IF(OFFSET(EVENTOS!$F$14,PLE!$B35,0)&gt;0,"F",""),IF(PLE!B35&lt;=MAX(CÁLCULO!$M$15:$M$192),"F",""))</f>
        <v>F</v>
      </c>
      <c r="B35" s="326">
        <f t="shared" ca="1" si="1"/>
        <v>21</v>
      </c>
      <c r="C35" s="769" t="str">
        <f ca="1">IF(AUTOEVENTO="Manual",IF($B35&lt;&gt;1,OFFSET(EVENTOS!$D$14,$B35,0),0),IF(B35&lt;=MAX(CÁLCULO!$M$15:$M$192),VLOOKUP($B35,CÁLCULO!$M$15:$N$192,2,FALSE),0))</f>
        <v>SANITÁRIO</v>
      </c>
      <c r="D35" s="769"/>
      <c r="F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8"/>
      <c r="AB35" s="328"/>
      <c r="AC35" s="328"/>
      <c r="AD35" s="328"/>
      <c r="AE35" s="328"/>
      <c r="AF35" s="328"/>
    </row>
    <row r="36" spans="1:32" x14ac:dyDescent="0.2">
      <c r="A36" s="9" t="str">
        <f ca="1">IF(AUTOEVENTO="Manual",IF(OFFSET(EVENTOS!$F$14,PLE!$B36,0)&gt;0,"F",""),IF(PLE!B36&lt;=MAX(CÁLCULO!$M$15:$M$192),"F",""))</f>
        <v>F</v>
      </c>
      <c r="B36" s="326">
        <f t="shared" ca="1" si="1"/>
        <v>22</v>
      </c>
      <c r="C36" s="769" t="str">
        <f ca="1">IF(AUTOEVENTO="Manual",IF($B36&lt;&gt;1,OFFSET(EVENTOS!$D$14,$B36,0),0),IF(B36&lt;=MAX(CÁLCULO!$M$15:$M$192),VLOOKUP($B36,CÁLCULO!$M$15:$N$192,2,FALSE),0))</f>
        <v>ACESSORIOS</v>
      </c>
      <c r="D36" s="769"/>
      <c r="F36" s="328"/>
      <c r="H36" s="328"/>
      <c r="I36" s="328"/>
      <c r="J36" s="328"/>
      <c r="K36" s="328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  <c r="AB36" s="328"/>
      <c r="AC36" s="328"/>
      <c r="AD36" s="328"/>
      <c r="AE36" s="328"/>
      <c r="AF36" s="328"/>
    </row>
    <row r="37" spans="1:32" x14ac:dyDescent="0.2">
      <c r="A37" s="9" t="str">
        <f ca="1">IF(AUTOEVENTO="Manual",IF(OFFSET(EVENTOS!$F$14,PLE!$B37,0)&gt;0,"F",""),IF(PLE!B37&lt;=MAX(CÁLCULO!$M$15:$M$192),"F",""))</f>
        <v>F</v>
      </c>
      <c r="B37" s="326">
        <f t="shared" ca="1" si="1"/>
        <v>23</v>
      </c>
      <c r="C37" s="769" t="str">
        <f ca="1">IF(AUTOEVENTO="Manual",IF($B37&lt;&gt;1,OFFSET(EVENTOS!$D$14,$B37,0),0),IF(B37&lt;=MAX(CÁLCULO!$M$15:$M$192),VLOOKUP($B37,CÁLCULO!$M$15:$N$192,2,FALSE),0))</f>
        <v>CLIMATIZADORES</v>
      </c>
      <c r="D37" s="769"/>
      <c r="F37" s="328"/>
      <c r="H37" s="328"/>
      <c r="I37" s="328"/>
      <c r="J37" s="328"/>
      <c r="K37" s="328"/>
      <c r="L37" s="328"/>
      <c r="M37" s="328"/>
      <c r="N37" s="328"/>
      <c r="O37" s="328"/>
      <c r="P37" s="328"/>
      <c r="Q37" s="328"/>
      <c r="R37" s="328"/>
      <c r="S37" s="328"/>
      <c r="T37" s="328"/>
      <c r="U37" s="328"/>
      <c r="V37" s="328"/>
      <c r="W37" s="328"/>
      <c r="X37" s="328"/>
      <c r="Y37" s="328"/>
      <c r="Z37" s="328"/>
      <c r="AA37" s="328"/>
      <c r="AB37" s="328"/>
      <c r="AC37" s="328"/>
      <c r="AD37" s="328"/>
      <c r="AE37" s="328"/>
      <c r="AF37" s="328"/>
    </row>
    <row r="38" spans="1:32" x14ac:dyDescent="0.2">
      <c r="A38" s="9" t="str">
        <f ca="1">IF(AUTOEVENTO="Manual",IF(OFFSET(EVENTOS!$F$14,PLE!$B38,0)&gt;0,"F",""),IF(PLE!B38&lt;=MAX(CÁLCULO!$M$15:$M$192),"F",""))</f>
        <v>F</v>
      </c>
      <c r="B38" s="326">
        <f t="shared" ca="1" si="1"/>
        <v>24</v>
      </c>
      <c r="C38" s="769" t="str">
        <f ca="1">IF(AUTOEVENTO="Manual",IF($B38&lt;&gt;1,OFFSET(EVENTOS!$D$14,$B38,0),0),IF(B38&lt;=MAX(CÁLCULO!$M$15:$M$192),VLOOKUP($B38,CÁLCULO!$M$15:$N$192,2,FALSE),0))</f>
        <v>ACESSIBILIDADE</v>
      </c>
      <c r="D38" s="769"/>
      <c r="F38" s="328"/>
      <c r="H38" s="328"/>
      <c r="I38" s="328"/>
      <c r="J38" s="328"/>
      <c r="K38" s="328"/>
      <c r="L38" s="328"/>
      <c r="M38" s="328"/>
      <c r="N38" s="328"/>
      <c r="O38" s="328"/>
      <c r="P38" s="328"/>
      <c r="Q38" s="328"/>
      <c r="R38" s="328"/>
      <c r="S38" s="328"/>
      <c r="T38" s="328"/>
      <c r="U38" s="328"/>
      <c r="V38" s="328"/>
      <c r="W38" s="328"/>
      <c r="X38" s="328"/>
      <c r="Y38" s="328"/>
      <c r="Z38" s="328"/>
      <c r="AA38" s="328"/>
      <c r="AB38" s="328"/>
      <c r="AC38" s="328"/>
      <c r="AD38" s="328"/>
      <c r="AE38" s="328"/>
      <c r="AF38" s="328"/>
    </row>
    <row r="39" spans="1:32" x14ac:dyDescent="0.2">
      <c r="A39" s="9" t="str">
        <f ca="1">IF(AUTOEVENTO="Manual",IF(OFFSET(EVENTOS!$F$14,PLE!$B39,0)&gt;0,"F",""),IF(PLE!B39&lt;=MAX(CÁLCULO!$M$15:$M$192),"F",""))</f>
        <v>F</v>
      </c>
      <c r="B39" s="326">
        <f t="shared" ca="1" si="1"/>
        <v>25</v>
      </c>
      <c r="C39" s="769" t="str">
        <f ca="1">IF(AUTOEVENTO="Manual",IF($B39&lt;&gt;1,OFFSET(EVENTOS!$D$14,$B39,0),0),IF(B39&lt;=MAX(CÁLCULO!$M$15:$M$192),VLOOKUP($B39,CÁLCULO!$M$15:$N$192,2,FALSE),0))</f>
        <v xml:space="preserve">CALÇADA EXTERNA </v>
      </c>
      <c r="D39" s="769"/>
      <c r="F39" s="328"/>
      <c r="H39" s="328"/>
      <c r="I39" s="328"/>
      <c r="J39" s="328"/>
      <c r="K39" s="328"/>
      <c r="L39" s="328"/>
      <c r="M39" s="328"/>
      <c r="N39" s="328"/>
      <c r="O39" s="328"/>
      <c r="P39" s="328"/>
      <c r="Q39" s="328"/>
      <c r="R39" s="328"/>
      <c r="S39" s="328"/>
      <c r="T39" s="328"/>
      <c r="U39" s="328"/>
      <c r="V39" s="328"/>
      <c r="W39" s="328"/>
      <c r="X39" s="328"/>
      <c r="Y39" s="328"/>
      <c r="Z39" s="328"/>
      <c r="AA39" s="328"/>
      <c r="AB39" s="328"/>
      <c r="AC39" s="328"/>
      <c r="AD39" s="328"/>
      <c r="AE39" s="328"/>
      <c r="AF39" s="328"/>
    </row>
    <row r="40" spans="1:32" x14ac:dyDescent="0.2">
      <c r="A40" s="9" t="str">
        <f ca="1">IF(AUTOEVENTO="Manual",IF(OFFSET(EVENTOS!$F$14,PLE!$B40,0)&gt;0,"F",""),IF(PLE!B40&lt;=MAX(CÁLCULO!$M$15:$M$192),"F",""))</f>
        <v>F</v>
      </c>
      <c r="B40" s="326">
        <f t="shared" ca="1" si="1"/>
        <v>26</v>
      </c>
      <c r="C40" s="769" t="str">
        <f ca="1">IF(AUTOEVENTO="Manual",IF($B40&lt;&gt;1,OFFSET(EVENTOS!$D$14,$B40,0),0),IF(B40&lt;=MAX(CÁLCULO!$M$15:$M$192),VLOOKUP($B40,CÁLCULO!$M$15:$N$192,2,FALSE),0))</f>
        <v>COMPLEMENTARES</v>
      </c>
      <c r="D40" s="769"/>
      <c r="F40" s="328"/>
      <c r="H40" s="328"/>
      <c r="I40" s="328"/>
      <c r="J40" s="328"/>
      <c r="K40" s="328"/>
      <c r="L40" s="328"/>
      <c r="M40" s="328"/>
      <c r="N40" s="328"/>
      <c r="O40" s="328"/>
      <c r="P40" s="328"/>
      <c r="Q40" s="328"/>
      <c r="R40" s="328"/>
      <c r="S40" s="328"/>
      <c r="T40" s="328"/>
      <c r="U40" s="328"/>
      <c r="V40" s="328"/>
      <c r="W40" s="328"/>
      <c r="X40" s="328"/>
      <c r="Y40" s="328"/>
      <c r="Z40" s="328"/>
      <c r="AA40" s="328"/>
      <c r="AB40" s="328"/>
      <c r="AC40" s="328"/>
      <c r="AD40" s="328"/>
      <c r="AE40" s="328"/>
      <c r="AF40" s="328"/>
    </row>
    <row r="41" spans="1:32" x14ac:dyDescent="0.2">
      <c r="A41" s="9" t="str">
        <f ca="1">IF(AUTOEVENTO="Manual",IF(OFFSET(EVENTOS!$F$14,PLE!$B41,0)&gt;0,"F",""),IF(PLE!B41&lt;=MAX(CÁLCULO!$M$15:$M$192),"F",""))</f>
        <v/>
      </c>
      <c r="B41" s="326">
        <f t="shared" ca="1" si="1"/>
        <v>27</v>
      </c>
      <c r="C41" s="769">
        <f ca="1">IF(AUTOEVENTO="Manual",IF($B41&lt;&gt;1,OFFSET(EVENTOS!$D$14,$B41,0),0),IF(B41&lt;=MAX(CÁLCULO!$M$15:$M$192),VLOOKUP($B41,CÁLCULO!$M$15:$N$192,2,FALSE),0))</f>
        <v>0</v>
      </c>
      <c r="D41" s="769"/>
      <c r="F41" s="328"/>
      <c r="H41" s="328"/>
      <c r="I41" s="328"/>
      <c r="J41" s="328"/>
      <c r="K41" s="328"/>
      <c r="L41" s="328"/>
      <c r="M41" s="328"/>
      <c r="N41" s="328"/>
      <c r="O41" s="328"/>
      <c r="P41" s="328"/>
      <c r="Q41" s="328"/>
      <c r="R41" s="328"/>
      <c r="S41" s="328"/>
      <c r="T41" s="328"/>
      <c r="U41" s="328"/>
      <c r="V41" s="328"/>
      <c r="W41" s="328"/>
      <c r="X41" s="328"/>
      <c r="Y41" s="328"/>
      <c r="Z41" s="328"/>
      <c r="AA41" s="328"/>
      <c r="AB41" s="328"/>
      <c r="AC41" s="328"/>
      <c r="AD41" s="328"/>
      <c r="AE41" s="328"/>
      <c r="AF41" s="328"/>
    </row>
    <row r="42" spans="1:32" x14ac:dyDescent="0.2">
      <c r="A42" s="9" t="str">
        <f ca="1">IF(AUTOEVENTO="Manual",IF(OFFSET(EVENTOS!$F$14,PLE!$B42,0)&gt;0,"F",""),IF(PLE!B42&lt;=MAX(CÁLCULO!$M$15:$M$192),"F",""))</f>
        <v/>
      </c>
      <c r="B42" s="326">
        <f t="shared" ca="1" si="1"/>
        <v>28</v>
      </c>
      <c r="C42" s="769">
        <f ca="1">IF(AUTOEVENTO="Manual",IF($B42&lt;&gt;1,OFFSET(EVENTOS!$D$14,$B42,0),0),IF(B42&lt;=MAX(CÁLCULO!$M$15:$M$192),VLOOKUP($B42,CÁLCULO!$M$15:$N$192,2,FALSE),0))</f>
        <v>0</v>
      </c>
      <c r="D42" s="769"/>
      <c r="F42" s="328"/>
      <c r="H42" s="328"/>
      <c r="I42" s="328"/>
      <c r="J42" s="328"/>
      <c r="K42" s="328"/>
      <c r="L42" s="328"/>
      <c r="M42" s="328"/>
      <c r="N42" s="328"/>
      <c r="O42" s="328"/>
      <c r="P42" s="328"/>
      <c r="Q42" s="328"/>
      <c r="R42" s="328"/>
      <c r="S42" s="328"/>
      <c r="T42" s="328"/>
      <c r="U42" s="328"/>
      <c r="V42" s="328"/>
      <c r="W42" s="328"/>
      <c r="X42" s="328"/>
      <c r="Y42" s="328"/>
      <c r="Z42" s="328"/>
      <c r="AA42" s="328"/>
      <c r="AB42" s="328"/>
      <c r="AC42" s="328"/>
      <c r="AD42" s="328"/>
      <c r="AE42" s="328"/>
      <c r="AF42" s="328"/>
    </row>
    <row r="43" spans="1:32" x14ac:dyDescent="0.2">
      <c r="A43" s="9" t="str">
        <f ca="1">IF(AUTOEVENTO="Manual",IF(OFFSET(EVENTOS!$F$14,PLE!$B43,0)&gt;0,"F",""),IF(PLE!B43&lt;=MAX(CÁLCULO!$M$15:$M$192),"F",""))</f>
        <v/>
      </c>
      <c r="B43" s="326">
        <f t="shared" ca="1" si="1"/>
        <v>29</v>
      </c>
      <c r="C43" s="769">
        <f ca="1">IF(AUTOEVENTO="Manual",IF($B43&lt;&gt;1,OFFSET(EVENTOS!$D$14,$B43,0),0),IF(B43&lt;=MAX(CÁLCULO!$M$15:$M$192),VLOOKUP($B43,CÁLCULO!$M$15:$N$192,2,FALSE),0))</f>
        <v>0</v>
      </c>
      <c r="D43" s="769"/>
      <c r="F43" s="328"/>
      <c r="H43" s="328"/>
      <c r="I43" s="328"/>
      <c r="J43" s="328"/>
      <c r="K43" s="328"/>
      <c r="L43" s="328"/>
      <c r="M43" s="328"/>
      <c r="N43" s="328"/>
      <c r="O43" s="328"/>
      <c r="P43" s="328"/>
      <c r="Q43" s="328"/>
      <c r="R43" s="328"/>
      <c r="S43" s="328"/>
      <c r="T43" s="328"/>
      <c r="U43" s="328"/>
      <c r="V43" s="328"/>
      <c r="W43" s="328"/>
      <c r="X43" s="328"/>
      <c r="Y43" s="328"/>
      <c r="Z43" s="328"/>
      <c r="AA43" s="328"/>
      <c r="AB43" s="328"/>
      <c r="AC43" s="328"/>
      <c r="AD43" s="328"/>
      <c r="AE43" s="328"/>
      <c r="AF43" s="328"/>
    </row>
    <row r="44" spans="1:32" x14ac:dyDescent="0.2">
      <c r="A44" s="9" t="str">
        <f ca="1">IF(AUTOEVENTO="Manual",IF(OFFSET(EVENTOS!$F$14,PLE!$B44,0)&gt;0,"F",""),IF(PLE!B44&lt;=MAX(CÁLCULO!$M$15:$M$192),"F",""))</f>
        <v/>
      </c>
      <c r="B44" s="326">
        <f t="shared" ca="1" si="1"/>
        <v>30</v>
      </c>
      <c r="C44" s="769">
        <f ca="1">IF(AUTOEVENTO="Manual",IF($B44&lt;&gt;1,OFFSET(EVENTOS!$D$14,$B44,0),0),IF(B44&lt;=MAX(CÁLCULO!$M$15:$M$192),VLOOKUP($B44,CÁLCULO!$M$15:$N$192,2,FALSE),0))</f>
        <v>0</v>
      </c>
      <c r="D44" s="769"/>
      <c r="F44" s="328"/>
      <c r="H44" s="328"/>
      <c r="I44" s="328"/>
      <c r="J44" s="328"/>
      <c r="K44" s="328"/>
      <c r="L44" s="328"/>
      <c r="M44" s="328"/>
      <c r="N44" s="328"/>
      <c r="O44" s="328"/>
      <c r="P44" s="328"/>
      <c r="Q44" s="328"/>
      <c r="R44" s="328"/>
      <c r="S44" s="328"/>
      <c r="T44" s="328"/>
      <c r="U44" s="328"/>
      <c r="V44" s="328"/>
      <c r="W44" s="328"/>
      <c r="X44" s="328"/>
      <c r="Y44" s="328"/>
      <c r="Z44" s="328"/>
      <c r="AA44" s="328"/>
      <c r="AB44" s="328"/>
      <c r="AC44" s="328"/>
      <c r="AD44" s="328"/>
      <c r="AE44" s="328"/>
      <c r="AF44" s="328"/>
    </row>
    <row r="45" spans="1:32" x14ac:dyDescent="0.2">
      <c r="A45" s="9" t="str">
        <f ca="1">IF(AUTOEVENTO="Manual",IF(OFFSET(EVENTOS!$F$14,PLE!$B45,0)&gt;0,"F",""),IF(PLE!B45&lt;=MAX(CÁLCULO!$M$15:$M$192),"F",""))</f>
        <v/>
      </c>
      <c r="B45" s="326">
        <f t="shared" ca="1" si="1"/>
        <v>31</v>
      </c>
      <c r="C45" s="769">
        <f ca="1">IF(AUTOEVENTO="Manual",IF($B45&lt;&gt;1,OFFSET(EVENTOS!$D$14,$B45,0),0),IF(B45&lt;=MAX(CÁLCULO!$M$15:$M$192),VLOOKUP($B45,CÁLCULO!$M$15:$N$192,2,FALSE),0))</f>
        <v>0</v>
      </c>
      <c r="D45" s="769"/>
      <c r="F45" s="328"/>
      <c r="H45" s="328"/>
      <c r="I45" s="328"/>
      <c r="J45" s="328"/>
      <c r="K45" s="328"/>
      <c r="L45" s="328"/>
      <c r="M45" s="328"/>
      <c r="N45" s="328"/>
      <c r="O45" s="328"/>
      <c r="P45" s="328"/>
      <c r="Q45" s="328"/>
      <c r="R45" s="328"/>
      <c r="S45" s="328"/>
      <c r="T45" s="328"/>
      <c r="U45" s="328"/>
      <c r="V45" s="328"/>
      <c r="W45" s="328"/>
      <c r="X45" s="328"/>
      <c r="Y45" s="328"/>
      <c r="Z45" s="328"/>
      <c r="AA45" s="328"/>
      <c r="AB45" s="328"/>
      <c r="AC45" s="328"/>
      <c r="AD45" s="328"/>
      <c r="AE45" s="328"/>
      <c r="AF45" s="328"/>
    </row>
    <row r="46" spans="1:32" x14ac:dyDescent="0.2">
      <c r="A46" s="9" t="str">
        <f ca="1">IF(AUTOEVENTO="Manual",IF(OFFSET(EVENTOS!$F$14,PLE!$B46,0)&gt;0,"F",""),IF(PLE!B46&lt;=MAX(CÁLCULO!$M$15:$M$192),"F",""))</f>
        <v/>
      </c>
      <c r="B46" s="326">
        <f t="shared" ca="1" si="1"/>
        <v>32</v>
      </c>
      <c r="C46" s="769">
        <f ca="1">IF(AUTOEVENTO="Manual",IF($B46&lt;&gt;1,OFFSET(EVENTOS!$D$14,$B46,0),0),IF(B46&lt;=MAX(CÁLCULO!$M$15:$M$192),VLOOKUP($B46,CÁLCULO!$M$15:$N$192,2,FALSE),0))</f>
        <v>0</v>
      </c>
      <c r="D46" s="769"/>
      <c r="F46" s="328"/>
      <c r="H46" s="328"/>
      <c r="I46" s="328"/>
      <c r="J46" s="328"/>
      <c r="K46" s="328"/>
      <c r="L46" s="328"/>
      <c r="M46" s="328"/>
      <c r="N46" s="328"/>
      <c r="O46" s="328"/>
      <c r="P46" s="328"/>
      <c r="Q46" s="328"/>
      <c r="R46" s="328"/>
      <c r="S46" s="328"/>
      <c r="T46" s="328"/>
      <c r="U46" s="328"/>
      <c r="V46" s="328"/>
      <c r="W46" s="328"/>
      <c r="X46" s="328"/>
      <c r="Y46" s="328"/>
      <c r="Z46" s="328"/>
      <c r="AA46" s="328"/>
      <c r="AB46" s="328"/>
      <c r="AC46" s="328"/>
      <c r="AD46" s="328"/>
      <c r="AE46" s="328"/>
      <c r="AF46" s="328"/>
    </row>
    <row r="47" spans="1:32" x14ac:dyDescent="0.2">
      <c r="A47" s="9" t="str">
        <f ca="1">IF(AUTOEVENTO="Manual",IF(OFFSET(EVENTOS!$F$14,PLE!$B47,0)&gt;0,"F",""),IF(PLE!B47&lt;=MAX(CÁLCULO!$M$15:$M$192),"F",""))</f>
        <v/>
      </c>
      <c r="B47" s="326">
        <f t="shared" ca="1" si="1"/>
        <v>33</v>
      </c>
      <c r="C47" s="769">
        <f ca="1">IF(AUTOEVENTO="Manual",IF($B47&lt;&gt;1,OFFSET(EVENTOS!$D$14,$B47,0),0),IF(B47&lt;=MAX(CÁLCULO!$M$15:$M$192),VLOOKUP($B47,CÁLCULO!$M$15:$N$192,2,FALSE),0))</f>
        <v>0</v>
      </c>
      <c r="D47" s="769"/>
      <c r="F47" s="328"/>
      <c r="H47" s="328"/>
      <c r="I47" s="328"/>
      <c r="J47" s="328"/>
      <c r="K47" s="328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  <c r="Y47" s="328"/>
      <c r="Z47" s="328"/>
      <c r="AA47" s="328"/>
      <c r="AB47" s="328"/>
      <c r="AC47" s="328"/>
      <c r="AD47" s="328"/>
      <c r="AE47" s="328"/>
      <c r="AF47" s="328"/>
    </row>
    <row r="48" spans="1:32" x14ac:dyDescent="0.2">
      <c r="A48" s="9" t="str">
        <f ca="1">IF(AUTOEVENTO="Manual",IF(OFFSET(EVENTOS!$F$14,PLE!$B48,0)&gt;0,"F",""),IF(PLE!B48&lt;=MAX(CÁLCULO!$M$15:$M$192),"F",""))</f>
        <v/>
      </c>
      <c r="B48" s="326">
        <f t="shared" ca="1" si="1"/>
        <v>34</v>
      </c>
      <c r="C48" s="769">
        <f ca="1">IF(AUTOEVENTO="Manual",IF($B48&lt;&gt;1,OFFSET(EVENTOS!$D$14,$B48,0),0),IF(B48&lt;=MAX(CÁLCULO!$M$15:$M$192),VLOOKUP($B48,CÁLCULO!$M$15:$N$192,2,FALSE),0))</f>
        <v>0</v>
      </c>
      <c r="D48" s="769"/>
      <c r="F48" s="328"/>
      <c r="H48" s="328"/>
      <c r="I48" s="328"/>
      <c r="J48" s="328"/>
      <c r="K48" s="328"/>
      <c r="L48" s="328"/>
      <c r="M48" s="328"/>
      <c r="N48" s="328"/>
      <c r="O48" s="328"/>
      <c r="P48" s="328"/>
      <c r="Q48" s="328"/>
      <c r="R48" s="328"/>
      <c r="S48" s="328"/>
      <c r="T48" s="328"/>
      <c r="U48" s="328"/>
      <c r="V48" s="328"/>
      <c r="W48" s="328"/>
      <c r="X48" s="328"/>
      <c r="Y48" s="328"/>
      <c r="Z48" s="328"/>
      <c r="AA48" s="328"/>
      <c r="AB48" s="328"/>
      <c r="AC48" s="328"/>
      <c r="AD48" s="328"/>
      <c r="AE48" s="328"/>
      <c r="AF48" s="328"/>
    </row>
    <row r="49" spans="1:32" x14ac:dyDescent="0.2">
      <c r="A49" s="9" t="str">
        <f ca="1">IF(AUTOEVENTO="Manual",IF(OFFSET(EVENTOS!$F$14,PLE!$B49,0)&gt;0,"F",""),IF(PLE!B49&lt;=MAX(CÁLCULO!$M$15:$M$192),"F",""))</f>
        <v/>
      </c>
      <c r="B49" s="326">
        <f t="shared" ca="1" si="1"/>
        <v>35</v>
      </c>
      <c r="C49" s="769">
        <f ca="1">IF(AUTOEVENTO="Manual",IF($B49&lt;&gt;1,OFFSET(EVENTOS!$D$14,$B49,0),0),IF(B49&lt;=MAX(CÁLCULO!$M$15:$M$192),VLOOKUP($B49,CÁLCULO!$M$15:$N$192,2,FALSE),0))</f>
        <v>0</v>
      </c>
      <c r="D49" s="769"/>
      <c r="F49" s="328"/>
      <c r="H49" s="328"/>
      <c r="I49" s="328"/>
      <c r="J49" s="328"/>
      <c r="K49" s="328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  <c r="Y49" s="328"/>
      <c r="Z49" s="328"/>
      <c r="AA49" s="328"/>
      <c r="AB49" s="328"/>
      <c r="AC49" s="328"/>
      <c r="AD49" s="328"/>
      <c r="AE49" s="328"/>
      <c r="AF49" s="328"/>
    </row>
    <row r="50" spans="1:32" x14ac:dyDescent="0.2">
      <c r="A50" s="9" t="str">
        <f ca="1">IF(AUTOEVENTO="Manual",IF(OFFSET(EVENTOS!$F$14,PLE!$B50,0)&gt;0,"F",""),IF(PLE!B50&lt;=MAX(CÁLCULO!$M$15:$M$192),"F",""))</f>
        <v/>
      </c>
      <c r="B50" s="326">
        <f t="shared" ca="1" si="1"/>
        <v>36</v>
      </c>
      <c r="C50" s="769">
        <f ca="1">IF(AUTOEVENTO="Manual",IF($B50&lt;&gt;1,OFFSET(EVENTOS!$D$14,$B50,0),0),IF(B50&lt;=MAX(CÁLCULO!$M$15:$M$192),VLOOKUP($B50,CÁLCULO!$M$15:$N$192,2,FALSE),0))</f>
        <v>0</v>
      </c>
      <c r="D50" s="769"/>
      <c r="F50" s="328"/>
      <c r="H50" s="328"/>
      <c r="I50" s="328"/>
      <c r="J50" s="328"/>
      <c r="K50" s="328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  <c r="W50" s="328"/>
      <c r="X50" s="328"/>
      <c r="Y50" s="328"/>
      <c r="Z50" s="328"/>
      <c r="AA50" s="328"/>
      <c r="AB50" s="328"/>
      <c r="AC50" s="328"/>
      <c r="AD50" s="328"/>
      <c r="AE50" s="328"/>
      <c r="AF50" s="328"/>
    </row>
    <row r="51" spans="1:32" x14ac:dyDescent="0.2">
      <c r="A51" s="9" t="str">
        <f ca="1">IF(AUTOEVENTO="Manual",IF(OFFSET(EVENTOS!$F$14,PLE!$B51,0)&gt;0,"F",""),IF(PLE!B51&lt;=MAX(CÁLCULO!$M$15:$M$192),"F",""))</f>
        <v/>
      </c>
      <c r="B51" s="326">
        <f t="shared" ca="1" si="1"/>
        <v>37</v>
      </c>
      <c r="C51" s="769">
        <f ca="1">IF(AUTOEVENTO="Manual",IF($B51&lt;&gt;1,OFFSET(EVENTOS!$D$14,$B51,0),0),IF(B51&lt;=MAX(CÁLCULO!$M$15:$M$192),VLOOKUP($B51,CÁLCULO!$M$15:$N$192,2,FALSE),0))</f>
        <v>0</v>
      </c>
      <c r="D51" s="769"/>
      <c r="F51" s="328"/>
      <c r="H51" s="328"/>
      <c r="I51" s="328"/>
      <c r="J51" s="328"/>
      <c r="K51" s="328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8"/>
      <c r="AA51" s="328"/>
      <c r="AB51" s="328"/>
      <c r="AC51" s="328"/>
      <c r="AD51" s="328"/>
      <c r="AE51" s="328"/>
      <c r="AF51" s="328"/>
    </row>
    <row r="52" spans="1:32" x14ac:dyDescent="0.2">
      <c r="A52" s="9" t="str">
        <f ca="1">IF(AUTOEVENTO="Manual",IF(OFFSET(EVENTOS!$F$14,PLE!$B52,0)&gt;0,"F",""),IF(PLE!B52&lt;=MAX(CÁLCULO!$M$15:$M$192),"F",""))</f>
        <v/>
      </c>
      <c r="B52" s="326">
        <f t="shared" ca="1" si="1"/>
        <v>38</v>
      </c>
      <c r="C52" s="769">
        <f ca="1">IF(AUTOEVENTO="Manual",IF($B52&lt;&gt;1,OFFSET(EVENTOS!$D$14,$B52,0),0),IF(B52&lt;=MAX(CÁLCULO!$M$15:$M$192),VLOOKUP($B52,CÁLCULO!$M$15:$N$192,2,FALSE),0))</f>
        <v>0</v>
      </c>
      <c r="D52" s="769"/>
      <c r="F52" s="328"/>
      <c r="H52" s="328"/>
      <c r="I52" s="328"/>
      <c r="J52" s="328"/>
      <c r="K52" s="328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  <c r="AA52" s="328"/>
      <c r="AB52" s="328"/>
      <c r="AC52" s="328"/>
      <c r="AD52" s="328"/>
      <c r="AE52" s="328"/>
      <c r="AF52" s="328"/>
    </row>
    <row r="53" spans="1:32" x14ac:dyDescent="0.2">
      <c r="A53" s="9" t="str">
        <f ca="1">IF(AUTOEVENTO="Manual",IF(OFFSET(EVENTOS!$F$14,PLE!$B53,0)&gt;0,"F",""),IF(PLE!B53&lt;=MAX(CÁLCULO!$M$15:$M$192),"F",""))</f>
        <v/>
      </c>
      <c r="B53" s="326">
        <f t="shared" ca="1" si="1"/>
        <v>39</v>
      </c>
      <c r="C53" s="769">
        <f ca="1">IF(AUTOEVENTO="Manual",IF($B53&lt;&gt;1,OFFSET(EVENTOS!$D$14,$B53,0),0),IF(B53&lt;=MAX(CÁLCULO!$M$15:$M$192),VLOOKUP($B53,CÁLCULO!$M$15:$N$192,2,FALSE),0))</f>
        <v>0</v>
      </c>
      <c r="D53" s="769"/>
      <c r="F53" s="328"/>
      <c r="H53" s="328"/>
      <c r="I53" s="328"/>
      <c r="J53" s="328"/>
      <c r="K53" s="328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  <c r="AA53" s="328"/>
      <c r="AB53" s="328"/>
      <c r="AC53" s="328"/>
      <c r="AD53" s="328"/>
      <c r="AE53" s="328"/>
      <c r="AF53" s="328"/>
    </row>
    <row r="54" spans="1:32" x14ac:dyDescent="0.2">
      <c r="A54" s="9" t="str">
        <f ca="1">IF(AUTOEVENTO="Manual",IF(OFFSET(EVENTOS!$F$14,PLE!$B54,0)&gt;0,"F",""),IF(PLE!B54&lt;=MAX(CÁLCULO!$M$15:$M$192),"F",""))</f>
        <v/>
      </c>
      <c r="B54" s="326">
        <f t="shared" ca="1" si="1"/>
        <v>40</v>
      </c>
      <c r="C54" s="769">
        <f ca="1">IF(AUTOEVENTO="Manual",IF($B54&lt;&gt;1,OFFSET(EVENTOS!$D$14,$B54,0),0),IF(B54&lt;=MAX(CÁLCULO!$M$15:$M$192),VLOOKUP($B54,CÁLCULO!$M$15:$N$192,2,FALSE),0))</f>
        <v>0</v>
      </c>
      <c r="D54" s="769"/>
      <c r="F54" s="328"/>
      <c r="H54" s="328"/>
      <c r="I54" s="328"/>
      <c r="J54" s="328"/>
      <c r="K54" s="328"/>
      <c r="L54" s="328"/>
      <c r="M54" s="328"/>
      <c r="N54" s="328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  <c r="AA54" s="328"/>
      <c r="AB54" s="328"/>
      <c r="AC54" s="328"/>
      <c r="AD54" s="328"/>
      <c r="AE54" s="328"/>
      <c r="AF54" s="328"/>
    </row>
    <row r="55" spans="1:32" x14ac:dyDescent="0.2">
      <c r="A55" s="9" t="str">
        <f ca="1">IF(AUTOEVENTO="Manual",IF(OFFSET(EVENTOS!$F$14,PLE!$B55,0)&gt;0,"F",""),IF(PLE!B55&lt;=MAX(CÁLCULO!$M$15:$M$192),"F",""))</f>
        <v/>
      </c>
      <c r="B55" s="326">
        <f t="shared" ca="1" si="1"/>
        <v>41</v>
      </c>
      <c r="C55" s="769">
        <f ca="1">IF(AUTOEVENTO="Manual",IF($B55&lt;&gt;1,OFFSET(EVENTOS!$D$14,$B55,0),0),IF(B55&lt;=MAX(CÁLCULO!$M$15:$M$192),VLOOKUP($B55,CÁLCULO!$M$15:$N$192,2,FALSE),0))</f>
        <v>0</v>
      </c>
      <c r="D55" s="769"/>
      <c r="F55" s="328"/>
      <c r="H55" s="328"/>
      <c r="I55" s="328"/>
      <c r="J55" s="328"/>
      <c r="K55" s="328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8"/>
      <c r="Z55" s="328"/>
      <c r="AA55" s="328"/>
      <c r="AB55" s="328"/>
      <c r="AC55" s="328"/>
      <c r="AD55" s="328"/>
      <c r="AE55" s="328"/>
      <c r="AF55" s="328"/>
    </row>
    <row r="56" spans="1:32" x14ac:dyDescent="0.2">
      <c r="A56" s="9" t="str">
        <f ca="1">IF(AUTOEVENTO="Manual",IF(OFFSET(EVENTOS!$F$14,PLE!$B56,0)&gt;0,"F",""),IF(PLE!B56&lt;=MAX(CÁLCULO!$M$15:$M$192),"F",""))</f>
        <v/>
      </c>
      <c r="B56" s="326">
        <f t="shared" ca="1" si="1"/>
        <v>42</v>
      </c>
      <c r="C56" s="769">
        <f ca="1">IF(AUTOEVENTO="Manual",IF($B56&lt;&gt;1,OFFSET(EVENTOS!$D$14,$B56,0),0),IF(B56&lt;=MAX(CÁLCULO!$M$15:$M$192),VLOOKUP($B56,CÁLCULO!$M$15:$N$192,2,FALSE),0))</f>
        <v>0</v>
      </c>
      <c r="D56" s="769"/>
      <c r="F56" s="328"/>
      <c r="H56" s="328"/>
      <c r="I56" s="32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  <c r="AA56" s="328"/>
      <c r="AB56" s="328"/>
      <c r="AC56" s="328"/>
      <c r="AD56" s="328"/>
      <c r="AE56" s="328"/>
      <c r="AF56" s="328"/>
    </row>
    <row r="57" spans="1:32" x14ac:dyDescent="0.2">
      <c r="A57" s="9" t="str">
        <f ca="1">IF(AUTOEVENTO="Manual",IF(OFFSET(EVENTOS!$F$14,PLE!$B57,0)&gt;0,"F",""),IF(PLE!B57&lt;=MAX(CÁLCULO!$M$15:$M$192),"F",""))</f>
        <v/>
      </c>
      <c r="B57" s="326">
        <f t="shared" ca="1" si="1"/>
        <v>43</v>
      </c>
      <c r="C57" s="769">
        <f ca="1">IF(AUTOEVENTO="Manual",IF($B57&lt;&gt;1,OFFSET(EVENTOS!$D$14,$B57,0),0),IF(B57&lt;=MAX(CÁLCULO!$M$15:$M$192),VLOOKUP($B57,CÁLCULO!$M$15:$N$192,2,FALSE),0))</f>
        <v>0</v>
      </c>
      <c r="D57" s="769"/>
      <c r="F57" s="328"/>
      <c r="H57" s="328"/>
      <c r="I57" s="328"/>
      <c r="J57" s="328"/>
      <c r="K57" s="328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  <c r="AA57" s="328"/>
      <c r="AB57" s="328"/>
      <c r="AC57" s="328"/>
      <c r="AD57" s="328"/>
      <c r="AE57" s="328"/>
      <c r="AF57" s="328"/>
    </row>
    <row r="58" spans="1:32" x14ac:dyDescent="0.2">
      <c r="A58" s="9" t="str">
        <f ca="1">IF(AUTOEVENTO="Manual",IF(OFFSET(EVENTOS!$F$14,PLE!$B58,0)&gt;0,"F",""),IF(PLE!B58&lt;=MAX(CÁLCULO!$M$15:$M$192),"F",""))</f>
        <v/>
      </c>
      <c r="B58" s="326">
        <f t="shared" ca="1" si="1"/>
        <v>44</v>
      </c>
      <c r="C58" s="769">
        <f ca="1">IF(AUTOEVENTO="Manual",IF($B58&lt;&gt;1,OFFSET(EVENTOS!$D$14,$B58,0),0),IF(B58&lt;=MAX(CÁLCULO!$M$15:$M$192),VLOOKUP($B58,CÁLCULO!$M$15:$N$192,2,FALSE),0))</f>
        <v>0</v>
      </c>
      <c r="D58" s="769"/>
      <c r="F58" s="328"/>
      <c r="H58" s="328"/>
      <c r="I58" s="328"/>
      <c r="J58" s="328"/>
      <c r="K58" s="328"/>
      <c r="L58" s="328"/>
      <c r="M58" s="328"/>
      <c r="N58" s="328"/>
      <c r="O58" s="328"/>
      <c r="P58" s="328"/>
      <c r="Q58" s="328"/>
      <c r="R58" s="328"/>
      <c r="S58" s="328"/>
      <c r="T58" s="328"/>
      <c r="U58" s="328"/>
      <c r="V58" s="328"/>
      <c r="W58" s="328"/>
      <c r="X58" s="328"/>
      <c r="Y58" s="328"/>
      <c r="Z58" s="328"/>
      <c r="AA58" s="328"/>
      <c r="AB58" s="328"/>
      <c r="AC58" s="328"/>
      <c r="AD58" s="328"/>
      <c r="AE58" s="328"/>
      <c r="AF58" s="328"/>
    </row>
    <row r="59" spans="1:32" x14ac:dyDescent="0.2">
      <c r="A59" s="9" t="str">
        <f ca="1">IF(AUTOEVENTO="Manual",IF(OFFSET(EVENTOS!$F$14,PLE!$B59,0)&gt;0,"F",""),IF(PLE!B59&lt;=MAX(CÁLCULO!$M$15:$M$192),"F",""))</f>
        <v/>
      </c>
      <c r="B59" s="326">
        <f t="shared" ca="1" si="1"/>
        <v>45</v>
      </c>
      <c r="C59" s="769">
        <f ca="1">IF(AUTOEVENTO="Manual",IF($B59&lt;&gt;1,OFFSET(EVENTOS!$D$14,$B59,0),0),IF(B59&lt;=MAX(CÁLCULO!$M$15:$M$192),VLOOKUP($B59,CÁLCULO!$M$15:$N$192,2,FALSE),0))</f>
        <v>0</v>
      </c>
      <c r="D59" s="769"/>
      <c r="F59" s="328"/>
      <c r="H59" s="328"/>
      <c r="I59" s="32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328"/>
      <c r="AC59" s="328"/>
      <c r="AD59" s="328"/>
      <c r="AE59" s="328"/>
      <c r="AF59" s="328"/>
    </row>
    <row r="60" spans="1:32" x14ac:dyDescent="0.2">
      <c r="A60" s="9" t="str">
        <f ca="1">IF(AUTOEVENTO="Manual",IF(OFFSET(EVENTOS!$F$14,PLE!$B60,0)&gt;0,"F",""),IF(PLE!B60&lt;=MAX(CÁLCULO!$M$15:$M$192),"F",""))</f>
        <v/>
      </c>
      <c r="B60" s="326">
        <f t="shared" ca="1" si="1"/>
        <v>46</v>
      </c>
      <c r="C60" s="769">
        <f ca="1">IF(AUTOEVENTO="Manual",IF($B60&lt;&gt;1,OFFSET(EVENTOS!$D$14,$B60,0),0),IF(B60&lt;=MAX(CÁLCULO!$M$15:$M$192),VLOOKUP($B60,CÁLCULO!$M$15:$N$192,2,FALSE),0))</f>
        <v>0</v>
      </c>
      <c r="D60" s="769"/>
      <c r="F60" s="328"/>
      <c r="H60" s="328"/>
      <c r="I60" s="328"/>
      <c r="J60" s="328"/>
      <c r="K60" s="328"/>
      <c r="L60" s="328"/>
      <c r="M60" s="328"/>
      <c r="N60" s="328"/>
      <c r="O60" s="328"/>
      <c r="P60" s="328"/>
      <c r="Q60" s="328"/>
      <c r="R60" s="328"/>
      <c r="S60" s="328"/>
      <c r="T60" s="328"/>
      <c r="U60" s="328"/>
      <c r="V60" s="328"/>
      <c r="W60" s="328"/>
      <c r="X60" s="328"/>
      <c r="Y60" s="328"/>
      <c r="Z60" s="328"/>
      <c r="AA60" s="328"/>
      <c r="AB60" s="328"/>
      <c r="AC60" s="328"/>
      <c r="AD60" s="328"/>
      <c r="AE60" s="328"/>
      <c r="AF60" s="328"/>
    </row>
    <row r="61" spans="1:32" x14ac:dyDescent="0.2">
      <c r="A61" s="9" t="str">
        <f ca="1">IF(AUTOEVENTO="Manual",IF(OFFSET(EVENTOS!$F$14,PLE!$B61,0)&gt;0,"F",""),IF(PLE!B61&lt;=MAX(CÁLCULO!$M$15:$M$192),"F",""))</f>
        <v/>
      </c>
      <c r="B61" s="326">
        <f t="shared" ca="1" si="1"/>
        <v>47</v>
      </c>
      <c r="C61" s="769">
        <f ca="1">IF(AUTOEVENTO="Manual",IF($B61&lt;&gt;1,OFFSET(EVENTOS!$D$14,$B61,0),0),IF(B61&lt;=MAX(CÁLCULO!$M$15:$M$192),VLOOKUP($B61,CÁLCULO!$M$15:$N$192,2,FALSE),0))</f>
        <v>0</v>
      </c>
      <c r="D61" s="769"/>
      <c r="F61" s="328"/>
      <c r="H61" s="328"/>
      <c r="I61" s="328"/>
      <c r="J61" s="328"/>
      <c r="K61" s="328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8"/>
      <c r="Z61" s="328"/>
      <c r="AA61" s="328"/>
      <c r="AB61" s="328"/>
      <c r="AC61" s="328"/>
      <c r="AD61" s="328"/>
      <c r="AE61" s="328"/>
      <c r="AF61" s="328"/>
    </row>
    <row r="62" spans="1:32" x14ac:dyDescent="0.2">
      <c r="A62" s="9" t="str">
        <f ca="1">IF(AUTOEVENTO="Manual",IF(OFFSET(EVENTOS!$F$14,PLE!$B62,0)&gt;0,"F",""),IF(PLE!B62&lt;=MAX(CÁLCULO!$M$15:$M$192),"F",""))</f>
        <v/>
      </c>
      <c r="B62" s="326">
        <f t="shared" ca="1" si="1"/>
        <v>48</v>
      </c>
      <c r="C62" s="769">
        <f ca="1">IF(AUTOEVENTO="Manual",IF($B62&lt;&gt;1,OFFSET(EVENTOS!$D$14,$B62,0),0),IF(B62&lt;=MAX(CÁLCULO!$M$15:$M$192),VLOOKUP($B62,CÁLCULO!$M$15:$N$192,2,FALSE),0))</f>
        <v>0</v>
      </c>
      <c r="D62" s="769"/>
      <c r="F62" s="328"/>
      <c r="H62" s="328"/>
      <c r="I62" s="328"/>
      <c r="J62" s="328"/>
      <c r="K62" s="328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8"/>
      <c r="Z62" s="328"/>
      <c r="AA62" s="328"/>
      <c r="AB62" s="328"/>
      <c r="AC62" s="328"/>
      <c r="AD62" s="328"/>
      <c r="AE62" s="328"/>
      <c r="AF62" s="328"/>
    </row>
    <row r="63" spans="1:32" x14ac:dyDescent="0.2">
      <c r="A63" s="9" t="str">
        <f ca="1">IF(AUTOEVENTO="Manual",IF(OFFSET(EVENTOS!$F$14,PLE!$B63,0)&gt;0,"F",""),IF(PLE!B63&lt;=MAX(CÁLCULO!$M$15:$M$192),"F",""))</f>
        <v/>
      </c>
      <c r="B63" s="326">
        <f t="shared" ca="1" si="1"/>
        <v>49</v>
      </c>
      <c r="C63" s="769">
        <f ca="1">IF(AUTOEVENTO="Manual",IF($B63&lt;&gt;1,OFFSET(EVENTOS!$D$14,$B63,0),0),IF(B63&lt;=MAX(CÁLCULO!$M$15:$M$192),VLOOKUP($B63,CÁLCULO!$M$15:$N$192,2,FALSE),0))</f>
        <v>0</v>
      </c>
      <c r="D63" s="769"/>
      <c r="F63" s="328"/>
      <c r="H63" s="328"/>
      <c r="I63" s="328"/>
      <c r="J63" s="328"/>
      <c r="K63" s="328"/>
      <c r="L63" s="328"/>
      <c r="M63" s="328"/>
      <c r="N63" s="328"/>
      <c r="O63" s="328"/>
      <c r="P63" s="328"/>
      <c r="Q63" s="328"/>
      <c r="R63" s="328"/>
      <c r="S63" s="328"/>
      <c r="T63" s="328"/>
      <c r="U63" s="328"/>
      <c r="V63" s="328"/>
      <c r="W63" s="328"/>
      <c r="X63" s="328"/>
      <c r="Y63" s="328"/>
      <c r="Z63" s="328"/>
      <c r="AA63" s="328"/>
      <c r="AB63" s="328"/>
      <c r="AC63" s="328"/>
      <c r="AD63" s="328"/>
      <c r="AE63" s="328"/>
      <c r="AF63" s="328"/>
    </row>
    <row r="64" spans="1:32" x14ac:dyDescent="0.2">
      <c r="A64" s="9" t="str">
        <f ca="1">IF(AUTOEVENTO="Manual",IF(OFFSET(EVENTOS!$F$14,PLE!$B64,0)&gt;0,"F",""),IF(PLE!B64&lt;=MAX(CÁLCULO!$M$15:$M$192),"F",""))</f>
        <v/>
      </c>
      <c r="B64" s="326">
        <f t="shared" ca="1" si="1"/>
        <v>50</v>
      </c>
      <c r="C64" s="769">
        <f ca="1">IF(AUTOEVENTO="Manual",IF($B64&lt;&gt;1,OFFSET(EVENTOS!$D$14,$B64,0),0),IF(B64&lt;=MAX(CÁLCULO!$M$15:$M$192),VLOOKUP($B64,CÁLCULO!$M$15:$N$192,2,FALSE),0))</f>
        <v>0</v>
      </c>
      <c r="D64" s="769"/>
      <c r="F64" s="328"/>
      <c r="H64" s="328"/>
      <c r="I64" s="328"/>
      <c r="J64" s="328"/>
      <c r="K64" s="328"/>
      <c r="L64" s="328"/>
      <c r="M64" s="328"/>
      <c r="N64" s="328"/>
      <c r="O64" s="328"/>
      <c r="P64" s="328"/>
      <c r="Q64" s="328"/>
      <c r="R64" s="328"/>
      <c r="S64" s="328"/>
      <c r="T64" s="328"/>
      <c r="U64" s="328"/>
      <c r="V64" s="328"/>
      <c r="W64" s="328"/>
      <c r="X64" s="328"/>
      <c r="Y64" s="328"/>
      <c r="Z64" s="328"/>
      <c r="AA64" s="328"/>
      <c r="AB64" s="328"/>
      <c r="AC64" s="328"/>
      <c r="AD64" s="328"/>
      <c r="AE64" s="328"/>
      <c r="AF64" s="328"/>
    </row>
    <row r="65" spans="1:32" ht="4.5" customHeight="1" x14ac:dyDescent="0.2">
      <c r="A65" s="9" t="s">
        <v>246</v>
      </c>
      <c r="B65" s="562"/>
      <c r="C65" s="593"/>
      <c r="D65" s="594"/>
      <c r="F65" s="349"/>
      <c r="H65" s="562"/>
      <c r="I65" s="593"/>
      <c r="J65" s="593"/>
      <c r="K65" s="593"/>
      <c r="L65" s="593"/>
      <c r="M65" s="593"/>
      <c r="N65" s="593"/>
      <c r="O65" s="593"/>
      <c r="P65" s="593"/>
      <c r="Q65" s="593"/>
      <c r="R65" s="593"/>
      <c r="S65" s="593"/>
      <c r="T65" s="593"/>
      <c r="U65" s="593"/>
      <c r="V65" s="593"/>
      <c r="W65" s="593"/>
      <c r="X65" s="593"/>
      <c r="Y65" s="593"/>
      <c r="Z65" s="593"/>
      <c r="AA65" s="593"/>
      <c r="AB65" s="593"/>
      <c r="AC65" s="593"/>
      <c r="AD65" s="593"/>
      <c r="AE65" s="593"/>
      <c r="AF65" s="594"/>
    </row>
    <row r="66" spans="1:32" x14ac:dyDescent="0.2">
      <c r="A66" s="9" t="s">
        <v>246</v>
      </c>
    </row>
    <row r="67" spans="1:32" x14ac:dyDescent="0.2">
      <c r="A67" s="9" t="s">
        <v>246</v>
      </c>
      <c r="I67" s="780" t="s">
        <v>298</v>
      </c>
      <c r="J67" s="780"/>
      <c r="K67" s="780"/>
      <c r="L67" s="780"/>
      <c r="M67" s="780"/>
      <c r="N67" s="780"/>
      <c r="O67" s="780"/>
      <c r="P67" s="780"/>
      <c r="Q67" s="780"/>
      <c r="R67" s="780"/>
      <c r="S67" s="780"/>
      <c r="T67" s="780"/>
      <c r="U67" s="780"/>
      <c r="V67" s="780"/>
      <c r="W67" s="780"/>
      <c r="X67" s="780"/>
      <c r="Y67" s="780"/>
      <c r="Z67" s="780"/>
      <c r="AA67" s="780"/>
      <c r="AB67" s="780"/>
      <c r="AC67" s="780"/>
      <c r="AD67" s="780"/>
      <c r="AE67" s="780"/>
      <c r="AF67" s="780"/>
    </row>
    <row r="68" spans="1:32" x14ac:dyDescent="0.2">
      <c r="A68" s="9" t="s">
        <v>246</v>
      </c>
      <c r="H68" s="619"/>
      <c r="I68" s="767"/>
      <c r="J68" s="768"/>
      <c r="K68" s="768"/>
      <c r="L68" s="768"/>
      <c r="M68" s="768"/>
      <c r="N68" s="768"/>
      <c r="O68" s="768"/>
      <c r="P68" s="768"/>
      <c r="Q68" s="768"/>
      <c r="R68" s="768"/>
      <c r="S68" s="768"/>
      <c r="T68" s="768"/>
      <c r="U68" s="768"/>
      <c r="V68" s="768"/>
      <c r="W68" s="768"/>
      <c r="X68" s="768"/>
      <c r="Y68" s="768"/>
      <c r="Z68" s="768"/>
      <c r="AA68" s="768"/>
      <c r="AB68" s="768"/>
      <c r="AC68" s="768"/>
      <c r="AD68" s="768"/>
      <c r="AE68" s="768"/>
      <c r="AF68" s="779"/>
    </row>
    <row r="69" spans="1:32" x14ac:dyDescent="0.2">
      <c r="A69" s="9" t="s">
        <v>246</v>
      </c>
      <c r="D69" s="350" t="s">
        <v>299</v>
      </c>
      <c r="I69" s="765">
        <f>IF(PLE.Medicao&lt;=12,1,TRUNC((PLE.Medicao - 2)/11,0) * 11 + 1)</f>
        <v>1</v>
      </c>
      <c r="J69" s="765"/>
      <c r="K69" s="765">
        <f>I69+1</f>
        <v>2</v>
      </c>
      <c r="L69" s="765"/>
      <c r="M69" s="765">
        <f>K69+1</f>
        <v>3</v>
      </c>
      <c r="N69" s="765"/>
      <c r="O69" s="765">
        <f>M69+1</f>
        <v>4</v>
      </c>
      <c r="P69" s="765"/>
      <c r="Q69" s="765">
        <f>O69+1</f>
        <v>5</v>
      </c>
      <c r="R69" s="765"/>
      <c r="S69" s="765">
        <f>Q69+1</f>
        <v>6</v>
      </c>
      <c r="T69" s="765"/>
      <c r="U69" s="765">
        <f>S69+1</f>
        <v>7</v>
      </c>
      <c r="V69" s="765"/>
      <c r="W69" s="765">
        <f>U69+1</f>
        <v>8</v>
      </c>
      <c r="X69" s="765"/>
      <c r="Y69" s="765">
        <f>W69+1</f>
        <v>9</v>
      </c>
      <c r="Z69" s="765"/>
      <c r="AA69" s="765">
        <f>Y69+1</f>
        <v>10</v>
      </c>
      <c r="AB69" s="765"/>
      <c r="AC69" s="765">
        <f>AA69+1</f>
        <v>11</v>
      </c>
      <c r="AD69" s="765"/>
      <c r="AE69" s="765">
        <f>AC69+1</f>
        <v>12</v>
      </c>
      <c r="AF69" s="765"/>
    </row>
    <row r="70" spans="1:32" x14ac:dyDescent="0.2">
      <c r="A70" s="9" t="s">
        <v>246</v>
      </c>
      <c r="D70" s="770" t="s">
        <v>283</v>
      </c>
      <c r="H70" s="351" t="s">
        <v>300</v>
      </c>
      <c r="I70" s="766" t="e">
        <f ca="1">ROUND(I71,2)/ORÇAMENTO!$X$15</f>
        <v>#DIV/0!</v>
      </c>
      <c r="J70" s="766"/>
      <c r="K70" s="773" t="e">
        <f ca="1">ROUND(K71,2)/ORÇAMENTO!$X$15</f>
        <v>#DIV/0!</v>
      </c>
      <c r="L70" s="773"/>
      <c r="M70" s="774" t="e">
        <f ca="1">ROUND(M71,2)/ORÇAMENTO!$X$15</f>
        <v>#DIV/0!</v>
      </c>
      <c r="N70" s="774"/>
      <c r="O70" s="773" t="e">
        <f ca="1">ROUND(O71,2)/ORÇAMENTO!$X$15</f>
        <v>#DIV/0!</v>
      </c>
      <c r="P70" s="773"/>
      <c r="Q70" s="774" t="e">
        <f ca="1">ROUND(Q71,2)/ORÇAMENTO!$X$15</f>
        <v>#DIV/0!</v>
      </c>
      <c r="R70" s="774"/>
      <c r="S70" s="773" t="e">
        <f ca="1">ROUND(S71,2)/ORÇAMENTO!$X$15</f>
        <v>#DIV/0!</v>
      </c>
      <c r="T70" s="773"/>
      <c r="U70" s="774" t="e">
        <f ca="1">ROUND(U71,2)/ORÇAMENTO!$X$15</f>
        <v>#DIV/0!</v>
      </c>
      <c r="V70" s="774"/>
      <c r="W70" s="773" t="e">
        <f ca="1">ROUND(W71,2)/ORÇAMENTO!$X$15</f>
        <v>#DIV/0!</v>
      </c>
      <c r="X70" s="773"/>
      <c r="Y70" s="774" t="e">
        <f ca="1">ROUND(Y71,2)/ORÇAMENTO!$X$15</f>
        <v>#DIV/0!</v>
      </c>
      <c r="Z70" s="774"/>
      <c r="AA70" s="773" t="e">
        <f ca="1">ROUND(AA71,2)/ORÇAMENTO!$X$15</f>
        <v>#DIV/0!</v>
      </c>
      <c r="AB70" s="773"/>
      <c r="AC70" s="774" t="e">
        <f ca="1">ROUND(AC71,2)/ORÇAMENTO!$X$15</f>
        <v>#DIV/0!</v>
      </c>
      <c r="AD70" s="774"/>
      <c r="AE70" s="773" t="e">
        <f ca="1">ROUND(AE71,2)/ORÇAMENTO!$X$15</f>
        <v>#DIV/0!</v>
      </c>
      <c r="AF70" s="773"/>
    </row>
    <row r="71" spans="1:32" x14ac:dyDescent="0.2">
      <c r="A71" s="9" t="s">
        <v>246</v>
      </c>
      <c r="D71" s="770"/>
      <c r="H71" s="352" t="s">
        <v>301</v>
      </c>
      <c r="I71" s="772" t="e">
        <f ca="1">IF(I69=1,I73,ROUND(I73,2)-ROUND(SUMIF(CÁLCULO!$AX$15:$BH$192,"&lt;="&amp;PLE!I69-1,CÁLCULO!$AB$15:$AL$192)*(1+CÁLCULO.TotalAdmLocal/(ORÇAMENTO!$X$15-CÁLCULO.TotalAdmLocal)),2))</f>
        <v>#DIV/0!</v>
      </c>
      <c r="J71" s="772"/>
      <c r="K71" s="772" t="e">
        <f ca="1">ROUND(K73,2)-ROUND(I73,2)</f>
        <v>#DIV/0!</v>
      </c>
      <c r="L71" s="772"/>
      <c r="M71" s="771" t="e">
        <f ca="1">ROUND(M73,2)-ROUND(K73,2)</f>
        <v>#DIV/0!</v>
      </c>
      <c r="N71" s="771"/>
      <c r="O71" s="772" t="e">
        <f ca="1">ROUND(O73,2)-ROUND(M73,2)</f>
        <v>#DIV/0!</v>
      </c>
      <c r="P71" s="772"/>
      <c r="Q71" s="771" t="e">
        <f ca="1">ROUND(Q73,2)-ROUND(O73,2)</f>
        <v>#DIV/0!</v>
      </c>
      <c r="R71" s="771"/>
      <c r="S71" s="772" t="e">
        <f ca="1">ROUND(S73,2)-ROUND(Q73,2)</f>
        <v>#DIV/0!</v>
      </c>
      <c r="T71" s="772"/>
      <c r="U71" s="771" t="e">
        <f ca="1">ROUND(U73,2)-ROUND(S73,2)</f>
        <v>#DIV/0!</v>
      </c>
      <c r="V71" s="771"/>
      <c r="W71" s="772" t="e">
        <f ca="1">ROUND(W73,2)-ROUND(U73,2)</f>
        <v>#DIV/0!</v>
      </c>
      <c r="X71" s="772"/>
      <c r="Y71" s="771" t="e">
        <f ca="1">ROUND(Y73,2)-ROUND(W73,2)</f>
        <v>#DIV/0!</v>
      </c>
      <c r="Z71" s="771"/>
      <c r="AA71" s="772" t="e">
        <f ca="1">ROUND(AA73,2)-ROUND(Y73,2)</f>
        <v>#DIV/0!</v>
      </c>
      <c r="AB71" s="772"/>
      <c r="AC71" s="771" t="e">
        <f ca="1">ROUND(AC73,2)-ROUND(AA73,2)</f>
        <v>#DIV/0!</v>
      </c>
      <c r="AD71" s="771"/>
      <c r="AE71" s="772" t="e">
        <f ca="1">ROUND(AE73,2)-ROUND(AC73,2)</f>
        <v>#DIV/0!</v>
      </c>
      <c r="AF71" s="772"/>
    </row>
    <row r="72" spans="1:32" x14ac:dyDescent="0.2">
      <c r="A72" s="9" t="s">
        <v>246</v>
      </c>
      <c r="D72" s="770" t="s">
        <v>287</v>
      </c>
      <c r="H72" s="351" t="s">
        <v>300</v>
      </c>
      <c r="I72" s="777" t="e">
        <f ca="1">ROUND(I73,2)/ORÇAMENTO!$X$15</f>
        <v>#DIV/0!</v>
      </c>
      <c r="J72" s="777"/>
      <c r="K72" s="775" t="e">
        <f ca="1">ROUND(K73,2)/ORÇAMENTO!$X$15</f>
        <v>#DIV/0!</v>
      </c>
      <c r="L72" s="775"/>
      <c r="M72" s="776" t="e">
        <f ca="1">ROUND(M73,2)/ORÇAMENTO!$X$15</f>
        <v>#DIV/0!</v>
      </c>
      <c r="N72" s="776"/>
      <c r="O72" s="775" t="e">
        <f ca="1">ROUND(O73,2)/ORÇAMENTO!$X$15</f>
        <v>#DIV/0!</v>
      </c>
      <c r="P72" s="775"/>
      <c r="Q72" s="776" t="e">
        <f ca="1">ROUND(Q73,2)/ORÇAMENTO!$X$15</f>
        <v>#DIV/0!</v>
      </c>
      <c r="R72" s="776"/>
      <c r="S72" s="775" t="e">
        <f ca="1">ROUND(S73,2)/ORÇAMENTO!$X$15</f>
        <v>#DIV/0!</v>
      </c>
      <c r="T72" s="775"/>
      <c r="U72" s="776" t="e">
        <f ca="1">ROUND(U73,2)/ORÇAMENTO!$X$15</f>
        <v>#DIV/0!</v>
      </c>
      <c r="V72" s="776"/>
      <c r="W72" s="775" t="e">
        <f ca="1">ROUND(W73,2)/ORÇAMENTO!$X$15</f>
        <v>#DIV/0!</v>
      </c>
      <c r="X72" s="775"/>
      <c r="Y72" s="776" t="e">
        <f ca="1">ROUND(Y73,2)/ORÇAMENTO!$X$15</f>
        <v>#DIV/0!</v>
      </c>
      <c r="Z72" s="776"/>
      <c r="AA72" s="775" t="e">
        <f ca="1">ROUND(AA73,2)/ORÇAMENTO!$X$15</f>
        <v>#DIV/0!</v>
      </c>
      <c r="AB72" s="775"/>
      <c r="AC72" s="776" t="e">
        <f ca="1">ROUND(AC73,2)/ORÇAMENTO!$X$15</f>
        <v>#DIV/0!</v>
      </c>
      <c r="AD72" s="776"/>
      <c r="AE72" s="775" t="e">
        <f ca="1">ROUND(AE73,2)/ORÇAMENTO!$X$15</f>
        <v>#DIV/0!</v>
      </c>
      <c r="AF72" s="775"/>
    </row>
    <row r="73" spans="1:32" x14ac:dyDescent="0.2">
      <c r="A73" s="9" t="s">
        <v>246</v>
      </c>
      <c r="D73" s="770"/>
      <c r="H73" s="352" t="s">
        <v>301</v>
      </c>
      <c r="I73" s="778" t="e">
        <f ca="1">SUMIF(CÁLCULO!$AX$15:$BH$192,"&lt;="&amp;PLE!I69,CÁLCULO!$AB$15:$AL$192)*(1+CÁLCULO.TotalAdmLocal/(ORÇAMENTO!$X$15-CÁLCULO.TotalAdmLocal))</f>
        <v>#DIV/0!</v>
      </c>
      <c r="J73" s="778"/>
      <c r="K73" s="772" t="e">
        <f ca="1">SUMIF(CÁLCULO!$AX$15:$BH$192,"&lt;="&amp;PLE!K69,CÁLCULO!$AB$15:$AL$192)*(1+CÁLCULO.TotalAdmLocal/(ORÇAMENTO!$X$15-CÁLCULO.TotalAdmLocal))</f>
        <v>#DIV/0!</v>
      </c>
      <c r="L73" s="772"/>
      <c r="M73" s="771" t="e">
        <f ca="1">SUMIF(CÁLCULO!$AX$15:$BH$192,"&lt;="&amp;PLE!M69,CÁLCULO!$AB$15:$AL$192)*(1+CÁLCULO.TotalAdmLocal/(ORÇAMENTO!$X$15-CÁLCULO.TotalAdmLocal))</f>
        <v>#DIV/0!</v>
      </c>
      <c r="N73" s="771"/>
      <c r="O73" s="772" t="e">
        <f ca="1">SUMIF(CÁLCULO!$AX$15:$BH$192,"&lt;="&amp;PLE!O69,CÁLCULO!$AB$15:$AL$192)*(1+CÁLCULO.TotalAdmLocal/(ORÇAMENTO!$X$15-CÁLCULO.TotalAdmLocal))</f>
        <v>#DIV/0!</v>
      </c>
      <c r="P73" s="772"/>
      <c r="Q73" s="771" t="e">
        <f ca="1">SUMIF(CÁLCULO!$AX$15:$BH$192,"&lt;="&amp;PLE!Q69,CÁLCULO!$AB$15:$AL$192)*(1+CÁLCULO.TotalAdmLocal/(ORÇAMENTO!$X$15-CÁLCULO.TotalAdmLocal))</f>
        <v>#DIV/0!</v>
      </c>
      <c r="R73" s="771"/>
      <c r="S73" s="772" t="e">
        <f ca="1">SUMIF(CÁLCULO!$AX$15:$BH$192,"&lt;="&amp;PLE!S69,CÁLCULO!$AB$15:$AL$192)*(1+CÁLCULO.TotalAdmLocal/(ORÇAMENTO!$X$15-CÁLCULO.TotalAdmLocal))</f>
        <v>#DIV/0!</v>
      </c>
      <c r="T73" s="772"/>
      <c r="U73" s="771" t="e">
        <f ca="1">SUMIF(CÁLCULO!$AX$15:$BH$192,"&lt;="&amp;PLE!U69,CÁLCULO!$AB$15:$AL$192)*(1+CÁLCULO.TotalAdmLocal/(ORÇAMENTO!$X$15-CÁLCULO.TotalAdmLocal))</f>
        <v>#DIV/0!</v>
      </c>
      <c r="V73" s="771"/>
      <c r="W73" s="772" t="e">
        <f ca="1">SUMIF(CÁLCULO!$AX$15:$BH$192,"&lt;="&amp;PLE!W69,CÁLCULO!$AB$15:$AL$192)*(1+CÁLCULO.TotalAdmLocal/(ORÇAMENTO!$X$15-CÁLCULO.TotalAdmLocal))</f>
        <v>#DIV/0!</v>
      </c>
      <c r="X73" s="772"/>
      <c r="Y73" s="771" t="e">
        <f ca="1">SUMIF(CÁLCULO!$AX$15:$BH$192,"&lt;="&amp;PLE!Y69,CÁLCULO!$AB$15:$AL$192)*(1+CÁLCULO.TotalAdmLocal/(ORÇAMENTO!$X$15-CÁLCULO.TotalAdmLocal))</f>
        <v>#DIV/0!</v>
      </c>
      <c r="Z73" s="771"/>
      <c r="AA73" s="772" t="e">
        <f ca="1">SUMIF(CÁLCULO!$AX$15:$BH$192,"&lt;="&amp;PLE!AA69,CÁLCULO!$AB$15:$AL$192)*(1+CÁLCULO.TotalAdmLocal/(ORÇAMENTO!$X$15-CÁLCULO.TotalAdmLocal))</f>
        <v>#DIV/0!</v>
      </c>
      <c r="AB73" s="772"/>
      <c r="AC73" s="771" t="e">
        <f ca="1">SUMIF(CÁLCULO!$AX$15:$BH$192,"&lt;="&amp;PLE!AC69,CÁLCULO!$AB$15:$AL$192)*(1+CÁLCULO.TotalAdmLocal/(ORÇAMENTO!$X$15-CÁLCULO.TotalAdmLocal))</f>
        <v>#DIV/0!</v>
      </c>
      <c r="AD73" s="771"/>
      <c r="AE73" s="772" t="e">
        <f ca="1">SUMIF(CÁLCULO!$AX$15:$BH$192,"&lt;="&amp;PLE!AE69,CÁLCULO!$AB$15:$AL$192)*(1+CÁLCULO.TotalAdmLocal/(ORÇAMENTO!$X$15-CÁLCULO.TotalAdmLocal))</f>
        <v>#DIV/0!</v>
      </c>
      <c r="AF73" s="772"/>
    </row>
    <row r="74" spans="1:32" ht="20.25" customHeight="1" x14ac:dyDescent="0.2">
      <c r="A74" s="9" t="s">
        <v>246</v>
      </c>
    </row>
    <row r="75" spans="1:32" ht="15" x14ac:dyDescent="0.2">
      <c r="A75" s="9" t="s">
        <v>246</v>
      </c>
      <c r="B75" s="742" t="str">
        <f>Import.Município</f>
        <v>SANTO ÂNGELO - RS</v>
      </c>
      <c r="C75" s="742"/>
      <c r="D75" s="742"/>
      <c r="E75" s="104"/>
      <c r="K75" s="104"/>
      <c r="U75" s="175"/>
      <c r="V75" s="175"/>
      <c r="W75" s="175"/>
      <c r="X75" s="175"/>
      <c r="Y75" s="228"/>
      <c r="Z75" s="228"/>
      <c r="AA75" s="228"/>
      <c r="AB75" s="228"/>
      <c r="AC75" s="228"/>
      <c r="AD75" s="228"/>
    </row>
    <row r="76" spans="1:32" x14ac:dyDescent="0.2">
      <c r="A76" s="9" t="s">
        <v>246</v>
      </c>
      <c r="B76" s="12" t="s">
        <v>188</v>
      </c>
      <c r="C76" s="104"/>
      <c r="D76" s="104"/>
      <c r="E76" s="104"/>
      <c r="K76" s="104"/>
      <c r="U76" s="229" t="s">
        <v>302</v>
      </c>
      <c r="V76" s="104"/>
      <c r="W76" s="104"/>
      <c r="X76" s="104"/>
    </row>
    <row r="77" spans="1:32" x14ac:dyDescent="0.2">
      <c r="A77" s="9" t="s">
        <v>246</v>
      </c>
      <c r="B77" s="104"/>
      <c r="C77" s="104"/>
      <c r="D77" s="104"/>
      <c r="E77" s="104"/>
      <c r="I77" s="96"/>
      <c r="K77" s="104"/>
      <c r="U77" s="94" t="s">
        <v>108</v>
      </c>
      <c r="W77" s="353">
        <f t="array" ref="W77:W80">Import.RespFiscalização</f>
        <v>0</v>
      </c>
      <c r="X77" s="104"/>
    </row>
    <row r="78" spans="1:32" x14ac:dyDescent="0.2">
      <c r="A78" s="9" t="s">
        <v>246</v>
      </c>
      <c r="B78" s="737">
        <f ca="1">DADOS!$F$48</f>
        <v>45573</v>
      </c>
      <c r="C78" s="737"/>
      <c r="D78" s="737"/>
      <c r="E78" s="104"/>
      <c r="I78" s="96"/>
      <c r="K78" s="104"/>
      <c r="U78" s="94" t="s">
        <v>127</v>
      </c>
      <c r="W78" s="353">
        <v>0</v>
      </c>
      <c r="X78" s="104"/>
    </row>
    <row r="79" spans="1:32" x14ac:dyDescent="0.2">
      <c r="A79" s="9" t="s">
        <v>246</v>
      </c>
      <c r="B79" s="177" t="s">
        <v>189</v>
      </c>
      <c r="C79" s="178"/>
      <c r="D79" s="178"/>
      <c r="E79" s="104"/>
      <c r="I79" s="96"/>
      <c r="K79" s="104"/>
      <c r="U79" s="94" t="s">
        <v>109</v>
      </c>
      <c r="W79" s="353">
        <v>0</v>
      </c>
      <c r="X79" s="104"/>
    </row>
    <row r="80" spans="1:32" x14ac:dyDescent="0.2">
      <c r="U80" s="94" t="s">
        <v>110</v>
      </c>
      <c r="W80" s="354">
        <v>0</v>
      </c>
    </row>
  </sheetData>
  <sheetProtection algorithmName="SHA-512" hashValue="+AhcW0MRNa7aACeXBSxtQ+zvCTd3cVaUDFEvJv9OiaD4uqtDRzi/TCxQWAyJTisZKBq6OUJ0X+L853bBEsb5aw==" saltValue="k61BN55TWt6v7HSzNdzYtg==" spinCount="100000" sheet="1" objects="1" scenarios="1" autoFilter="0"/>
  <autoFilter ref="A13:A79"/>
  <mergeCells count="143">
    <mergeCell ref="C26:D26"/>
    <mergeCell ref="C27:D27"/>
    <mergeCell ref="C28:D28"/>
    <mergeCell ref="C29:D29"/>
    <mergeCell ref="C35:D35"/>
    <mergeCell ref="C49:D49"/>
    <mergeCell ref="C44:D44"/>
    <mergeCell ref="C45:D45"/>
    <mergeCell ref="C46:D46"/>
    <mergeCell ref="C47:D47"/>
    <mergeCell ref="C48:D48"/>
    <mergeCell ref="C38:D38"/>
    <mergeCell ref="C40:D40"/>
    <mergeCell ref="C43:D43"/>
    <mergeCell ref="C1:D1"/>
    <mergeCell ref="AD3:AF3"/>
    <mergeCell ref="AD4:AF4"/>
    <mergeCell ref="AE6:AF6"/>
    <mergeCell ref="H7:N7"/>
    <mergeCell ref="O7:U7"/>
    <mergeCell ref="C11:D11"/>
    <mergeCell ref="C12:D13"/>
    <mergeCell ref="J9:K9"/>
    <mergeCell ref="N9:T9"/>
    <mergeCell ref="B7:C7"/>
    <mergeCell ref="AE7:AF7"/>
    <mergeCell ref="V7:AD7"/>
    <mergeCell ref="Y9:Z9"/>
    <mergeCell ref="AE9:AF9"/>
    <mergeCell ref="C24:D24"/>
    <mergeCell ref="C34:D34"/>
    <mergeCell ref="I67:AF67"/>
    <mergeCell ref="B12:B13"/>
    <mergeCell ref="O68:P68"/>
    <mergeCell ref="C15:D15"/>
    <mergeCell ref="C39:D39"/>
    <mergeCell ref="C41:D41"/>
    <mergeCell ref="C42:D42"/>
    <mergeCell ref="C16:D16"/>
    <mergeCell ref="C17:D17"/>
    <mergeCell ref="C20:D20"/>
    <mergeCell ref="C18:D18"/>
    <mergeCell ref="C19:D19"/>
    <mergeCell ref="C21:D21"/>
    <mergeCell ref="C22:D22"/>
    <mergeCell ref="C23:D23"/>
    <mergeCell ref="C36:D36"/>
    <mergeCell ref="C37:D37"/>
    <mergeCell ref="C52:D52"/>
    <mergeCell ref="C53:D53"/>
    <mergeCell ref="C54:D54"/>
    <mergeCell ref="C55:D55"/>
    <mergeCell ref="C25:D25"/>
    <mergeCell ref="AC70:AD70"/>
    <mergeCell ref="AE70:AF70"/>
    <mergeCell ref="AA68:AB68"/>
    <mergeCell ref="Y68:Z68"/>
    <mergeCell ref="AE69:AF69"/>
    <mergeCell ref="AC69:AD69"/>
    <mergeCell ref="AA69:AB69"/>
    <mergeCell ref="U69:V69"/>
    <mergeCell ref="Q69:R69"/>
    <mergeCell ref="S69:T69"/>
    <mergeCell ref="U68:V68"/>
    <mergeCell ref="AE68:AF68"/>
    <mergeCell ref="AC68:AD68"/>
    <mergeCell ref="W68:X68"/>
    <mergeCell ref="Y69:Z69"/>
    <mergeCell ref="Q68:R68"/>
    <mergeCell ref="S68:T68"/>
    <mergeCell ref="K73:L73"/>
    <mergeCell ref="K72:L72"/>
    <mergeCell ref="I72:J72"/>
    <mergeCell ref="K71:L71"/>
    <mergeCell ref="I71:J71"/>
    <mergeCell ref="O73:P73"/>
    <mergeCell ref="S72:T72"/>
    <mergeCell ref="B78:D78"/>
    <mergeCell ref="B75:D75"/>
    <mergeCell ref="D72:D73"/>
    <mergeCell ref="M72:N72"/>
    <mergeCell ref="M73:N73"/>
    <mergeCell ref="I73:J73"/>
    <mergeCell ref="O72:P72"/>
    <mergeCell ref="AE71:AF71"/>
    <mergeCell ref="AE73:AF73"/>
    <mergeCell ref="Q73:R73"/>
    <mergeCell ref="Y73:Z73"/>
    <mergeCell ref="AA73:AB73"/>
    <mergeCell ref="O71:P71"/>
    <mergeCell ref="Q71:R71"/>
    <mergeCell ref="AE72:AF72"/>
    <mergeCell ref="Q72:R72"/>
    <mergeCell ref="W71:X71"/>
    <mergeCell ref="S73:T73"/>
    <mergeCell ref="Y71:Z71"/>
    <mergeCell ref="U71:V71"/>
    <mergeCell ref="W73:X73"/>
    <mergeCell ref="W72:X72"/>
    <mergeCell ref="U72:V72"/>
    <mergeCell ref="Y72:Z72"/>
    <mergeCell ref="U73:V73"/>
    <mergeCell ref="AC73:AD73"/>
    <mergeCell ref="AC71:AD71"/>
    <mergeCell ref="AC72:AD72"/>
    <mergeCell ref="AA72:AB72"/>
    <mergeCell ref="K69:L69"/>
    <mergeCell ref="M69:N69"/>
    <mergeCell ref="O69:P69"/>
    <mergeCell ref="W69:X69"/>
    <mergeCell ref="M71:N71"/>
    <mergeCell ref="AA71:AB71"/>
    <mergeCell ref="S71:T71"/>
    <mergeCell ref="O70:P70"/>
    <mergeCell ref="K68:L68"/>
    <mergeCell ref="K70:L70"/>
    <mergeCell ref="AA70:AB70"/>
    <mergeCell ref="M70:N70"/>
    <mergeCell ref="Y70:Z70"/>
    <mergeCell ref="W70:X70"/>
    <mergeCell ref="U70:V70"/>
    <mergeCell ref="Q70:R70"/>
    <mergeCell ref="S70:T70"/>
    <mergeCell ref="M68:N68"/>
    <mergeCell ref="I69:J69"/>
    <mergeCell ref="I70:J70"/>
    <mergeCell ref="I68:J68"/>
    <mergeCell ref="C31:D31"/>
    <mergeCell ref="C32:D32"/>
    <mergeCell ref="C30:D30"/>
    <mergeCell ref="C33:D33"/>
    <mergeCell ref="C50:D50"/>
    <mergeCell ref="C51:D51"/>
    <mergeCell ref="D70:D71"/>
    <mergeCell ref="C62:D62"/>
    <mergeCell ref="C63:D63"/>
    <mergeCell ref="C64:D64"/>
    <mergeCell ref="C56:D56"/>
    <mergeCell ref="C57:D57"/>
    <mergeCell ref="C58:D58"/>
    <mergeCell ref="C59:D59"/>
    <mergeCell ref="C60:D60"/>
    <mergeCell ref="C61:D61"/>
  </mergeCells>
  <phoneticPr fontId="38" type="noConversion"/>
  <conditionalFormatting sqref="F1:F2">
    <cfRule type="expression" dxfId="323" priority="439" stopIfTrue="1">
      <formula>IF(OR(ACOMPANHAMENTO="BM",F$12&gt;CÁLCULO.NúmeroDeFrentes),TRUE,PLE.ValorDoEvento=0)</formula>
    </cfRule>
    <cfRule type="cellIs" dxfId="322" priority="440" stopIfTrue="1" operator="equal">
      <formula>$J$9</formula>
    </cfRule>
  </conditionalFormatting>
  <conditionalFormatting sqref="I70:AF70">
    <cfRule type="expression" dxfId="321" priority="441" stopIfTrue="1">
      <formula>I69=$J$9</formula>
    </cfRule>
  </conditionalFormatting>
  <conditionalFormatting sqref="I71:AF71">
    <cfRule type="expression" dxfId="320" priority="442" stopIfTrue="1">
      <formula>I69=$J$9</formula>
    </cfRule>
  </conditionalFormatting>
  <conditionalFormatting sqref="I72:AF72">
    <cfRule type="expression" dxfId="319" priority="443" stopIfTrue="1">
      <formula>I69=$J$9</formula>
    </cfRule>
  </conditionalFormatting>
  <conditionalFormatting sqref="I73:AF73">
    <cfRule type="expression" dxfId="318" priority="444" stopIfTrue="1">
      <formula>I69=$J$9</formula>
    </cfRule>
  </conditionalFormatting>
  <conditionalFormatting sqref="I69:J69">
    <cfRule type="cellIs" dxfId="317" priority="438" stopIfTrue="1" operator="notEqual">
      <formula>1</formula>
    </cfRule>
  </conditionalFormatting>
  <conditionalFormatting sqref="H1:AF1">
    <cfRule type="expression" dxfId="316" priority="456" stopIfTrue="1">
      <formula>IF(OR(ACOMPANHAMENTO="BM",TIPOORCAMENTO="Proposto",H$12&gt;CÁLCULO.NúmeroDeFrentes),TRUE,PLE.ValorDoEvento=0)</formula>
    </cfRule>
    <cfRule type="cellIs" dxfId="315" priority="457" stopIfTrue="1" operator="equal">
      <formula>$J$9</formula>
    </cfRule>
  </conditionalFormatting>
  <conditionalFormatting sqref="AE6:AE7">
    <cfRule type="expression" dxfId="314" priority="445" stopIfTrue="1">
      <formula>TIPOORCAMENTO&lt;&gt;"Licitado"</formula>
    </cfRule>
  </conditionalFormatting>
  <conditionalFormatting sqref="N9:T9">
    <cfRule type="expression" dxfId="313" priority="446" stopIfTrue="1">
      <formula>COLUMN(N9)&gt;COLUMN($AF$12)</formula>
    </cfRule>
    <cfRule type="expression" dxfId="312" priority="447" stopIfTrue="1">
      <formula>$N$9="DIGITE A DATA DA MEDIÇÃO"</formula>
    </cfRule>
  </conditionalFormatting>
  <conditionalFormatting sqref="I9:M9 U9:AF9">
    <cfRule type="expression" dxfId="311" priority="448" stopIfTrue="1">
      <formula>COLUMN(I9)&gt;COLUMN($AF$12)</formula>
    </cfRule>
  </conditionalFormatting>
  <conditionalFormatting sqref="F16:F24">
    <cfRule type="expression" dxfId="310" priority="21" stopIfTrue="1">
      <formula>IF(OR(ACOMPANHAMENTO="BM",F$12&gt;CÁLCULO.NúmeroDeFrentes),TRUE,PLE.ValorDoEvento=0)</formula>
    </cfRule>
    <cfRule type="cellIs" dxfId="309" priority="22" stopIfTrue="1" operator="equal">
      <formula>$J$9</formula>
    </cfRule>
  </conditionalFormatting>
  <conditionalFormatting sqref="H16:AF24">
    <cfRule type="expression" dxfId="308" priority="23" stopIfTrue="1">
      <formula>IF(OR(ACOMPANHAMENTO="BM",TIPOORCAMENTO="Proposto",H$12&gt;CÁLCULO.NúmeroDeFrentes),TRUE,PLE.ValorDoEvento=0)</formula>
    </cfRule>
    <cfRule type="cellIs" dxfId="307" priority="24" stopIfTrue="1" operator="equal">
      <formula>$J$9</formula>
    </cfRule>
  </conditionalFormatting>
  <conditionalFormatting sqref="F25:F33">
    <cfRule type="expression" dxfId="306" priority="17" stopIfTrue="1">
      <formula>IF(OR(ACOMPANHAMENTO="BM",F$12&gt;CÁLCULO.NúmeroDeFrentes),TRUE,PLE.ValorDoEvento=0)</formula>
    </cfRule>
    <cfRule type="cellIs" dxfId="305" priority="18" stopIfTrue="1" operator="equal">
      <formula>$J$9</formula>
    </cfRule>
  </conditionalFormatting>
  <conditionalFormatting sqref="H25:AF33">
    <cfRule type="expression" dxfId="304" priority="19" stopIfTrue="1">
      <formula>IF(OR(ACOMPANHAMENTO="BM",TIPOORCAMENTO="Proposto",H$12&gt;CÁLCULO.NúmeroDeFrentes),TRUE,PLE.ValorDoEvento=0)</formula>
    </cfRule>
    <cfRule type="cellIs" dxfId="303" priority="20" stopIfTrue="1" operator="equal">
      <formula>$J$9</formula>
    </cfRule>
  </conditionalFormatting>
  <conditionalFormatting sqref="F34:F42">
    <cfRule type="expression" dxfId="302" priority="13" stopIfTrue="1">
      <formula>IF(OR(ACOMPANHAMENTO="BM",F$12&gt;CÁLCULO.NúmeroDeFrentes),TRUE,PLE.ValorDoEvento=0)</formula>
    </cfRule>
    <cfRule type="cellIs" dxfId="301" priority="14" stopIfTrue="1" operator="equal">
      <formula>$J$9</formula>
    </cfRule>
  </conditionalFormatting>
  <conditionalFormatting sqref="H34:AF42">
    <cfRule type="expression" dxfId="300" priority="15" stopIfTrue="1">
      <formula>IF(OR(ACOMPANHAMENTO="BM",TIPOORCAMENTO="Proposto",H$12&gt;CÁLCULO.NúmeroDeFrentes),TRUE,PLE.ValorDoEvento=0)</formula>
    </cfRule>
    <cfRule type="cellIs" dxfId="299" priority="16" stopIfTrue="1" operator="equal">
      <formula>$J$9</formula>
    </cfRule>
  </conditionalFormatting>
  <conditionalFormatting sqref="F43:F51">
    <cfRule type="expression" dxfId="298" priority="9" stopIfTrue="1">
      <formula>IF(OR(ACOMPANHAMENTO="BM",F$12&gt;CÁLCULO.NúmeroDeFrentes),TRUE,PLE.ValorDoEvento=0)</formula>
    </cfRule>
    <cfRule type="cellIs" dxfId="297" priority="10" stopIfTrue="1" operator="equal">
      <formula>$J$9</formula>
    </cfRule>
  </conditionalFormatting>
  <conditionalFormatting sqref="H43:AF51">
    <cfRule type="expression" dxfId="296" priority="11" stopIfTrue="1">
      <formula>IF(OR(ACOMPANHAMENTO="BM",TIPOORCAMENTO="Proposto",H$12&gt;CÁLCULO.NúmeroDeFrentes),TRUE,PLE.ValorDoEvento=0)</formula>
    </cfRule>
    <cfRule type="cellIs" dxfId="295" priority="12" stopIfTrue="1" operator="equal">
      <formula>$J$9</formula>
    </cfRule>
  </conditionalFormatting>
  <conditionalFormatting sqref="F52:F60">
    <cfRule type="expression" dxfId="294" priority="5" stopIfTrue="1">
      <formula>IF(OR(ACOMPANHAMENTO="BM",F$12&gt;CÁLCULO.NúmeroDeFrentes),TRUE,PLE.ValorDoEvento=0)</formula>
    </cfRule>
    <cfRule type="cellIs" dxfId="293" priority="6" stopIfTrue="1" operator="equal">
      <formula>$J$9</formula>
    </cfRule>
  </conditionalFormatting>
  <conditionalFormatting sqref="H52:AF60">
    <cfRule type="expression" dxfId="292" priority="7" stopIfTrue="1">
      <formula>IF(OR(ACOMPANHAMENTO="BM",TIPOORCAMENTO="Proposto",H$12&gt;CÁLCULO.NúmeroDeFrentes),TRUE,PLE.ValorDoEvento=0)</formula>
    </cfRule>
    <cfRule type="cellIs" dxfId="291" priority="8" stopIfTrue="1" operator="equal">
      <formula>$J$9</formula>
    </cfRule>
  </conditionalFormatting>
  <conditionalFormatting sqref="F61:F64">
    <cfRule type="expression" dxfId="290" priority="1" stopIfTrue="1">
      <formula>IF(OR(ACOMPANHAMENTO="BM",F$12&gt;CÁLCULO.NúmeroDeFrentes),TRUE,PLE.ValorDoEvento=0)</formula>
    </cfRule>
    <cfRule type="cellIs" dxfId="289" priority="2" stopIfTrue="1" operator="equal">
      <formula>$J$9</formula>
    </cfRule>
  </conditionalFormatting>
  <conditionalFormatting sqref="H61:AF64">
    <cfRule type="expression" dxfId="288" priority="3" stopIfTrue="1">
      <formula>IF(OR(ACOMPANHAMENTO="BM",TIPOORCAMENTO="Proposto",H$12&gt;CÁLCULO.NúmeroDeFrentes),TRUE,PLE.ValorDoEvento=0)</formula>
    </cfRule>
    <cfRule type="cellIs" dxfId="287" priority="4" stopIfTrue="1" operator="equal">
      <formula>$J$9</formula>
    </cfRule>
  </conditionalFormatting>
  <dataValidations count="3">
    <dataValidation type="whole" operator="greaterThan" allowBlank="1" showErrorMessage="1" sqref="F1:F4 I3:AC4 J9:K9 F16:F64">
      <formula1>0</formula1>
      <formula2>0</formula2>
    </dataValidation>
    <dataValidation allowBlank="1" showInputMessage="1" showErrorMessage="1" prompt="Digite a data de medição abaixo dos eventos." sqref="N9:T9">
      <formula1>0</formula1>
      <formula2>0</formula2>
    </dataValidation>
    <dataValidation type="whole" operator="equal" allowBlank="1" showErrorMessage="1" errorTitle="Errp de entrada" error="Preencha somente com o número da medição atual." sqref="H1:AF1 H16:AF64">
      <formula1>PLE.Medicao</formula1>
    </dataValidation>
  </dataValidations>
  <printOptions horizontalCentered="1"/>
  <pageMargins left="0.78740157480314998" right="0.78740157480314998" top="0.78740157480314998" bottom="0.78740157480314998" header="0.59055118110236204" footer="0.59055118110236204"/>
  <pageSetup paperSize="9" scale="69" firstPageNumber="0" orientation="landscape" r:id="rId1"/>
  <headerFooter alignWithMargins="0">
    <oddHeader>&amp;C&amp;14I</oddHeader>
    <oddFooter>&amp;LPMv3.0.6&amp;R&amp;P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6" r:id="rId4" name="Botão de rotação 275">
              <controlPr defaultSize="0" print="0" autoFill="0" autoLine="0" autoPict="0">
                <anchor moveWithCells="1" sizeWithCells="1">
                  <from>
                    <xdr:col>11</xdr:col>
                    <xdr:colOff>0</xdr:colOff>
                    <xdr:row>8</xdr:row>
                    <xdr:rowOff>9525</xdr:rowOff>
                  </from>
                  <to>
                    <xdr:col>11</xdr:col>
                    <xdr:colOff>209550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7">
    <pageSetUpPr fitToPage="1"/>
  </sheetPr>
  <dimension ref="A1:AE37"/>
  <sheetViews>
    <sheetView showGridLines="0" topLeftCell="C1" zoomScale="90" zoomScaleNormal="90" zoomScaleSheetLayoutView="90" workbookViewId="0">
      <pane xSplit="5" ySplit="13" topLeftCell="H14" activePane="bottomRight" state="frozen"/>
      <selection activeCell="C1" sqref="C1"/>
      <selection pane="topRight" activeCell="H1" sqref="H1"/>
      <selection pane="bottomLeft" activeCell="C14" sqref="C14"/>
      <selection pane="bottomRight"/>
    </sheetView>
  </sheetViews>
  <sheetFormatPr defaultRowHeight="12.75" x14ac:dyDescent="0.2"/>
  <cols>
    <col min="1" max="1" width="15.85546875" hidden="1" customWidth="1"/>
    <col min="2" max="2" width="10.42578125" hidden="1" customWidth="1"/>
    <col min="3" max="3" width="3.7109375" customWidth="1"/>
    <col min="4" max="4" width="6.7109375" customWidth="1"/>
    <col min="5" max="5" width="18.7109375" customWidth="1"/>
    <col min="6" max="6" width="28.7109375" customWidth="1"/>
    <col min="7" max="7" width="35.7109375" customWidth="1"/>
    <col min="8" max="8" width="15.7109375" customWidth="1"/>
    <col min="9" max="9" width="12.7109375" customWidth="1"/>
    <col min="10" max="10" width="7.7109375" customWidth="1"/>
    <col min="11" max="15" width="16.7109375" customWidth="1"/>
    <col min="16" max="17" width="5.7109375" customWidth="1"/>
    <col min="18" max="18" width="35.7109375" customWidth="1"/>
    <col min="19" max="19" width="1.7109375" customWidth="1"/>
    <col min="20" max="21" width="16.7109375" customWidth="1"/>
    <col min="22" max="22" width="13.7109375" customWidth="1"/>
    <col min="23" max="24" width="16.7109375" customWidth="1"/>
    <col min="25" max="25" width="1.7109375" customWidth="1"/>
    <col min="26" max="28" width="9.140625" hidden="1" customWidth="1"/>
    <col min="29" max="29" width="3.7109375" hidden="1" customWidth="1"/>
    <col min="30" max="30" width="13.42578125" hidden="1" customWidth="1"/>
    <col min="31" max="31" width="9.140625" hidden="1" customWidth="1"/>
  </cols>
  <sheetData>
    <row r="1" spans="1:31" ht="30" customHeight="1" x14ac:dyDescent="0.2">
      <c r="F1" s="355" t="s">
        <v>303</v>
      </c>
      <c r="I1" s="10"/>
      <c r="J1" s="10"/>
    </row>
    <row r="2" spans="1:31" x14ac:dyDescent="0.2">
      <c r="Z2" s="127" t="s">
        <v>304</v>
      </c>
      <c r="AA2" s="356" t="s">
        <v>305</v>
      </c>
      <c r="AB2" s="94"/>
    </row>
    <row r="3" spans="1:31" x14ac:dyDescent="0.2">
      <c r="D3" s="720" t="s">
        <v>146</v>
      </c>
      <c r="E3" s="720"/>
      <c r="F3" s="111" t="s">
        <v>443</v>
      </c>
      <c r="G3" s="720" t="s">
        <v>147</v>
      </c>
      <c r="H3" s="720"/>
      <c r="I3" s="720"/>
      <c r="J3" s="793" t="s">
        <v>306</v>
      </c>
      <c r="K3" s="793"/>
      <c r="L3" s="793"/>
      <c r="M3" s="794" t="s">
        <v>307</v>
      </c>
      <c r="N3" s="794"/>
      <c r="O3" s="794"/>
      <c r="Z3" s="131">
        <f ca="1">MAX(Z7:AB7)</f>
        <v>0</v>
      </c>
      <c r="AA3" s="357">
        <f ca="1">IF(OR($O$24=ORÇAMENTO.SumINVMANUAL+QCI.SumINVMANUAL,$O$24=0),0,MIN(MAX(0,($Z$3*$O$24-ORÇAMENTO.SumCPMANUAL-QCI.SumCPMANUAL)/($O$24-ORÇAMENTO.SumINVMANUAL-QCI.SumINVMANUAL)),1))</f>
        <v>0</v>
      </c>
      <c r="AB3" s="119"/>
    </row>
    <row r="4" spans="1:31" x14ac:dyDescent="0.2">
      <c r="D4" s="723">
        <f>Import.CR</f>
        <v>0</v>
      </c>
      <c r="E4" s="723"/>
      <c r="F4" s="72">
        <f>Import.TransfereGOV</f>
        <v>0</v>
      </c>
      <c r="G4" s="723" t="str">
        <f>Import.Proponente</f>
        <v>INSTITUTO FEDERAL FARROUPILHA</v>
      </c>
      <c r="H4" s="723"/>
      <c r="I4" s="723"/>
      <c r="J4" s="795" t="str">
        <f>Import.Município</f>
        <v>SANTO ÂNGELO - RS</v>
      </c>
      <c r="K4" s="795"/>
      <c r="L4" s="795"/>
      <c r="M4" s="794"/>
      <c r="N4" s="794"/>
      <c r="O4" s="794"/>
      <c r="R4" s="166"/>
      <c r="Z4" s="119"/>
      <c r="AA4" s="119"/>
      <c r="AB4" s="119"/>
    </row>
    <row r="5" spans="1:31" ht="5.0999999999999996" customHeight="1" x14ac:dyDescent="0.2">
      <c r="M5" s="345"/>
      <c r="N5" s="100"/>
      <c r="O5" s="59"/>
      <c r="Z5" s="127"/>
      <c r="AA5" s="16"/>
      <c r="AB5" s="127"/>
    </row>
    <row r="6" spans="1:31" x14ac:dyDescent="0.2">
      <c r="D6" s="720" t="s">
        <v>202</v>
      </c>
      <c r="E6" s="720"/>
      <c r="F6" s="720"/>
      <c r="G6" s="720"/>
      <c r="H6" s="720"/>
      <c r="I6" s="720"/>
      <c r="J6" s="720"/>
      <c r="K6" s="720"/>
      <c r="L6" s="358" t="s">
        <v>210</v>
      </c>
      <c r="M6" s="111" t="str">
        <f>IF(import.recurso="FGTS","FINANCIAMENTO","REPASSE")</f>
        <v>REPASSE</v>
      </c>
      <c r="N6" s="111" t="s">
        <v>308</v>
      </c>
      <c r="O6" s="111" t="s">
        <v>309</v>
      </c>
      <c r="Z6" s="127" t="s">
        <v>310</v>
      </c>
      <c r="AA6" s="16" t="s">
        <v>311</v>
      </c>
      <c r="AB6" s="127" t="s">
        <v>312</v>
      </c>
    </row>
    <row r="7" spans="1:31" ht="12.75" customHeight="1" x14ac:dyDescent="0.2">
      <c r="C7" s="713" t="s">
        <v>209</v>
      </c>
      <c r="D7" s="723" t="str">
        <f>Import.Apelido</f>
        <v>BIBLIOTECA  ÉRICO VERISSIMO</v>
      </c>
      <c r="E7" s="723"/>
      <c r="F7" s="723"/>
      <c r="G7" s="723"/>
      <c r="H7" s="723"/>
      <c r="I7" s="723"/>
      <c r="J7" s="723"/>
      <c r="K7" s="723"/>
      <c r="L7" s="359" t="str">
        <f>import.recurso</f>
        <v>OGU</v>
      </c>
      <c r="M7" s="360">
        <f>Import.Repasse</f>
        <v>0</v>
      </c>
      <c r="N7" s="360">
        <f>Import.Contrapartida</f>
        <v>0</v>
      </c>
      <c r="O7" s="360">
        <f>M7+N7</f>
        <v>0</v>
      </c>
      <c r="Z7" s="131">
        <f>ROUND(Import.CPMinPerc,4)</f>
        <v>0</v>
      </c>
      <c r="AA7" s="131">
        <f ca="1">IF($O$24=0,0,Import.CPMinAbsoluta/$O$24)</f>
        <v>0</v>
      </c>
      <c r="AB7" s="131">
        <f ca="1">IF($O$24=0,0,($O$24-$AB$24-Import.Repasse)/($O$24))</f>
        <v>0</v>
      </c>
    </row>
    <row r="8" spans="1:31" x14ac:dyDescent="0.2">
      <c r="C8" s="713"/>
      <c r="D8" s="119"/>
      <c r="E8" s="119"/>
      <c r="F8" s="361"/>
      <c r="G8" s="119"/>
      <c r="H8" s="119"/>
      <c r="I8" s="119"/>
      <c r="J8" s="119"/>
      <c r="K8" s="119"/>
      <c r="L8" s="119"/>
      <c r="M8" s="119"/>
      <c r="N8" s="119"/>
      <c r="O8" s="119"/>
    </row>
    <row r="9" spans="1:31" ht="12.75" customHeight="1" x14ac:dyDescent="0.2">
      <c r="C9" s="713"/>
      <c r="E9" s="16"/>
      <c r="G9" s="791" t="str">
        <f ca="1">CHOOSE(1+LOG(1+2*(AND($O$24&gt;0,$M$25&gt;Import.CPMaxPerc,Import.CPMaxPerc&gt;0))+4*(OR(AND($O$24&gt;0,$M$25&lt;QCI!$Z$7),$M$24&lt;ROUND(Import.CPMinAbsoluta,2)))+8*(OR($L$10&lt;0,$M$10&lt;0))+16*(COUNTIF($L$13:$L$24,"&lt;0")&gt;0)+32*(OFFSET($A$24,-1,0)&lt;OFFSET(ORÇAMENTO!$E$192,-1,0)),2),"","ERRO: CONTRAPARTIDA MAIOR QUE A MÁXIMA","ERRO: CONTRAPARTIDA MENOR QUE A MÍNIMA","ERRO: SALDO NEGATIVO","ERRO: VALORES DE REPASSE NEGATIVOS","ERRO: NÚMERO DE LINHAS DO QCI INSUFICIENTE. CLIQUE NO BOTÃO ADICIONAR LINHAS")</f>
        <v/>
      </c>
      <c r="H9" s="791"/>
      <c r="I9" s="791"/>
      <c r="J9" s="791"/>
      <c r="K9" s="792" t="s">
        <v>313</v>
      </c>
      <c r="L9" s="362" t="str">
        <f>$L$13</f>
        <v>Repasse (R$)</v>
      </c>
      <c r="M9" s="362" t="s">
        <v>238</v>
      </c>
      <c r="AD9" s="789"/>
      <c r="AE9" s="789"/>
    </row>
    <row r="10" spans="1:31" ht="12.75" customHeight="1" x14ac:dyDescent="0.2">
      <c r="A10" s="788" t="s">
        <v>314</v>
      </c>
      <c r="C10" s="713"/>
      <c r="G10" s="791"/>
      <c r="H10" s="791"/>
      <c r="I10" s="791"/>
      <c r="J10" s="791"/>
      <c r="K10" s="792"/>
      <c r="L10" s="363">
        <f ca="1">Import.Repasse-L24</f>
        <v>0</v>
      </c>
      <c r="M10" s="364">
        <f ca="1">Import.Contrapartida-M24</f>
        <v>0</v>
      </c>
      <c r="Z10" s="733" t="s">
        <v>216</v>
      </c>
      <c r="AA10" s="733"/>
      <c r="AB10" s="733"/>
      <c r="AD10" s="789" t="s">
        <v>315</v>
      </c>
      <c r="AE10" s="789"/>
    </row>
    <row r="11" spans="1:31" ht="20.100000000000001" customHeight="1" x14ac:dyDescent="0.2">
      <c r="A11" s="788"/>
      <c r="C11" s="713"/>
      <c r="Z11" s="139" t="s">
        <v>316</v>
      </c>
      <c r="AA11" s="139" t="s">
        <v>238</v>
      </c>
      <c r="AB11" s="140" t="s">
        <v>239</v>
      </c>
    </row>
    <row r="12" spans="1:31" hidden="1" x14ac:dyDescent="0.2">
      <c r="A12">
        <f ca="1">IF(NOT(ISBLANK(QCI.DescManual)),OFFSET(A12,-1,0),D12)</f>
        <v>-1</v>
      </c>
      <c r="B12" t="str">
        <f ca="1">IF(NOT(ISBLANK(QCI.DescManual)),IF(QCI.Divisao="Calculado","Manual","SemiAuto"),IF(ISERROR(MATCH($A12,ORÇAMENTO!$E$15:$E$192,0)),"Branco","Automático"))</f>
        <v>Branco</v>
      </c>
      <c r="C12" t="str">
        <f ca="1">IF(O12&gt;0,"F","")</f>
        <v/>
      </c>
      <c r="D12" s="365">
        <f>ROW()-ROW($D$13)</f>
        <v>-1</v>
      </c>
      <c r="E12" s="147"/>
      <c r="F12" s="366"/>
      <c r="G12" s="645" t="str">
        <f ca="1">IF(OR($B12="Manual",$B12="SemiAuto"),QCI.DescManual,IF($B12="Automático",INDEX(ORÇAMENTO!$R$15:$R$192,MATCH($A12,ORÇAMENTO!$E$15:$E$192,0)),""))</f>
        <v/>
      </c>
      <c r="H12" s="147"/>
      <c r="I12" s="644"/>
      <c r="J12" s="367" t="str">
        <f ca="1">IF(AND(ISBLANK(E12),ISBLANK(F12)),"",VLOOKUP($F12,OFFSET(DADOS!$A$2,1,MATCH(QCI!$E12,DADOS!$2:$2,0)-1,100,50),2,FALSE))</f>
        <v/>
      </c>
      <c r="K12" s="643" t="str">
        <f ca="1">IF(OR($B12="Manual",$B12="SemiAuto"),QCI.LoteManual,IF($B12="Automático",IF(TIPOORCAMENTO="Licitado",Import.CTEF,"LOTE 1"),""))</f>
        <v/>
      </c>
      <c r="L12" s="368">
        <f ca="1">ROUND($O12,2)-ROUND($M12,2)-ROUND($N12,2)</f>
        <v>0</v>
      </c>
      <c r="M12" s="369">
        <f ca="1">ROUND($AA12,2)-ROUND($AE12,2)</f>
        <v>0</v>
      </c>
      <c r="N12" s="370">
        <f ca="1">ROUND($AB12,2)</f>
        <v>0</v>
      </c>
      <c r="O12" s="371">
        <f ca="1">IF($B12="Branco",0,IF(OR($B12="Manual",$B12="SemiAuto"),QCI.InvManual,INDEX(ORÇAMENTO!X$15:X$192,MATCH($A12,ORÇAMENTO!$E$15:$E$192,0))))</f>
        <v>0</v>
      </c>
      <c r="P12" s="616"/>
      <c r="R12" s="646"/>
      <c r="T12" s="647"/>
      <c r="U12" s="373"/>
      <c r="V12" s="648" t="s">
        <v>317</v>
      </c>
      <c r="W12" s="374">
        <f ca="1">$O12</f>
        <v>0</v>
      </c>
      <c r="X12" s="375">
        <v>0</v>
      </c>
      <c r="Z12" s="376">
        <f ca="1">$O12-$AA12-$AB12</f>
        <v>0</v>
      </c>
      <c r="AA12">
        <f ca="1">IF($B12="Branco",0,IF($B12="Manual",QCI.CPManual,IF($B12="SemiAuto",ROUND(QCI!$AA$3*QCI.InvManual,2),INDEX(ORÇAMENTO!$AA$15:$AA$192,MATCH($A12,ORÇAMENTO!$E$15:$E$192,0)))))</f>
        <v>0</v>
      </c>
      <c r="AB12">
        <f ca="1">IF($B12="Branco",0,IF($B12="Manual",QCI.OutrosManual,IF($B12="SemiAuto",0,INDEX(ORÇAMENTO!$AB$15:$AB$192,MATCH($A12,ORÇAMENTO!$E$15:$E$192,0)))))</f>
        <v>0</v>
      </c>
      <c r="AD12" s="377" t="b">
        <f ca="1">AND($AA$3&gt;0,$AA$3&lt;1,$O12&gt;0,OR($B12="Automático",$B12="SemiAuto"),OR(QCI!$Z$3=QCI!$Z$7,QCI!$Z$3=QCI!$AA$7,QCI!$Z$3=QCI!$AB$7))</f>
        <v>0</v>
      </c>
      <c r="AE12" s="377">
        <f ca="1">IF(AND($AD12,$O12&gt;0,COUNTIF(OFFSET($AD12,1,0):$AD$24,TRUE)=0),CHOOSE(1+LOG(1+2*(QCI!$Z$3=QCI!$Z$7)+4*(QCI!$Z$3=QCI!$AA$7)+8*(QCI!$Z$3=QCI!$AB$7),2),0,$AA$24-ROUND(Import.CPMinPerc*$O$24,2),$AA$24-Import.CPMinAbsoluta,Import.Repasse-$Z$24),0)</f>
        <v>0</v>
      </c>
    </row>
    <row r="13" spans="1:31" ht="25.5" customHeight="1" x14ac:dyDescent="0.2">
      <c r="A13" s="378">
        <v>0</v>
      </c>
      <c r="B13" s="379" t="s">
        <v>318</v>
      </c>
      <c r="C13" s="135" t="s">
        <v>217</v>
      </c>
      <c r="D13" s="136" t="s">
        <v>195</v>
      </c>
      <c r="E13" s="136" t="s">
        <v>319</v>
      </c>
      <c r="F13" s="136" t="s">
        <v>320</v>
      </c>
      <c r="G13" s="136" t="s">
        <v>321</v>
      </c>
      <c r="H13" s="136" t="s">
        <v>161</v>
      </c>
      <c r="I13" s="136" t="s">
        <v>203</v>
      </c>
      <c r="J13" s="136" t="s">
        <v>322</v>
      </c>
      <c r="K13" s="136" t="s">
        <v>323</v>
      </c>
      <c r="L13" s="380" t="str">
        <f>IF(import.recurso="FGTS","Financiamento (R$)","Repasse (R$)")</f>
        <v>Repasse (R$)</v>
      </c>
      <c r="M13" s="381" t="s">
        <v>324</v>
      </c>
      <c r="N13" s="382" t="s">
        <v>239</v>
      </c>
      <c r="O13" s="136" t="s">
        <v>325</v>
      </c>
      <c r="R13" s="383" t="s">
        <v>321</v>
      </c>
      <c r="T13" s="383" t="s">
        <v>323</v>
      </c>
      <c r="U13" s="201" t="s">
        <v>325</v>
      </c>
      <c r="V13" s="384" t="s">
        <v>326</v>
      </c>
      <c r="W13" s="200" t="s">
        <v>324</v>
      </c>
      <c r="X13" s="202" t="s">
        <v>239</v>
      </c>
    </row>
    <row r="14" spans="1:31" x14ac:dyDescent="0.2">
      <c r="A14">
        <f t="shared" ref="A14:A23" ca="1" si="0">IF(NOT(ISBLANK(QCI.DescManual)),OFFSET(A14,-1,0),D14)</f>
        <v>1</v>
      </c>
      <c r="B14" t="str">
        <f ca="1">IF(NOT(ISBLANK(QCI.DescManual)),IF(QCI.Divisao="Calculado","Manual","SemiAuto"),IF(ISERROR(MATCH($A14,ORÇAMENTO!$E$15:$E$192,0)),"Branco","Automático"))</f>
        <v>Automático</v>
      </c>
      <c r="C14" t="str">
        <f t="shared" ref="C14:C22" ca="1" si="1">IF(O14&gt;0,"F","")</f>
        <v/>
      </c>
      <c r="D14" s="365">
        <f t="shared" ref="D14:D22" si="2">ROW()-ROW($D$13)</f>
        <v>1</v>
      </c>
      <c r="E14" s="147"/>
      <c r="F14" s="366"/>
      <c r="G14" s="645" t="str">
        <f ca="1">IF(OR($B14="Manual",$B14="SemiAuto"),QCI.DescManual,IF($B14="Automático",INDEX(ORÇAMENTO!$R$15:$R$192,MATCH($A14,ORÇAMENTO!$E$15:$E$192,0)),""))</f>
        <v>BIBLIOTECA ÉRICO VERÍSSIMO</v>
      </c>
      <c r="H14" s="147"/>
      <c r="I14" s="644"/>
      <c r="J14" s="367" t="str">
        <f ca="1">IF(AND(ISBLANK(E14),ISBLANK(F14)),"",VLOOKUP($F14,OFFSET(DADOS!$A$2,1,MATCH(QCI!$E14,DADOS!$2:$2,0)-1,100,50),2,FALSE))</f>
        <v/>
      </c>
      <c r="K14" s="643" t="str">
        <f ca="1">IF(OR($B14="Manual",$B14="SemiAuto"),QCI.LoteManual,IF($B14="Automático",IF(TIPOORCAMENTO="Licitado",Import.CTEF,"LOTE 1"),""))</f>
        <v>LOTE 1</v>
      </c>
      <c r="L14" s="368">
        <f t="shared" ref="L14:L22" ca="1" si="3">ROUND($O14,2)-ROUND($M14,2)-ROUND($N14,2)</f>
        <v>0</v>
      </c>
      <c r="M14" s="369">
        <f t="shared" ref="M14:M22" ca="1" si="4">ROUND($AA14,2)-ROUND($AE14,2)</f>
        <v>0</v>
      </c>
      <c r="N14" s="370">
        <f t="shared" ref="N14:N22" ca="1" si="5">ROUND($AB14,2)</f>
        <v>0</v>
      </c>
      <c r="O14" s="371">
        <f ca="1">IF($B14="Branco",0,IF(OR($B14="Manual",$B14="SemiAuto"),QCI.InvManual,INDEX(ORÇAMENTO!X$15:X$192,MATCH($A14,ORÇAMENTO!$E$15:$E$192,0))))</f>
        <v>0</v>
      </c>
      <c r="P14" s="616"/>
      <c r="R14" s="646"/>
      <c r="T14" s="647"/>
      <c r="U14" s="373"/>
      <c r="V14" s="648" t="s">
        <v>317</v>
      </c>
      <c r="W14" s="374">
        <f t="shared" ref="W14:W22" ca="1" si="6">$O14</f>
        <v>0</v>
      </c>
      <c r="X14" s="375">
        <v>0</v>
      </c>
      <c r="Z14" s="376">
        <f t="shared" ref="Z14:Z22" ca="1" si="7">$O14-$AA14-$AB14</f>
        <v>0</v>
      </c>
      <c r="AA14">
        <f ca="1">IF($B14="Branco",0,IF($B14="Manual",QCI.CPManual,IF($B14="SemiAuto",ROUND(QCI!$AA$3*QCI.InvManual,2),INDEX(ORÇAMENTO!$AA$15:$AA$192,MATCH($A14,ORÇAMENTO!$E$15:$E$192,0)))))</f>
        <v>0</v>
      </c>
      <c r="AB14">
        <f ca="1">IF($B14="Branco",0,IF($B14="Manual",QCI.OutrosManual,IF($B14="SemiAuto",0,INDEX(ORÇAMENTO!$AB$15:$AB$192,MATCH($A14,ORÇAMENTO!$E$15:$E$192,0)))))</f>
        <v>0</v>
      </c>
      <c r="AD14" s="377" t="b">
        <f ca="1">AND($AA$3&gt;0,$AA$3&lt;1,$O14&gt;0,OR($B14="Automático",$B14="SemiAuto"),OR(QCI!$Z$3=QCI!$Z$7,QCI!$Z$3=QCI!$AA$7,QCI!$Z$3=QCI!$AB$7))</f>
        <v>0</v>
      </c>
      <c r="AE14" s="377">
        <f ca="1">IF(AND($AD14,$O14&gt;0,COUNTIF(OFFSET($AD14,1,0):$AD$24,TRUE)=0),CHOOSE(1+LOG(1+2*(QCI!$Z$3=QCI!$Z$7)+4*(QCI!$Z$3=QCI!$AA$7)+8*(QCI!$Z$3=QCI!$AB$7),2),0,$AA$24-ROUND(Import.CPMinPerc*$O$24,2),$AA$24-Import.CPMinAbsoluta,Import.Repasse-$Z$24),0)</f>
        <v>0</v>
      </c>
    </row>
    <row r="15" spans="1:31" x14ac:dyDescent="0.2">
      <c r="A15">
        <f t="shared" ca="1" si="0"/>
        <v>2</v>
      </c>
      <c r="B15" t="str">
        <f ca="1">IF(NOT(ISBLANK(QCI.DescManual)),IF(QCI.Divisao="Calculado","Manual","SemiAuto"),IF(ISERROR(MATCH($A15,ORÇAMENTO!$E$15:$E$192,0)),"Branco","Automático"))</f>
        <v>Branco</v>
      </c>
      <c r="C15" t="str">
        <f t="shared" ca="1" si="1"/>
        <v/>
      </c>
      <c r="D15" s="365">
        <f t="shared" si="2"/>
        <v>2</v>
      </c>
      <c r="E15" s="147"/>
      <c r="F15" s="366"/>
      <c r="G15" s="645" t="str">
        <f ca="1">IF(OR($B15="Manual",$B15="SemiAuto"),QCI.DescManual,IF($B15="Automático",INDEX(ORÇAMENTO!$R$15:$R$192,MATCH($A15,ORÇAMENTO!$E$15:$E$192,0)),""))</f>
        <v/>
      </c>
      <c r="H15" s="147"/>
      <c r="I15" s="644"/>
      <c r="J15" s="367" t="str">
        <f ca="1">IF(AND(ISBLANK(E15),ISBLANK(F15)),"",VLOOKUP($F15,OFFSET(DADOS!$A$2,1,MATCH(QCI!$E15,DADOS!$2:$2,0)-1,100,50),2,FALSE))</f>
        <v/>
      </c>
      <c r="K15" s="643" t="str">
        <f ca="1">IF(OR($B15="Manual",$B15="SemiAuto"),QCI.LoteManual,IF($B15="Automático",IF(TIPOORCAMENTO="Licitado",Import.CTEF,"LOTE 1"),""))</f>
        <v/>
      </c>
      <c r="L15" s="368">
        <f t="shared" ca="1" si="3"/>
        <v>0</v>
      </c>
      <c r="M15" s="369">
        <f t="shared" ca="1" si="4"/>
        <v>0</v>
      </c>
      <c r="N15" s="370">
        <f t="shared" ca="1" si="5"/>
        <v>0</v>
      </c>
      <c r="O15" s="371">
        <f ca="1">IF($B15="Branco",0,IF(OR($B15="Manual",$B15="SemiAuto"),QCI.InvManual,INDEX(ORÇAMENTO!X$15:X$192,MATCH($A15,ORÇAMENTO!$E$15:$E$192,0))))</f>
        <v>0</v>
      </c>
      <c r="P15" s="616"/>
      <c r="R15" s="646"/>
      <c r="T15" s="647"/>
      <c r="U15" s="373"/>
      <c r="V15" s="648" t="s">
        <v>317</v>
      </c>
      <c r="W15" s="374">
        <f t="shared" ca="1" si="6"/>
        <v>0</v>
      </c>
      <c r="X15" s="375">
        <v>0</v>
      </c>
      <c r="Z15" s="376">
        <f t="shared" ca="1" si="7"/>
        <v>0</v>
      </c>
      <c r="AA15">
        <f ca="1">IF($B15="Branco",0,IF($B15="Manual",QCI.CPManual,IF($B15="SemiAuto",ROUND(QCI!$AA$3*QCI.InvManual,2),INDEX(ORÇAMENTO!$AA$15:$AA$192,MATCH($A15,ORÇAMENTO!$E$15:$E$192,0)))))</f>
        <v>0</v>
      </c>
      <c r="AB15">
        <f ca="1">IF($B15="Branco",0,IF($B15="Manual",QCI.OutrosManual,IF($B15="SemiAuto",0,INDEX(ORÇAMENTO!$AB$15:$AB$192,MATCH($A15,ORÇAMENTO!$E$15:$E$192,0)))))</f>
        <v>0</v>
      </c>
      <c r="AD15" s="377" t="b">
        <f ca="1">AND($AA$3&gt;0,$AA$3&lt;1,$O15&gt;0,OR($B15="Automático",$B15="SemiAuto"),OR(QCI!$Z$3=QCI!$Z$7,QCI!$Z$3=QCI!$AA$7,QCI!$Z$3=QCI!$AB$7))</f>
        <v>0</v>
      </c>
      <c r="AE15" s="377">
        <f ca="1">IF(AND($AD15,$O15&gt;0,COUNTIF(OFFSET($AD15,1,0):$AD$24,TRUE)=0),CHOOSE(1+LOG(1+2*(QCI!$Z$3=QCI!$Z$7)+4*(QCI!$Z$3=QCI!$AA$7)+8*(QCI!$Z$3=QCI!$AB$7),2),0,$AA$24-ROUND(Import.CPMinPerc*$O$24,2),$AA$24-Import.CPMinAbsoluta,Import.Repasse-$Z$24),0)</f>
        <v>0</v>
      </c>
    </row>
    <row r="16" spans="1:31" x14ac:dyDescent="0.2">
      <c r="A16">
        <f t="shared" ca="1" si="0"/>
        <v>3</v>
      </c>
      <c r="B16" t="str">
        <f ca="1">IF(NOT(ISBLANK(QCI.DescManual)),IF(QCI.Divisao="Calculado","Manual","SemiAuto"),IF(ISERROR(MATCH($A16,ORÇAMENTO!$E$15:$E$192,0)),"Branco","Automático"))</f>
        <v>Branco</v>
      </c>
      <c r="C16" t="str">
        <f t="shared" ca="1" si="1"/>
        <v/>
      </c>
      <c r="D16" s="365">
        <f t="shared" si="2"/>
        <v>3</v>
      </c>
      <c r="E16" s="147"/>
      <c r="F16" s="366"/>
      <c r="G16" s="645" t="str">
        <f ca="1">IF(OR($B16="Manual",$B16="SemiAuto"),QCI.DescManual,IF($B16="Automático",INDEX(ORÇAMENTO!$R$15:$R$192,MATCH($A16,ORÇAMENTO!$E$15:$E$192,0)),""))</f>
        <v/>
      </c>
      <c r="H16" s="147"/>
      <c r="I16" s="644"/>
      <c r="J16" s="367" t="str">
        <f ca="1">IF(AND(ISBLANK(E16),ISBLANK(F16)),"",VLOOKUP($F16,OFFSET(DADOS!$A$2,1,MATCH(QCI!$E16,DADOS!$2:$2,0)-1,100,50),2,FALSE))</f>
        <v/>
      </c>
      <c r="K16" s="643" t="str">
        <f ca="1">IF(OR($B16="Manual",$B16="SemiAuto"),QCI.LoteManual,IF($B16="Automático",IF(TIPOORCAMENTO="Licitado",Import.CTEF,"LOTE 1"),""))</f>
        <v/>
      </c>
      <c r="L16" s="368">
        <f t="shared" ca="1" si="3"/>
        <v>0</v>
      </c>
      <c r="M16" s="369">
        <f t="shared" ca="1" si="4"/>
        <v>0</v>
      </c>
      <c r="N16" s="370">
        <f t="shared" ca="1" si="5"/>
        <v>0</v>
      </c>
      <c r="O16" s="371">
        <f ca="1">IF($B16="Branco",0,IF(OR($B16="Manual",$B16="SemiAuto"),QCI.InvManual,INDEX(ORÇAMENTO!X$15:X$192,MATCH($A16,ORÇAMENTO!$E$15:$E$192,0))))</f>
        <v>0</v>
      </c>
      <c r="P16" s="616"/>
      <c r="R16" s="646"/>
      <c r="T16" s="647"/>
      <c r="U16" s="373"/>
      <c r="V16" s="648" t="s">
        <v>317</v>
      </c>
      <c r="W16" s="374">
        <f t="shared" ca="1" si="6"/>
        <v>0</v>
      </c>
      <c r="X16" s="375">
        <v>0</v>
      </c>
      <c r="Z16" s="376">
        <f t="shared" ca="1" si="7"/>
        <v>0</v>
      </c>
      <c r="AA16">
        <f ca="1">IF($B16="Branco",0,IF($B16="Manual",QCI.CPManual,IF($B16="SemiAuto",ROUND(QCI!$AA$3*QCI.InvManual,2),INDEX(ORÇAMENTO!$AA$15:$AA$192,MATCH($A16,ORÇAMENTO!$E$15:$E$192,0)))))</f>
        <v>0</v>
      </c>
      <c r="AB16">
        <f ca="1">IF($B16="Branco",0,IF($B16="Manual",QCI.OutrosManual,IF($B16="SemiAuto",0,INDEX(ORÇAMENTO!$AB$15:$AB$192,MATCH($A16,ORÇAMENTO!$E$15:$E$192,0)))))</f>
        <v>0</v>
      </c>
      <c r="AD16" s="377" t="b">
        <f ca="1">AND($AA$3&gt;0,$AA$3&lt;1,$O16&gt;0,OR($B16="Automático",$B16="SemiAuto"),OR(QCI!$Z$3=QCI!$Z$7,QCI!$Z$3=QCI!$AA$7,QCI!$Z$3=QCI!$AB$7))</f>
        <v>0</v>
      </c>
      <c r="AE16" s="377">
        <f ca="1">IF(AND($AD16,$O16&gt;0,COUNTIF(OFFSET($AD16,1,0):$AD$24,TRUE)=0),CHOOSE(1+LOG(1+2*(QCI!$Z$3=QCI!$Z$7)+4*(QCI!$Z$3=QCI!$AA$7)+8*(QCI!$Z$3=QCI!$AB$7),2),0,$AA$24-ROUND(Import.CPMinPerc*$O$24,2),$AA$24-Import.CPMinAbsoluta,Import.Repasse-$Z$24),0)</f>
        <v>0</v>
      </c>
    </row>
    <row r="17" spans="1:31" x14ac:dyDescent="0.2">
      <c r="A17">
        <f t="shared" ca="1" si="0"/>
        <v>4</v>
      </c>
      <c r="B17" t="str">
        <f ca="1">IF(NOT(ISBLANK(QCI.DescManual)),IF(QCI.Divisao="Calculado","Manual","SemiAuto"),IF(ISERROR(MATCH($A17,ORÇAMENTO!$E$15:$E$192,0)),"Branco","Automático"))</f>
        <v>Branco</v>
      </c>
      <c r="C17" t="str">
        <f t="shared" ca="1" si="1"/>
        <v/>
      </c>
      <c r="D17" s="365">
        <f t="shared" si="2"/>
        <v>4</v>
      </c>
      <c r="E17" s="147"/>
      <c r="F17" s="366"/>
      <c r="G17" s="645" t="str">
        <f ca="1">IF(OR($B17="Manual",$B17="SemiAuto"),QCI.DescManual,IF($B17="Automático",INDEX(ORÇAMENTO!$R$15:$R$192,MATCH($A17,ORÇAMENTO!$E$15:$E$192,0)),""))</f>
        <v/>
      </c>
      <c r="H17" s="147"/>
      <c r="I17" s="644"/>
      <c r="J17" s="367" t="str">
        <f ca="1">IF(AND(ISBLANK(E17),ISBLANK(F17)),"",VLOOKUP($F17,OFFSET(DADOS!$A$2,1,MATCH(QCI!$E17,DADOS!$2:$2,0)-1,100,50),2,FALSE))</f>
        <v/>
      </c>
      <c r="K17" s="643" t="str">
        <f ca="1">IF(OR($B17="Manual",$B17="SemiAuto"),QCI.LoteManual,IF($B17="Automático",IF(TIPOORCAMENTO="Licitado",Import.CTEF,"LOTE 1"),""))</f>
        <v/>
      </c>
      <c r="L17" s="368">
        <f t="shared" ca="1" si="3"/>
        <v>0</v>
      </c>
      <c r="M17" s="369">
        <f t="shared" ca="1" si="4"/>
        <v>0</v>
      </c>
      <c r="N17" s="370">
        <f t="shared" ca="1" si="5"/>
        <v>0</v>
      </c>
      <c r="O17" s="371">
        <f ca="1">IF($B17="Branco",0,IF(OR($B17="Manual",$B17="SemiAuto"),QCI.InvManual,INDEX(ORÇAMENTO!X$15:X$192,MATCH($A17,ORÇAMENTO!$E$15:$E$192,0))))</f>
        <v>0</v>
      </c>
      <c r="P17" s="616"/>
      <c r="R17" s="646"/>
      <c r="T17" s="647"/>
      <c r="U17" s="373"/>
      <c r="V17" s="648" t="s">
        <v>317</v>
      </c>
      <c r="W17" s="374">
        <f t="shared" ca="1" si="6"/>
        <v>0</v>
      </c>
      <c r="X17" s="375">
        <v>0</v>
      </c>
      <c r="Z17" s="376">
        <f t="shared" ca="1" si="7"/>
        <v>0</v>
      </c>
      <c r="AA17">
        <f ca="1">IF($B17="Branco",0,IF($B17="Manual",QCI.CPManual,IF($B17="SemiAuto",ROUND(QCI!$AA$3*QCI.InvManual,2),INDEX(ORÇAMENTO!$AA$15:$AA$192,MATCH($A17,ORÇAMENTO!$E$15:$E$192,0)))))</f>
        <v>0</v>
      </c>
      <c r="AB17">
        <f ca="1">IF($B17="Branco",0,IF($B17="Manual",QCI.OutrosManual,IF($B17="SemiAuto",0,INDEX(ORÇAMENTO!$AB$15:$AB$192,MATCH($A17,ORÇAMENTO!$E$15:$E$192,0)))))</f>
        <v>0</v>
      </c>
      <c r="AD17" s="377" t="b">
        <f ca="1">AND($AA$3&gt;0,$AA$3&lt;1,$O17&gt;0,OR($B17="Automático",$B17="SemiAuto"),OR(QCI!$Z$3=QCI!$Z$7,QCI!$Z$3=QCI!$AA$7,QCI!$Z$3=QCI!$AB$7))</f>
        <v>0</v>
      </c>
      <c r="AE17" s="377">
        <f ca="1">IF(AND($AD17,$O17&gt;0,COUNTIF(OFFSET($AD17,1,0):$AD$24,TRUE)=0),CHOOSE(1+LOG(1+2*(QCI!$Z$3=QCI!$Z$7)+4*(QCI!$Z$3=QCI!$AA$7)+8*(QCI!$Z$3=QCI!$AB$7),2),0,$AA$24-ROUND(Import.CPMinPerc*$O$24,2),$AA$24-Import.CPMinAbsoluta,Import.Repasse-$Z$24),0)</f>
        <v>0</v>
      </c>
    </row>
    <row r="18" spans="1:31" x14ac:dyDescent="0.2">
      <c r="A18">
        <f t="shared" ca="1" si="0"/>
        <v>5</v>
      </c>
      <c r="B18" t="str">
        <f ca="1">IF(NOT(ISBLANK(QCI.DescManual)),IF(QCI.Divisao="Calculado","Manual","SemiAuto"),IF(ISERROR(MATCH($A18,ORÇAMENTO!$E$15:$E$192,0)),"Branco","Automático"))</f>
        <v>Branco</v>
      </c>
      <c r="C18" t="str">
        <f t="shared" ca="1" si="1"/>
        <v/>
      </c>
      <c r="D18" s="365">
        <f t="shared" si="2"/>
        <v>5</v>
      </c>
      <c r="E18" s="147"/>
      <c r="F18" s="366"/>
      <c r="G18" s="645" t="str">
        <f ca="1">IF(OR($B18="Manual",$B18="SemiAuto"),QCI.DescManual,IF($B18="Automático",INDEX(ORÇAMENTO!$R$15:$R$192,MATCH($A18,ORÇAMENTO!$E$15:$E$192,0)),""))</f>
        <v/>
      </c>
      <c r="H18" s="147"/>
      <c r="I18" s="644"/>
      <c r="J18" s="367" t="str">
        <f ca="1">IF(AND(ISBLANK(E18),ISBLANK(F18)),"",VLOOKUP($F18,OFFSET(DADOS!$A$2,1,MATCH(QCI!$E18,DADOS!$2:$2,0)-1,100,50),2,FALSE))</f>
        <v/>
      </c>
      <c r="K18" s="643" t="str">
        <f ca="1">IF(OR($B18="Manual",$B18="SemiAuto"),QCI.LoteManual,IF($B18="Automático",IF(TIPOORCAMENTO="Licitado",Import.CTEF,"LOTE 1"),""))</f>
        <v/>
      </c>
      <c r="L18" s="368">
        <f t="shared" ca="1" si="3"/>
        <v>0</v>
      </c>
      <c r="M18" s="369">
        <f t="shared" ca="1" si="4"/>
        <v>0</v>
      </c>
      <c r="N18" s="370">
        <f t="shared" ca="1" si="5"/>
        <v>0</v>
      </c>
      <c r="O18" s="371">
        <f ca="1">IF($B18="Branco",0,IF(OR($B18="Manual",$B18="SemiAuto"),QCI.InvManual,INDEX(ORÇAMENTO!X$15:X$192,MATCH($A18,ORÇAMENTO!$E$15:$E$192,0))))</f>
        <v>0</v>
      </c>
      <c r="P18" s="616"/>
      <c r="R18" s="646"/>
      <c r="T18" s="647"/>
      <c r="U18" s="373"/>
      <c r="V18" s="648" t="s">
        <v>317</v>
      </c>
      <c r="W18" s="374">
        <f t="shared" ca="1" si="6"/>
        <v>0</v>
      </c>
      <c r="X18" s="375">
        <v>0</v>
      </c>
      <c r="Z18" s="376">
        <f t="shared" ca="1" si="7"/>
        <v>0</v>
      </c>
      <c r="AA18">
        <f ca="1">IF($B18="Branco",0,IF($B18="Manual",QCI.CPManual,IF($B18="SemiAuto",ROUND(QCI!$AA$3*QCI.InvManual,2),INDEX(ORÇAMENTO!$AA$15:$AA$192,MATCH($A18,ORÇAMENTO!$E$15:$E$192,0)))))</f>
        <v>0</v>
      </c>
      <c r="AB18">
        <f ca="1">IF($B18="Branco",0,IF($B18="Manual",QCI.OutrosManual,IF($B18="SemiAuto",0,INDEX(ORÇAMENTO!$AB$15:$AB$192,MATCH($A18,ORÇAMENTO!$E$15:$E$192,0)))))</f>
        <v>0</v>
      </c>
      <c r="AD18" s="377" t="b">
        <f ca="1">AND($AA$3&gt;0,$AA$3&lt;1,$O18&gt;0,OR($B18="Automático",$B18="SemiAuto"),OR(QCI!$Z$3=QCI!$Z$7,QCI!$Z$3=QCI!$AA$7,QCI!$Z$3=QCI!$AB$7))</f>
        <v>0</v>
      </c>
      <c r="AE18" s="377">
        <f ca="1">IF(AND($AD18,$O18&gt;0,COUNTIF(OFFSET($AD18,1,0):$AD$24,TRUE)=0),CHOOSE(1+LOG(1+2*(QCI!$Z$3=QCI!$Z$7)+4*(QCI!$Z$3=QCI!$AA$7)+8*(QCI!$Z$3=QCI!$AB$7),2),0,$AA$24-ROUND(Import.CPMinPerc*$O$24,2),$AA$24-Import.CPMinAbsoluta,Import.Repasse-$Z$24),0)</f>
        <v>0</v>
      </c>
    </row>
    <row r="19" spans="1:31" x14ac:dyDescent="0.2">
      <c r="A19">
        <f t="shared" ca="1" si="0"/>
        <v>6</v>
      </c>
      <c r="B19" t="str">
        <f ca="1">IF(NOT(ISBLANK(QCI.DescManual)),IF(QCI.Divisao="Calculado","Manual","SemiAuto"),IF(ISERROR(MATCH($A19,ORÇAMENTO!$E$15:$E$192,0)),"Branco","Automático"))</f>
        <v>Branco</v>
      </c>
      <c r="C19" t="str">
        <f t="shared" ca="1" si="1"/>
        <v/>
      </c>
      <c r="D19" s="365">
        <f t="shared" si="2"/>
        <v>6</v>
      </c>
      <c r="E19" s="147"/>
      <c r="F19" s="366"/>
      <c r="G19" s="645" t="str">
        <f ca="1">IF(OR($B19="Manual",$B19="SemiAuto"),QCI.DescManual,IF($B19="Automático",INDEX(ORÇAMENTO!$R$15:$R$192,MATCH($A19,ORÇAMENTO!$E$15:$E$192,0)),""))</f>
        <v/>
      </c>
      <c r="H19" s="147"/>
      <c r="I19" s="644"/>
      <c r="J19" s="367" t="str">
        <f ca="1">IF(AND(ISBLANK(E19),ISBLANK(F19)),"",VLOOKUP($F19,OFFSET(DADOS!$A$2,1,MATCH(QCI!$E19,DADOS!$2:$2,0)-1,100,50),2,FALSE))</f>
        <v/>
      </c>
      <c r="K19" s="643" t="str">
        <f ca="1">IF(OR($B19="Manual",$B19="SemiAuto"),QCI.LoteManual,IF($B19="Automático",IF(TIPOORCAMENTO="Licitado",Import.CTEF,"LOTE 1"),""))</f>
        <v/>
      </c>
      <c r="L19" s="368">
        <f t="shared" ca="1" si="3"/>
        <v>0</v>
      </c>
      <c r="M19" s="369">
        <f t="shared" ca="1" si="4"/>
        <v>0</v>
      </c>
      <c r="N19" s="370">
        <f t="shared" ca="1" si="5"/>
        <v>0</v>
      </c>
      <c r="O19" s="371">
        <f ca="1">IF($B19="Branco",0,IF(OR($B19="Manual",$B19="SemiAuto"),QCI.InvManual,INDEX(ORÇAMENTO!X$15:X$192,MATCH($A19,ORÇAMENTO!$E$15:$E$192,0))))</f>
        <v>0</v>
      </c>
      <c r="P19" s="616"/>
      <c r="R19" s="646"/>
      <c r="T19" s="647"/>
      <c r="U19" s="373"/>
      <c r="V19" s="648" t="s">
        <v>317</v>
      </c>
      <c r="W19" s="374">
        <f t="shared" ca="1" si="6"/>
        <v>0</v>
      </c>
      <c r="X19" s="375">
        <v>0</v>
      </c>
      <c r="Z19" s="376">
        <f t="shared" ca="1" si="7"/>
        <v>0</v>
      </c>
      <c r="AA19">
        <f ca="1">IF($B19="Branco",0,IF($B19="Manual",QCI.CPManual,IF($B19="SemiAuto",ROUND(QCI!$AA$3*QCI.InvManual,2),INDEX(ORÇAMENTO!$AA$15:$AA$192,MATCH($A19,ORÇAMENTO!$E$15:$E$192,0)))))</f>
        <v>0</v>
      </c>
      <c r="AB19">
        <f ca="1">IF($B19="Branco",0,IF($B19="Manual",QCI.OutrosManual,IF($B19="SemiAuto",0,INDEX(ORÇAMENTO!$AB$15:$AB$192,MATCH($A19,ORÇAMENTO!$E$15:$E$192,0)))))</f>
        <v>0</v>
      </c>
      <c r="AD19" s="377" t="b">
        <f ca="1">AND($AA$3&gt;0,$AA$3&lt;1,$O19&gt;0,OR($B19="Automático",$B19="SemiAuto"),OR(QCI!$Z$3=QCI!$Z$7,QCI!$Z$3=QCI!$AA$7,QCI!$Z$3=QCI!$AB$7))</f>
        <v>0</v>
      </c>
      <c r="AE19" s="377">
        <f ca="1">IF(AND($AD19,$O19&gt;0,COUNTIF(OFFSET($AD19,1,0):$AD$24,TRUE)=0),CHOOSE(1+LOG(1+2*(QCI!$Z$3=QCI!$Z$7)+4*(QCI!$Z$3=QCI!$AA$7)+8*(QCI!$Z$3=QCI!$AB$7),2),0,$AA$24-ROUND(Import.CPMinPerc*$O$24,2),$AA$24-Import.CPMinAbsoluta,Import.Repasse-$Z$24),0)</f>
        <v>0</v>
      </c>
    </row>
    <row r="20" spans="1:31" x14ac:dyDescent="0.2">
      <c r="A20">
        <f t="shared" ca="1" si="0"/>
        <v>7</v>
      </c>
      <c r="B20" t="str">
        <f ca="1">IF(NOT(ISBLANK(QCI.DescManual)),IF(QCI.Divisao="Calculado","Manual","SemiAuto"),IF(ISERROR(MATCH($A20,ORÇAMENTO!$E$15:$E$192,0)),"Branco","Automático"))</f>
        <v>Branco</v>
      </c>
      <c r="C20" t="str">
        <f t="shared" ca="1" si="1"/>
        <v/>
      </c>
      <c r="D20" s="365">
        <f t="shared" si="2"/>
        <v>7</v>
      </c>
      <c r="E20" s="147"/>
      <c r="F20" s="366"/>
      <c r="G20" s="645" t="str">
        <f ca="1">IF(OR($B20="Manual",$B20="SemiAuto"),QCI.DescManual,IF($B20="Automático",INDEX(ORÇAMENTO!$R$15:$R$192,MATCH($A20,ORÇAMENTO!$E$15:$E$192,0)),""))</f>
        <v/>
      </c>
      <c r="H20" s="147"/>
      <c r="I20" s="644"/>
      <c r="J20" s="367" t="str">
        <f ca="1">IF(AND(ISBLANK(E20),ISBLANK(F20)),"",VLOOKUP($F20,OFFSET(DADOS!$A$2,1,MATCH(QCI!$E20,DADOS!$2:$2,0)-1,100,50),2,FALSE))</f>
        <v/>
      </c>
      <c r="K20" s="643" t="str">
        <f ca="1">IF(OR($B20="Manual",$B20="SemiAuto"),QCI.LoteManual,IF($B20="Automático",IF(TIPOORCAMENTO="Licitado",Import.CTEF,"LOTE 1"),""))</f>
        <v/>
      </c>
      <c r="L20" s="368">
        <f t="shared" ca="1" si="3"/>
        <v>0</v>
      </c>
      <c r="M20" s="369">
        <f t="shared" ca="1" si="4"/>
        <v>0</v>
      </c>
      <c r="N20" s="370">
        <f t="shared" ca="1" si="5"/>
        <v>0</v>
      </c>
      <c r="O20" s="371">
        <f ca="1">IF($B20="Branco",0,IF(OR($B20="Manual",$B20="SemiAuto"),QCI.InvManual,INDEX(ORÇAMENTO!X$15:X$192,MATCH($A20,ORÇAMENTO!$E$15:$E$192,0))))</f>
        <v>0</v>
      </c>
      <c r="P20" s="616"/>
      <c r="R20" s="646"/>
      <c r="T20" s="647"/>
      <c r="U20" s="373"/>
      <c r="V20" s="648" t="s">
        <v>317</v>
      </c>
      <c r="W20" s="374">
        <f t="shared" ca="1" si="6"/>
        <v>0</v>
      </c>
      <c r="X20" s="375">
        <v>0</v>
      </c>
      <c r="Z20" s="376">
        <f t="shared" ca="1" si="7"/>
        <v>0</v>
      </c>
      <c r="AA20">
        <f ca="1">IF($B20="Branco",0,IF($B20="Manual",QCI.CPManual,IF($B20="SemiAuto",ROUND(QCI!$AA$3*QCI.InvManual,2),INDEX(ORÇAMENTO!$AA$15:$AA$192,MATCH($A20,ORÇAMENTO!$E$15:$E$192,0)))))</f>
        <v>0</v>
      </c>
      <c r="AB20">
        <f ca="1">IF($B20="Branco",0,IF($B20="Manual",QCI.OutrosManual,IF($B20="SemiAuto",0,INDEX(ORÇAMENTO!$AB$15:$AB$192,MATCH($A20,ORÇAMENTO!$E$15:$E$192,0)))))</f>
        <v>0</v>
      </c>
      <c r="AD20" s="377" t="b">
        <f ca="1">AND($AA$3&gt;0,$AA$3&lt;1,$O20&gt;0,OR($B20="Automático",$B20="SemiAuto"),OR(QCI!$Z$3=QCI!$Z$7,QCI!$Z$3=QCI!$AA$7,QCI!$Z$3=QCI!$AB$7))</f>
        <v>0</v>
      </c>
      <c r="AE20" s="377">
        <f ca="1">IF(AND($AD20,$O20&gt;0,COUNTIF(OFFSET($AD20,1,0):$AD$24,TRUE)=0),CHOOSE(1+LOG(1+2*(QCI!$Z$3=QCI!$Z$7)+4*(QCI!$Z$3=QCI!$AA$7)+8*(QCI!$Z$3=QCI!$AB$7),2),0,$AA$24-ROUND(Import.CPMinPerc*$O$24,2),$AA$24-Import.CPMinAbsoluta,Import.Repasse-$Z$24),0)</f>
        <v>0</v>
      </c>
    </row>
    <row r="21" spans="1:31" x14ac:dyDescent="0.2">
      <c r="A21">
        <f t="shared" ca="1" si="0"/>
        <v>8</v>
      </c>
      <c r="B21" t="str">
        <f ca="1">IF(NOT(ISBLANK(QCI.DescManual)),IF(QCI.Divisao="Calculado","Manual","SemiAuto"),IF(ISERROR(MATCH($A21,ORÇAMENTO!$E$15:$E$192,0)),"Branco","Automático"))</f>
        <v>Branco</v>
      </c>
      <c r="C21" t="str">
        <f t="shared" ca="1" si="1"/>
        <v/>
      </c>
      <c r="D21" s="365">
        <f t="shared" si="2"/>
        <v>8</v>
      </c>
      <c r="E21" s="147"/>
      <c r="F21" s="366"/>
      <c r="G21" s="645" t="str">
        <f ca="1">IF(OR($B21="Manual",$B21="SemiAuto"),QCI.DescManual,IF($B21="Automático",INDEX(ORÇAMENTO!$R$15:$R$192,MATCH($A21,ORÇAMENTO!$E$15:$E$192,0)),""))</f>
        <v/>
      </c>
      <c r="H21" s="147"/>
      <c r="I21" s="644"/>
      <c r="J21" s="367" t="str">
        <f ca="1">IF(AND(ISBLANK(E21),ISBLANK(F21)),"",VLOOKUP($F21,OFFSET(DADOS!$A$2,1,MATCH(QCI!$E21,DADOS!$2:$2,0)-1,100,50),2,FALSE))</f>
        <v/>
      </c>
      <c r="K21" s="643" t="str">
        <f ca="1">IF(OR($B21="Manual",$B21="SemiAuto"),QCI.LoteManual,IF($B21="Automático",IF(TIPOORCAMENTO="Licitado",Import.CTEF,"LOTE 1"),""))</f>
        <v/>
      </c>
      <c r="L21" s="368">
        <f t="shared" ca="1" si="3"/>
        <v>0</v>
      </c>
      <c r="M21" s="369">
        <f t="shared" ca="1" si="4"/>
        <v>0</v>
      </c>
      <c r="N21" s="370">
        <f t="shared" ca="1" si="5"/>
        <v>0</v>
      </c>
      <c r="O21" s="371">
        <f ca="1">IF($B21="Branco",0,IF(OR($B21="Manual",$B21="SemiAuto"),QCI.InvManual,INDEX(ORÇAMENTO!X$15:X$192,MATCH($A21,ORÇAMENTO!$E$15:$E$192,0))))</f>
        <v>0</v>
      </c>
      <c r="P21" s="616"/>
      <c r="R21" s="646"/>
      <c r="T21" s="647"/>
      <c r="U21" s="373"/>
      <c r="V21" s="648" t="s">
        <v>317</v>
      </c>
      <c r="W21" s="374">
        <f t="shared" ca="1" si="6"/>
        <v>0</v>
      </c>
      <c r="X21" s="375">
        <v>0</v>
      </c>
      <c r="Z21" s="376">
        <f t="shared" ca="1" si="7"/>
        <v>0</v>
      </c>
      <c r="AA21">
        <f ca="1">IF($B21="Branco",0,IF($B21="Manual",QCI.CPManual,IF($B21="SemiAuto",ROUND(QCI!$AA$3*QCI.InvManual,2),INDEX(ORÇAMENTO!$AA$15:$AA$192,MATCH($A21,ORÇAMENTO!$E$15:$E$192,0)))))</f>
        <v>0</v>
      </c>
      <c r="AB21">
        <f ca="1">IF($B21="Branco",0,IF($B21="Manual",QCI.OutrosManual,IF($B21="SemiAuto",0,INDEX(ORÇAMENTO!$AB$15:$AB$192,MATCH($A21,ORÇAMENTO!$E$15:$E$192,0)))))</f>
        <v>0</v>
      </c>
      <c r="AD21" s="377" t="b">
        <f ca="1">AND($AA$3&gt;0,$AA$3&lt;1,$O21&gt;0,OR($B21="Automático",$B21="SemiAuto"),OR(QCI!$Z$3=QCI!$Z$7,QCI!$Z$3=QCI!$AA$7,QCI!$Z$3=QCI!$AB$7))</f>
        <v>0</v>
      </c>
      <c r="AE21" s="377">
        <f ca="1">IF(AND($AD21,$O21&gt;0,COUNTIF(OFFSET($AD21,1,0):$AD$24,TRUE)=0),CHOOSE(1+LOG(1+2*(QCI!$Z$3=QCI!$Z$7)+4*(QCI!$Z$3=QCI!$AA$7)+8*(QCI!$Z$3=QCI!$AB$7),2),0,$AA$24-ROUND(Import.CPMinPerc*$O$24,2),$AA$24-Import.CPMinAbsoluta,Import.Repasse-$Z$24),0)</f>
        <v>0</v>
      </c>
    </row>
    <row r="22" spans="1:31" x14ac:dyDescent="0.2">
      <c r="A22">
        <f t="shared" ca="1" si="0"/>
        <v>9</v>
      </c>
      <c r="B22" t="str">
        <f ca="1">IF(NOT(ISBLANK(QCI.DescManual)),IF(QCI.Divisao="Calculado","Manual","SemiAuto"),IF(ISERROR(MATCH($A22,ORÇAMENTO!$E$15:$E$192,0)),"Branco","Automático"))</f>
        <v>Branco</v>
      </c>
      <c r="C22" t="str">
        <f t="shared" ca="1" si="1"/>
        <v/>
      </c>
      <c r="D22" s="365">
        <f t="shared" si="2"/>
        <v>9</v>
      </c>
      <c r="E22" s="147"/>
      <c r="F22" s="366"/>
      <c r="G22" s="645" t="str">
        <f ca="1">IF(OR($B22="Manual",$B22="SemiAuto"),QCI.DescManual,IF($B22="Automático",INDEX(ORÇAMENTO!$R$15:$R$192,MATCH($A22,ORÇAMENTO!$E$15:$E$192,0)),""))</f>
        <v/>
      </c>
      <c r="H22" s="147"/>
      <c r="I22" s="644"/>
      <c r="J22" s="367" t="str">
        <f ca="1">IF(AND(ISBLANK(E22),ISBLANK(F22)),"",VLOOKUP($F22,OFFSET(DADOS!$A$2,1,MATCH(QCI!$E22,DADOS!$2:$2,0)-1,100,50),2,FALSE))</f>
        <v/>
      </c>
      <c r="K22" s="643" t="str">
        <f ca="1">IF(OR($B22="Manual",$B22="SemiAuto"),QCI.LoteManual,IF($B22="Automático",IF(TIPOORCAMENTO="Licitado",Import.CTEF,"LOTE 1"),""))</f>
        <v/>
      </c>
      <c r="L22" s="368">
        <f t="shared" ca="1" si="3"/>
        <v>0</v>
      </c>
      <c r="M22" s="369">
        <f t="shared" ca="1" si="4"/>
        <v>0</v>
      </c>
      <c r="N22" s="370">
        <f t="shared" ca="1" si="5"/>
        <v>0</v>
      </c>
      <c r="O22" s="371">
        <f ca="1">IF($B22="Branco",0,IF(OR($B22="Manual",$B22="SemiAuto"),QCI.InvManual,INDEX(ORÇAMENTO!X$15:X$192,MATCH($A22,ORÇAMENTO!$E$15:$E$192,0))))</f>
        <v>0</v>
      </c>
      <c r="P22" s="616"/>
      <c r="R22" s="646"/>
      <c r="T22" s="647"/>
      <c r="U22" s="373"/>
      <c r="V22" s="648" t="s">
        <v>317</v>
      </c>
      <c r="W22" s="374">
        <f t="shared" ca="1" si="6"/>
        <v>0</v>
      </c>
      <c r="X22" s="375">
        <v>0</v>
      </c>
      <c r="Z22" s="376">
        <f t="shared" ca="1" si="7"/>
        <v>0</v>
      </c>
      <c r="AA22">
        <f ca="1">IF($B22="Branco",0,IF($B22="Manual",QCI.CPManual,IF($B22="SemiAuto",ROUND(QCI!$AA$3*QCI.InvManual,2),INDEX(ORÇAMENTO!$AA$15:$AA$192,MATCH($A22,ORÇAMENTO!$E$15:$E$192,0)))))</f>
        <v>0</v>
      </c>
      <c r="AB22">
        <f ca="1">IF($B22="Branco",0,IF($B22="Manual",QCI.OutrosManual,IF($B22="SemiAuto",0,INDEX(ORÇAMENTO!$AB$15:$AB$192,MATCH($A22,ORÇAMENTO!$E$15:$E$192,0)))))</f>
        <v>0</v>
      </c>
      <c r="AD22" s="377" t="b">
        <f ca="1">AND($AA$3&gt;0,$AA$3&lt;1,$O22&gt;0,OR($B22="Automático",$B22="SemiAuto"),OR(QCI!$Z$3=QCI!$Z$7,QCI!$Z$3=QCI!$AA$7,QCI!$Z$3=QCI!$AB$7))</f>
        <v>0</v>
      </c>
      <c r="AE22" s="377">
        <f ca="1">IF(AND($AD22,$O22&gt;0,COUNTIF(OFFSET($AD22,1,0):$AD$24,TRUE)=0),CHOOSE(1+LOG(1+2*(QCI!$Z$3=QCI!$Z$7)+4*(QCI!$Z$3=QCI!$AA$7)+8*(QCI!$Z$3=QCI!$AB$7),2),0,$AA$24-ROUND(Import.CPMinPerc*$O$24,2),$AA$24-Import.CPMinAbsoluta,Import.Repasse-$Z$24),0)</f>
        <v>0</v>
      </c>
    </row>
    <row r="23" spans="1:31" x14ac:dyDescent="0.2">
      <c r="A23">
        <f t="shared" ca="1" si="0"/>
        <v>10</v>
      </c>
      <c r="B23" t="str">
        <f ca="1">IF(NOT(ISBLANK(QCI.DescManual)),IF(QCI.Divisao="Calculado","Manual","SemiAuto"),IF(ISERROR(MATCH($A23,ORÇAMENTO!$E$15:$E$192,0)),"Branco","Automático"))</f>
        <v>Branco</v>
      </c>
      <c r="C23" t="str">
        <f ca="1">IF(O23&gt;0,"F","")</f>
        <v/>
      </c>
      <c r="D23" s="365">
        <f>ROW()-ROW($D$13)</f>
        <v>10</v>
      </c>
      <c r="E23" s="147"/>
      <c r="F23" s="366"/>
      <c r="G23" s="645" t="str">
        <f ca="1">IF(OR($B23="Manual",$B23="SemiAuto"),QCI.DescManual,IF($B23="Automático",INDEX(ORÇAMENTO!$R$15:$R$192,MATCH($A23,ORÇAMENTO!$E$15:$E$192,0)),""))</f>
        <v/>
      </c>
      <c r="H23" s="147"/>
      <c r="I23" s="644"/>
      <c r="J23" s="367" t="str">
        <f ca="1">IF(AND(ISBLANK(E23),ISBLANK(F23)),"",VLOOKUP($F23,OFFSET(DADOS!$A$2,1,MATCH(QCI!$E23,DADOS!$2:$2,0)-1,100,50),2,FALSE))</f>
        <v/>
      </c>
      <c r="K23" s="643" t="str">
        <f ca="1">IF(OR($B23="Manual",$B23="SemiAuto"),QCI.LoteManual,IF($B23="Automático",IF(TIPOORCAMENTO="Licitado",Import.CTEF,"LOTE 1"),""))</f>
        <v/>
      </c>
      <c r="L23" s="368">
        <f ca="1">ROUND($O23,2)-ROUND($M23,2)-ROUND($N23,2)</f>
        <v>0</v>
      </c>
      <c r="M23" s="369">
        <f ca="1">ROUND($AA23,2)-ROUND($AE23,2)</f>
        <v>0</v>
      </c>
      <c r="N23" s="370">
        <f ca="1">ROUND($AB23,2)</f>
        <v>0</v>
      </c>
      <c r="O23" s="371">
        <f ca="1">IF($B23="Branco",0,IF(OR($B23="Manual",$B23="SemiAuto"),QCI.InvManual,INDEX(ORÇAMENTO!X$15:X$192,MATCH($A23,ORÇAMENTO!$E$15:$E$192,0))))</f>
        <v>0</v>
      </c>
      <c r="P23" s="616"/>
      <c r="R23" s="646"/>
      <c r="T23" s="647"/>
      <c r="U23" s="373"/>
      <c r="V23" s="648" t="s">
        <v>317</v>
      </c>
      <c r="W23" s="374">
        <f ca="1">$O23</f>
        <v>0</v>
      </c>
      <c r="X23" s="375">
        <v>0</v>
      </c>
      <c r="Z23" s="376">
        <f ca="1">$O23-$AA23-$AB23</f>
        <v>0</v>
      </c>
      <c r="AA23">
        <f ca="1">IF($B23="Branco",0,IF($B23="Manual",QCI.CPManual,IF($B23="SemiAuto",ROUND(QCI!$AA$3*QCI.InvManual,2),INDEX(ORÇAMENTO!$AA$15:$AA$192,MATCH($A23,ORÇAMENTO!$E$15:$E$192,0)))))</f>
        <v>0</v>
      </c>
      <c r="AB23">
        <f ca="1">IF($B23="Branco",0,IF($B23="Manual",QCI.OutrosManual,IF($B23="SemiAuto",0,INDEX(ORÇAMENTO!$AB$15:$AB$192,MATCH($A23,ORÇAMENTO!$E$15:$E$192,0)))))</f>
        <v>0</v>
      </c>
      <c r="AD23" s="377" t="b">
        <f ca="1">AND($AA$3&gt;0,$AA$3&lt;1,$O23&gt;0,OR($B23="Automático",$B23="SemiAuto"),OR(QCI!$Z$3=QCI!$Z$7,QCI!$Z$3=QCI!$AA$7,QCI!$Z$3=QCI!$AB$7))</f>
        <v>0</v>
      </c>
      <c r="AE23" s="377">
        <f ca="1">IF(AND($AD23,$O23&gt;0,COUNTIF(OFFSET($AD23,1,0):$AD$24,TRUE)=0),CHOOSE(1+LOG(1+2*(QCI!$Z$3=QCI!$Z$7)+4*(QCI!$Z$3=QCI!$AA$7)+8*(QCI!$Z$3=QCI!$AB$7),2),0,$AA$24-ROUND(Import.CPMinPerc*$O$24,2),$AA$24-Import.CPMinAbsoluta,Import.Repasse-$Z$24),0)</f>
        <v>0</v>
      </c>
    </row>
    <row r="24" spans="1:31" ht="15" x14ac:dyDescent="0.2">
      <c r="B24" t="s">
        <v>327</v>
      </c>
      <c r="C24" t="s">
        <v>246</v>
      </c>
      <c r="D24" s="385"/>
      <c r="E24" s="386"/>
      <c r="F24" s="386"/>
      <c r="G24" s="386"/>
      <c r="H24" s="386"/>
      <c r="I24" s="386"/>
      <c r="J24" s="386"/>
      <c r="K24" s="790" t="s">
        <v>328</v>
      </c>
      <c r="L24" s="387">
        <f ca="1">SUM(L13:OFFSET(L24,-1,0))</f>
        <v>0</v>
      </c>
      <c r="M24" s="388">
        <f ca="1">SUM(M13:OFFSET(M24,-1,0))</f>
        <v>0</v>
      </c>
      <c r="N24" s="389">
        <f ca="1">SUM(N13:OFFSET(N24,-1,0))</f>
        <v>0</v>
      </c>
      <c r="O24" s="390">
        <f ca="1">SUM(O13:OFFSET(O24,-1,0))</f>
        <v>0</v>
      </c>
      <c r="R24" s="391"/>
      <c r="T24" s="392"/>
      <c r="U24" s="393"/>
      <c r="V24" s="394"/>
      <c r="W24" s="395"/>
      <c r="X24" s="396"/>
      <c r="Z24" s="397">
        <f ca="1">SUMPRODUCT(ROUND(Z13:OFFSET(Z24,-1,0),2))</f>
        <v>0</v>
      </c>
      <c r="AA24" s="397">
        <f ca="1">SUMPRODUCT(ROUND(AA13:OFFSET(AA24,-1,0),2))</f>
        <v>0</v>
      </c>
      <c r="AB24" s="397">
        <f ca="1">SUM(AB13:OFFSET(AB24,-1,0))</f>
        <v>0</v>
      </c>
    </row>
    <row r="25" spans="1:31" x14ac:dyDescent="0.2">
      <c r="B25" t="s">
        <v>329</v>
      </c>
      <c r="C25" t="s">
        <v>246</v>
      </c>
      <c r="D25" s="398"/>
      <c r="E25" s="399"/>
      <c r="F25" s="399"/>
      <c r="G25" s="399"/>
      <c r="H25" s="399"/>
      <c r="I25" s="399"/>
      <c r="J25" s="399"/>
      <c r="K25" s="790"/>
      <c r="L25" s="400">
        <f ca="1">IF(ISERROR(L24/$O24),0,ROUND(L24/$O24,4))</f>
        <v>0</v>
      </c>
      <c r="M25" s="401">
        <f ca="1">IF(ISERROR(M24/$O24),0,ROUND(M24/$O24,4))</f>
        <v>0</v>
      </c>
      <c r="N25" s="402">
        <f ca="1">IF(ISERROR(N24/$O24),0,ROUND(N24/$O24,4))</f>
        <v>0</v>
      </c>
      <c r="O25" s="403">
        <f ca="1">IF(ISERROR(O24/$O24),0,ROUND(O24/$O24,4))</f>
        <v>0</v>
      </c>
      <c r="R25" s="404"/>
      <c r="T25" s="405"/>
      <c r="U25" s="406"/>
      <c r="V25" s="407"/>
      <c r="W25" s="408"/>
      <c r="X25" s="409"/>
    </row>
    <row r="27" spans="1:31" ht="14.25" x14ac:dyDescent="0.2">
      <c r="D27" s="170" t="s">
        <v>187</v>
      </c>
      <c r="E27" s="105"/>
      <c r="F27" s="105"/>
      <c r="G27" s="105"/>
      <c r="H27" s="105"/>
      <c r="I27" s="105"/>
      <c r="J27" s="105"/>
      <c r="K27" s="105"/>
      <c r="L27" s="105"/>
      <c r="M27" s="105"/>
    </row>
    <row r="28" spans="1:31" ht="12.75" customHeight="1" x14ac:dyDescent="0.2">
      <c r="D28" s="740"/>
      <c r="E28" s="740"/>
      <c r="F28" s="740"/>
      <c r="G28" s="740"/>
      <c r="H28" s="740"/>
      <c r="I28" s="740"/>
      <c r="J28" s="740"/>
      <c r="K28" s="740"/>
      <c r="L28" s="740"/>
      <c r="M28" s="740"/>
      <c r="N28" s="740"/>
      <c r="O28" s="740"/>
    </row>
    <row r="29" spans="1:31" ht="12.75" customHeight="1" x14ac:dyDescent="0.2">
      <c r="D29" s="740"/>
      <c r="E29" s="740"/>
      <c r="F29" s="740"/>
      <c r="G29" s="740"/>
      <c r="H29" s="740"/>
      <c r="I29" s="740"/>
      <c r="J29" s="740"/>
      <c r="K29" s="740"/>
      <c r="L29" s="740"/>
      <c r="M29" s="740"/>
      <c r="N29" s="740"/>
      <c r="O29" s="740"/>
    </row>
    <row r="30" spans="1:31" ht="12.75" customHeight="1" x14ac:dyDescent="0.2">
      <c r="D30" s="740"/>
      <c r="E30" s="740"/>
      <c r="F30" s="740"/>
      <c r="G30" s="740"/>
      <c r="H30" s="740"/>
      <c r="I30" s="740"/>
      <c r="J30" s="740"/>
      <c r="K30" s="740"/>
      <c r="L30" s="740"/>
      <c r="M30" s="740"/>
      <c r="N30" s="740"/>
      <c r="O30" s="740"/>
    </row>
    <row r="33" spans="4:12" ht="15" x14ac:dyDescent="0.2">
      <c r="D33" s="742" t="str">
        <f>Import.Município</f>
        <v>SANTO ÂNGELO - RS</v>
      </c>
      <c r="E33" s="742"/>
      <c r="F33" s="742"/>
      <c r="I33" s="175"/>
      <c r="J33" s="175"/>
      <c r="K33" s="228"/>
      <c r="L33" s="228"/>
    </row>
    <row r="34" spans="4:12" x14ac:dyDescent="0.2">
      <c r="D34" s="12" t="s">
        <v>188</v>
      </c>
      <c r="E34" s="104"/>
      <c r="F34" s="104"/>
      <c r="I34" s="229" t="s">
        <v>330</v>
      </c>
      <c r="J34" s="229"/>
    </row>
    <row r="35" spans="4:12" x14ac:dyDescent="0.2">
      <c r="D35" s="104"/>
      <c r="E35" s="104"/>
      <c r="F35" s="104"/>
      <c r="I35" s="94" t="str">
        <f>"Nome:" &amp;  " " &amp; DADOS!F28</f>
        <v xml:space="preserve">Nome: </v>
      </c>
    </row>
    <row r="36" spans="4:12" x14ac:dyDescent="0.2">
      <c r="D36" s="737">
        <f ca="1">DADOS!$F$25</f>
        <v>45573</v>
      </c>
      <c r="E36" s="737"/>
      <c r="F36" s="737"/>
      <c r="I36" s="94" t="str">
        <f>"Cargo:"  &amp; " " &amp; DADOS!F29</f>
        <v xml:space="preserve">Cargo: </v>
      </c>
    </row>
    <row r="37" spans="4:12" x14ac:dyDescent="0.2">
      <c r="D37" s="177" t="s">
        <v>189</v>
      </c>
      <c r="E37" s="178"/>
      <c r="F37" s="178"/>
      <c r="K37" s="94"/>
      <c r="L37" s="95"/>
    </row>
  </sheetData>
  <sheetProtection algorithmName="SHA-512" hashValue="ZLX28XRD/ro80nLueUYdFgBwIZU2IovfwjC5JiV5eVsmckm0UnmAEJtHRKRfFPXeZY+PisUdYv1qA6+gA3KcvA==" saltValue="HTTl+JbA2pXMhwciNIQgjQ==" spinCount="100000" sheet="1" objects="1" scenarios="1" autoFilter="0"/>
  <autoFilter ref="C13:C25"/>
  <mergeCells count="20">
    <mergeCell ref="D3:E3"/>
    <mergeCell ref="G3:I3"/>
    <mergeCell ref="J3:L3"/>
    <mergeCell ref="M3:O4"/>
    <mergeCell ref="D4:E4"/>
    <mergeCell ref="G4:I4"/>
    <mergeCell ref="J4:L4"/>
    <mergeCell ref="AD10:AE10"/>
    <mergeCell ref="K24:K25"/>
    <mergeCell ref="C7:C11"/>
    <mergeCell ref="G9:J10"/>
    <mergeCell ref="K9:K10"/>
    <mergeCell ref="AD9:AE9"/>
    <mergeCell ref="D7:K7"/>
    <mergeCell ref="D6:K6"/>
    <mergeCell ref="A10:A11"/>
    <mergeCell ref="Z10:AB10"/>
    <mergeCell ref="D36:F36"/>
    <mergeCell ref="D28:O30"/>
    <mergeCell ref="D33:F33"/>
  </mergeCells>
  <phoneticPr fontId="38" type="noConversion"/>
  <conditionalFormatting sqref="T12:V12">
    <cfRule type="expression" dxfId="286" priority="157" stopIfTrue="1">
      <formula>OR($B12="Automático",$B12="Branco")</formula>
    </cfRule>
  </conditionalFormatting>
  <conditionalFormatting sqref="L12">
    <cfRule type="expression" dxfId="285" priority="158" stopIfTrue="1">
      <formula>OR(L12&lt;0,AND(L$13="Contrapartida Financeira (R$)",$B12="T%",OR(L12&lt;Import.CPMinPerc,AND(L12&gt;Import.CPMaxPerc,Import.CPMaxPerc&gt;0))),AND(L$13="Contrapartida Financeira (R$)",$B12="TR$",L12&lt;Import.CPMinAbsoluta))</formula>
    </cfRule>
  </conditionalFormatting>
  <conditionalFormatting sqref="W12:X12">
    <cfRule type="expression" dxfId="284" priority="159" stopIfTrue="1">
      <formula>OR($B12="Automático",$B12="Branco",$V12&lt;&gt;"Calculado")</formula>
    </cfRule>
  </conditionalFormatting>
  <conditionalFormatting sqref="M25">
    <cfRule type="expression" dxfId="283" priority="161" stopIfTrue="1">
      <formula>AND($G$9&lt;&gt;"",OR($M$25&lt;Import.CPMinPerc,$M$25&gt;Import.CPMaxPerc))</formula>
    </cfRule>
  </conditionalFormatting>
  <conditionalFormatting sqref="M24">
    <cfRule type="expression" dxfId="282" priority="162" stopIfTrue="1">
      <formula>AND($G$9&lt;&gt;"",$M$24&lt;Import.CPMinAbsoluta)</formula>
    </cfRule>
  </conditionalFormatting>
  <conditionalFormatting sqref="L10:M10">
    <cfRule type="cellIs" dxfId="281" priority="163" stopIfTrue="1" operator="lessThan">
      <formula>0</formula>
    </cfRule>
  </conditionalFormatting>
  <conditionalFormatting sqref="G12">
    <cfRule type="cellIs" dxfId="280" priority="164" stopIfTrue="1" operator="equal">
      <formula>"(digite a descrição aqui)"</formula>
    </cfRule>
  </conditionalFormatting>
  <conditionalFormatting sqref="T14:V22">
    <cfRule type="expression" dxfId="279" priority="5" stopIfTrue="1">
      <formula>OR($B14="Automático",$B14="Branco")</formula>
    </cfRule>
  </conditionalFormatting>
  <conditionalFormatting sqref="L14:L22">
    <cfRule type="expression" dxfId="278" priority="6" stopIfTrue="1">
      <formula>OR(L14&lt;0,AND(L$13="Contrapartida Financeira (R$)",$B14="T%",OR(L14&lt;Import.CPMinPerc,AND(L14&gt;Import.CPMaxPerc,Import.CPMaxPerc&gt;0))),AND(L$13="Contrapartida Financeira (R$)",$B14="TR$",L14&lt;Import.CPMinAbsoluta))</formula>
    </cfRule>
  </conditionalFormatting>
  <conditionalFormatting sqref="W14:X22">
    <cfRule type="expression" dxfId="277" priority="7" stopIfTrue="1">
      <formula>OR($B14="Automático",$B14="Branco",$V14&lt;&gt;"Calculado")</formula>
    </cfRule>
  </conditionalFormatting>
  <conditionalFormatting sqref="G14:G22">
    <cfRule type="cellIs" dxfId="276" priority="8" stopIfTrue="1" operator="equal">
      <formula>"(digite a descrição aqui)"</formula>
    </cfRule>
  </conditionalFormatting>
  <conditionalFormatting sqref="T23:V23">
    <cfRule type="expression" dxfId="275" priority="1" stopIfTrue="1">
      <formula>OR($B23="Automático",$B23="Branco")</formula>
    </cfRule>
  </conditionalFormatting>
  <conditionalFormatting sqref="L23">
    <cfRule type="expression" dxfId="274" priority="2" stopIfTrue="1">
      <formula>OR(L23&lt;0,AND(L$13="Contrapartida Financeira (R$)",$B23="T%",OR(L23&lt;Import.CPMinPerc,AND(L23&gt;Import.CPMaxPerc,Import.CPMaxPerc&gt;0))),AND(L$13="Contrapartida Financeira (R$)",$B23="TR$",L23&lt;Import.CPMinAbsoluta))</formula>
    </cfRule>
  </conditionalFormatting>
  <conditionalFormatting sqref="W23:X23">
    <cfRule type="expression" dxfId="273" priority="3" stopIfTrue="1">
      <formula>OR($B23="Automático",$B23="Branco",$V23&lt;&gt;"Calculado")</formula>
    </cfRule>
  </conditionalFormatting>
  <conditionalFormatting sqref="G23">
    <cfRule type="cellIs" dxfId="272" priority="4" stopIfTrue="1" operator="equal">
      <formula>"(digite a descrição aqui)"</formula>
    </cfRule>
  </conditionalFormatting>
  <dataValidations count="9">
    <dataValidation type="decimal" operator="greaterThan" allowBlank="1" showErrorMessage="1" error="Digite apenas números decimais maiores do que 0." sqref="U12 U14:U23">
      <formula1>0</formula1>
      <formula2>0</formula2>
    </dataValidation>
    <dataValidation type="list" allowBlank="1" sqref="E12 E14:E23">
      <formula1>QCI.ItemInvestimento</formula1>
      <formula2>0</formula2>
    </dataValidation>
    <dataValidation type="list" allowBlank="1" sqref="F12 F14:F23">
      <formula1>QCI.SubItemInvestimento</formula1>
      <formula2>0</formula2>
    </dataValidation>
    <dataValidation type="list" allowBlank="1" sqref="H12 H14:H23">
      <formula1>"Sem Projeto,Em Análise,Análise Concluída / A Licitar,Licitado / Em Execução,Concluído"</formula1>
      <formula2>0</formula2>
    </dataValidation>
    <dataValidation type="decimal" operator="greaterThan" allowBlank="1" showErrorMessage="1" errorTitle="Erro" error="Digite valores maiores do que 0." sqref="I12 I14:I23">
      <formula1>0</formula1>
      <formula2>0</formula2>
    </dataValidation>
    <dataValidation type="list" allowBlank="1" showErrorMessage="1" sqref="V12 V14:V23">
      <formula1>"Proporcional,Calculado"</formula1>
      <formula2>0</formula2>
    </dataValidation>
    <dataValidation type="decimal" allowBlank="1" showInputMessage="1" showErrorMessage="1" errorTitle="Erro de valor" error="Digite somente valor de 0,00 ao valor do Investimento. A Somatória dos valores não deve ultrapassar o valor de Investimento." promptTitle="Contrapartida Financeira:" prompt="Digite o valor de Contrapartida Financeira para esta Meta." sqref="W12 W14:W23">
      <formula1>0</formula1>
      <formula2>QCI.MaxCPManual</formula2>
    </dataValidation>
    <dataValidation type="decimal" allowBlank="1" showInputMessage="1" showErrorMessage="1" errorTitle="Erro de valor" error="Digite somente valor de 0,00 ao valor do Investimento. A Somatória dos valores não deve ultrapassar o valor de Investimento." promptTitle="Contrapartida Física / Outros:" prompt="Digite o valor de Contrapartida Física / Outros para esta Meta." sqref="X12 X14:X23">
      <formula1>0</formula1>
      <formula2>QCI.MaxOUManual</formula2>
    </dataValidation>
    <dataValidation allowBlank="1" showInputMessage="1" showErrorMessage="1" prompt="Preencha somente se a meta não fizer parte do Orçamento desta Plan. Mult." sqref="R12 R14:R23"/>
  </dataValidations>
  <pageMargins left="0.78740157480314998" right="0.78740157480314998" top="0.78740157480314998" bottom="0.78740157480314998" header="0.59055118110236204" footer="0.59055118110236204"/>
  <pageSetup paperSize="9" scale="63" firstPageNumber="0" fitToHeight="0" orientation="landscape" horizontalDpi="300" verticalDpi="300" r:id="rId1"/>
  <headerFooter alignWithMargins="0">
    <oddHeader>&amp;L_&amp;C&amp;14I</oddHeader>
    <oddFooter>&amp;LPMv3.0.6&amp;R&amp;P / &amp;N</oddFooter>
  </headerFooter>
  <colBreaks count="1" manualBreakCount="1">
    <brk id="15" max="1048575" man="1"/>
  </colBreak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3">
    <pageSetUpPr fitToPage="1"/>
  </sheetPr>
  <dimension ref="A1:AO207"/>
  <sheetViews>
    <sheetView showGridLines="0" topLeftCell="C1" zoomScale="90" zoomScaleNormal="90" zoomScaleSheetLayoutView="90" workbookViewId="0">
      <pane xSplit="5" ySplit="15" topLeftCell="H16" activePane="bottomRight" state="frozen"/>
      <selection activeCell="C1" sqref="C1"/>
      <selection pane="topRight" activeCell="H1" sqref="H1"/>
      <selection pane="bottomLeft" activeCell="C16" sqref="C16"/>
      <selection pane="bottomRight" activeCell="A148" sqref="A148"/>
    </sheetView>
  </sheetViews>
  <sheetFormatPr defaultRowHeight="12.75" x14ac:dyDescent="0.2"/>
  <cols>
    <col min="1" max="2" width="6.7109375" hidden="1" customWidth="1"/>
    <col min="3" max="3" width="3.7109375" customWidth="1"/>
    <col min="4" max="4" width="10.7109375" customWidth="1"/>
    <col min="5" max="5" width="65.7109375" customWidth="1"/>
    <col min="6" max="6" width="7.7109375" customWidth="1"/>
    <col min="7" max="7" width="11.7109375" customWidth="1"/>
    <col min="8" max="8" width="14.7109375" customWidth="1"/>
    <col min="9" max="9" width="18.7109375" customWidth="1"/>
    <col min="10" max="12" width="11.7109375" customWidth="1"/>
    <col min="13" max="15" width="18.7109375" customWidth="1"/>
    <col min="17" max="18" width="11.7109375" hidden="1" customWidth="1"/>
    <col min="19" max="19" width="9.140625" hidden="1" customWidth="1"/>
    <col min="20" max="20" width="10.7109375" hidden="1" customWidth="1"/>
    <col min="21" max="21" width="65.7109375" hidden="1" customWidth="1"/>
    <col min="22" max="22" width="7.7109375" hidden="1" customWidth="1"/>
    <col min="23" max="23" width="11.7109375" hidden="1" customWidth="1"/>
    <col min="24" max="24" width="14.7109375" hidden="1" customWidth="1"/>
    <col min="25" max="25" width="18.7109375" hidden="1" customWidth="1"/>
    <col min="26" max="26" width="25.7109375" hidden="1" customWidth="1"/>
    <col min="27" max="27" width="0" hidden="1" customWidth="1"/>
    <col min="28" max="39" width="11.7109375" customWidth="1"/>
    <col min="40" max="40" width="10.42578125" customWidth="1"/>
    <col min="41" max="41" width="9.140625" hidden="1" customWidth="1"/>
  </cols>
  <sheetData>
    <row r="1" spans="1:41" ht="15.75" x14ac:dyDescent="0.2">
      <c r="C1" s="99"/>
      <c r="D1" s="99"/>
      <c r="E1" s="410" t="str">
        <f>IF(CAIXA.Modo,"BA - Boletim de Aferição","BM - Boletim de Medição")</f>
        <v>BM - Boletim de Medição</v>
      </c>
      <c r="F1" s="99"/>
      <c r="G1" s="411"/>
      <c r="H1" s="99"/>
      <c r="J1" s="411"/>
      <c r="K1" s="411"/>
      <c r="L1" s="411"/>
      <c r="M1" s="411"/>
      <c r="N1" s="411"/>
      <c r="O1" s="68" t="s">
        <v>140</v>
      </c>
    </row>
    <row r="2" spans="1:41" ht="15" x14ac:dyDescent="0.2">
      <c r="A2" s="412" t="s">
        <v>331</v>
      </c>
      <c r="B2" s="413"/>
      <c r="C2" s="104"/>
      <c r="D2" s="104"/>
      <c r="E2" s="414" t="str">
        <f ca="1">IF(Import.RegimeExecução="(SELECIONAR)","Selecione o Regime de Execução na Aba Dados",Import.RegimeExecução&amp;" - "&amp;import.recurso)</f>
        <v>EMPREITADA POR PREÇO GLOBAL - OGU</v>
      </c>
      <c r="F2" s="104"/>
      <c r="G2" s="104"/>
      <c r="H2" s="104"/>
      <c r="J2" s="104"/>
      <c r="K2" s="104"/>
      <c r="L2" s="104"/>
      <c r="M2" s="104"/>
      <c r="N2" s="104"/>
      <c r="O2" s="14" t="s">
        <v>143</v>
      </c>
    </row>
    <row r="3" spans="1:41" x14ac:dyDescent="0.2">
      <c r="A3" s="811" t="b">
        <v>0</v>
      </c>
      <c r="B3" s="811"/>
      <c r="C3" s="104"/>
      <c r="D3" s="104"/>
      <c r="E3" s="109"/>
      <c r="F3" s="104"/>
      <c r="G3" s="104"/>
      <c r="H3" s="104"/>
      <c r="I3" s="104"/>
      <c r="J3" s="104"/>
      <c r="K3" s="104"/>
      <c r="L3" s="104"/>
      <c r="M3" s="104"/>
      <c r="N3" s="104"/>
      <c r="O3" s="104"/>
    </row>
    <row r="4" spans="1:41" x14ac:dyDescent="0.2">
      <c r="C4" s="104"/>
      <c r="D4" s="720" t="s">
        <v>147</v>
      </c>
      <c r="E4" s="720"/>
      <c r="F4" s="731" t="s">
        <v>146</v>
      </c>
      <c r="G4" s="731"/>
      <c r="H4" s="731"/>
      <c r="I4" s="183" t="s">
        <v>443</v>
      </c>
      <c r="J4" s="720" t="s">
        <v>202</v>
      </c>
      <c r="K4" s="720"/>
      <c r="L4" s="720"/>
      <c r="M4" s="720"/>
      <c r="N4" s="720"/>
      <c r="O4" s="185" t="s">
        <v>332</v>
      </c>
    </row>
    <row r="5" spans="1:41" ht="12.75" customHeight="1" x14ac:dyDescent="0.2">
      <c r="A5" t="s">
        <v>333</v>
      </c>
      <c r="C5" s="104"/>
      <c r="D5" s="723" t="str">
        <f>Import.Proponente</f>
        <v>INSTITUTO FEDERAL FARROUPILHA</v>
      </c>
      <c r="E5" s="723"/>
      <c r="F5" s="736">
        <f>Import.CR</f>
        <v>0</v>
      </c>
      <c r="G5" s="736"/>
      <c r="H5" s="736"/>
      <c r="I5" s="415">
        <f>Import.TransfereGOV</f>
        <v>0</v>
      </c>
      <c r="J5" s="723" t="str">
        <f>Import.Apelido</f>
        <v>BIBLIOTECA  ÉRICO VERISSIMO</v>
      </c>
      <c r="K5" s="723"/>
      <c r="L5" s="723"/>
      <c r="M5" s="723"/>
      <c r="N5" s="723"/>
      <c r="O5" s="416">
        <f>Import.DataInicioObra</f>
        <v>0</v>
      </c>
      <c r="AO5" s="417" t="s">
        <v>334</v>
      </c>
    </row>
    <row r="6" spans="1:41" ht="5.0999999999999996" customHeight="1" x14ac:dyDescent="0.2">
      <c r="C6" s="104"/>
      <c r="D6" s="121"/>
      <c r="E6" s="122"/>
      <c r="F6" s="121"/>
      <c r="G6" s="121"/>
      <c r="H6" s="121"/>
      <c r="I6" s="121"/>
      <c r="J6" s="121"/>
      <c r="K6" s="121"/>
      <c r="L6" s="121"/>
      <c r="M6" s="121"/>
      <c r="N6" s="121"/>
      <c r="O6" s="121"/>
      <c r="AO6" s="418"/>
    </row>
    <row r="7" spans="1:41" ht="12.75" customHeight="1" x14ac:dyDescent="0.2">
      <c r="A7" t="str">
        <f ca="1">RegimeExecucao</f>
        <v>Global</v>
      </c>
      <c r="C7" s="104"/>
      <c r="D7" s="111" t="s">
        <v>335</v>
      </c>
      <c r="E7" s="111" t="s">
        <v>336</v>
      </c>
      <c r="F7" s="720" t="s">
        <v>337</v>
      </c>
      <c r="G7" s="720"/>
      <c r="H7" s="720"/>
      <c r="I7" s="720" t="str">
        <f>IF(TIPOORCAMENTO="Licitado","REGIME DE EXECUÇÃO","MUNICÍPIO / UF")</f>
        <v>MUNICÍPIO / UF</v>
      </c>
      <c r="J7" s="720"/>
      <c r="K7" s="720"/>
      <c r="L7" s="720"/>
      <c r="M7" s="720" t="s">
        <v>338</v>
      </c>
      <c r="N7" s="720"/>
      <c r="O7" s="111" t="s">
        <v>339</v>
      </c>
      <c r="AO7" s="359">
        <f ca="1">BM.MEDAcumulado</f>
        <v>0</v>
      </c>
    </row>
    <row r="8" spans="1:41" ht="12.75" customHeight="1" x14ac:dyDescent="0.2">
      <c r="A8" s="412" t="s">
        <v>340</v>
      </c>
      <c r="B8" s="413"/>
      <c r="C8" s="713" t="s">
        <v>209</v>
      </c>
      <c r="D8" s="419">
        <f>Import.CTEF</f>
        <v>0</v>
      </c>
      <c r="E8" s="72">
        <f>Import.empresa</f>
        <v>0</v>
      </c>
      <c r="F8" s="723">
        <f>Import.CNPJ</f>
        <v>0</v>
      </c>
      <c r="G8" s="723"/>
      <c r="H8" s="723"/>
      <c r="I8" s="723" t="str">
        <f>IF(TIPOORCAMENTO="Licitado",Import.RegimeExecução,Import.Município)</f>
        <v>SANTO ÂNGELO - RS</v>
      </c>
      <c r="J8" s="723"/>
      <c r="K8" s="723"/>
      <c r="L8" s="723"/>
      <c r="M8" s="723" t="str">
        <f ca="1">TEXT(IF(BM.medicao=1,Import.DataInicioObra,OFFSET($AB$12,0,BM.medicao-1-$AB$13)+1),"dd/mm/aaaa")&amp;" a "&amp;TEXT(OFFSET($AB$12,0,BM.medicao-$AB$13),"dd/mm/aaaa")</f>
        <v>00/01/1900 a 00/01/1900</v>
      </c>
      <c r="N8" s="723"/>
      <c r="O8" s="569">
        <v>1</v>
      </c>
    </row>
    <row r="9" spans="1:41" ht="12.75" customHeight="1" x14ac:dyDescent="0.2">
      <c r="A9" s="615" t="b">
        <v>1</v>
      </c>
      <c r="B9" s="54"/>
      <c r="C9" s="713"/>
      <c r="D9" s="16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</row>
    <row r="10" spans="1:41" x14ac:dyDescent="0.2">
      <c r="C10" s="713"/>
      <c r="D10" s="16"/>
      <c r="E10" s="809" t="str">
        <f>IF(ACOMPANHAMENTO="PLE","Foi selecionado na aba 'MENU' o acompanhamento por PLE.",IF(TIPOORCAMENTO="Proposto","Altere na aba 'MENU' o tipo de orçamento para 'Licitado'.",""))</f>
        <v>Altere na aba 'MENU' o tipo de orçamento para 'Licitado'.</v>
      </c>
      <c r="F10" s="809"/>
      <c r="G10" s="809"/>
      <c r="H10" s="809"/>
      <c r="I10" s="809"/>
      <c r="J10" s="104"/>
      <c r="K10" s="104"/>
      <c r="L10" s="104"/>
      <c r="N10" s="810" t="str">
        <f ca="1">"Realizado Acumulado: "&amp;TEXT(ROUND($O$15/($I$15+10^-12),4),"0,00%")</f>
        <v>Realizado Acumulado: 0,00%</v>
      </c>
      <c r="O10" s="810"/>
    </row>
    <row r="11" spans="1:41" ht="15" customHeight="1" x14ac:dyDescent="0.25">
      <c r="C11" s="713"/>
      <c r="D11" s="104"/>
      <c r="E11" s="809"/>
      <c r="F11" s="809"/>
      <c r="G11" s="809"/>
      <c r="H11" s="809"/>
      <c r="I11" s="809"/>
      <c r="J11" s="104"/>
      <c r="K11" s="104"/>
      <c r="L11" s="104"/>
      <c r="M11" s="104"/>
      <c r="N11" s="810"/>
      <c r="O11" s="810"/>
      <c r="T11" s="808" t="s">
        <v>341</v>
      </c>
      <c r="U11" s="808"/>
      <c r="V11" s="100"/>
      <c r="W11" s="100"/>
      <c r="X11" s="100"/>
      <c r="Y11" s="100"/>
      <c r="Z11" s="59"/>
      <c r="AB11" s="805" t="s">
        <v>342</v>
      </c>
      <c r="AC11" s="805"/>
      <c r="AD11" s="805"/>
      <c r="AE11" s="805"/>
      <c r="AF11" s="805"/>
      <c r="AG11" s="805"/>
      <c r="AH11" s="805"/>
      <c r="AI11" s="805"/>
      <c r="AJ11" s="805"/>
      <c r="AK11" s="805"/>
      <c r="AL11" s="805"/>
      <c r="AM11" s="805"/>
    </row>
    <row r="12" spans="1:41" ht="15" customHeight="1" x14ac:dyDescent="0.25">
      <c r="C12" s="713"/>
      <c r="D12" s="104"/>
      <c r="E12" s="199" t="s">
        <v>343</v>
      </c>
      <c r="F12" s="104"/>
      <c r="G12" s="104"/>
      <c r="H12" s="104"/>
      <c r="I12" s="104"/>
      <c r="J12" s="806" t="str">
        <f ca="1">"Evolução Física "&amp;CHOOSE(MATCH(RegimeExecucao,{"Unitário","Global"},0),"(Qtde.)","(%)")</f>
        <v>Evolução Física (%)</v>
      </c>
      <c r="K12" s="806"/>
      <c r="L12" s="806"/>
      <c r="M12" s="806" t="s">
        <v>344</v>
      </c>
      <c r="N12" s="806"/>
      <c r="O12" s="806"/>
      <c r="Q12" s="807" t="str">
        <f ca="1">"Aferido (CAIXA) "&amp;CHOOSE(MATCH(RegimeExecucao,{"Unitário","Global"},0),"(Qtde.)","(%)")</f>
        <v>Aferido (CAIXA) (%)</v>
      </c>
      <c r="R12" s="807"/>
      <c r="T12" s="420" t="s">
        <v>345</v>
      </c>
      <c r="U12" s="228"/>
      <c r="V12" s="228"/>
      <c r="W12" s="228"/>
      <c r="X12" s="228"/>
      <c r="Y12" s="228"/>
      <c r="Z12" s="54"/>
      <c r="AB12" s="421"/>
      <c r="AC12" s="422"/>
      <c r="AD12" s="422"/>
      <c r="AE12" s="422"/>
      <c r="AF12" s="422"/>
      <c r="AG12" s="422"/>
      <c r="AH12" s="422"/>
      <c r="AI12" s="422"/>
      <c r="AJ12" s="422"/>
      <c r="AK12" s="422"/>
      <c r="AL12" s="422"/>
      <c r="AM12" s="423"/>
    </row>
    <row r="13" spans="1:41" ht="45" customHeight="1" x14ac:dyDescent="0.2">
      <c r="A13" s="136" t="s">
        <v>222</v>
      </c>
      <c r="B13" s="136" t="s">
        <v>221</v>
      </c>
      <c r="C13" s="135" t="s">
        <v>217</v>
      </c>
      <c r="D13" s="383" t="s">
        <v>231</v>
      </c>
      <c r="E13" s="383" t="s">
        <v>234</v>
      </c>
      <c r="F13" s="424" t="s">
        <v>235</v>
      </c>
      <c r="G13" s="383" t="s">
        <v>203</v>
      </c>
      <c r="H13" s="383" t="s">
        <v>236</v>
      </c>
      <c r="I13" s="383" t="s">
        <v>237</v>
      </c>
      <c r="J13" s="383" t="s">
        <v>346</v>
      </c>
      <c r="K13" s="383" t="s">
        <v>347</v>
      </c>
      <c r="L13" s="383" t="s">
        <v>348</v>
      </c>
      <c r="M13" s="383" t="s">
        <v>346</v>
      </c>
      <c r="N13" s="383" t="s">
        <v>347</v>
      </c>
      <c r="O13" s="383" t="s">
        <v>348</v>
      </c>
      <c r="Q13" s="383" t="s">
        <v>346</v>
      </c>
      <c r="R13" s="383" t="s">
        <v>348</v>
      </c>
      <c r="T13" s="383" t="s">
        <v>231</v>
      </c>
      <c r="U13" s="383" t="s">
        <v>234</v>
      </c>
      <c r="V13" s="424" t="str">
        <f ca="1">IF(RegimeExecucao="Unitário","Unidade","")</f>
        <v/>
      </c>
      <c r="W13" s="383" t="str">
        <f ca="1">CHOOSE(MATCH(RegimeExecucao,{"Unitário","Global"},0),"Quant. Glosada (unid)","Percentual Glosado (%)")</f>
        <v>Percentual Glosado (%)</v>
      </c>
      <c r="X13" s="383" t="str">
        <f ca="1">CHOOSE(MATCH(RegimeExecucao,{"Unitário","Global"},0),"Preço Unitário (R$)","Valor Total do Item (R$)")</f>
        <v>Valor Total do Item (R$)</v>
      </c>
      <c r="Y13" s="383" t="s">
        <v>349</v>
      </c>
      <c r="Z13" s="383" t="s">
        <v>350</v>
      </c>
      <c r="AA13" s="425"/>
      <c r="AB13" s="426">
        <f ca="1">IF(BM.medicao&lt;=12,1,TRUNC((BM.medicao - 2)/11,0) * 11 + 1)</f>
        <v>1</v>
      </c>
      <c r="AC13" s="426">
        <f ca="1">OFFSET(AC13,0,-1)+1</f>
        <v>2</v>
      </c>
      <c r="AD13" s="426">
        <f t="shared" ref="AD13:AM13" ca="1" si="0">OFFSET(AD13,0,-1)+1</f>
        <v>3</v>
      </c>
      <c r="AE13" s="426">
        <f t="shared" ca="1" si="0"/>
        <v>4</v>
      </c>
      <c r="AF13" s="426">
        <f t="shared" ca="1" si="0"/>
        <v>5</v>
      </c>
      <c r="AG13" s="426">
        <f t="shared" ca="1" si="0"/>
        <v>6</v>
      </c>
      <c r="AH13" s="426">
        <f t="shared" ca="1" si="0"/>
        <v>7</v>
      </c>
      <c r="AI13" s="426">
        <f t="shared" ca="1" si="0"/>
        <v>8</v>
      </c>
      <c r="AJ13" s="426">
        <f t="shared" ca="1" si="0"/>
        <v>9</v>
      </c>
      <c r="AK13" s="426">
        <f t="shared" ca="1" si="0"/>
        <v>10</v>
      </c>
      <c r="AL13" s="426">
        <f t="shared" ca="1" si="0"/>
        <v>11</v>
      </c>
      <c r="AM13" s="426">
        <f t="shared" ca="1" si="0"/>
        <v>12</v>
      </c>
      <c r="AO13" s="136" t="s">
        <v>351</v>
      </c>
    </row>
    <row r="14" spans="1:41" hidden="1" x14ac:dyDescent="0.2">
      <c r="A14" t="str">
        <f ca="1">ORÇAMENTO!C14</f>
        <v>S</v>
      </c>
      <c r="B14">
        <f ca="1">ORÇAMENTO!D14</f>
        <v>0</v>
      </c>
      <c r="C14" s="143" t="str">
        <f ca="1">IF(OR($I14&gt;0,$A14=1,$A14=2,$A14=3,$A14=4),"F","")</f>
        <v/>
      </c>
      <c r="D14" s="146" t="str">
        <f ca="1">ORÇAMENTO!O14</f>
        <v>-</v>
      </c>
      <c r="E14" s="206" t="str">
        <f ca="1">ORÇAMENTO.Descricao</f>
        <v>(Sem Código)</v>
      </c>
      <c r="F14" s="207" t="str">
        <f ca="1">IF(RegimeExecucao="Global","",ORÇAMENTO.Unidade)</f>
        <v/>
      </c>
      <c r="G14" s="151" t="str">
        <f ca="1">IF(RegimeExecucao="Global","",ORÇAMENTO!T14)</f>
        <v/>
      </c>
      <c r="H14" s="151" t="str">
        <f ca="1">IF(RegimeExecucao="Global","",ORÇAMENTO!W14)</f>
        <v/>
      </c>
      <c r="I14" s="154">
        <f ca="1">ORÇAMENTO!X14</f>
        <v>0</v>
      </c>
      <c r="J14" s="427">
        <f ca="1">IF($A14="S",IF(CAIXA.Modo,BM.AFAnterior,BM.MEDAnterior),IF(AND(RegimeExecucao="Global",$I14&gt;0,COUNTIF($AB$13:$AM$13,BM.medicao-1)&gt;0),M14/$I14*100,0))</f>
        <v>0</v>
      </c>
      <c r="K14" s="151">
        <f t="shared" ref="K14:K27" ca="1" si="1">L14-J14</f>
        <v>0</v>
      </c>
      <c r="L14" s="428">
        <f ca="1">IF($A14="S",IF(CAIXA.Modo,BM.AFAcumulado,BM.MEDAcumulado),IF(AND(RegimeExecucao="Global",$I14&gt;0,COUNTIF($AB$13:$AM$13,BM.medicao)&gt;0),O14/$I14*100,0))</f>
        <v>0</v>
      </c>
      <c r="M14" s="429">
        <f ca="1">IF($A14="S",VTOTALBM,IF($A14=0,0,ROUND(SomaAgrupBM,15-13*ORÇAMENTO!$AF$11)))</f>
        <v>0</v>
      </c>
      <c r="N14" s="430">
        <f t="shared" ref="N14:N27" ca="1" si="2">O14-M14</f>
        <v>0</v>
      </c>
      <c r="O14" s="154">
        <f ca="1">IF($A14="S",VTOTALBM,IF($A14=0,0,ROUND(SomaAgrupBM,15-13*ORÇAMENTO!$AF$11)))</f>
        <v>0</v>
      </c>
      <c r="Q14" s="431"/>
      <c r="R14" s="432"/>
      <c r="T14" s="146" t="str">
        <f ca="1">IF($W14&gt;0,$D14,"")</f>
        <v/>
      </c>
      <c r="U14" s="206" t="str">
        <f ca="1">IF($W14&gt;0,$E14,"")</f>
        <v/>
      </c>
      <c r="V14" s="207" t="str">
        <f ca="1">IF(AND($W14&gt;0,RegimeExecucao="Unitário"),$F14,"")</f>
        <v/>
      </c>
      <c r="W14" s="633">
        <f ca="1">IF($Y14&gt;0,CHOOSE(MATCH(RegimeExecucao,{"Unitário","Global"},0),IF($A14="S",$Y14/$X14,""),($Y14/$X14)*100),0)</f>
        <v>0</v>
      </c>
      <c r="X14" s="433" t="str">
        <f ca="1">IF($Y14&gt;0,CHOOSE(MATCH(RegimeExecucao,{"Unitário","Global"},0),IF($A14="S",ROUND($H14,ORÇAMENTO!$AF$10),""),ROUND($I14,ORÇAMENTO!$AF$11)),"")</f>
        <v/>
      </c>
      <c r="Y14" s="433">
        <f ca="1">AO14-O14</f>
        <v>0</v>
      </c>
      <c r="Z14" s="660"/>
      <c r="AB14" s="431"/>
      <c r="AC14" s="598"/>
      <c r="AD14" s="598"/>
      <c r="AE14" s="598"/>
      <c r="AF14" s="598"/>
      <c r="AG14" s="598"/>
      <c r="AH14" s="598"/>
      <c r="AI14" s="598"/>
      <c r="AJ14" s="598"/>
      <c r="AK14" s="598"/>
      <c r="AL14" s="598"/>
      <c r="AM14" s="432"/>
      <c r="AO14">
        <f ca="1">IF($A14="S",IF(BM!$I14=0,0,CHOOSE(MATCH(RegimeExecucao,{"Global","Unitário"},0),ROUND(ROUND(BM.MEDAcumulado,15-13*BM!$A$9)/100*BM!$I14,15-13*ORÇAMENTO!$AF$11),ROUND(ROUND(BM.MEDAcumulado,15-13*BM!$A$9)*ROUND(BM!$H14,15-13*ORÇAMENTO!$AF$10),15-13*ORÇAMENTO!$AF$11))),IF($A14=0,0,ROUND(SomaAgrupBM,15-13*ORÇAMENTO!$AF$11)))</f>
        <v>0</v>
      </c>
    </row>
    <row r="15" spans="1:41" x14ac:dyDescent="0.2">
      <c r="C15" s="143" t="s">
        <v>246</v>
      </c>
      <c r="D15" s="804" t="str">
        <f>"Objeto do CTEF: "&amp;Import.DescLote</f>
        <v>Objeto do CTEF: BIBLIOTECA  ÉRICO VERISSIMO</v>
      </c>
      <c r="E15" s="804"/>
      <c r="F15" s="634"/>
      <c r="G15" s="635"/>
      <c r="H15" s="635" t="s">
        <v>352</v>
      </c>
      <c r="I15" s="636">
        <f>IF(OR(ACOMPANHAMENTO="PLE",TIPOORCAMENTO="Proposto"),0,ORÇAMENTO!$X$15)</f>
        <v>0</v>
      </c>
      <c r="J15" s="434">
        <f ca="1">IF(M$15=0,0,IF(RegimeExecucao="Global",M$15/$I$15*100,0))</f>
        <v>0</v>
      </c>
      <c r="K15" s="434">
        <f t="shared" ca="1" si="1"/>
        <v>0</v>
      </c>
      <c r="L15" s="434">
        <f ca="1">IF(O$15=0,0,IF(RegimeExecucao="Global",O$15/$I$15*100,0))</f>
        <v>0</v>
      </c>
      <c r="M15" s="435">
        <f ca="1">IF(OR(ACOMPANHAMENTO="PLE",TIPOORCAMENTO="Proposto"),0,SUMIF(OFFSET($A15,1,0):$A$192,"S",OFFSET(M15,1,0):M$192))</f>
        <v>0</v>
      </c>
      <c r="N15" s="435">
        <f t="shared" ca="1" si="2"/>
        <v>0</v>
      </c>
      <c r="O15" s="435">
        <f ca="1">IF(OR(ACOMPANHAMENTO="PLE",TIPOORCAMENTO="Proposto"),0,SUMIF(OFFSET($A15,1,0):$A$192,"S",OFFSET(O15,1,0):O$192))</f>
        <v>0</v>
      </c>
      <c r="Q15" s="436"/>
      <c r="R15" s="436"/>
      <c r="T15" s="437"/>
      <c r="U15" s="438"/>
      <c r="V15" s="438"/>
      <c r="W15" s="438"/>
      <c r="X15" s="438"/>
      <c r="Y15" s="438"/>
      <c r="Z15" s="439"/>
      <c r="AB15" s="800" t="str">
        <f ca="1">"Preencher abaixo com a "&amp;CHOOSE(MATCH(RegimeExecucao,{"Unitário","Global"},0),"QUANTIDADE","PORCENTAGEM")&amp;" executada no PERÍODO"</f>
        <v>Preencher abaixo com a PORCENTAGEM executada no PERÍODO</v>
      </c>
      <c r="AC15" s="800"/>
      <c r="AD15" s="800"/>
      <c r="AE15" s="800"/>
      <c r="AF15" s="800"/>
      <c r="AG15" s="800"/>
      <c r="AH15" s="800"/>
      <c r="AI15" s="800"/>
      <c r="AJ15" s="800"/>
      <c r="AK15" s="800"/>
      <c r="AL15" s="800"/>
      <c r="AM15" s="800"/>
    </row>
    <row r="16" spans="1:41" x14ac:dyDescent="0.2">
      <c r="A16">
        <f ca="1">ORÇAMENTO!C16</f>
        <v>1</v>
      </c>
      <c r="B16">
        <f ca="1">ORÇAMENTO!D16</f>
        <v>176</v>
      </c>
      <c r="C16" s="143" t="str">
        <f ca="1">IF(OR($I16&gt;0,$A16=1,$A16=2,$A16=3,$A16=4),"F","")</f>
        <v>F</v>
      </c>
      <c r="D16" s="146" t="str">
        <f ca="1">ORÇAMENTO!O16</f>
        <v>1.</v>
      </c>
      <c r="E16" s="206" t="str">
        <f t="shared" ref="E16:E60" si="3">ORÇAMENTO.Descricao</f>
        <v>BIBLIOTECA ÉRICO VERÍSSIMO</v>
      </c>
      <c r="F16" s="207" t="str">
        <f ca="1">IF(RegimeExecucao="Global","",ORÇAMENTO.Unidade)</f>
        <v/>
      </c>
      <c r="G16" s="151" t="str">
        <f ca="1">IF(RegimeExecucao="Global","",ORÇAMENTO!T16)</f>
        <v/>
      </c>
      <c r="H16" s="151" t="str">
        <f ca="1">IF(RegimeExecucao="Global","",ORÇAMENTO!W16)</f>
        <v/>
      </c>
      <c r="I16" s="154">
        <f ca="1">ORÇAMENTO!X16</f>
        <v>0</v>
      </c>
      <c r="J16" s="427">
        <f ca="1">IF($A16="S",IF(CAIXA.Modo,BM.AFAnterior,BM.MEDAnterior),IF(AND(RegimeExecucao="Global",$I16&gt;0,COUNTIF($AB$13:$AM$13,BM.medicao-1)&gt;0),M16/$I16*100,0))</f>
        <v>0</v>
      </c>
      <c r="K16" s="151">
        <f t="shared" ca="1" si="1"/>
        <v>0</v>
      </c>
      <c r="L16" s="428">
        <f ca="1">IF($A16="S",IF(CAIXA.Modo,BM.AFAcumulado,BM.MEDAcumulado),IF(AND(RegimeExecucao="Global",$I16&gt;0,COUNTIF($AB$13:$AM$13,BM.medicao)&gt;0),O16/$I16*100,0))</f>
        <v>0</v>
      </c>
      <c r="M16" s="429">
        <f ca="1">IF($A16="S",VTOTALBM,IF($A16=0,0,ROUND(SomaAgrupBM,15-13*ORÇAMENTO!$AF$11)))</f>
        <v>0</v>
      </c>
      <c r="N16" s="430">
        <f t="shared" ca="1" si="2"/>
        <v>0</v>
      </c>
      <c r="O16" s="154">
        <f ca="1">IF($A16="S",VTOTALBM,IF($A16=0,0,ROUND(SomaAgrupBM,15-13*ORÇAMENTO!$AF$11)))</f>
        <v>0</v>
      </c>
      <c r="Q16" s="431"/>
      <c r="R16" s="432"/>
      <c r="T16" s="146" t="str">
        <f ca="1">IF($W16&gt;0,$D16,"")</f>
        <v/>
      </c>
      <c r="U16" s="206" t="str">
        <f ca="1">IF($W16&gt;0,$E16,"")</f>
        <v/>
      </c>
      <c r="V16" s="207" t="str">
        <f ca="1">IF(AND($W16&gt;0,RegimeExecucao="Unitário"),$F16,"")</f>
        <v/>
      </c>
      <c r="W16" s="633">
        <f ca="1">IF($Y16&gt;0,CHOOSE(MATCH(RegimeExecucao,{"Unitário","Global"},0),IF($A16="S",$Y16/$X16,""),($Y16/$X16)*100),0)</f>
        <v>0</v>
      </c>
      <c r="X16" s="433" t="str">
        <f ca="1">IF($Y16&gt;0,CHOOSE(MATCH(RegimeExecucao,{"Unitário","Global"},0),IF($A16="S",ROUND($H16,ORÇAMENTO!$AF$10),""),ROUND($I16,ORÇAMENTO!$AF$11)),"")</f>
        <v/>
      </c>
      <c r="Y16" s="433">
        <f ca="1">AO16-O16</f>
        <v>0</v>
      </c>
      <c r="Z16" s="660"/>
      <c r="AB16" s="431"/>
      <c r="AC16" s="598"/>
      <c r="AD16" s="598"/>
      <c r="AE16" s="598"/>
      <c r="AF16" s="598"/>
      <c r="AG16" s="598"/>
      <c r="AH16" s="598"/>
      <c r="AI16" s="598"/>
      <c r="AJ16" s="598"/>
      <c r="AK16" s="598"/>
      <c r="AL16" s="598"/>
      <c r="AM16" s="432"/>
      <c r="AO16">
        <f ca="1">IF($A16="S",IF(BM!$I16=0,0,CHOOSE(MATCH(RegimeExecucao,{"Global","Unitário"},0),ROUND(ROUND(BM.MEDAcumulado,15-13*BM!$A$9)/100*BM!$I16,15-13*ORÇAMENTO!$AF$11),ROUND(ROUND(BM.MEDAcumulado,15-13*BM!$A$9)*ROUND(BM!$H16,15-13*ORÇAMENTO!$AF$10),15-13*ORÇAMENTO!$AF$11))),IF($A16=0,0,ROUND(SomaAgrupBM,15-13*ORÇAMENTO!$AF$11)))</f>
        <v>0</v>
      </c>
    </row>
    <row r="17" spans="1:41" x14ac:dyDescent="0.2">
      <c r="A17">
        <f ca="1">ORÇAMENTO!C17</f>
        <v>2</v>
      </c>
      <c r="B17">
        <f ca="1">ORÇAMENTO!D17</f>
        <v>9</v>
      </c>
      <c r="C17" s="143" t="str">
        <f t="shared" ref="C17:C23" ca="1" si="4">IF(OR($I17&gt;0,$A17=1,$A17=2,$A17=3,$A17=4),"F","")</f>
        <v>F</v>
      </c>
      <c r="D17" s="146" t="str">
        <f ca="1">ORÇAMENTO!O17</f>
        <v>1.1.</v>
      </c>
      <c r="E17" s="206" t="str">
        <f t="shared" si="3"/>
        <v>SERVIÇOS PRELIMINARES  E PROVISÓRIOS</v>
      </c>
      <c r="F17" s="207" t="str">
        <f ca="1">IF(RegimeExecucao="Global","",ORÇAMENTO.Unidade)</f>
        <v/>
      </c>
      <c r="G17" s="151" t="str">
        <f ca="1">IF(RegimeExecucao="Global","",ORÇAMENTO!T17)</f>
        <v/>
      </c>
      <c r="H17" s="151" t="str">
        <f ca="1">IF(RegimeExecucao="Global","",ORÇAMENTO!W17)</f>
        <v/>
      </c>
      <c r="I17" s="154">
        <f ca="1">ORÇAMENTO!X17</f>
        <v>0</v>
      </c>
      <c r="J17" s="427">
        <f ca="1">IF($A17="S",IF(CAIXA.Modo,BM.AFAnterior,BM.MEDAnterior),IF(AND(RegimeExecucao="Global",$I17&gt;0,COUNTIF($AB$13:$AM$13,BM.medicao-1)&gt;0),M17/$I17*100,0))</f>
        <v>0</v>
      </c>
      <c r="K17" s="151">
        <f t="shared" ref="K17:K25" ca="1" si="5">L17-J17</f>
        <v>0</v>
      </c>
      <c r="L17" s="428">
        <f ca="1">IF($A17="S",IF(CAIXA.Modo,BM.AFAcumulado,BM.MEDAcumulado),IF(AND(RegimeExecucao="Global",$I17&gt;0,COUNTIF($AB$13:$AM$13,BM.medicao)&gt;0),O17/$I17*100,0))</f>
        <v>0</v>
      </c>
      <c r="M17" s="429">
        <f ca="1">IF($A17="S",VTOTALBM,IF($A17=0,0,ROUND(SomaAgrupBM,15-13*ORÇAMENTO!$AF$11)))</f>
        <v>0</v>
      </c>
      <c r="N17" s="430">
        <f t="shared" ref="N17:N25" ca="1" si="6">O17-M17</f>
        <v>0</v>
      </c>
      <c r="O17" s="154">
        <f ca="1">IF($A17="S",VTOTALBM,IF($A17=0,0,ROUND(SomaAgrupBM,15-13*ORÇAMENTO!$AF$11)))</f>
        <v>0</v>
      </c>
      <c r="Q17" s="431"/>
      <c r="R17" s="432"/>
      <c r="T17" s="146" t="str">
        <f t="shared" ref="T17:T23" ca="1" si="7">IF($W17&gt;0,$D17,"")</f>
        <v/>
      </c>
      <c r="U17" s="206" t="str">
        <f t="shared" ref="U17:U23" ca="1" si="8">IF($W17&gt;0,$E17,"")</f>
        <v/>
      </c>
      <c r="V17" s="207" t="str">
        <f ca="1">IF(AND($W17&gt;0,RegimeExecucao="Unitário"),$F17,"")</f>
        <v/>
      </c>
      <c r="W17" s="633">
        <f ca="1">IF($Y17&gt;0,CHOOSE(MATCH(RegimeExecucao,{"Unitário","Global"},0),IF($A17="S",$Y17/$X17,""),($Y17/$X17)*100),0)</f>
        <v>0</v>
      </c>
      <c r="X17" s="433" t="str">
        <f ca="1">IF($Y17&gt;0,CHOOSE(MATCH(RegimeExecucao,{"Unitário","Global"},0),IF($A17="S",ROUND($H17,ORÇAMENTO!$AF$10),""),ROUND($I17,ORÇAMENTO!$AF$11)),"")</f>
        <v/>
      </c>
      <c r="Y17" s="433">
        <f t="shared" ref="Y17:Y23" ca="1" si="9">AO17-O17</f>
        <v>0</v>
      </c>
      <c r="Z17" s="660"/>
      <c r="AB17" s="431"/>
      <c r="AC17" s="598"/>
      <c r="AD17" s="598"/>
      <c r="AE17" s="598"/>
      <c r="AF17" s="598"/>
      <c r="AG17" s="598"/>
      <c r="AH17" s="598"/>
      <c r="AI17" s="598"/>
      <c r="AJ17" s="598"/>
      <c r="AK17" s="598"/>
      <c r="AL17" s="598"/>
      <c r="AM17" s="432"/>
      <c r="AO17">
        <f ca="1">IF($A17="S",IF(BM!$I17=0,0,CHOOSE(MATCH(RegimeExecucao,{"Global","Unitário"},0),ROUND(ROUND(BM.MEDAcumulado,15-13*BM!$A$9)/100*BM!$I17,15-13*ORÇAMENTO!$AF$11),ROUND(ROUND(BM.MEDAcumulado,15-13*BM!$A$9)*ROUND(BM!$H17,15-13*ORÇAMENTO!$AF$10),15-13*ORÇAMENTO!$AF$11))),IF($A17=0,0,ROUND(SomaAgrupBM,15-13*ORÇAMENTO!$AF$11)))</f>
        <v>0</v>
      </c>
    </row>
    <row r="18" spans="1:41" ht="38.25" x14ac:dyDescent="0.2">
      <c r="A18" t="str">
        <f ca="1">ORÇAMENTO!C18</f>
        <v>S</v>
      </c>
      <c r="B18">
        <f ca="1">ORÇAMENTO!D18</f>
        <v>0</v>
      </c>
      <c r="C18" s="143" t="str">
        <f t="shared" ca="1" si="4"/>
        <v/>
      </c>
      <c r="D18" s="146" t="str">
        <f ca="1">ORÇAMENTO!O18</f>
        <v>-</v>
      </c>
      <c r="E18" s="206" t="str">
        <f t="shared" si="3"/>
        <v xml:space="preserve">TAXAS DE ART CREA-RS DE EXECUÇÃO (ARQUITETÔNICO, ELÉTRICO, HIDROSSANITÁRIO, PPCI, GAS ESTRUTURAL, AR CONDICIONADO E CONTROLE DE MATERIAIS DE ACABAMENTO </v>
      </c>
      <c r="F18" s="207" t="str">
        <f ca="1">IF(RegimeExecucao="Global","",ORÇAMENTO.Unidade)</f>
        <v/>
      </c>
      <c r="G18" s="151" t="str">
        <f ca="1">IF(RegimeExecucao="Global","",ORÇAMENTO!T18)</f>
        <v/>
      </c>
      <c r="H18" s="151" t="str">
        <f ca="1">IF(RegimeExecucao="Global","",ORÇAMENTO!W18)</f>
        <v/>
      </c>
      <c r="I18" s="154">
        <f ca="1">ORÇAMENTO!X18</f>
        <v>0</v>
      </c>
      <c r="J18" s="427">
        <f ca="1">IF($A18="S",IF(CAIXA.Modo,BM.AFAnterior,BM.MEDAnterior),IF(AND(RegimeExecucao="Global",$I18&gt;0,COUNTIF($AB$13:$AM$13,BM.medicao-1)&gt;0),M18/$I18*100,0))</f>
        <v>0</v>
      </c>
      <c r="K18" s="151">
        <f t="shared" ca="1" si="5"/>
        <v>0</v>
      </c>
      <c r="L18" s="428">
        <f ca="1">IF($A18="S",IF(CAIXA.Modo,BM.AFAcumulado,BM.MEDAcumulado),IF(AND(RegimeExecucao="Global",$I18&gt;0,COUNTIF($AB$13:$AM$13,BM.medicao)&gt;0),O18/$I18*100,0))</f>
        <v>0</v>
      </c>
      <c r="M18" s="429">
        <f ca="1">IF($A18="S",VTOTALBM,IF($A18=0,0,ROUND(SomaAgrupBM,15-13*ORÇAMENTO!$AF$11)))</f>
        <v>0</v>
      </c>
      <c r="N18" s="430">
        <f t="shared" ca="1" si="6"/>
        <v>0</v>
      </c>
      <c r="O18" s="154">
        <f ca="1">IF($A18="S",VTOTALBM,IF($A18=0,0,ROUND(SomaAgrupBM,15-13*ORÇAMENTO!$AF$11)))</f>
        <v>0</v>
      </c>
      <c r="Q18" s="431"/>
      <c r="R18" s="432"/>
      <c r="T18" s="146" t="str">
        <f t="shared" ca="1" si="7"/>
        <v/>
      </c>
      <c r="U18" s="206" t="str">
        <f t="shared" ca="1" si="8"/>
        <v/>
      </c>
      <c r="V18" s="207" t="str">
        <f ca="1">IF(AND($W18&gt;0,RegimeExecucao="Unitário"),$F18,"")</f>
        <v/>
      </c>
      <c r="W18" s="633">
        <f ca="1">IF($Y18&gt;0,CHOOSE(MATCH(RegimeExecucao,{"Unitário","Global"},0),IF($A18="S",$Y18/$X18,""),($Y18/$X18)*100),0)</f>
        <v>0</v>
      </c>
      <c r="X18" s="433" t="str">
        <f ca="1">IF($Y18&gt;0,CHOOSE(MATCH(RegimeExecucao,{"Unitário","Global"},0),IF($A18="S",ROUND($H18,ORÇAMENTO!$AF$10),""),ROUND($I18,ORÇAMENTO!$AF$11)),"")</f>
        <v/>
      </c>
      <c r="Y18" s="433">
        <f t="shared" ca="1" si="9"/>
        <v>0</v>
      </c>
      <c r="Z18" s="660"/>
      <c r="AB18" s="431"/>
      <c r="AC18" s="598"/>
      <c r="AD18" s="598"/>
      <c r="AE18" s="598"/>
      <c r="AF18" s="598"/>
      <c r="AG18" s="598"/>
      <c r="AH18" s="598"/>
      <c r="AI18" s="598"/>
      <c r="AJ18" s="598"/>
      <c r="AK18" s="598"/>
      <c r="AL18" s="598"/>
      <c r="AM18" s="432"/>
      <c r="AO18">
        <f ca="1">IF($A18="S",IF(BM!$I18=0,0,CHOOSE(MATCH(RegimeExecucao,{"Global","Unitário"},0),ROUND(ROUND(BM.MEDAcumulado,15-13*BM!$A$9)/100*BM!$I18,15-13*ORÇAMENTO!$AF$11),ROUND(ROUND(BM.MEDAcumulado,15-13*BM!$A$9)*ROUND(BM!$H18,15-13*ORÇAMENTO!$AF$10),15-13*ORÇAMENTO!$AF$11))),IF($A18=0,0,ROUND(SomaAgrupBM,15-13*ORÇAMENTO!$AF$11)))</f>
        <v>0</v>
      </c>
    </row>
    <row r="19" spans="1:41" ht="25.5" x14ac:dyDescent="0.2">
      <c r="A19" t="str">
        <f ca="1">ORÇAMENTO!C19</f>
        <v>S</v>
      </c>
      <c r="B19">
        <f ca="1">ORÇAMENTO!D19</f>
        <v>0</v>
      </c>
      <c r="C19" s="143" t="str">
        <f t="shared" ca="1" si="4"/>
        <v/>
      </c>
      <c r="D19" s="146" t="str">
        <f ca="1">ORÇAMENTO!O19</f>
        <v>-</v>
      </c>
      <c r="E19" s="206" t="str">
        <f t="shared" si="3"/>
        <v>FORNECIMENTO E INSTALAÇÃO DE PLACA DE OBRA COM CHAPA GALVANIZADA E ESTRUTURA DE MADEIRA. AF_03/2022_PS</v>
      </c>
      <c r="F19" s="207" t="str">
        <f ca="1">IF(RegimeExecucao="Global","",ORÇAMENTO.Unidade)</f>
        <v/>
      </c>
      <c r="G19" s="151" t="str">
        <f ca="1">IF(RegimeExecucao="Global","",ORÇAMENTO!T19)</f>
        <v/>
      </c>
      <c r="H19" s="151" t="str">
        <f ca="1">IF(RegimeExecucao="Global","",ORÇAMENTO!W19)</f>
        <v/>
      </c>
      <c r="I19" s="154">
        <f ca="1">ORÇAMENTO!X19</f>
        <v>0</v>
      </c>
      <c r="J19" s="427">
        <f ca="1">IF($A19="S",IF(CAIXA.Modo,BM.AFAnterior,BM.MEDAnterior),IF(AND(RegimeExecucao="Global",$I19&gt;0,COUNTIF($AB$13:$AM$13,BM.medicao-1)&gt;0),M19/$I19*100,0))</f>
        <v>0</v>
      </c>
      <c r="K19" s="151">
        <f t="shared" ca="1" si="5"/>
        <v>0</v>
      </c>
      <c r="L19" s="428">
        <f ca="1">IF($A19="S",IF(CAIXA.Modo,BM.AFAcumulado,BM.MEDAcumulado),IF(AND(RegimeExecucao="Global",$I19&gt;0,COUNTIF($AB$13:$AM$13,BM.medicao)&gt;0),O19/$I19*100,0))</f>
        <v>0</v>
      </c>
      <c r="M19" s="429">
        <f ca="1">IF($A19="S",VTOTALBM,IF($A19=0,0,ROUND(SomaAgrupBM,15-13*ORÇAMENTO!$AF$11)))</f>
        <v>0</v>
      </c>
      <c r="N19" s="430">
        <f t="shared" ca="1" si="6"/>
        <v>0</v>
      </c>
      <c r="O19" s="154">
        <f ca="1">IF($A19="S",VTOTALBM,IF($A19=0,0,ROUND(SomaAgrupBM,15-13*ORÇAMENTO!$AF$11)))</f>
        <v>0</v>
      </c>
      <c r="Q19" s="431"/>
      <c r="R19" s="432"/>
      <c r="T19" s="146" t="str">
        <f t="shared" ca="1" si="7"/>
        <v/>
      </c>
      <c r="U19" s="206" t="str">
        <f t="shared" ca="1" si="8"/>
        <v/>
      </c>
      <c r="V19" s="207" t="str">
        <f ca="1">IF(AND($W19&gt;0,RegimeExecucao="Unitário"),$F19,"")</f>
        <v/>
      </c>
      <c r="W19" s="633">
        <f ca="1">IF($Y19&gt;0,CHOOSE(MATCH(RegimeExecucao,{"Unitário","Global"},0),IF($A19="S",$Y19/$X19,""),($Y19/$X19)*100),0)</f>
        <v>0</v>
      </c>
      <c r="X19" s="433" t="str">
        <f ca="1">IF($Y19&gt;0,CHOOSE(MATCH(RegimeExecucao,{"Unitário","Global"},0),IF($A19="S",ROUND($H19,ORÇAMENTO!$AF$10),""),ROUND($I19,ORÇAMENTO!$AF$11)),"")</f>
        <v/>
      </c>
      <c r="Y19" s="433">
        <f t="shared" ca="1" si="9"/>
        <v>0</v>
      </c>
      <c r="Z19" s="660"/>
      <c r="AB19" s="431"/>
      <c r="AC19" s="598"/>
      <c r="AD19" s="598"/>
      <c r="AE19" s="598"/>
      <c r="AF19" s="598"/>
      <c r="AG19" s="598"/>
      <c r="AH19" s="598"/>
      <c r="AI19" s="598"/>
      <c r="AJ19" s="598"/>
      <c r="AK19" s="598"/>
      <c r="AL19" s="598"/>
      <c r="AM19" s="432"/>
      <c r="AO19">
        <f ca="1">IF($A19="S",IF(BM!$I19=0,0,CHOOSE(MATCH(RegimeExecucao,{"Global","Unitário"},0),ROUND(ROUND(BM.MEDAcumulado,15-13*BM!$A$9)/100*BM!$I19,15-13*ORÇAMENTO!$AF$11),ROUND(ROUND(BM.MEDAcumulado,15-13*BM!$A$9)*ROUND(BM!$H19,15-13*ORÇAMENTO!$AF$10),15-13*ORÇAMENTO!$AF$11))),IF($A19=0,0,ROUND(SomaAgrupBM,15-13*ORÇAMENTO!$AF$11)))</f>
        <v>0</v>
      </c>
    </row>
    <row r="20" spans="1:41" ht="51" x14ac:dyDescent="0.2">
      <c r="A20" t="str">
        <f ca="1">ORÇAMENTO!C20</f>
        <v>S</v>
      </c>
      <c r="B20">
        <f ca="1">ORÇAMENTO!D20</f>
        <v>0</v>
      </c>
      <c r="C20" s="143" t="str">
        <f t="shared" ca="1" si="4"/>
        <v/>
      </c>
      <c r="D20" s="146" t="str">
        <f ca="1">ORÇAMENTO!O20</f>
        <v>-</v>
      </c>
      <c r="E20" s="206" t="str">
        <f t="shared" si="3"/>
        <v>INSTALAÇÕES PROVISÓRIAS DE OBRA  PARA ALMOXARIFADO, ESCRITORIO, VESTIÁRIO, DEPÓSITO DE MATERIAIS, BANHEIROS, REFEITORIO, CENTRAL DE ARMADURA E CENTRAL DE FORMA, SEGUINDO A NR 18 (AREA DE 80 M²)</v>
      </c>
      <c r="F20" s="207" t="str">
        <f ca="1">IF(RegimeExecucao="Global","",ORÇAMENTO.Unidade)</f>
        <v/>
      </c>
      <c r="G20" s="151" t="str">
        <f ca="1">IF(RegimeExecucao="Global","",ORÇAMENTO!T20)</f>
        <v/>
      </c>
      <c r="H20" s="151" t="str">
        <f ca="1">IF(RegimeExecucao="Global","",ORÇAMENTO!W20)</f>
        <v/>
      </c>
      <c r="I20" s="154">
        <f ca="1">ORÇAMENTO!X20</f>
        <v>0</v>
      </c>
      <c r="J20" s="427">
        <f ca="1">IF($A20="S",IF(CAIXA.Modo,BM.AFAnterior,BM.MEDAnterior),IF(AND(RegimeExecucao="Global",$I20&gt;0,COUNTIF($AB$13:$AM$13,BM.medicao-1)&gt;0),M20/$I20*100,0))</f>
        <v>0</v>
      </c>
      <c r="K20" s="151">
        <f t="shared" ca="1" si="5"/>
        <v>0</v>
      </c>
      <c r="L20" s="428">
        <f ca="1">IF($A20="S",IF(CAIXA.Modo,BM.AFAcumulado,BM.MEDAcumulado),IF(AND(RegimeExecucao="Global",$I20&gt;0,COUNTIF($AB$13:$AM$13,BM.medicao)&gt;0),O20/$I20*100,0))</f>
        <v>0</v>
      </c>
      <c r="M20" s="429">
        <f ca="1">IF($A20="S",VTOTALBM,IF($A20=0,0,ROUND(SomaAgrupBM,15-13*ORÇAMENTO!$AF$11)))</f>
        <v>0</v>
      </c>
      <c r="N20" s="430">
        <f t="shared" ca="1" si="6"/>
        <v>0</v>
      </c>
      <c r="O20" s="154">
        <f ca="1">IF($A20="S",VTOTALBM,IF($A20=0,0,ROUND(SomaAgrupBM,15-13*ORÇAMENTO!$AF$11)))</f>
        <v>0</v>
      </c>
      <c r="Q20" s="431"/>
      <c r="R20" s="432"/>
      <c r="T20" s="146" t="str">
        <f t="shared" ca="1" si="7"/>
        <v/>
      </c>
      <c r="U20" s="206" t="str">
        <f t="shared" ca="1" si="8"/>
        <v/>
      </c>
      <c r="V20" s="207" t="str">
        <f ca="1">IF(AND($W20&gt;0,RegimeExecucao="Unitário"),$F20,"")</f>
        <v/>
      </c>
      <c r="W20" s="633">
        <f ca="1">IF($Y20&gt;0,CHOOSE(MATCH(RegimeExecucao,{"Unitário","Global"},0),IF($A20="S",$Y20/$X20,""),($Y20/$X20)*100),0)</f>
        <v>0</v>
      </c>
      <c r="X20" s="433" t="str">
        <f ca="1">IF($Y20&gt;0,CHOOSE(MATCH(RegimeExecucao,{"Unitário","Global"},0),IF($A20="S",ROUND($H20,ORÇAMENTO!$AF$10),""),ROUND($I20,ORÇAMENTO!$AF$11)),"")</f>
        <v/>
      </c>
      <c r="Y20" s="433">
        <f t="shared" ca="1" si="9"/>
        <v>0</v>
      </c>
      <c r="Z20" s="660"/>
      <c r="AB20" s="431"/>
      <c r="AC20" s="598"/>
      <c r="AD20" s="598"/>
      <c r="AE20" s="598"/>
      <c r="AF20" s="598"/>
      <c r="AG20" s="598"/>
      <c r="AH20" s="598"/>
      <c r="AI20" s="598"/>
      <c r="AJ20" s="598"/>
      <c r="AK20" s="598"/>
      <c r="AL20" s="598"/>
      <c r="AM20" s="432"/>
      <c r="AO20">
        <f ca="1">IF($A20="S",IF(BM!$I20=0,0,CHOOSE(MATCH(RegimeExecucao,{"Global","Unitário"},0),ROUND(ROUND(BM.MEDAcumulado,15-13*BM!$A$9)/100*BM!$I20,15-13*ORÇAMENTO!$AF$11),ROUND(ROUND(BM.MEDAcumulado,15-13*BM!$A$9)*ROUND(BM!$H20,15-13*ORÇAMENTO!$AF$10),15-13*ORÇAMENTO!$AF$11))),IF($A20=0,0,ROUND(SomaAgrupBM,15-13*ORÇAMENTO!$AF$11)))</f>
        <v>0</v>
      </c>
    </row>
    <row r="21" spans="1:41" x14ac:dyDescent="0.2">
      <c r="A21" t="str">
        <f ca="1">ORÇAMENTO!C21</f>
        <v>S</v>
      </c>
      <c r="B21">
        <f ca="1">ORÇAMENTO!D21</f>
        <v>0</v>
      </c>
      <c r="C21" s="143" t="str">
        <f t="shared" ca="1" si="4"/>
        <v/>
      </c>
      <c r="D21" s="146" t="str">
        <f ca="1">ORÇAMENTO!O21</f>
        <v>-</v>
      </c>
      <c r="E21" s="206" t="str">
        <f t="shared" si="3"/>
        <v>TAPUME COM TELHA METÁLICA. AF_03/2024</v>
      </c>
      <c r="F21" s="207" t="str">
        <f ca="1">IF(RegimeExecucao="Global","",ORÇAMENTO.Unidade)</f>
        <v/>
      </c>
      <c r="G21" s="151" t="str">
        <f ca="1">IF(RegimeExecucao="Global","",ORÇAMENTO!T21)</f>
        <v/>
      </c>
      <c r="H21" s="151" t="str">
        <f ca="1">IF(RegimeExecucao="Global","",ORÇAMENTO!W21)</f>
        <v/>
      </c>
      <c r="I21" s="154">
        <f ca="1">ORÇAMENTO!X21</f>
        <v>0</v>
      </c>
      <c r="J21" s="427">
        <f ca="1">IF($A21="S",IF(CAIXA.Modo,BM.AFAnterior,BM.MEDAnterior),IF(AND(RegimeExecucao="Global",$I21&gt;0,COUNTIF($AB$13:$AM$13,BM.medicao-1)&gt;0),M21/$I21*100,0))</f>
        <v>0</v>
      </c>
      <c r="K21" s="151">
        <f t="shared" ca="1" si="5"/>
        <v>0</v>
      </c>
      <c r="L21" s="428">
        <f ca="1">IF($A21="S",IF(CAIXA.Modo,BM.AFAcumulado,BM.MEDAcumulado),IF(AND(RegimeExecucao="Global",$I21&gt;0,COUNTIF($AB$13:$AM$13,BM.medicao)&gt;0),O21/$I21*100,0))</f>
        <v>0</v>
      </c>
      <c r="M21" s="429">
        <f ca="1">IF($A21="S",VTOTALBM,IF($A21=0,0,ROUND(SomaAgrupBM,15-13*ORÇAMENTO!$AF$11)))</f>
        <v>0</v>
      </c>
      <c r="N21" s="430">
        <f t="shared" ca="1" si="6"/>
        <v>0</v>
      </c>
      <c r="O21" s="154">
        <f ca="1">IF($A21="S",VTOTALBM,IF($A21=0,0,ROUND(SomaAgrupBM,15-13*ORÇAMENTO!$AF$11)))</f>
        <v>0</v>
      </c>
      <c r="Q21" s="431"/>
      <c r="R21" s="432"/>
      <c r="T21" s="146" t="str">
        <f t="shared" ca="1" si="7"/>
        <v/>
      </c>
      <c r="U21" s="206" t="str">
        <f t="shared" ca="1" si="8"/>
        <v/>
      </c>
      <c r="V21" s="207" t="str">
        <f ca="1">IF(AND($W21&gt;0,RegimeExecucao="Unitário"),$F21,"")</f>
        <v/>
      </c>
      <c r="W21" s="633">
        <f ca="1">IF($Y21&gt;0,CHOOSE(MATCH(RegimeExecucao,{"Unitário","Global"},0),IF($A21="S",$Y21/$X21,""),($Y21/$X21)*100),0)</f>
        <v>0</v>
      </c>
      <c r="X21" s="433" t="str">
        <f ca="1">IF($Y21&gt;0,CHOOSE(MATCH(RegimeExecucao,{"Unitário","Global"},0),IF($A21="S",ROUND($H21,ORÇAMENTO!$AF$10),""),ROUND($I21,ORÇAMENTO!$AF$11)),"")</f>
        <v/>
      </c>
      <c r="Y21" s="433">
        <f t="shared" ca="1" si="9"/>
        <v>0</v>
      </c>
      <c r="Z21" s="660"/>
      <c r="AB21" s="431"/>
      <c r="AC21" s="598"/>
      <c r="AD21" s="598"/>
      <c r="AE21" s="598"/>
      <c r="AF21" s="598"/>
      <c r="AG21" s="598"/>
      <c r="AH21" s="598"/>
      <c r="AI21" s="598"/>
      <c r="AJ21" s="598"/>
      <c r="AK21" s="598"/>
      <c r="AL21" s="598"/>
      <c r="AM21" s="432"/>
      <c r="AO21">
        <f ca="1">IF($A21="S",IF(BM!$I21=0,0,CHOOSE(MATCH(RegimeExecucao,{"Global","Unitário"},0),ROUND(ROUND(BM.MEDAcumulado,15-13*BM!$A$9)/100*BM!$I21,15-13*ORÇAMENTO!$AF$11),ROUND(ROUND(BM.MEDAcumulado,15-13*BM!$A$9)*ROUND(BM!$H21,15-13*ORÇAMENTO!$AF$10),15-13*ORÇAMENTO!$AF$11))),IF($A21=0,0,ROUND(SomaAgrupBM,15-13*ORÇAMENTO!$AF$11)))</f>
        <v>0</v>
      </c>
    </row>
    <row r="22" spans="1:41" ht="51" x14ac:dyDescent="0.2">
      <c r="A22" t="str">
        <f ca="1">ORÇAMENTO!C22</f>
        <v>S</v>
      </c>
      <c r="B22">
        <f ca="1">ORÇAMENTO!D22</f>
        <v>0</v>
      </c>
      <c r="C22" s="143" t="str">
        <f t="shared" ca="1" si="4"/>
        <v/>
      </c>
      <c r="D22" s="146" t="str">
        <f ca="1">ORÇAMENTO!O22</f>
        <v>-</v>
      </c>
      <c r="E22" s="206" t="str">
        <f t="shared" si="3"/>
        <v>KIT CAVALETE PARA MEDIÇÃO DE ÁGUA - ENTRADA INDIVIDUALIZADA, EM PVC 32 MM (1"), PARA 1 MEDIDOR - FORNECIMENTO E INSTALAÇÃO (EXCLUSIVE HIDRÔMETRO). AF_03/2024</v>
      </c>
      <c r="F22" s="207" t="str">
        <f ca="1">IF(RegimeExecucao="Global","",ORÇAMENTO.Unidade)</f>
        <v/>
      </c>
      <c r="G22" s="151" t="str">
        <f ca="1">IF(RegimeExecucao="Global","",ORÇAMENTO!T22)</f>
        <v/>
      </c>
      <c r="H22" s="151" t="str">
        <f ca="1">IF(RegimeExecucao="Global","",ORÇAMENTO!W22)</f>
        <v/>
      </c>
      <c r="I22" s="154">
        <f ca="1">ORÇAMENTO!X22</f>
        <v>0</v>
      </c>
      <c r="J22" s="427">
        <f ca="1">IF($A22="S",IF(CAIXA.Modo,BM.AFAnterior,BM.MEDAnterior),IF(AND(RegimeExecucao="Global",$I22&gt;0,COUNTIF($AB$13:$AM$13,BM.medicao-1)&gt;0),M22/$I22*100,0))</f>
        <v>0</v>
      </c>
      <c r="K22" s="151">
        <f t="shared" ca="1" si="5"/>
        <v>0</v>
      </c>
      <c r="L22" s="428">
        <f ca="1">IF($A22="S",IF(CAIXA.Modo,BM.AFAcumulado,BM.MEDAcumulado),IF(AND(RegimeExecucao="Global",$I22&gt;0,COUNTIF($AB$13:$AM$13,BM.medicao)&gt;0),O22/$I22*100,0))</f>
        <v>0</v>
      </c>
      <c r="M22" s="429">
        <f ca="1">IF($A22="S",VTOTALBM,IF($A22=0,0,ROUND(SomaAgrupBM,15-13*ORÇAMENTO!$AF$11)))</f>
        <v>0</v>
      </c>
      <c r="N22" s="430">
        <f t="shared" ca="1" si="6"/>
        <v>0</v>
      </c>
      <c r="O22" s="154">
        <f ca="1">IF($A22="S",VTOTALBM,IF($A22=0,0,ROUND(SomaAgrupBM,15-13*ORÇAMENTO!$AF$11)))</f>
        <v>0</v>
      </c>
      <c r="Q22" s="431"/>
      <c r="R22" s="432"/>
      <c r="T22" s="146" t="str">
        <f t="shared" ca="1" si="7"/>
        <v/>
      </c>
      <c r="U22" s="206" t="str">
        <f t="shared" ca="1" si="8"/>
        <v/>
      </c>
      <c r="V22" s="207" t="str">
        <f ca="1">IF(AND($W22&gt;0,RegimeExecucao="Unitário"),$F22,"")</f>
        <v/>
      </c>
      <c r="W22" s="633">
        <f ca="1">IF($Y22&gt;0,CHOOSE(MATCH(RegimeExecucao,{"Unitário","Global"},0),IF($A22="S",$Y22/$X22,""),($Y22/$X22)*100),0)</f>
        <v>0</v>
      </c>
      <c r="X22" s="433" t="str">
        <f ca="1">IF($Y22&gt;0,CHOOSE(MATCH(RegimeExecucao,{"Unitário","Global"},0),IF($A22="S",ROUND($H22,ORÇAMENTO!$AF$10),""),ROUND($I22,ORÇAMENTO!$AF$11)),"")</f>
        <v/>
      </c>
      <c r="Y22" s="433">
        <f t="shared" ca="1" si="9"/>
        <v>0</v>
      </c>
      <c r="Z22" s="660"/>
      <c r="AB22" s="431"/>
      <c r="AC22" s="598"/>
      <c r="AD22" s="598"/>
      <c r="AE22" s="598"/>
      <c r="AF22" s="598"/>
      <c r="AG22" s="598"/>
      <c r="AH22" s="598"/>
      <c r="AI22" s="598"/>
      <c r="AJ22" s="598"/>
      <c r="AK22" s="598"/>
      <c r="AL22" s="598"/>
      <c r="AM22" s="432"/>
      <c r="AO22">
        <f ca="1">IF($A22="S",IF(BM!$I22=0,0,CHOOSE(MATCH(RegimeExecucao,{"Global","Unitário"},0),ROUND(ROUND(BM.MEDAcumulado,15-13*BM!$A$9)/100*BM!$I22,15-13*ORÇAMENTO!$AF$11),ROUND(ROUND(BM.MEDAcumulado,15-13*BM!$A$9)*ROUND(BM!$H22,15-13*ORÇAMENTO!$AF$10),15-13*ORÇAMENTO!$AF$11))),IF($A22=0,0,ROUND(SomaAgrupBM,15-13*ORÇAMENTO!$AF$11)))</f>
        <v>0</v>
      </c>
    </row>
    <row r="23" spans="1:41" ht="38.25" x14ac:dyDescent="0.2">
      <c r="A23" t="str">
        <f ca="1">ORÇAMENTO!C23</f>
        <v>S</v>
      </c>
      <c r="B23">
        <f ca="1">ORÇAMENTO!D23</f>
        <v>0</v>
      </c>
      <c r="C23" s="143" t="str">
        <f t="shared" ca="1" si="4"/>
        <v/>
      </c>
      <c r="D23" s="146" t="str">
        <f ca="1">ORÇAMENTO!O23</f>
        <v>-</v>
      </c>
      <c r="E23" s="206" t="str">
        <f t="shared" si="3"/>
        <v>LOCAÇÃO CONVENCIONAL DE OBRA, UTILIZANDO GABARITO DE TÁBUAS CORRIDAS PONTALETADAS A CADA 1,50M -  2 UTILIZAÇÕES. AF_03/2024</v>
      </c>
      <c r="F23" s="207" t="str">
        <f ca="1">IF(RegimeExecucao="Global","",ORÇAMENTO.Unidade)</f>
        <v/>
      </c>
      <c r="G23" s="151" t="str">
        <f ca="1">IF(RegimeExecucao="Global","",ORÇAMENTO!T23)</f>
        <v/>
      </c>
      <c r="H23" s="151" t="str">
        <f ca="1">IF(RegimeExecucao="Global","",ORÇAMENTO!W23)</f>
        <v/>
      </c>
      <c r="I23" s="154">
        <f ca="1">ORÇAMENTO!X23</f>
        <v>0</v>
      </c>
      <c r="J23" s="427">
        <f ca="1">IF($A23="S",IF(CAIXA.Modo,BM.AFAnterior,BM.MEDAnterior),IF(AND(RegimeExecucao="Global",$I23&gt;0,COUNTIF($AB$13:$AM$13,BM.medicao-1)&gt;0),M23/$I23*100,0))</f>
        <v>0</v>
      </c>
      <c r="K23" s="151">
        <f t="shared" ca="1" si="5"/>
        <v>0</v>
      </c>
      <c r="L23" s="428">
        <f ca="1">IF($A23="S",IF(CAIXA.Modo,BM.AFAcumulado,BM.MEDAcumulado),IF(AND(RegimeExecucao="Global",$I23&gt;0,COUNTIF($AB$13:$AM$13,BM.medicao)&gt;0),O23/$I23*100,0))</f>
        <v>0</v>
      </c>
      <c r="M23" s="429">
        <f ca="1">IF($A23="S",VTOTALBM,IF($A23=0,0,ROUND(SomaAgrupBM,15-13*ORÇAMENTO!$AF$11)))</f>
        <v>0</v>
      </c>
      <c r="N23" s="430">
        <f t="shared" ca="1" si="6"/>
        <v>0</v>
      </c>
      <c r="O23" s="154">
        <f ca="1">IF($A23="S",VTOTALBM,IF($A23=0,0,ROUND(SomaAgrupBM,15-13*ORÇAMENTO!$AF$11)))</f>
        <v>0</v>
      </c>
      <c r="Q23" s="431"/>
      <c r="R23" s="432"/>
      <c r="T23" s="146" t="str">
        <f t="shared" ca="1" si="7"/>
        <v/>
      </c>
      <c r="U23" s="206" t="str">
        <f t="shared" ca="1" si="8"/>
        <v/>
      </c>
      <c r="V23" s="207" t="str">
        <f ca="1">IF(AND($W23&gt;0,RegimeExecucao="Unitário"),$F23,"")</f>
        <v/>
      </c>
      <c r="W23" s="633">
        <f ca="1">IF($Y23&gt;0,CHOOSE(MATCH(RegimeExecucao,{"Unitário","Global"},0),IF($A23="S",$Y23/$X23,""),($Y23/$X23)*100),0)</f>
        <v>0</v>
      </c>
      <c r="X23" s="433" t="str">
        <f ca="1">IF($Y23&gt;0,CHOOSE(MATCH(RegimeExecucao,{"Unitário","Global"},0),IF($A23="S",ROUND($H23,ORÇAMENTO!$AF$10),""),ROUND($I23,ORÇAMENTO!$AF$11)),"")</f>
        <v/>
      </c>
      <c r="Y23" s="433">
        <f t="shared" ca="1" si="9"/>
        <v>0</v>
      </c>
      <c r="Z23" s="660"/>
      <c r="AB23" s="431"/>
      <c r="AC23" s="598"/>
      <c r="AD23" s="598"/>
      <c r="AE23" s="598"/>
      <c r="AF23" s="598"/>
      <c r="AG23" s="598"/>
      <c r="AH23" s="598"/>
      <c r="AI23" s="598"/>
      <c r="AJ23" s="598"/>
      <c r="AK23" s="598"/>
      <c r="AL23" s="598"/>
      <c r="AM23" s="432"/>
      <c r="AO23">
        <f ca="1">IF($A23="S",IF(BM!$I23=0,0,CHOOSE(MATCH(RegimeExecucao,{"Global","Unitário"},0),ROUND(ROUND(BM.MEDAcumulado,15-13*BM!$A$9)/100*BM!$I23,15-13*ORÇAMENTO!$AF$11),ROUND(ROUND(BM.MEDAcumulado,15-13*BM!$A$9)*ROUND(BM!$H23,15-13*ORÇAMENTO!$AF$10),15-13*ORÇAMENTO!$AF$11))),IF($A23=0,0,ROUND(SomaAgrupBM,15-13*ORÇAMENTO!$AF$11)))</f>
        <v>0</v>
      </c>
    </row>
    <row r="24" spans="1:41" ht="38.25" x14ac:dyDescent="0.2">
      <c r="A24" t="str">
        <f ca="1">ORÇAMENTO!C24</f>
        <v>S</v>
      </c>
      <c r="B24">
        <f ca="1">ORÇAMENTO!D24</f>
        <v>0</v>
      </c>
      <c r="C24" s="143" t="str">
        <f ca="1">IF(OR($I24&gt;0,$A24=1,$A24=2,$A24=3,$A24=4),"F","")</f>
        <v/>
      </c>
      <c r="D24" s="146" t="str">
        <f ca="1">ORÇAMENTO!O24</f>
        <v>-</v>
      </c>
      <c r="E24" s="206" t="str">
        <f>ORÇAMENTO.Descricao</f>
        <v>ENTRADA DE ENERGIA ELÉTRICA, AÉREA, TRIFÁSICA, COM CAIXA DE EMBUTIR, CABO DE 16 MM2 E DISJUNTOR DIN 50A (NÃO INCLUSO O POSTE DE CONCRETO). AF_07/2020</v>
      </c>
      <c r="F24" s="207" t="str">
        <f ca="1">IF(RegimeExecucao="Global","",ORÇAMENTO.Unidade)</f>
        <v/>
      </c>
      <c r="G24" s="151" t="str">
        <f ca="1">IF(RegimeExecucao="Global","",ORÇAMENTO!T24)</f>
        <v/>
      </c>
      <c r="H24" s="151" t="str">
        <f ca="1">IF(RegimeExecucao="Global","",ORÇAMENTO!W24)</f>
        <v/>
      </c>
      <c r="I24" s="154">
        <f ca="1">ORÇAMENTO!X24</f>
        <v>0</v>
      </c>
      <c r="J24" s="427">
        <f ca="1">IF($A24="S",IF(CAIXA.Modo,BM.AFAnterior,BM.MEDAnterior),IF(AND(RegimeExecucao="Global",$I24&gt;0,COUNTIF($AB$13:$AM$13,BM.medicao-1)&gt;0),M24/$I24*100,0))</f>
        <v>0</v>
      </c>
      <c r="K24" s="151">
        <f t="shared" ca="1" si="5"/>
        <v>0</v>
      </c>
      <c r="L24" s="428">
        <f ca="1">IF($A24="S",IF(CAIXA.Modo,BM.AFAcumulado,BM.MEDAcumulado),IF(AND(RegimeExecucao="Global",$I24&gt;0,COUNTIF($AB$13:$AM$13,BM.medicao)&gt;0),O24/$I24*100,0))</f>
        <v>0</v>
      </c>
      <c r="M24" s="429">
        <f ca="1">IF($A24="S",VTOTALBM,IF($A24=0,0,ROUND(SomaAgrupBM,15-13*ORÇAMENTO!$AF$11)))</f>
        <v>0</v>
      </c>
      <c r="N24" s="430">
        <f t="shared" ca="1" si="6"/>
        <v>0</v>
      </c>
      <c r="O24" s="154">
        <f ca="1">IF($A24="S",VTOTALBM,IF($A24=0,0,ROUND(SomaAgrupBM,15-13*ORÇAMENTO!$AF$11)))</f>
        <v>0</v>
      </c>
      <c r="Q24" s="431"/>
      <c r="R24" s="432"/>
      <c r="T24" s="146" t="str">
        <f ca="1">IF($W24&gt;0,$D24,"")</f>
        <v/>
      </c>
      <c r="U24" s="206" t="str">
        <f ca="1">IF($W24&gt;0,$E24,"")</f>
        <v/>
      </c>
      <c r="V24" s="207" t="str">
        <f ca="1">IF(AND($W24&gt;0,RegimeExecucao="Unitário"),$F24,"")</f>
        <v/>
      </c>
      <c r="W24" s="633">
        <f ca="1">IF($Y24&gt;0,CHOOSE(MATCH(RegimeExecucao,{"Unitário","Global"},0),IF($A24="S",$Y24/$X24,""),($Y24/$X24)*100),0)</f>
        <v>0</v>
      </c>
      <c r="X24" s="433" t="str">
        <f ca="1">IF($Y24&gt;0,CHOOSE(MATCH(RegimeExecucao,{"Unitário","Global"},0),IF($A24="S",ROUND($H24,ORÇAMENTO!$AF$10),""),ROUND($I24,ORÇAMENTO!$AF$11)),"")</f>
        <v/>
      </c>
      <c r="Y24" s="433">
        <f ca="1">AO24-O24</f>
        <v>0</v>
      </c>
      <c r="Z24" s="660"/>
      <c r="AB24" s="431"/>
      <c r="AC24" s="598"/>
      <c r="AD24" s="598"/>
      <c r="AE24" s="598"/>
      <c r="AF24" s="598"/>
      <c r="AG24" s="598"/>
      <c r="AH24" s="598"/>
      <c r="AI24" s="598"/>
      <c r="AJ24" s="598"/>
      <c r="AK24" s="598"/>
      <c r="AL24" s="598"/>
      <c r="AM24" s="432"/>
      <c r="AO24">
        <f ca="1">IF($A24="S",IF(BM!$I24=0,0,CHOOSE(MATCH(RegimeExecucao,{"Global","Unitário"},0),ROUND(ROUND(BM.MEDAcumulado,15-13*BM!$A$9)/100*BM!$I24,15-13*ORÇAMENTO!$AF$11),ROUND(ROUND(BM.MEDAcumulado,15-13*BM!$A$9)*ROUND(BM!$H24,15-13*ORÇAMENTO!$AF$10),15-13*ORÇAMENTO!$AF$11))),IF($A24=0,0,ROUND(SomaAgrupBM,15-13*ORÇAMENTO!$AF$11)))</f>
        <v>0</v>
      </c>
    </row>
    <row r="25" spans="1:41" ht="38.25" x14ac:dyDescent="0.2">
      <c r="A25" t="str">
        <f ca="1">ORÇAMENTO!C25</f>
        <v>S</v>
      </c>
      <c r="B25">
        <f ca="1">ORÇAMENTO!D25</f>
        <v>0</v>
      </c>
      <c r="C25" s="143" t="str">
        <f ca="1">IF(OR($I25&gt;0,$A25=1,$A25=2,$A25=3,$A25=4),"F","")</f>
        <v/>
      </c>
      <c r="D25" s="146" t="str">
        <f ca="1">ORÇAMENTO!O25</f>
        <v>-</v>
      </c>
      <c r="E25" s="206" t="str">
        <f>ORÇAMENTO.Descricao</f>
        <v>LIMPEZA MECANIZADA DE CAMADA VEGETAL, VEGETAÇÃO E PEQUENAS ÁRVORES (DIÂMETRO DE TRONCO MENOR QUE 0,20 M), COM TRATOR DE ESTEIRAS. AF_03/2024</v>
      </c>
      <c r="F25" s="207" t="str">
        <f ca="1">IF(RegimeExecucao="Global","",ORÇAMENTO.Unidade)</f>
        <v/>
      </c>
      <c r="G25" s="151" t="str">
        <f ca="1">IF(RegimeExecucao="Global","",ORÇAMENTO!T25)</f>
        <v/>
      </c>
      <c r="H25" s="151" t="str">
        <f ca="1">IF(RegimeExecucao="Global","",ORÇAMENTO!W25)</f>
        <v/>
      </c>
      <c r="I25" s="154">
        <f ca="1">ORÇAMENTO!X25</f>
        <v>0</v>
      </c>
      <c r="J25" s="427">
        <f ca="1">IF($A25="S",IF(CAIXA.Modo,BM.AFAnterior,BM.MEDAnterior),IF(AND(RegimeExecucao="Global",$I25&gt;0,COUNTIF($AB$13:$AM$13,BM.medicao-1)&gt;0),M25/$I25*100,0))</f>
        <v>0</v>
      </c>
      <c r="K25" s="151">
        <f t="shared" ca="1" si="5"/>
        <v>0</v>
      </c>
      <c r="L25" s="428">
        <f ca="1">IF($A25="S",IF(CAIXA.Modo,BM.AFAcumulado,BM.MEDAcumulado),IF(AND(RegimeExecucao="Global",$I25&gt;0,COUNTIF($AB$13:$AM$13,BM.medicao)&gt;0),O25/$I25*100,0))</f>
        <v>0</v>
      </c>
      <c r="M25" s="429">
        <f ca="1">IF($A25="S",VTOTALBM,IF($A25=0,0,ROUND(SomaAgrupBM,15-13*ORÇAMENTO!$AF$11)))</f>
        <v>0</v>
      </c>
      <c r="N25" s="430">
        <f t="shared" ca="1" si="6"/>
        <v>0</v>
      </c>
      <c r="O25" s="154">
        <f ca="1">IF($A25="S",VTOTALBM,IF($A25=0,0,ROUND(SomaAgrupBM,15-13*ORÇAMENTO!$AF$11)))</f>
        <v>0</v>
      </c>
      <c r="Q25" s="431"/>
      <c r="R25" s="432"/>
      <c r="T25" s="146" t="str">
        <f ca="1">IF($W25&gt;0,$D25,"")</f>
        <v/>
      </c>
      <c r="U25" s="206" t="str">
        <f ca="1">IF($W25&gt;0,$E25,"")</f>
        <v/>
      </c>
      <c r="V25" s="207" t="str">
        <f ca="1">IF(AND($W25&gt;0,RegimeExecucao="Unitário"),$F25,"")</f>
        <v/>
      </c>
      <c r="W25" s="633">
        <f ca="1">IF($Y25&gt;0,CHOOSE(MATCH(RegimeExecucao,{"Unitário","Global"},0),IF($A25="S",$Y25/$X25,""),($Y25/$X25)*100),0)</f>
        <v>0</v>
      </c>
      <c r="X25" s="433" t="str">
        <f ca="1">IF($Y25&gt;0,CHOOSE(MATCH(RegimeExecucao,{"Unitário","Global"},0),IF($A25="S",ROUND($H25,ORÇAMENTO!$AF$10),""),ROUND($I25,ORÇAMENTO!$AF$11)),"")</f>
        <v/>
      </c>
      <c r="Y25" s="433">
        <f ca="1">AO25-O25</f>
        <v>0</v>
      </c>
      <c r="Z25" s="660"/>
      <c r="AB25" s="431"/>
      <c r="AC25" s="598"/>
      <c r="AD25" s="598"/>
      <c r="AE25" s="598"/>
      <c r="AF25" s="598"/>
      <c r="AG25" s="598"/>
      <c r="AH25" s="598"/>
      <c r="AI25" s="598"/>
      <c r="AJ25" s="598"/>
      <c r="AK25" s="598"/>
      <c r="AL25" s="598"/>
      <c r="AM25" s="432"/>
      <c r="AO25">
        <f ca="1">IF($A25="S",IF(BM!$I25=0,0,CHOOSE(MATCH(RegimeExecucao,{"Global","Unitário"},0),ROUND(ROUND(BM.MEDAcumulado,15-13*BM!$A$9)/100*BM!$I25,15-13*ORÇAMENTO!$AF$11),ROUND(ROUND(BM.MEDAcumulado,15-13*BM!$A$9)*ROUND(BM!$H25,15-13*ORÇAMENTO!$AF$10),15-13*ORÇAMENTO!$AF$11))),IF($A25=0,0,ROUND(SomaAgrupBM,15-13*ORÇAMENTO!$AF$11)))</f>
        <v>0</v>
      </c>
    </row>
    <row r="26" spans="1:41" x14ac:dyDescent="0.2">
      <c r="A26">
        <f ca="1">ORÇAMENTO!C26</f>
        <v>2</v>
      </c>
      <c r="B26">
        <f ca="1">ORÇAMENTO!D26</f>
        <v>2</v>
      </c>
      <c r="C26" s="143" t="str">
        <f ca="1">IF(OR($I26&gt;0,$A26=1,$A26=2,$A26=3,$A26=4),"F","")</f>
        <v>F</v>
      </c>
      <c r="D26" s="146" t="str">
        <f ca="1">ORÇAMENTO!O26</f>
        <v>1.2.</v>
      </c>
      <c r="E26" s="206" t="str">
        <f t="shared" si="3"/>
        <v xml:space="preserve">ADMINISTRAÇÃO LOCAL </v>
      </c>
      <c r="F26" s="207" t="str">
        <f ca="1">IF(RegimeExecucao="Global","",ORÇAMENTO.Unidade)</f>
        <v/>
      </c>
      <c r="G26" s="151" t="str">
        <f ca="1">IF(RegimeExecucao="Global","",ORÇAMENTO!T26)</f>
        <v/>
      </c>
      <c r="H26" s="151" t="str">
        <f ca="1">IF(RegimeExecucao="Global","",ORÇAMENTO!W26)</f>
        <v/>
      </c>
      <c r="I26" s="154">
        <f ca="1">ORÇAMENTO!X26</f>
        <v>0</v>
      </c>
      <c r="J26" s="427">
        <f ca="1">IF($A26="S",IF(CAIXA.Modo,BM.AFAnterior,BM.MEDAnterior),IF(AND(RegimeExecucao="Global",$I26&gt;0,COUNTIF($AB$13:$AM$13,BM.medicao-1)&gt;0),M26/$I26*100,0))</f>
        <v>0</v>
      </c>
      <c r="K26" s="151">
        <f t="shared" ca="1" si="1"/>
        <v>0</v>
      </c>
      <c r="L26" s="428">
        <f ca="1">IF($A26="S",IF(CAIXA.Modo,BM.AFAcumulado,BM.MEDAcumulado),IF(AND(RegimeExecucao="Global",$I26&gt;0,COUNTIF($AB$13:$AM$13,BM.medicao)&gt;0),O26/$I26*100,0))</f>
        <v>0</v>
      </c>
      <c r="M26" s="429">
        <f ca="1">IF($A26="S",VTOTALBM,IF($A26=0,0,ROUND(SomaAgrupBM,15-13*ORÇAMENTO!$AF$11)))</f>
        <v>0</v>
      </c>
      <c r="N26" s="430">
        <f t="shared" ca="1" si="2"/>
        <v>0</v>
      </c>
      <c r="O26" s="154">
        <f ca="1">IF($A26="S",VTOTALBM,IF($A26=0,0,ROUND(SomaAgrupBM,15-13*ORÇAMENTO!$AF$11)))</f>
        <v>0</v>
      </c>
      <c r="Q26" s="431"/>
      <c r="R26" s="432"/>
      <c r="T26" s="146" t="str">
        <f ca="1">IF($W26&gt;0,$D26,"")</f>
        <v/>
      </c>
      <c r="U26" s="206" t="str">
        <f ca="1">IF($W26&gt;0,$E26,"")</f>
        <v/>
      </c>
      <c r="V26" s="207" t="str">
        <f ca="1">IF(AND($W26&gt;0,RegimeExecucao="Unitário"),$F26,"")</f>
        <v/>
      </c>
      <c r="W26" s="633">
        <f ca="1">IF($Y26&gt;0,CHOOSE(MATCH(RegimeExecucao,{"Unitário","Global"},0),IF($A26="S",$Y26/$X26,""),($Y26/$X26)*100),0)</f>
        <v>0</v>
      </c>
      <c r="X26" s="433" t="str">
        <f ca="1">IF($Y26&gt;0,CHOOSE(MATCH(RegimeExecucao,{"Unitário","Global"},0),IF($A26="S",ROUND($H26,ORÇAMENTO!$AF$10),""),ROUND($I26,ORÇAMENTO!$AF$11)),"")</f>
        <v/>
      </c>
      <c r="Y26" s="433">
        <f ca="1">AO26-O26</f>
        <v>0</v>
      </c>
      <c r="Z26" s="660"/>
      <c r="AB26" s="431"/>
      <c r="AC26" s="598"/>
      <c r="AD26" s="598"/>
      <c r="AE26" s="598"/>
      <c r="AF26" s="598"/>
      <c r="AG26" s="598"/>
      <c r="AH26" s="598"/>
      <c r="AI26" s="598"/>
      <c r="AJ26" s="598"/>
      <c r="AK26" s="598"/>
      <c r="AL26" s="598"/>
      <c r="AM26" s="432"/>
      <c r="AO26">
        <f ca="1">IF($A26="S",IF(BM!$I26=0,0,CHOOSE(MATCH(RegimeExecucao,{"Global","Unitário"},0),ROUND(ROUND(BM.MEDAcumulado,15-13*BM!$A$9)/100*BM!$I26,15-13*ORÇAMENTO!$AF$11),ROUND(ROUND(BM.MEDAcumulado,15-13*BM!$A$9)*ROUND(BM!$H26,15-13*ORÇAMENTO!$AF$10),15-13*ORÇAMENTO!$AF$11))),IF($A26=0,0,ROUND(SomaAgrupBM,15-13*ORÇAMENTO!$AF$11)))</f>
        <v>0</v>
      </c>
    </row>
    <row r="27" spans="1:41" ht="51" x14ac:dyDescent="0.2">
      <c r="A27" t="str">
        <f ca="1">ORÇAMENTO!C27</f>
        <v>S</v>
      </c>
      <c r="B27">
        <f ca="1">ORÇAMENTO!D27</f>
        <v>0</v>
      </c>
      <c r="C27" s="143" t="str">
        <f ca="1">IF(OR($I27&gt;0,$A27=1,$A27=2,$A27=3,$A27=4),"F","")</f>
        <v/>
      </c>
      <c r="D27" s="146" t="str">
        <f ca="1">ORÇAMENTO!O27</f>
        <v>-</v>
      </c>
      <c r="E27" s="206" t="str">
        <f t="shared" si="3"/>
        <v xml:space="preserve">ADMINISTRAÇÃ LOCAL DA OBRA, CONTENDO ENGENHEIRO CIVIL, MESTRE DE OBRAS, TECNICO DE SEGURANÇA DO TRABALHO , APONTADOR E LIMPEZA PERMANENTE DA OBRA, CONSIDERANDO 15 MESES DE OBRA, UNIDADE PORCENTAGEM DE OBRA EXECUTADA. </v>
      </c>
      <c r="F27" s="207" t="str">
        <f ca="1">IF(RegimeExecucao="Global","",ORÇAMENTO.Unidade)</f>
        <v/>
      </c>
      <c r="G27" s="151" t="str">
        <f ca="1">IF(RegimeExecucao="Global","",ORÇAMENTO!T27)</f>
        <v/>
      </c>
      <c r="H27" s="151" t="str">
        <f ca="1">IF(RegimeExecucao="Global","",ORÇAMENTO!W27)</f>
        <v/>
      </c>
      <c r="I27" s="154">
        <f ca="1">ORÇAMENTO!X27</f>
        <v>0</v>
      </c>
      <c r="J27" s="427">
        <f ca="1">IF($A27="S",IF(CAIXA.Modo,BM.AFAnterior,BM.MEDAnterior),IF(AND(RegimeExecucao="Global",$I27&gt;0,COUNTIF($AB$13:$AM$13,BM.medicao-1)&gt;0),M27/$I27*100,0))</f>
        <v>0</v>
      </c>
      <c r="K27" s="151">
        <f t="shared" ca="1" si="1"/>
        <v>0</v>
      </c>
      <c r="L27" s="428">
        <f ca="1">IF($A27="S",IF(CAIXA.Modo,BM.AFAcumulado,BM.MEDAcumulado),IF(AND(RegimeExecucao="Global",$I27&gt;0,COUNTIF($AB$13:$AM$13,BM.medicao)&gt;0),O27/$I27*100,0))</f>
        <v>0</v>
      </c>
      <c r="M27" s="429">
        <f ca="1">IF($A27="S",VTOTALBM,IF($A27=0,0,ROUND(SomaAgrupBM,15-13*ORÇAMENTO!$AF$11)))</f>
        <v>0</v>
      </c>
      <c r="N27" s="430">
        <f t="shared" ca="1" si="2"/>
        <v>0</v>
      </c>
      <c r="O27" s="154">
        <f ca="1">IF($A27="S",VTOTALBM,IF($A27=0,0,ROUND(SomaAgrupBM,15-13*ORÇAMENTO!$AF$11)))</f>
        <v>0</v>
      </c>
      <c r="Q27" s="431"/>
      <c r="R27" s="432"/>
      <c r="T27" s="146" t="str">
        <f ca="1">IF($W27&gt;0,$D27,"")</f>
        <v/>
      </c>
      <c r="U27" s="206" t="str">
        <f ca="1">IF($W27&gt;0,$E27,"")</f>
        <v/>
      </c>
      <c r="V27" s="207" t="str">
        <f ca="1">IF(AND($W27&gt;0,RegimeExecucao="Unitário"),$F27,"")</f>
        <v/>
      </c>
      <c r="W27" s="633">
        <f ca="1">IF($Y27&gt;0,CHOOSE(MATCH(RegimeExecucao,{"Unitário","Global"},0),IF($A27="S",$Y27/$X27,""),($Y27/$X27)*100),0)</f>
        <v>0</v>
      </c>
      <c r="X27" s="433" t="str">
        <f ca="1">IF($Y27&gt;0,CHOOSE(MATCH(RegimeExecucao,{"Unitário","Global"},0),IF($A27="S",ROUND($H27,ORÇAMENTO!$AF$10),""),ROUND($I27,ORÇAMENTO!$AF$11)),"")</f>
        <v/>
      </c>
      <c r="Y27" s="433">
        <f ca="1">AO27-O27</f>
        <v>0</v>
      </c>
      <c r="Z27" s="660"/>
      <c r="AB27" s="431"/>
      <c r="AC27" s="598"/>
      <c r="AD27" s="598"/>
      <c r="AE27" s="598"/>
      <c r="AF27" s="598"/>
      <c r="AG27" s="598"/>
      <c r="AH27" s="598"/>
      <c r="AI27" s="598"/>
      <c r="AJ27" s="598"/>
      <c r="AK27" s="598"/>
      <c r="AL27" s="598"/>
      <c r="AM27" s="432"/>
      <c r="AO27">
        <f ca="1">IF($A27="S",IF(BM!$I27=0,0,CHOOSE(MATCH(RegimeExecucao,{"Global","Unitário"},0),ROUND(ROUND(BM.MEDAcumulado,15-13*BM!$A$9)/100*BM!$I27,15-13*ORÇAMENTO!$AF$11),ROUND(ROUND(BM.MEDAcumulado,15-13*BM!$A$9)*ROUND(BM!$H27,15-13*ORÇAMENTO!$AF$10),15-13*ORÇAMENTO!$AF$11))),IF($A27=0,0,ROUND(SomaAgrupBM,15-13*ORÇAMENTO!$AF$11)))</f>
        <v>0</v>
      </c>
    </row>
    <row r="28" spans="1:41" x14ac:dyDescent="0.2">
      <c r="A28">
        <f ca="1">ORÇAMENTO!C28</f>
        <v>2</v>
      </c>
      <c r="B28">
        <f ca="1">ORÇAMENTO!D28</f>
        <v>3</v>
      </c>
      <c r="C28" s="143" t="str">
        <f t="shared" ref="C28:C36" ca="1" si="10">IF(OR($I28&gt;0,$A28=1,$A28=2,$A28=3,$A28=4),"F","")</f>
        <v>F</v>
      </c>
      <c r="D28" s="146" t="str">
        <f ca="1">ORÇAMENTO!O28</f>
        <v>1.3.</v>
      </c>
      <c r="E28" s="206" t="str">
        <f t="shared" si="3"/>
        <v xml:space="preserve">REGULARIZAÇÃO TERRENO </v>
      </c>
      <c r="F28" s="207" t="str">
        <f ca="1">IF(RegimeExecucao="Global","",ORÇAMENTO.Unidade)</f>
        <v/>
      </c>
      <c r="G28" s="151" t="str">
        <f ca="1">IF(RegimeExecucao="Global","",ORÇAMENTO!T28)</f>
        <v/>
      </c>
      <c r="H28" s="151" t="str">
        <f ca="1">IF(RegimeExecucao="Global","",ORÇAMENTO!W28)</f>
        <v/>
      </c>
      <c r="I28" s="154">
        <f ca="1">ORÇAMENTO!X28</f>
        <v>0</v>
      </c>
      <c r="J28" s="427">
        <f ca="1">IF($A28="S",IF(CAIXA.Modo,BM.AFAnterior,BM.MEDAnterior),IF(AND(RegimeExecucao="Global",$I28&gt;0,COUNTIF($AB$13:$AM$13,BM.medicao-1)&gt;0),M28/$I28*100,0))</f>
        <v>0</v>
      </c>
      <c r="K28" s="151">
        <f t="shared" ref="K28:K38" ca="1" si="11">L28-J28</f>
        <v>0</v>
      </c>
      <c r="L28" s="428">
        <f ca="1">IF($A28="S",IF(CAIXA.Modo,BM.AFAcumulado,BM.MEDAcumulado),IF(AND(RegimeExecucao="Global",$I28&gt;0,COUNTIF($AB$13:$AM$13,BM.medicao)&gt;0),O28/$I28*100,0))</f>
        <v>0</v>
      </c>
      <c r="M28" s="429">
        <f ca="1">IF($A28="S",VTOTALBM,IF($A28=0,0,ROUND(SomaAgrupBM,15-13*ORÇAMENTO!$AF$11)))</f>
        <v>0</v>
      </c>
      <c r="N28" s="430">
        <f t="shared" ref="N28:N38" ca="1" si="12">O28-M28</f>
        <v>0</v>
      </c>
      <c r="O28" s="154">
        <f ca="1">IF($A28="S",VTOTALBM,IF($A28=0,0,ROUND(SomaAgrupBM,15-13*ORÇAMENTO!$AF$11)))</f>
        <v>0</v>
      </c>
      <c r="Q28" s="431"/>
      <c r="R28" s="432"/>
      <c r="T28" s="146" t="str">
        <f t="shared" ref="T28:T36" ca="1" si="13">IF($W28&gt;0,$D28,"")</f>
        <v/>
      </c>
      <c r="U28" s="206" t="str">
        <f t="shared" ref="U28:U36" ca="1" si="14">IF($W28&gt;0,$E28,"")</f>
        <v/>
      </c>
      <c r="V28" s="207" t="str">
        <f ca="1">IF(AND($W28&gt;0,RegimeExecucao="Unitário"),$F28,"")</f>
        <v/>
      </c>
      <c r="W28" s="633">
        <f ca="1">IF($Y28&gt;0,CHOOSE(MATCH(RegimeExecucao,{"Unitário","Global"},0),IF($A28="S",$Y28/$X28,""),($Y28/$X28)*100),0)</f>
        <v>0</v>
      </c>
      <c r="X28" s="433" t="str">
        <f ca="1">IF($Y28&gt;0,CHOOSE(MATCH(RegimeExecucao,{"Unitário","Global"},0),IF($A28="S",ROUND($H28,ORÇAMENTO!$AF$10),""),ROUND($I28,ORÇAMENTO!$AF$11)),"")</f>
        <v/>
      </c>
      <c r="Y28" s="433">
        <f t="shared" ref="Y28:Y36" ca="1" si="15">AO28-O28</f>
        <v>0</v>
      </c>
      <c r="Z28" s="660"/>
      <c r="AB28" s="431"/>
      <c r="AC28" s="598"/>
      <c r="AD28" s="598"/>
      <c r="AE28" s="598"/>
      <c r="AF28" s="598"/>
      <c r="AG28" s="598"/>
      <c r="AH28" s="598"/>
      <c r="AI28" s="598"/>
      <c r="AJ28" s="598"/>
      <c r="AK28" s="598"/>
      <c r="AL28" s="598"/>
      <c r="AM28" s="432"/>
      <c r="AO28">
        <f ca="1">IF($A28="S",IF(BM!$I28=0,0,CHOOSE(MATCH(RegimeExecucao,{"Global","Unitário"},0),ROUND(ROUND(BM.MEDAcumulado,15-13*BM!$A$9)/100*BM!$I28,15-13*ORÇAMENTO!$AF$11),ROUND(ROUND(BM.MEDAcumulado,15-13*BM!$A$9)*ROUND(BM!$H28,15-13*ORÇAMENTO!$AF$10),15-13*ORÇAMENTO!$AF$11))),IF($A28=0,0,ROUND(SomaAgrupBM,15-13*ORÇAMENTO!$AF$11)))</f>
        <v>0</v>
      </c>
    </row>
    <row r="29" spans="1:41" ht="51" x14ac:dyDescent="0.2">
      <c r="A29" t="str">
        <f ca="1">ORÇAMENTO!C29</f>
        <v>S</v>
      </c>
      <c r="B29">
        <f ca="1">ORÇAMENTO!D29</f>
        <v>0</v>
      </c>
      <c r="C29" s="143" t="str">
        <f t="shared" ca="1" si="10"/>
        <v/>
      </c>
      <c r="D29" s="146" t="str">
        <f ca="1">ORÇAMENTO!O29</f>
        <v>-</v>
      </c>
      <c r="E29" s="206" t="str">
        <f t="shared" si="3"/>
        <v>ESCAVAÇÃO HORIZONTAL, INCLUINDO ESCARIFICAÇÃO, CARGA, DESCARGA E TRANSPORTE EM SOLO DE 2A CATEGORIA COM TRATOR DE ESTEIRAS (125HP/LÂMINA: 2,70M3) E CAMINHÃO BASCULANTE DE 14M3, DMT ATÉ 200M. AF_07/2020</v>
      </c>
      <c r="F29" s="207" t="str">
        <f ca="1">IF(RegimeExecucao="Global","",ORÇAMENTO.Unidade)</f>
        <v/>
      </c>
      <c r="G29" s="151" t="str">
        <f ca="1">IF(RegimeExecucao="Global","",ORÇAMENTO!T29)</f>
        <v/>
      </c>
      <c r="H29" s="151" t="str">
        <f ca="1">IF(RegimeExecucao="Global","",ORÇAMENTO!W29)</f>
        <v/>
      </c>
      <c r="I29" s="154">
        <f ca="1">ORÇAMENTO!X29</f>
        <v>0</v>
      </c>
      <c r="J29" s="427">
        <f ca="1">IF($A29="S",IF(CAIXA.Modo,BM.AFAnterior,BM.MEDAnterior),IF(AND(RegimeExecucao="Global",$I29&gt;0,COUNTIF($AB$13:$AM$13,BM.medicao-1)&gt;0),M29/$I29*100,0))</f>
        <v>0</v>
      </c>
      <c r="K29" s="151">
        <f t="shared" ca="1" si="11"/>
        <v>0</v>
      </c>
      <c r="L29" s="428">
        <f ca="1">IF($A29="S",IF(CAIXA.Modo,BM.AFAcumulado,BM.MEDAcumulado),IF(AND(RegimeExecucao="Global",$I29&gt;0,COUNTIF($AB$13:$AM$13,BM.medicao)&gt;0),O29/$I29*100,0))</f>
        <v>0</v>
      </c>
      <c r="M29" s="429">
        <f ca="1">IF($A29="S",VTOTALBM,IF($A29=0,0,ROUND(SomaAgrupBM,15-13*ORÇAMENTO!$AF$11)))</f>
        <v>0</v>
      </c>
      <c r="N29" s="430">
        <f t="shared" ca="1" si="12"/>
        <v>0</v>
      </c>
      <c r="O29" s="154">
        <f ca="1">IF($A29="S",VTOTALBM,IF($A29=0,0,ROUND(SomaAgrupBM,15-13*ORÇAMENTO!$AF$11)))</f>
        <v>0</v>
      </c>
      <c r="Q29" s="431"/>
      <c r="R29" s="432"/>
      <c r="T29" s="146" t="str">
        <f t="shared" ca="1" si="13"/>
        <v/>
      </c>
      <c r="U29" s="206" t="str">
        <f t="shared" ca="1" si="14"/>
        <v/>
      </c>
      <c r="V29" s="207" t="str">
        <f ca="1">IF(AND($W29&gt;0,RegimeExecucao="Unitário"),$F29,"")</f>
        <v/>
      </c>
      <c r="W29" s="633">
        <f ca="1">IF($Y29&gt;0,CHOOSE(MATCH(RegimeExecucao,{"Unitário","Global"},0),IF($A29="S",$Y29/$X29,""),($Y29/$X29)*100),0)</f>
        <v>0</v>
      </c>
      <c r="X29" s="433" t="str">
        <f ca="1">IF($Y29&gt;0,CHOOSE(MATCH(RegimeExecucao,{"Unitário","Global"},0),IF($A29="S",ROUND($H29,ORÇAMENTO!$AF$10),""),ROUND($I29,ORÇAMENTO!$AF$11)),"")</f>
        <v/>
      </c>
      <c r="Y29" s="433">
        <f t="shared" ca="1" si="15"/>
        <v>0</v>
      </c>
      <c r="Z29" s="660"/>
      <c r="AB29" s="431"/>
      <c r="AC29" s="598"/>
      <c r="AD29" s="598"/>
      <c r="AE29" s="598"/>
      <c r="AF29" s="598"/>
      <c r="AG29" s="598"/>
      <c r="AH29" s="598"/>
      <c r="AI29" s="598"/>
      <c r="AJ29" s="598"/>
      <c r="AK29" s="598"/>
      <c r="AL29" s="598"/>
      <c r="AM29" s="432"/>
      <c r="AO29">
        <f ca="1">IF($A29="S",IF(BM!$I29=0,0,CHOOSE(MATCH(RegimeExecucao,{"Global","Unitário"},0),ROUND(ROUND(BM.MEDAcumulado,15-13*BM!$A$9)/100*BM!$I29,15-13*ORÇAMENTO!$AF$11),ROUND(ROUND(BM.MEDAcumulado,15-13*BM!$A$9)*ROUND(BM!$H29,15-13*ORÇAMENTO!$AF$10),15-13*ORÇAMENTO!$AF$11))),IF($A29=0,0,ROUND(SomaAgrupBM,15-13*ORÇAMENTO!$AF$11)))</f>
        <v>0</v>
      </c>
    </row>
    <row r="30" spans="1:41" ht="63.75" x14ac:dyDescent="0.2">
      <c r="A30" t="str">
        <f ca="1">ORÇAMENTO!C30</f>
        <v>S</v>
      </c>
      <c r="B30">
        <f ca="1">ORÇAMENTO!D30</f>
        <v>0</v>
      </c>
      <c r="C30" s="143" t="str">
        <f t="shared" ca="1" si="10"/>
        <v/>
      </c>
      <c r="D30" s="146" t="str">
        <f ca="1">ORÇAMENTO!O30</f>
        <v>-</v>
      </c>
      <c r="E30" s="206" t="str">
        <f t="shared" si="3"/>
        <v>REATERRO MECANIZADO DE VALA COM ESCAVADEIRA HIDRÁULICA (CAPACIDADE DA CAÇAMBA: 0,8 M³/POTÊNCIA: 111 HP), LARGURA ATÉ 1,5 M, PROFUNDIDADE DE 1,5 A 3,0 M, COM SOLO (SEM SUBSTITUIÇÃO) DE 1ª CATEGORIA, COM COMPACTADOR DE SOLOS DE PERCUSSÃO. AF_08/2023</v>
      </c>
      <c r="F30" s="207" t="str">
        <f ca="1">IF(RegimeExecucao="Global","",ORÇAMENTO.Unidade)</f>
        <v/>
      </c>
      <c r="G30" s="151" t="str">
        <f ca="1">IF(RegimeExecucao="Global","",ORÇAMENTO!T30)</f>
        <v/>
      </c>
      <c r="H30" s="151" t="str">
        <f ca="1">IF(RegimeExecucao="Global","",ORÇAMENTO!W30)</f>
        <v/>
      </c>
      <c r="I30" s="154">
        <f ca="1">ORÇAMENTO!X30</f>
        <v>0</v>
      </c>
      <c r="J30" s="427">
        <f ca="1">IF($A30="S",IF(CAIXA.Modo,BM.AFAnterior,BM.MEDAnterior),IF(AND(RegimeExecucao="Global",$I30&gt;0,COUNTIF($AB$13:$AM$13,BM.medicao-1)&gt;0),M30/$I30*100,0))</f>
        <v>0</v>
      </c>
      <c r="K30" s="151">
        <f t="shared" ca="1" si="11"/>
        <v>0</v>
      </c>
      <c r="L30" s="428">
        <f ca="1">IF($A30="S",IF(CAIXA.Modo,BM.AFAcumulado,BM.MEDAcumulado),IF(AND(RegimeExecucao="Global",$I30&gt;0,COUNTIF($AB$13:$AM$13,BM.medicao)&gt;0),O30/$I30*100,0))</f>
        <v>0</v>
      </c>
      <c r="M30" s="429">
        <f ca="1">IF($A30="S",VTOTALBM,IF($A30=0,0,ROUND(SomaAgrupBM,15-13*ORÇAMENTO!$AF$11)))</f>
        <v>0</v>
      </c>
      <c r="N30" s="430">
        <f t="shared" ca="1" si="12"/>
        <v>0</v>
      </c>
      <c r="O30" s="154">
        <f ca="1">IF($A30="S",VTOTALBM,IF($A30=0,0,ROUND(SomaAgrupBM,15-13*ORÇAMENTO!$AF$11)))</f>
        <v>0</v>
      </c>
      <c r="Q30" s="431"/>
      <c r="R30" s="432"/>
      <c r="T30" s="146" t="str">
        <f t="shared" ca="1" si="13"/>
        <v/>
      </c>
      <c r="U30" s="206" t="str">
        <f t="shared" ca="1" si="14"/>
        <v/>
      </c>
      <c r="V30" s="207" t="str">
        <f ca="1">IF(AND($W30&gt;0,RegimeExecucao="Unitário"),$F30,"")</f>
        <v/>
      </c>
      <c r="W30" s="633">
        <f ca="1">IF($Y30&gt;0,CHOOSE(MATCH(RegimeExecucao,{"Unitário","Global"},0),IF($A30="S",$Y30/$X30,""),($Y30/$X30)*100),0)</f>
        <v>0</v>
      </c>
      <c r="X30" s="433" t="str">
        <f ca="1">IF($Y30&gt;0,CHOOSE(MATCH(RegimeExecucao,{"Unitário","Global"},0),IF($A30="S",ROUND($H30,ORÇAMENTO!$AF$10),""),ROUND($I30,ORÇAMENTO!$AF$11)),"")</f>
        <v/>
      </c>
      <c r="Y30" s="433">
        <f t="shared" ca="1" si="15"/>
        <v>0</v>
      </c>
      <c r="Z30" s="660"/>
      <c r="AB30" s="431"/>
      <c r="AC30" s="598"/>
      <c r="AD30" s="598"/>
      <c r="AE30" s="598"/>
      <c r="AF30" s="598"/>
      <c r="AG30" s="598"/>
      <c r="AH30" s="598"/>
      <c r="AI30" s="598"/>
      <c r="AJ30" s="598"/>
      <c r="AK30" s="598"/>
      <c r="AL30" s="598"/>
      <c r="AM30" s="432"/>
      <c r="AO30">
        <f ca="1">IF($A30="S",IF(BM!$I30=0,0,CHOOSE(MATCH(RegimeExecucao,{"Global","Unitário"},0),ROUND(ROUND(BM.MEDAcumulado,15-13*BM!$A$9)/100*BM!$I30,15-13*ORÇAMENTO!$AF$11),ROUND(ROUND(BM.MEDAcumulado,15-13*BM!$A$9)*ROUND(BM!$H30,15-13*ORÇAMENTO!$AF$10),15-13*ORÇAMENTO!$AF$11))),IF($A30=0,0,ROUND(SomaAgrupBM,15-13*ORÇAMENTO!$AF$11)))</f>
        <v>0</v>
      </c>
    </row>
    <row r="31" spans="1:41" x14ac:dyDescent="0.2">
      <c r="A31">
        <f ca="1">ORÇAMENTO!C31</f>
        <v>2</v>
      </c>
      <c r="B31">
        <f ca="1">ORÇAMENTO!D31</f>
        <v>11</v>
      </c>
      <c r="C31" s="143" t="str">
        <f t="shared" ca="1" si="10"/>
        <v>F</v>
      </c>
      <c r="D31" s="146" t="str">
        <f ca="1">ORÇAMENTO!O31</f>
        <v>1.4.</v>
      </c>
      <c r="E31" s="206" t="str">
        <f t="shared" si="3"/>
        <v>FUNDAÇÃO (estaca e blocos)</v>
      </c>
      <c r="F31" s="207" t="str">
        <f ca="1">IF(RegimeExecucao="Global","",ORÇAMENTO.Unidade)</f>
        <v/>
      </c>
      <c r="G31" s="151" t="str">
        <f ca="1">IF(RegimeExecucao="Global","",ORÇAMENTO!T31)</f>
        <v/>
      </c>
      <c r="H31" s="151" t="str">
        <f ca="1">IF(RegimeExecucao="Global","",ORÇAMENTO!W31)</f>
        <v/>
      </c>
      <c r="I31" s="154">
        <f ca="1">ORÇAMENTO!X31</f>
        <v>0</v>
      </c>
      <c r="J31" s="427">
        <f ca="1">IF($A31="S",IF(CAIXA.Modo,BM.AFAnterior,BM.MEDAnterior),IF(AND(RegimeExecucao="Global",$I31&gt;0,COUNTIF($AB$13:$AM$13,BM.medicao-1)&gt;0),M31/$I31*100,0))</f>
        <v>0</v>
      </c>
      <c r="K31" s="151">
        <f t="shared" ca="1" si="11"/>
        <v>0</v>
      </c>
      <c r="L31" s="428">
        <f ca="1">IF($A31="S",IF(CAIXA.Modo,BM.AFAcumulado,BM.MEDAcumulado),IF(AND(RegimeExecucao="Global",$I31&gt;0,COUNTIF($AB$13:$AM$13,BM.medicao)&gt;0),O31/$I31*100,0))</f>
        <v>0</v>
      </c>
      <c r="M31" s="429">
        <f ca="1">IF($A31="S",VTOTALBM,IF($A31=0,0,ROUND(SomaAgrupBM,15-13*ORÇAMENTO!$AF$11)))</f>
        <v>0</v>
      </c>
      <c r="N31" s="430">
        <f t="shared" ca="1" si="12"/>
        <v>0</v>
      </c>
      <c r="O31" s="154">
        <f ca="1">IF($A31="S",VTOTALBM,IF($A31=0,0,ROUND(SomaAgrupBM,15-13*ORÇAMENTO!$AF$11)))</f>
        <v>0</v>
      </c>
      <c r="Q31" s="431"/>
      <c r="R31" s="432"/>
      <c r="T31" s="146" t="str">
        <f t="shared" ca="1" si="13"/>
        <v/>
      </c>
      <c r="U31" s="206" t="str">
        <f t="shared" ca="1" si="14"/>
        <v/>
      </c>
      <c r="V31" s="207" t="str">
        <f ca="1">IF(AND($W31&gt;0,RegimeExecucao="Unitário"),$F31,"")</f>
        <v/>
      </c>
      <c r="W31" s="633">
        <f ca="1">IF($Y31&gt;0,CHOOSE(MATCH(RegimeExecucao,{"Unitário","Global"},0),IF($A31="S",$Y31/$X31,""),($Y31/$X31)*100),0)</f>
        <v>0</v>
      </c>
      <c r="X31" s="433" t="str">
        <f ca="1">IF($Y31&gt;0,CHOOSE(MATCH(RegimeExecucao,{"Unitário","Global"},0),IF($A31="S",ROUND($H31,ORÇAMENTO!$AF$10),""),ROUND($I31,ORÇAMENTO!$AF$11)),"")</f>
        <v/>
      </c>
      <c r="Y31" s="433">
        <f t="shared" ca="1" si="15"/>
        <v>0</v>
      </c>
      <c r="Z31" s="660"/>
      <c r="AB31" s="431"/>
      <c r="AC31" s="598"/>
      <c r="AD31" s="598"/>
      <c r="AE31" s="598"/>
      <c r="AF31" s="598"/>
      <c r="AG31" s="598"/>
      <c r="AH31" s="598"/>
      <c r="AI31" s="598"/>
      <c r="AJ31" s="598"/>
      <c r="AK31" s="598"/>
      <c r="AL31" s="598"/>
      <c r="AM31" s="432"/>
      <c r="AO31">
        <f ca="1">IF($A31="S",IF(BM!$I31=0,0,CHOOSE(MATCH(RegimeExecucao,{"Global","Unitário"},0),ROUND(ROUND(BM.MEDAcumulado,15-13*BM!$A$9)/100*BM!$I31,15-13*ORÇAMENTO!$AF$11),ROUND(ROUND(BM.MEDAcumulado,15-13*BM!$A$9)*ROUND(BM!$H31,15-13*ORÇAMENTO!$AF$10),15-13*ORÇAMENTO!$AF$11))),IF($A31=0,0,ROUND(SomaAgrupBM,15-13*ORÇAMENTO!$AF$11)))</f>
        <v>0</v>
      </c>
    </row>
    <row r="32" spans="1:41" ht="38.25" x14ac:dyDescent="0.2">
      <c r="A32" t="str">
        <f ca="1">ORÇAMENTO!C32</f>
        <v>S</v>
      </c>
      <c r="B32">
        <f ca="1">ORÇAMENTO!D32</f>
        <v>0</v>
      </c>
      <c r="C32" s="143" t="str">
        <f t="shared" ca="1" si="10"/>
        <v/>
      </c>
      <c r="D32" s="146" t="str">
        <f ca="1">ORÇAMENTO!O32</f>
        <v>-</v>
      </c>
      <c r="E32" s="206" t="str">
        <f t="shared" si="3"/>
        <v>ESCAVAÇÃO MECANIZADA PARA BLOCO DE COROAMENTO OU SAPATA COM RETROESCAVADEIRA (INCLUINDO ESCAVAÇÃO PARA COLOCAÇÃO DE FÔRMAS). AF_01/2024</v>
      </c>
      <c r="F32" s="207" t="str">
        <f ca="1">IF(RegimeExecucao="Global","",ORÇAMENTO.Unidade)</f>
        <v/>
      </c>
      <c r="G32" s="151" t="str">
        <f ca="1">IF(RegimeExecucao="Global","",ORÇAMENTO!T32)</f>
        <v/>
      </c>
      <c r="H32" s="151" t="str">
        <f ca="1">IF(RegimeExecucao="Global","",ORÇAMENTO!W32)</f>
        <v/>
      </c>
      <c r="I32" s="154">
        <f ca="1">ORÇAMENTO!X32</f>
        <v>0</v>
      </c>
      <c r="J32" s="427">
        <f ca="1">IF($A32="S",IF(CAIXA.Modo,BM.AFAnterior,BM.MEDAnterior),IF(AND(RegimeExecucao="Global",$I32&gt;0,COUNTIF($AB$13:$AM$13,BM.medicao-1)&gt;0),M32/$I32*100,0))</f>
        <v>0</v>
      </c>
      <c r="K32" s="151">
        <f t="shared" ca="1" si="11"/>
        <v>0</v>
      </c>
      <c r="L32" s="428">
        <f ca="1">IF($A32="S",IF(CAIXA.Modo,BM.AFAcumulado,BM.MEDAcumulado),IF(AND(RegimeExecucao="Global",$I32&gt;0,COUNTIF($AB$13:$AM$13,BM.medicao)&gt;0),O32/$I32*100,0))</f>
        <v>0</v>
      </c>
      <c r="M32" s="429">
        <f ca="1">IF($A32="S",VTOTALBM,IF($A32=0,0,ROUND(SomaAgrupBM,15-13*ORÇAMENTO!$AF$11)))</f>
        <v>0</v>
      </c>
      <c r="N32" s="430">
        <f t="shared" ca="1" si="12"/>
        <v>0</v>
      </c>
      <c r="O32" s="154">
        <f ca="1">IF($A32="S",VTOTALBM,IF($A32=0,0,ROUND(SomaAgrupBM,15-13*ORÇAMENTO!$AF$11)))</f>
        <v>0</v>
      </c>
      <c r="Q32" s="431"/>
      <c r="R32" s="432"/>
      <c r="T32" s="146" t="str">
        <f t="shared" ca="1" si="13"/>
        <v/>
      </c>
      <c r="U32" s="206" t="str">
        <f t="shared" ca="1" si="14"/>
        <v/>
      </c>
      <c r="V32" s="207" t="str">
        <f ca="1">IF(AND($W32&gt;0,RegimeExecucao="Unitário"),$F32,"")</f>
        <v/>
      </c>
      <c r="W32" s="633">
        <f ca="1">IF($Y32&gt;0,CHOOSE(MATCH(RegimeExecucao,{"Unitário","Global"},0),IF($A32="S",$Y32/$X32,""),($Y32/$X32)*100),0)</f>
        <v>0</v>
      </c>
      <c r="X32" s="433" t="str">
        <f ca="1">IF($Y32&gt;0,CHOOSE(MATCH(RegimeExecucao,{"Unitário","Global"},0),IF($A32="S",ROUND($H32,ORÇAMENTO!$AF$10),""),ROUND($I32,ORÇAMENTO!$AF$11)),"")</f>
        <v/>
      </c>
      <c r="Y32" s="433">
        <f t="shared" ca="1" si="15"/>
        <v>0</v>
      </c>
      <c r="Z32" s="660"/>
      <c r="AB32" s="431"/>
      <c r="AC32" s="598"/>
      <c r="AD32" s="598"/>
      <c r="AE32" s="598"/>
      <c r="AF32" s="598"/>
      <c r="AG32" s="598"/>
      <c r="AH32" s="598"/>
      <c r="AI32" s="598"/>
      <c r="AJ32" s="598"/>
      <c r="AK32" s="598"/>
      <c r="AL32" s="598"/>
      <c r="AM32" s="432"/>
      <c r="AO32">
        <f ca="1">IF($A32="S",IF(BM!$I32=0,0,CHOOSE(MATCH(RegimeExecucao,{"Global","Unitário"},0),ROUND(ROUND(BM.MEDAcumulado,15-13*BM!$A$9)/100*BM!$I32,15-13*ORÇAMENTO!$AF$11),ROUND(ROUND(BM.MEDAcumulado,15-13*BM!$A$9)*ROUND(BM!$H32,15-13*ORÇAMENTO!$AF$10),15-13*ORÇAMENTO!$AF$11))),IF($A32=0,0,ROUND(SomaAgrupBM,15-13*ORÇAMENTO!$AF$11)))</f>
        <v>0</v>
      </c>
    </row>
    <row r="33" spans="1:41" ht="25.5" x14ac:dyDescent="0.2">
      <c r="A33" t="str">
        <f ca="1">ORÇAMENTO!C33</f>
        <v>S</v>
      </c>
      <c r="B33">
        <f ca="1">ORÇAMENTO!D33</f>
        <v>0</v>
      </c>
      <c r="C33" s="143" t="str">
        <f t="shared" ca="1" si="10"/>
        <v/>
      </c>
      <c r="D33" s="146" t="str">
        <f ca="1">ORÇAMENTO!O33</f>
        <v>-</v>
      </c>
      <c r="E33" s="206" t="str">
        <f t="shared" si="3"/>
        <v>REATERRO MANUAL DE VALAS, COM COMPACTADOR DE SOLOS DE PERCUSSÃO. AF_08/2023</v>
      </c>
      <c r="F33" s="207" t="str">
        <f ca="1">IF(RegimeExecucao="Global","",ORÇAMENTO.Unidade)</f>
        <v/>
      </c>
      <c r="G33" s="151" t="str">
        <f ca="1">IF(RegimeExecucao="Global","",ORÇAMENTO!T33)</f>
        <v/>
      </c>
      <c r="H33" s="151" t="str">
        <f ca="1">IF(RegimeExecucao="Global","",ORÇAMENTO!W33)</f>
        <v/>
      </c>
      <c r="I33" s="154">
        <f ca="1">ORÇAMENTO!X33</f>
        <v>0</v>
      </c>
      <c r="J33" s="427">
        <f ca="1">IF($A33="S",IF(CAIXA.Modo,BM.AFAnterior,BM.MEDAnterior),IF(AND(RegimeExecucao="Global",$I33&gt;0,COUNTIF($AB$13:$AM$13,BM.medicao-1)&gt;0),M33/$I33*100,0))</f>
        <v>0</v>
      </c>
      <c r="K33" s="151">
        <f t="shared" ca="1" si="11"/>
        <v>0</v>
      </c>
      <c r="L33" s="428">
        <f ca="1">IF($A33="S",IF(CAIXA.Modo,BM.AFAcumulado,BM.MEDAcumulado),IF(AND(RegimeExecucao="Global",$I33&gt;0,COUNTIF($AB$13:$AM$13,BM.medicao)&gt;0),O33/$I33*100,0))</f>
        <v>0</v>
      </c>
      <c r="M33" s="429">
        <f ca="1">IF($A33="S",VTOTALBM,IF($A33=0,0,ROUND(SomaAgrupBM,15-13*ORÇAMENTO!$AF$11)))</f>
        <v>0</v>
      </c>
      <c r="N33" s="430">
        <f t="shared" ca="1" si="12"/>
        <v>0</v>
      </c>
      <c r="O33" s="154">
        <f ca="1">IF($A33="S",VTOTALBM,IF($A33=0,0,ROUND(SomaAgrupBM,15-13*ORÇAMENTO!$AF$11)))</f>
        <v>0</v>
      </c>
      <c r="Q33" s="431"/>
      <c r="R33" s="432"/>
      <c r="T33" s="146" t="str">
        <f t="shared" ca="1" si="13"/>
        <v/>
      </c>
      <c r="U33" s="206" t="str">
        <f t="shared" ca="1" si="14"/>
        <v/>
      </c>
      <c r="V33" s="207" t="str">
        <f ca="1">IF(AND($W33&gt;0,RegimeExecucao="Unitário"),$F33,"")</f>
        <v/>
      </c>
      <c r="W33" s="633">
        <f ca="1">IF($Y33&gt;0,CHOOSE(MATCH(RegimeExecucao,{"Unitário","Global"},0),IF($A33="S",$Y33/$X33,""),($Y33/$X33)*100),0)</f>
        <v>0</v>
      </c>
      <c r="X33" s="433" t="str">
        <f ca="1">IF($Y33&gt;0,CHOOSE(MATCH(RegimeExecucao,{"Unitário","Global"},0),IF($A33="S",ROUND($H33,ORÇAMENTO!$AF$10),""),ROUND($I33,ORÇAMENTO!$AF$11)),"")</f>
        <v/>
      </c>
      <c r="Y33" s="433">
        <f t="shared" ca="1" si="15"/>
        <v>0</v>
      </c>
      <c r="Z33" s="660"/>
      <c r="AB33" s="431"/>
      <c r="AC33" s="598"/>
      <c r="AD33" s="598"/>
      <c r="AE33" s="598"/>
      <c r="AF33" s="598"/>
      <c r="AG33" s="598"/>
      <c r="AH33" s="598"/>
      <c r="AI33" s="598"/>
      <c r="AJ33" s="598"/>
      <c r="AK33" s="598"/>
      <c r="AL33" s="598"/>
      <c r="AM33" s="432"/>
      <c r="AO33">
        <f ca="1">IF($A33="S",IF(BM!$I33=0,0,CHOOSE(MATCH(RegimeExecucao,{"Global","Unitário"},0),ROUND(ROUND(BM.MEDAcumulado,15-13*BM!$A$9)/100*BM!$I33,15-13*ORÇAMENTO!$AF$11),ROUND(ROUND(BM.MEDAcumulado,15-13*BM!$A$9)*ROUND(BM!$H33,15-13*ORÇAMENTO!$AF$10),15-13*ORÇAMENTO!$AF$11))),IF($A33=0,0,ROUND(SomaAgrupBM,15-13*ORÇAMENTO!$AF$11)))</f>
        <v>0</v>
      </c>
    </row>
    <row r="34" spans="1:41" ht="38.25" x14ac:dyDescent="0.2">
      <c r="A34" t="str">
        <f ca="1">ORÇAMENTO!C34</f>
        <v>S</v>
      </c>
      <c r="B34">
        <f ca="1">ORÇAMENTO!D34</f>
        <v>0</v>
      </c>
      <c r="C34" s="143" t="str">
        <f t="shared" ca="1" si="10"/>
        <v/>
      </c>
      <c r="D34" s="146" t="str">
        <f ca="1">ORÇAMENTO!O34</f>
        <v>-</v>
      </c>
      <c r="E34" s="206" t="str">
        <f t="shared" si="3"/>
        <v>FABRICAÇÃO, MONTAGEM E DESMONTAGEM DE FÔRMA PARA BLOCO DE COROAMENTO, EM MADEIRA SERRADA, E=25 MM, 4 UTILIZAÇÕES. AF_01/2024</v>
      </c>
      <c r="F34" s="207" t="str">
        <f ca="1">IF(RegimeExecucao="Global","",ORÇAMENTO.Unidade)</f>
        <v/>
      </c>
      <c r="G34" s="151" t="str">
        <f ca="1">IF(RegimeExecucao="Global","",ORÇAMENTO!T34)</f>
        <v/>
      </c>
      <c r="H34" s="151" t="str">
        <f ca="1">IF(RegimeExecucao="Global","",ORÇAMENTO!W34)</f>
        <v/>
      </c>
      <c r="I34" s="154">
        <f ca="1">ORÇAMENTO!X34</f>
        <v>0</v>
      </c>
      <c r="J34" s="427">
        <f ca="1">IF($A34="S",IF(CAIXA.Modo,BM.AFAnterior,BM.MEDAnterior),IF(AND(RegimeExecucao="Global",$I34&gt;0,COUNTIF($AB$13:$AM$13,BM.medicao-1)&gt;0),M34/$I34*100,0))</f>
        <v>0</v>
      </c>
      <c r="K34" s="151">
        <f t="shared" ca="1" si="11"/>
        <v>0</v>
      </c>
      <c r="L34" s="428">
        <f ca="1">IF($A34="S",IF(CAIXA.Modo,BM.AFAcumulado,BM.MEDAcumulado),IF(AND(RegimeExecucao="Global",$I34&gt;0,COUNTIF($AB$13:$AM$13,BM.medicao)&gt;0),O34/$I34*100,0))</f>
        <v>0</v>
      </c>
      <c r="M34" s="429">
        <f ca="1">IF($A34="S",VTOTALBM,IF($A34=0,0,ROUND(SomaAgrupBM,15-13*ORÇAMENTO!$AF$11)))</f>
        <v>0</v>
      </c>
      <c r="N34" s="430">
        <f t="shared" ca="1" si="12"/>
        <v>0</v>
      </c>
      <c r="O34" s="154">
        <f ca="1">IF($A34="S",VTOTALBM,IF($A34=0,0,ROUND(SomaAgrupBM,15-13*ORÇAMENTO!$AF$11)))</f>
        <v>0</v>
      </c>
      <c r="Q34" s="431"/>
      <c r="R34" s="432"/>
      <c r="T34" s="146" t="str">
        <f t="shared" ca="1" si="13"/>
        <v/>
      </c>
      <c r="U34" s="206" t="str">
        <f t="shared" ca="1" si="14"/>
        <v/>
      </c>
      <c r="V34" s="207" t="str">
        <f ca="1">IF(AND($W34&gt;0,RegimeExecucao="Unitário"),$F34,"")</f>
        <v/>
      </c>
      <c r="W34" s="633">
        <f ca="1">IF($Y34&gt;0,CHOOSE(MATCH(RegimeExecucao,{"Unitário","Global"},0),IF($A34="S",$Y34/$X34,""),($Y34/$X34)*100),0)</f>
        <v>0</v>
      </c>
      <c r="X34" s="433" t="str">
        <f ca="1">IF($Y34&gt;0,CHOOSE(MATCH(RegimeExecucao,{"Unitário","Global"},0),IF($A34="S",ROUND($H34,ORÇAMENTO!$AF$10),""),ROUND($I34,ORÇAMENTO!$AF$11)),"")</f>
        <v/>
      </c>
      <c r="Y34" s="433">
        <f t="shared" ca="1" si="15"/>
        <v>0</v>
      </c>
      <c r="Z34" s="660"/>
      <c r="AB34" s="431"/>
      <c r="AC34" s="598"/>
      <c r="AD34" s="598"/>
      <c r="AE34" s="598"/>
      <c r="AF34" s="598"/>
      <c r="AG34" s="598"/>
      <c r="AH34" s="598"/>
      <c r="AI34" s="598"/>
      <c r="AJ34" s="598"/>
      <c r="AK34" s="598"/>
      <c r="AL34" s="598"/>
      <c r="AM34" s="432"/>
      <c r="AO34">
        <f ca="1">IF($A34="S",IF(BM!$I34=0,0,CHOOSE(MATCH(RegimeExecucao,{"Global","Unitário"},0),ROUND(ROUND(BM.MEDAcumulado,15-13*BM!$A$9)/100*BM!$I34,15-13*ORÇAMENTO!$AF$11),ROUND(ROUND(BM.MEDAcumulado,15-13*BM!$A$9)*ROUND(BM!$H34,15-13*ORÇAMENTO!$AF$10),15-13*ORÇAMENTO!$AF$11))),IF($A34=0,0,ROUND(SomaAgrupBM,15-13*ORÇAMENTO!$AF$11)))</f>
        <v>0</v>
      </c>
    </row>
    <row r="35" spans="1:41" ht="25.5" x14ac:dyDescent="0.2">
      <c r="A35" t="str">
        <f ca="1">ORÇAMENTO!C35</f>
        <v>S</v>
      </c>
      <c r="B35">
        <f ca="1">ORÇAMENTO!D35</f>
        <v>0</v>
      </c>
      <c r="C35" s="143" t="str">
        <f t="shared" ca="1" si="10"/>
        <v/>
      </c>
      <c r="D35" s="146" t="str">
        <f ca="1">ORÇAMENTO!O35</f>
        <v>-</v>
      </c>
      <c r="E35" s="206" t="str">
        <f t="shared" si="3"/>
        <v>ARMAÇÃO DE BLOCO UTILIZANDO AÇO CA-50 DE 6,3 MM - MONTAGEM. AF_01/2024</v>
      </c>
      <c r="F35" s="207" t="str">
        <f ca="1">IF(RegimeExecucao="Global","",ORÇAMENTO.Unidade)</f>
        <v/>
      </c>
      <c r="G35" s="151" t="str">
        <f ca="1">IF(RegimeExecucao="Global","",ORÇAMENTO!T35)</f>
        <v/>
      </c>
      <c r="H35" s="151" t="str">
        <f ca="1">IF(RegimeExecucao="Global","",ORÇAMENTO!W35)</f>
        <v/>
      </c>
      <c r="I35" s="154">
        <f ca="1">ORÇAMENTO!X35</f>
        <v>0</v>
      </c>
      <c r="J35" s="427">
        <f ca="1">IF($A35="S",IF(CAIXA.Modo,BM.AFAnterior,BM.MEDAnterior),IF(AND(RegimeExecucao="Global",$I35&gt;0,COUNTIF($AB$13:$AM$13,BM.medicao-1)&gt;0),M35/$I35*100,0))</f>
        <v>0</v>
      </c>
      <c r="K35" s="151">
        <f t="shared" ca="1" si="11"/>
        <v>0</v>
      </c>
      <c r="L35" s="428">
        <f ca="1">IF($A35="S",IF(CAIXA.Modo,BM.AFAcumulado,BM.MEDAcumulado),IF(AND(RegimeExecucao="Global",$I35&gt;0,COUNTIF($AB$13:$AM$13,BM.medicao)&gt;0),O35/$I35*100,0))</f>
        <v>0</v>
      </c>
      <c r="M35" s="429">
        <f ca="1">IF($A35="S",VTOTALBM,IF($A35=0,0,ROUND(SomaAgrupBM,15-13*ORÇAMENTO!$AF$11)))</f>
        <v>0</v>
      </c>
      <c r="N35" s="430">
        <f t="shared" ca="1" si="12"/>
        <v>0</v>
      </c>
      <c r="O35" s="154">
        <f ca="1">IF($A35="S",VTOTALBM,IF($A35=0,0,ROUND(SomaAgrupBM,15-13*ORÇAMENTO!$AF$11)))</f>
        <v>0</v>
      </c>
      <c r="Q35" s="431"/>
      <c r="R35" s="432"/>
      <c r="T35" s="146" t="str">
        <f t="shared" ca="1" si="13"/>
        <v/>
      </c>
      <c r="U35" s="206" t="str">
        <f t="shared" ca="1" si="14"/>
        <v/>
      </c>
      <c r="V35" s="207" t="str">
        <f ca="1">IF(AND($W35&gt;0,RegimeExecucao="Unitário"),$F35,"")</f>
        <v/>
      </c>
      <c r="W35" s="633">
        <f ca="1">IF($Y35&gt;0,CHOOSE(MATCH(RegimeExecucao,{"Unitário","Global"},0),IF($A35="S",$Y35/$X35,""),($Y35/$X35)*100),0)</f>
        <v>0</v>
      </c>
      <c r="X35" s="433" t="str">
        <f ca="1">IF($Y35&gt;0,CHOOSE(MATCH(RegimeExecucao,{"Unitário","Global"},0),IF($A35="S",ROUND($H35,ORÇAMENTO!$AF$10),""),ROUND($I35,ORÇAMENTO!$AF$11)),"")</f>
        <v/>
      </c>
      <c r="Y35" s="433">
        <f t="shared" ca="1" si="15"/>
        <v>0</v>
      </c>
      <c r="Z35" s="660"/>
      <c r="AB35" s="431"/>
      <c r="AC35" s="598"/>
      <c r="AD35" s="598"/>
      <c r="AE35" s="598"/>
      <c r="AF35" s="598"/>
      <c r="AG35" s="598"/>
      <c r="AH35" s="598"/>
      <c r="AI35" s="598"/>
      <c r="AJ35" s="598"/>
      <c r="AK35" s="598"/>
      <c r="AL35" s="598"/>
      <c r="AM35" s="432"/>
      <c r="AO35">
        <f ca="1">IF($A35="S",IF(BM!$I35=0,0,CHOOSE(MATCH(RegimeExecucao,{"Global","Unitário"},0),ROUND(ROUND(BM.MEDAcumulado,15-13*BM!$A$9)/100*BM!$I35,15-13*ORÇAMENTO!$AF$11),ROUND(ROUND(BM.MEDAcumulado,15-13*BM!$A$9)*ROUND(BM!$H35,15-13*ORÇAMENTO!$AF$10),15-13*ORÇAMENTO!$AF$11))),IF($A35=0,0,ROUND(SomaAgrupBM,15-13*ORÇAMENTO!$AF$11)))</f>
        <v>0</v>
      </c>
    </row>
    <row r="36" spans="1:41" ht="25.5" x14ac:dyDescent="0.2">
      <c r="A36" t="str">
        <f ca="1">ORÇAMENTO!C36</f>
        <v>S</v>
      </c>
      <c r="B36">
        <f ca="1">ORÇAMENTO!D36</f>
        <v>0</v>
      </c>
      <c r="C36" s="143" t="str">
        <f t="shared" ca="1" si="10"/>
        <v/>
      </c>
      <c r="D36" s="146" t="str">
        <f ca="1">ORÇAMENTO!O36</f>
        <v>-</v>
      </c>
      <c r="E36" s="206" t="str">
        <f t="shared" si="3"/>
        <v>ARMAÇÃO DE BLOCO UTILIZANDO AÇO CA-50 DE 8 MM - MONTAGEM. AF_01/2024</v>
      </c>
      <c r="F36" s="207" t="str">
        <f ca="1">IF(RegimeExecucao="Global","",ORÇAMENTO.Unidade)</f>
        <v/>
      </c>
      <c r="G36" s="151" t="str">
        <f ca="1">IF(RegimeExecucao="Global","",ORÇAMENTO!T36)</f>
        <v/>
      </c>
      <c r="H36" s="151" t="str">
        <f ca="1">IF(RegimeExecucao="Global","",ORÇAMENTO!W36)</f>
        <v/>
      </c>
      <c r="I36" s="154">
        <f ca="1">ORÇAMENTO!X36</f>
        <v>0</v>
      </c>
      <c r="J36" s="427">
        <f ca="1">IF($A36="S",IF(CAIXA.Modo,BM.AFAnterior,BM.MEDAnterior),IF(AND(RegimeExecucao="Global",$I36&gt;0,COUNTIF($AB$13:$AM$13,BM.medicao-1)&gt;0),M36/$I36*100,0))</f>
        <v>0</v>
      </c>
      <c r="K36" s="151">
        <f t="shared" ca="1" si="11"/>
        <v>0</v>
      </c>
      <c r="L36" s="428">
        <f ca="1">IF($A36="S",IF(CAIXA.Modo,BM.AFAcumulado,BM.MEDAcumulado),IF(AND(RegimeExecucao="Global",$I36&gt;0,COUNTIF($AB$13:$AM$13,BM.medicao)&gt;0),O36/$I36*100,0))</f>
        <v>0</v>
      </c>
      <c r="M36" s="429">
        <f ca="1">IF($A36="S",VTOTALBM,IF($A36=0,0,ROUND(SomaAgrupBM,15-13*ORÇAMENTO!$AF$11)))</f>
        <v>0</v>
      </c>
      <c r="N36" s="430">
        <f t="shared" ca="1" si="12"/>
        <v>0</v>
      </c>
      <c r="O36" s="154">
        <f ca="1">IF($A36="S",VTOTALBM,IF($A36=0,0,ROUND(SomaAgrupBM,15-13*ORÇAMENTO!$AF$11)))</f>
        <v>0</v>
      </c>
      <c r="Q36" s="431"/>
      <c r="R36" s="432"/>
      <c r="T36" s="146" t="str">
        <f t="shared" ca="1" si="13"/>
        <v/>
      </c>
      <c r="U36" s="206" t="str">
        <f t="shared" ca="1" si="14"/>
        <v/>
      </c>
      <c r="V36" s="207" t="str">
        <f ca="1">IF(AND($W36&gt;0,RegimeExecucao="Unitário"),$F36,"")</f>
        <v/>
      </c>
      <c r="W36" s="633">
        <f ca="1">IF($Y36&gt;0,CHOOSE(MATCH(RegimeExecucao,{"Unitário","Global"},0),IF($A36="S",$Y36/$X36,""),($Y36/$X36)*100),0)</f>
        <v>0</v>
      </c>
      <c r="X36" s="433" t="str">
        <f ca="1">IF($Y36&gt;0,CHOOSE(MATCH(RegimeExecucao,{"Unitário","Global"},0),IF($A36="S",ROUND($H36,ORÇAMENTO!$AF$10),""),ROUND($I36,ORÇAMENTO!$AF$11)),"")</f>
        <v/>
      </c>
      <c r="Y36" s="433">
        <f t="shared" ca="1" si="15"/>
        <v>0</v>
      </c>
      <c r="Z36" s="660"/>
      <c r="AB36" s="431"/>
      <c r="AC36" s="598"/>
      <c r="AD36" s="598"/>
      <c r="AE36" s="598"/>
      <c r="AF36" s="598"/>
      <c r="AG36" s="598"/>
      <c r="AH36" s="598"/>
      <c r="AI36" s="598"/>
      <c r="AJ36" s="598"/>
      <c r="AK36" s="598"/>
      <c r="AL36" s="598"/>
      <c r="AM36" s="432"/>
      <c r="AO36">
        <f ca="1">IF($A36="S",IF(BM!$I36=0,0,CHOOSE(MATCH(RegimeExecucao,{"Global","Unitário"},0),ROUND(ROUND(BM.MEDAcumulado,15-13*BM!$A$9)/100*BM!$I36,15-13*ORÇAMENTO!$AF$11),ROUND(ROUND(BM.MEDAcumulado,15-13*BM!$A$9)*ROUND(BM!$H36,15-13*ORÇAMENTO!$AF$10),15-13*ORÇAMENTO!$AF$11))),IF($A36=0,0,ROUND(SomaAgrupBM,15-13*ORÇAMENTO!$AF$11)))</f>
        <v>0</v>
      </c>
    </row>
    <row r="37" spans="1:41" ht="25.5" x14ac:dyDescent="0.2">
      <c r="A37" t="str">
        <f ca="1">ORÇAMENTO!C37</f>
        <v>S</v>
      </c>
      <c r="B37">
        <f ca="1">ORÇAMENTO!D37</f>
        <v>0</v>
      </c>
      <c r="C37" s="143" t="str">
        <f ca="1">IF(OR($I37&gt;0,$A37=1,$A37=2,$A37=3,$A37=4),"F","")</f>
        <v/>
      </c>
      <c r="D37" s="146" t="str">
        <f ca="1">ORÇAMENTO!O37</f>
        <v>-</v>
      </c>
      <c r="E37" s="206" t="str">
        <f>ORÇAMENTO.Descricao</f>
        <v>ARMAÇÃO DE BLOCO UTILIZANDO AÇO CA-50 DE 10 MM - MONTAGEM. AF_01/2024</v>
      </c>
      <c r="F37" s="207" t="str">
        <f ca="1">IF(RegimeExecucao="Global","",ORÇAMENTO.Unidade)</f>
        <v/>
      </c>
      <c r="G37" s="151" t="str">
        <f ca="1">IF(RegimeExecucao="Global","",ORÇAMENTO!T37)</f>
        <v/>
      </c>
      <c r="H37" s="151" t="str">
        <f ca="1">IF(RegimeExecucao="Global","",ORÇAMENTO!W37)</f>
        <v/>
      </c>
      <c r="I37" s="154">
        <f ca="1">ORÇAMENTO!X37</f>
        <v>0</v>
      </c>
      <c r="J37" s="427">
        <f ca="1">IF($A37="S",IF(CAIXA.Modo,BM.AFAnterior,BM.MEDAnterior),IF(AND(RegimeExecucao="Global",$I37&gt;0,COUNTIF($AB$13:$AM$13,BM.medicao-1)&gt;0),M37/$I37*100,0))</f>
        <v>0</v>
      </c>
      <c r="K37" s="151">
        <f t="shared" ca="1" si="11"/>
        <v>0</v>
      </c>
      <c r="L37" s="428">
        <f ca="1">IF($A37="S",IF(CAIXA.Modo,BM.AFAcumulado,BM.MEDAcumulado),IF(AND(RegimeExecucao="Global",$I37&gt;0,COUNTIF($AB$13:$AM$13,BM.medicao)&gt;0),O37/$I37*100,0))</f>
        <v>0</v>
      </c>
      <c r="M37" s="429">
        <f ca="1">IF($A37="S",VTOTALBM,IF($A37=0,0,ROUND(SomaAgrupBM,15-13*ORÇAMENTO!$AF$11)))</f>
        <v>0</v>
      </c>
      <c r="N37" s="430">
        <f t="shared" ca="1" si="12"/>
        <v>0</v>
      </c>
      <c r="O37" s="154">
        <f ca="1">IF($A37="S",VTOTALBM,IF($A37=0,0,ROUND(SomaAgrupBM,15-13*ORÇAMENTO!$AF$11)))</f>
        <v>0</v>
      </c>
      <c r="Q37" s="431"/>
      <c r="R37" s="432"/>
      <c r="T37" s="146" t="str">
        <f ca="1">IF($W37&gt;0,$D37,"")</f>
        <v/>
      </c>
      <c r="U37" s="206" t="str">
        <f ca="1">IF($W37&gt;0,$E37,"")</f>
        <v/>
      </c>
      <c r="V37" s="207" t="str">
        <f ca="1">IF(AND($W37&gt;0,RegimeExecucao="Unitário"),$F37,"")</f>
        <v/>
      </c>
      <c r="W37" s="633">
        <f ca="1">IF($Y37&gt;0,CHOOSE(MATCH(RegimeExecucao,{"Unitário","Global"},0),IF($A37="S",$Y37/$X37,""),($Y37/$X37)*100),0)</f>
        <v>0</v>
      </c>
      <c r="X37" s="433" t="str">
        <f ca="1">IF($Y37&gt;0,CHOOSE(MATCH(RegimeExecucao,{"Unitário","Global"},0),IF($A37="S",ROUND($H37,ORÇAMENTO!$AF$10),""),ROUND($I37,ORÇAMENTO!$AF$11)),"")</f>
        <v/>
      </c>
      <c r="Y37" s="433">
        <f ca="1">AO37-O37</f>
        <v>0</v>
      </c>
      <c r="Z37" s="660"/>
      <c r="AB37" s="431"/>
      <c r="AC37" s="598"/>
      <c r="AD37" s="598"/>
      <c r="AE37" s="598"/>
      <c r="AF37" s="598"/>
      <c r="AG37" s="598"/>
      <c r="AH37" s="598"/>
      <c r="AI37" s="598"/>
      <c r="AJ37" s="598"/>
      <c r="AK37" s="598"/>
      <c r="AL37" s="598"/>
      <c r="AM37" s="432"/>
      <c r="AO37">
        <f ca="1">IF($A37="S",IF(BM!$I37=0,0,CHOOSE(MATCH(RegimeExecucao,{"Global","Unitário"},0),ROUND(ROUND(BM.MEDAcumulado,15-13*BM!$A$9)/100*BM!$I37,15-13*ORÇAMENTO!$AF$11),ROUND(ROUND(BM.MEDAcumulado,15-13*BM!$A$9)*ROUND(BM!$H37,15-13*ORÇAMENTO!$AF$10),15-13*ORÇAMENTO!$AF$11))),IF($A37=0,0,ROUND(SomaAgrupBM,15-13*ORÇAMENTO!$AF$11)))</f>
        <v>0</v>
      </c>
    </row>
    <row r="38" spans="1:41" ht="25.5" x14ac:dyDescent="0.2">
      <c r="A38" t="str">
        <f ca="1">ORÇAMENTO!C38</f>
        <v>S</v>
      </c>
      <c r="B38">
        <f ca="1">ORÇAMENTO!D38</f>
        <v>0</v>
      </c>
      <c r="C38" s="143" t="str">
        <f t="shared" ref="C38" ca="1" si="16">IF(OR($I38&gt;0,$A38=1,$A38=2,$A38=3,$A38=4),"F","")</f>
        <v/>
      </c>
      <c r="D38" s="146" t="str">
        <f ca="1">ORÇAMENTO!O38</f>
        <v>-</v>
      </c>
      <c r="E38" s="206" t="str">
        <f>ORÇAMENTO.Descricao</f>
        <v>ARMAÇÃO DE BLOCO UTILIZANDO AÇO CA-60 DE 5 MM - MONTAGEM. AF_01/2024</v>
      </c>
      <c r="F38" s="207" t="str">
        <f ca="1">IF(RegimeExecucao="Global","",ORÇAMENTO.Unidade)</f>
        <v/>
      </c>
      <c r="G38" s="151" t="str">
        <f ca="1">IF(RegimeExecucao="Global","",ORÇAMENTO!T38)</f>
        <v/>
      </c>
      <c r="H38" s="151" t="str">
        <f ca="1">IF(RegimeExecucao="Global","",ORÇAMENTO!W38)</f>
        <v/>
      </c>
      <c r="I38" s="154">
        <f ca="1">ORÇAMENTO!X38</f>
        <v>0</v>
      </c>
      <c r="J38" s="427">
        <f ca="1">IF($A38="S",IF(CAIXA.Modo,BM.AFAnterior,BM.MEDAnterior),IF(AND(RegimeExecucao="Global",$I38&gt;0,COUNTIF($AB$13:$AM$13,BM.medicao-1)&gt;0),M38/$I38*100,0))</f>
        <v>0</v>
      </c>
      <c r="K38" s="151">
        <f t="shared" ca="1" si="11"/>
        <v>0</v>
      </c>
      <c r="L38" s="428">
        <f ca="1">IF($A38="S",IF(CAIXA.Modo,BM.AFAcumulado,BM.MEDAcumulado),IF(AND(RegimeExecucao="Global",$I38&gt;0,COUNTIF($AB$13:$AM$13,BM.medicao)&gt;0),O38/$I38*100,0))</f>
        <v>0</v>
      </c>
      <c r="M38" s="429">
        <f ca="1">IF($A38="S",VTOTALBM,IF($A38=0,0,ROUND(SomaAgrupBM,15-13*ORÇAMENTO!$AF$11)))</f>
        <v>0</v>
      </c>
      <c r="N38" s="430">
        <f t="shared" ca="1" si="12"/>
        <v>0</v>
      </c>
      <c r="O38" s="154">
        <f ca="1">IF($A38="S",VTOTALBM,IF($A38=0,0,ROUND(SomaAgrupBM,15-13*ORÇAMENTO!$AF$11)))</f>
        <v>0</v>
      </c>
      <c r="Q38" s="431"/>
      <c r="R38" s="432"/>
      <c r="T38" s="146" t="str">
        <f t="shared" ref="T38" ca="1" si="17">IF($W38&gt;0,$D38,"")</f>
        <v/>
      </c>
      <c r="U38" s="206" t="str">
        <f t="shared" ref="U38" ca="1" si="18">IF($W38&gt;0,$E38,"")</f>
        <v/>
      </c>
      <c r="V38" s="207" t="str">
        <f ca="1">IF(AND($W38&gt;0,RegimeExecucao="Unitário"),$F38,"")</f>
        <v/>
      </c>
      <c r="W38" s="633">
        <f ca="1">IF($Y38&gt;0,CHOOSE(MATCH(RegimeExecucao,{"Unitário","Global"},0),IF($A38="S",$Y38/$X38,""),($Y38/$X38)*100),0)</f>
        <v>0</v>
      </c>
      <c r="X38" s="433" t="str">
        <f ca="1">IF($Y38&gt;0,CHOOSE(MATCH(RegimeExecucao,{"Unitário","Global"},0),IF($A38="S",ROUND($H38,ORÇAMENTO!$AF$10),""),ROUND($I38,ORÇAMENTO!$AF$11)),"")</f>
        <v/>
      </c>
      <c r="Y38" s="433">
        <f t="shared" ref="Y38" ca="1" si="19">AO38-O38</f>
        <v>0</v>
      </c>
      <c r="Z38" s="660"/>
      <c r="AB38" s="431"/>
      <c r="AC38" s="598"/>
      <c r="AD38" s="598"/>
      <c r="AE38" s="598"/>
      <c r="AF38" s="598"/>
      <c r="AG38" s="598"/>
      <c r="AH38" s="598"/>
      <c r="AI38" s="598"/>
      <c r="AJ38" s="598"/>
      <c r="AK38" s="598"/>
      <c r="AL38" s="598"/>
      <c r="AM38" s="432"/>
      <c r="AO38">
        <f ca="1">IF($A38="S",IF(BM!$I38=0,0,CHOOSE(MATCH(RegimeExecucao,{"Global","Unitário"},0),ROUND(ROUND(BM.MEDAcumulado,15-13*BM!$A$9)/100*BM!$I38,15-13*ORÇAMENTO!$AF$11),ROUND(ROUND(BM.MEDAcumulado,15-13*BM!$A$9)*ROUND(BM!$H38,15-13*ORÇAMENTO!$AF$10),15-13*ORÇAMENTO!$AF$11))),IF($A38=0,0,ROUND(SomaAgrupBM,15-13*ORÇAMENTO!$AF$11)))</f>
        <v>0</v>
      </c>
    </row>
    <row r="39" spans="1:41" ht="38.25" x14ac:dyDescent="0.2">
      <c r="A39" t="str">
        <f ca="1">ORÇAMENTO!C39</f>
        <v>S</v>
      </c>
      <c r="B39">
        <f ca="1">ORÇAMENTO!D39</f>
        <v>0</v>
      </c>
      <c r="C39" s="143" t="str">
        <f ca="1">IF(OR($I39&gt;0,$A39=1,$A39=2,$A39=3,$A39=4),"F","")</f>
        <v/>
      </c>
      <c r="D39" s="146" t="str">
        <f ca="1">ORÇAMENTO!O39</f>
        <v>-</v>
      </c>
      <c r="E39" s="206" t="str">
        <f t="shared" si="3"/>
        <v>CONCRETAGEM DE BLOCO DE COROAMENTO OU VIGA BALDRAME, FCK 30 MPA, COM USO DE BOMBA - LANÇAMENTO, ADENSAMENTO E ACABAMENTO. AF_01/2024</v>
      </c>
      <c r="F39" s="207" t="str">
        <f ca="1">IF(RegimeExecucao="Global","",ORÇAMENTO.Unidade)</f>
        <v/>
      </c>
      <c r="G39" s="151" t="str">
        <f ca="1">IF(RegimeExecucao="Global","",ORÇAMENTO!T39)</f>
        <v/>
      </c>
      <c r="H39" s="151" t="str">
        <f ca="1">IF(RegimeExecucao="Global","",ORÇAMENTO!W39)</f>
        <v/>
      </c>
      <c r="I39" s="154">
        <f ca="1">ORÇAMENTO!X39</f>
        <v>0</v>
      </c>
      <c r="J39" s="427">
        <f ca="1">IF($A39="S",IF(CAIXA.Modo,BM.AFAnterior,BM.MEDAnterior),IF(AND(RegimeExecucao="Global",$I39&gt;0,COUNTIF($AB$13:$AM$13,BM.medicao-1)&gt;0),M39/$I39*100,0))</f>
        <v>0</v>
      </c>
      <c r="K39" s="151">
        <f ca="1">L39-J39</f>
        <v>0</v>
      </c>
      <c r="L39" s="428">
        <f ca="1">IF($A39="S",IF(CAIXA.Modo,BM.AFAcumulado,BM.MEDAcumulado),IF(AND(RegimeExecucao="Global",$I39&gt;0,COUNTIF($AB$13:$AM$13,BM.medicao)&gt;0),O39/$I39*100,0))</f>
        <v>0</v>
      </c>
      <c r="M39" s="429">
        <f ca="1">IF($A39="S",VTOTALBM,IF($A39=0,0,ROUND(SomaAgrupBM,15-13*ORÇAMENTO!$AF$11)))</f>
        <v>0</v>
      </c>
      <c r="N39" s="430">
        <f ca="1">O39-M39</f>
        <v>0</v>
      </c>
      <c r="O39" s="154">
        <f ca="1">IF($A39="S",VTOTALBM,IF($A39=0,0,ROUND(SomaAgrupBM,15-13*ORÇAMENTO!$AF$11)))</f>
        <v>0</v>
      </c>
      <c r="Q39" s="431"/>
      <c r="R39" s="432"/>
      <c r="T39" s="146" t="str">
        <f ca="1">IF($W39&gt;0,$D39,"")</f>
        <v/>
      </c>
      <c r="U39" s="206" t="str">
        <f ca="1">IF($W39&gt;0,$E39,"")</f>
        <v/>
      </c>
      <c r="V39" s="207" t="str">
        <f ca="1">IF(AND($W39&gt;0,RegimeExecucao="Unitário"),$F39,"")</f>
        <v/>
      </c>
      <c r="W39" s="633">
        <f ca="1">IF($Y39&gt;0,CHOOSE(MATCH(RegimeExecucao,{"Unitário","Global"},0),IF($A39="S",$Y39/$X39,""),($Y39/$X39)*100),0)</f>
        <v>0</v>
      </c>
      <c r="X39" s="433" t="str">
        <f ca="1">IF($Y39&gt;0,CHOOSE(MATCH(RegimeExecucao,{"Unitário","Global"},0),IF($A39="S",ROUND($H39,ORÇAMENTO!$AF$10),""),ROUND($I39,ORÇAMENTO!$AF$11)),"")</f>
        <v/>
      </c>
      <c r="Y39" s="433">
        <f ca="1">AO39-O39</f>
        <v>0</v>
      </c>
      <c r="Z39" s="660"/>
      <c r="AB39" s="431"/>
      <c r="AC39" s="598"/>
      <c r="AD39" s="598"/>
      <c r="AE39" s="598"/>
      <c r="AF39" s="598"/>
      <c r="AG39" s="598"/>
      <c r="AH39" s="598"/>
      <c r="AI39" s="598"/>
      <c r="AJ39" s="598"/>
      <c r="AK39" s="598"/>
      <c r="AL39" s="598"/>
      <c r="AM39" s="432"/>
      <c r="AO39">
        <f ca="1">IF($A39="S",IF(BM!$I39=0,0,CHOOSE(MATCH(RegimeExecucao,{"Global","Unitário"},0),ROUND(ROUND(BM.MEDAcumulado,15-13*BM!$A$9)/100*BM!$I39,15-13*ORÇAMENTO!$AF$11),ROUND(ROUND(BM.MEDAcumulado,15-13*BM!$A$9)*ROUND(BM!$H39,15-13*ORÇAMENTO!$AF$10),15-13*ORÇAMENTO!$AF$11))),IF($A39=0,0,ROUND(SomaAgrupBM,15-13*ORÇAMENTO!$AF$11)))</f>
        <v>0</v>
      </c>
    </row>
    <row r="40" spans="1:41" ht="38.25" x14ac:dyDescent="0.2">
      <c r="A40" t="str">
        <f ca="1">ORÇAMENTO!C40</f>
        <v>S</v>
      </c>
      <c r="B40">
        <f ca="1">ORÇAMENTO!D40</f>
        <v>0</v>
      </c>
      <c r="C40" s="143" t="str">
        <f ca="1">IF(OR($I40&gt;0,$A40=1,$A40=2,$A40=3,$A40=4),"F","")</f>
        <v/>
      </c>
      <c r="D40" s="146" t="str">
        <f ca="1">ORÇAMENTO!O40</f>
        <v>-</v>
      </c>
      <c r="E40" s="206" t="str">
        <f t="shared" si="3"/>
        <v>ESTACA HÉLICE CONTÍNUA, DIÂMETRO DE 30 CM, INCLUSO CONCRETO FCK=30MPA E ARMADURA MÍNIMA (EXCLUSIVE BOMBEAMENTO, MOBILIZAÇÃO E DESMOBILIZAÇÃO). AF_12/2019_PA</v>
      </c>
      <c r="F40" s="207" t="str">
        <f ca="1">IF(RegimeExecucao="Global","",ORÇAMENTO.Unidade)</f>
        <v/>
      </c>
      <c r="G40" s="151" t="str">
        <f ca="1">IF(RegimeExecucao="Global","",ORÇAMENTO!T40)</f>
        <v/>
      </c>
      <c r="H40" s="151" t="str">
        <f ca="1">IF(RegimeExecucao="Global","",ORÇAMENTO!W40)</f>
        <v/>
      </c>
      <c r="I40" s="154">
        <f ca="1">ORÇAMENTO!X40</f>
        <v>0</v>
      </c>
      <c r="J40" s="427">
        <f ca="1">IF($A40="S",IF(CAIXA.Modo,BM.AFAnterior,BM.MEDAnterior),IF(AND(RegimeExecucao="Global",$I40&gt;0,COUNTIF($AB$13:$AM$13,BM.medicao-1)&gt;0),M40/$I40*100,0))</f>
        <v>0</v>
      </c>
      <c r="K40" s="151">
        <f ca="1">L40-J40</f>
        <v>0</v>
      </c>
      <c r="L40" s="428">
        <f ca="1">IF($A40="S",IF(CAIXA.Modo,BM.AFAcumulado,BM.MEDAcumulado),IF(AND(RegimeExecucao="Global",$I40&gt;0,COUNTIF($AB$13:$AM$13,BM.medicao)&gt;0),O40/$I40*100,0))</f>
        <v>0</v>
      </c>
      <c r="M40" s="429">
        <f ca="1">IF($A40="S",VTOTALBM,IF($A40=0,0,ROUND(SomaAgrupBM,15-13*ORÇAMENTO!$AF$11)))</f>
        <v>0</v>
      </c>
      <c r="N40" s="430">
        <f ca="1">O40-M40</f>
        <v>0</v>
      </c>
      <c r="O40" s="154">
        <f ca="1">IF($A40="S",VTOTALBM,IF($A40=0,0,ROUND(SomaAgrupBM,15-13*ORÇAMENTO!$AF$11)))</f>
        <v>0</v>
      </c>
      <c r="Q40" s="431"/>
      <c r="R40" s="432"/>
      <c r="T40" s="146" t="str">
        <f ca="1">IF($W40&gt;0,$D40,"")</f>
        <v/>
      </c>
      <c r="U40" s="206" t="str">
        <f ca="1">IF($W40&gt;0,$E40,"")</f>
        <v/>
      </c>
      <c r="V40" s="207" t="str">
        <f ca="1">IF(AND($W40&gt;0,RegimeExecucao="Unitário"),$F40,"")</f>
        <v/>
      </c>
      <c r="W40" s="633">
        <f ca="1">IF($Y40&gt;0,CHOOSE(MATCH(RegimeExecucao,{"Unitário","Global"},0),IF($A40="S",$Y40/$X40,""),($Y40/$X40)*100),0)</f>
        <v>0</v>
      </c>
      <c r="X40" s="433" t="str">
        <f ca="1">IF($Y40&gt;0,CHOOSE(MATCH(RegimeExecucao,{"Unitário","Global"},0),IF($A40="S",ROUND($H40,ORÇAMENTO!$AF$10),""),ROUND($I40,ORÇAMENTO!$AF$11)),"")</f>
        <v/>
      </c>
      <c r="Y40" s="433">
        <f ca="1">AO40-O40</f>
        <v>0</v>
      </c>
      <c r="Z40" s="660"/>
      <c r="AB40" s="431"/>
      <c r="AC40" s="598"/>
      <c r="AD40" s="598"/>
      <c r="AE40" s="598"/>
      <c r="AF40" s="598"/>
      <c r="AG40" s="598"/>
      <c r="AH40" s="598"/>
      <c r="AI40" s="598"/>
      <c r="AJ40" s="598"/>
      <c r="AK40" s="598"/>
      <c r="AL40" s="598"/>
      <c r="AM40" s="432"/>
      <c r="AO40">
        <f ca="1">IF($A40="S",IF(BM!$I40=0,0,CHOOSE(MATCH(RegimeExecucao,{"Global","Unitário"},0),ROUND(ROUND(BM.MEDAcumulado,15-13*BM!$A$9)/100*BM!$I40,15-13*ORÇAMENTO!$AF$11),ROUND(ROUND(BM.MEDAcumulado,15-13*BM!$A$9)*ROUND(BM!$H40,15-13*ORÇAMENTO!$AF$10),15-13*ORÇAMENTO!$AF$11))),IF($A40=0,0,ROUND(SomaAgrupBM,15-13*ORÇAMENTO!$AF$11)))</f>
        <v>0</v>
      </c>
    </row>
    <row r="41" spans="1:41" ht="38.25" x14ac:dyDescent="0.2">
      <c r="A41" t="str">
        <f ca="1">ORÇAMENTO!C41</f>
        <v>S</v>
      </c>
      <c r="B41">
        <f ca="1">ORÇAMENTO!D41</f>
        <v>0</v>
      </c>
      <c r="C41" s="143" t="str">
        <f t="shared" ref="C41" ca="1" si="20">IF(OR($I41&gt;0,$A41=1,$A41=2,$A41=3,$A41=4),"F","")</f>
        <v/>
      </c>
      <c r="D41" s="146" t="str">
        <f ca="1">ORÇAMENTO!O41</f>
        <v>-</v>
      </c>
      <c r="E41" s="206" t="str">
        <f t="shared" si="3"/>
        <v>ESTACA HÉLICE CONTÍNUA , DIÂMETRO DE 50 CM, INCLUSO CONCRETO FCK=30MPA E ARMADURA MÍNIMA (EXCLUSIVE BOMBEAMENTO, MOBILIZAÇÃO E DESMOBILIZAÇÃO). AF_12/2019_PA</v>
      </c>
      <c r="F41" s="207" t="str">
        <f ca="1">IF(RegimeExecucao="Global","",ORÇAMENTO.Unidade)</f>
        <v/>
      </c>
      <c r="G41" s="151" t="str">
        <f ca="1">IF(RegimeExecucao="Global","",ORÇAMENTO!T41)</f>
        <v/>
      </c>
      <c r="H41" s="151" t="str">
        <f ca="1">IF(RegimeExecucao="Global","",ORÇAMENTO!W41)</f>
        <v/>
      </c>
      <c r="I41" s="154">
        <f ca="1">ORÇAMENTO!X41</f>
        <v>0</v>
      </c>
      <c r="J41" s="427">
        <f ca="1">IF($A41="S",IF(CAIXA.Modo,BM.AFAnterior,BM.MEDAnterior),IF(AND(RegimeExecucao="Global",$I41&gt;0,COUNTIF($AB$13:$AM$13,BM.medicao-1)&gt;0),M41/$I41*100,0))</f>
        <v>0</v>
      </c>
      <c r="K41" s="151">
        <f t="shared" ref="K41" ca="1" si="21">L41-J41</f>
        <v>0</v>
      </c>
      <c r="L41" s="428">
        <f ca="1">IF($A41="S",IF(CAIXA.Modo,BM.AFAcumulado,BM.MEDAcumulado),IF(AND(RegimeExecucao="Global",$I41&gt;0,COUNTIF($AB$13:$AM$13,BM.medicao)&gt;0),O41/$I41*100,0))</f>
        <v>0</v>
      </c>
      <c r="M41" s="429">
        <f ca="1">IF($A41="S",VTOTALBM,IF($A41=0,0,ROUND(SomaAgrupBM,15-13*ORÇAMENTO!$AF$11)))</f>
        <v>0</v>
      </c>
      <c r="N41" s="430">
        <f t="shared" ref="N41" ca="1" si="22">O41-M41</f>
        <v>0</v>
      </c>
      <c r="O41" s="154">
        <f ca="1">IF($A41="S",VTOTALBM,IF($A41=0,0,ROUND(SomaAgrupBM,15-13*ORÇAMENTO!$AF$11)))</f>
        <v>0</v>
      </c>
      <c r="Q41" s="431"/>
      <c r="R41" s="432"/>
      <c r="T41" s="146" t="str">
        <f t="shared" ref="T41" ca="1" si="23">IF($W41&gt;0,$D41,"")</f>
        <v/>
      </c>
      <c r="U41" s="206" t="str">
        <f t="shared" ref="U41" ca="1" si="24">IF($W41&gt;0,$E41,"")</f>
        <v/>
      </c>
      <c r="V41" s="207" t="str">
        <f ca="1">IF(AND($W41&gt;0,RegimeExecucao="Unitário"),$F41,"")</f>
        <v/>
      </c>
      <c r="W41" s="633">
        <f ca="1">IF($Y41&gt;0,CHOOSE(MATCH(RegimeExecucao,{"Unitário","Global"},0),IF($A41="S",$Y41/$X41,""),($Y41/$X41)*100),0)</f>
        <v>0</v>
      </c>
      <c r="X41" s="433" t="str">
        <f ca="1">IF($Y41&gt;0,CHOOSE(MATCH(RegimeExecucao,{"Unitário","Global"},0),IF($A41="S",ROUND($H41,ORÇAMENTO!$AF$10),""),ROUND($I41,ORÇAMENTO!$AF$11)),"")</f>
        <v/>
      </c>
      <c r="Y41" s="433">
        <f t="shared" ref="Y41" ca="1" si="25">AO41-O41</f>
        <v>0</v>
      </c>
      <c r="Z41" s="660"/>
      <c r="AB41" s="431"/>
      <c r="AC41" s="598"/>
      <c r="AD41" s="598"/>
      <c r="AE41" s="598"/>
      <c r="AF41" s="598"/>
      <c r="AG41" s="598"/>
      <c r="AH41" s="598"/>
      <c r="AI41" s="598"/>
      <c r="AJ41" s="598"/>
      <c r="AK41" s="598"/>
      <c r="AL41" s="598"/>
      <c r="AM41" s="432"/>
      <c r="AO41">
        <f ca="1">IF($A41="S",IF(BM!$I41=0,0,CHOOSE(MATCH(RegimeExecucao,{"Global","Unitário"},0),ROUND(ROUND(BM.MEDAcumulado,15-13*BM!$A$9)/100*BM!$I41,15-13*ORÇAMENTO!$AF$11),ROUND(ROUND(BM.MEDAcumulado,15-13*BM!$A$9)*ROUND(BM!$H41,15-13*ORÇAMENTO!$AF$10),15-13*ORÇAMENTO!$AF$11))),IF($A41=0,0,ROUND(SomaAgrupBM,15-13*ORÇAMENTO!$AF$11)))</f>
        <v>0</v>
      </c>
    </row>
    <row r="42" spans="1:41" x14ac:dyDescent="0.2">
      <c r="A42">
        <f ca="1">ORÇAMENTO!C42</f>
        <v>2</v>
      </c>
      <c r="B42">
        <f ca="1">ORÇAMENTO!D42</f>
        <v>3</v>
      </c>
      <c r="C42" s="143" t="str">
        <f t="shared" ref="C42:C59" ca="1" si="26">IF(OR($I42&gt;0,$A42=1,$A42=2,$A42=3,$A42=4),"F","")</f>
        <v>F</v>
      </c>
      <c r="D42" s="146" t="str">
        <f ca="1">ORÇAMENTO!O42</f>
        <v>1.5.</v>
      </c>
      <c r="E42" s="206" t="str">
        <f t="shared" si="3"/>
        <v xml:space="preserve">ESCAVAÇÃO BALDRAME </v>
      </c>
      <c r="F42" s="207" t="str">
        <f ca="1">IF(RegimeExecucao="Global","",ORÇAMENTO.Unidade)</f>
        <v/>
      </c>
      <c r="G42" s="151" t="str">
        <f ca="1">IF(RegimeExecucao="Global","",ORÇAMENTO!T42)</f>
        <v/>
      </c>
      <c r="H42" s="151" t="str">
        <f ca="1">IF(RegimeExecucao="Global","",ORÇAMENTO!W42)</f>
        <v/>
      </c>
      <c r="I42" s="154">
        <f ca="1">ORÇAMENTO!X42</f>
        <v>0</v>
      </c>
      <c r="J42" s="427">
        <f ca="1">IF($A42="S",IF(CAIXA.Modo,BM.AFAnterior,BM.MEDAnterior),IF(AND(RegimeExecucao="Global",$I42&gt;0,COUNTIF($AB$13:$AM$13,BM.medicao-1)&gt;0),M42/$I42*100,0))</f>
        <v>0</v>
      </c>
      <c r="K42" s="151">
        <f t="shared" ref="K42:K59" ca="1" si="27">L42-J42</f>
        <v>0</v>
      </c>
      <c r="L42" s="428">
        <f ca="1">IF($A42="S",IF(CAIXA.Modo,BM.AFAcumulado,BM.MEDAcumulado),IF(AND(RegimeExecucao="Global",$I42&gt;0,COUNTIF($AB$13:$AM$13,BM.medicao)&gt;0),O42/$I42*100,0))</f>
        <v>0</v>
      </c>
      <c r="M42" s="429">
        <f ca="1">IF($A42="S",VTOTALBM,IF($A42=0,0,ROUND(SomaAgrupBM,15-13*ORÇAMENTO!$AF$11)))</f>
        <v>0</v>
      </c>
      <c r="N42" s="430">
        <f t="shared" ref="N42:N59" ca="1" si="28">O42-M42</f>
        <v>0</v>
      </c>
      <c r="O42" s="154">
        <f ca="1">IF($A42="S",VTOTALBM,IF($A42=0,0,ROUND(SomaAgrupBM,15-13*ORÇAMENTO!$AF$11)))</f>
        <v>0</v>
      </c>
      <c r="Q42" s="431"/>
      <c r="R42" s="432"/>
      <c r="T42" s="146" t="str">
        <f t="shared" ref="T42:T59" ca="1" si="29">IF($W42&gt;0,$D42,"")</f>
        <v/>
      </c>
      <c r="U42" s="206" t="str">
        <f t="shared" ref="U42:U59" ca="1" si="30">IF($W42&gt;0,$E42,"")</f>
        <v/>
      </c>
      <c r="V42" s="207" t="str">
        <f ca="1">IF(AND($W42&gt;0,RegimeExecucao="Unitário"),$F42,"")</f>
        <v/>
      </c>
      <c r="W42" s="633">
        <f ca="1">IF($Y42&gt;0,CHOOSE(MATCH(RegimeExecucao,{"Unitário","Global"},0),IF($A42="S",$Y42/$X42,""),($Y42/$X42)*100),0)</f>
        <v>0</v>
      </c>
      <c r="X42" s="433" t="str">
        <f ca="1">IF($Y42&gt;0,CHOOSE(MATCH(RegimeExecucao,{"Unitário","Global"},0),IF($A42="S",ROUND($H42,ORÇAMENTO!$AF$10),""),ROUND($I42,ORÇAMENTO!$AF$11)),"")</f>
        <v/>
      </c>
      <c r="Y42" s="433">
        <f t="shared" ref="Y42:Y59" ca="1" si="31">AO42-O42</f>
        <v>0</v>
      </c>
      <c r="Z42" s="660"/>
      <c r="AB42" s="431"/>
      <c r="AC42" s="598"/>
      <c r="AD42" s="598"/>
      <c r="AE42" s="598"/>
      <c r="AF42" s="598"/>
      <c r="AG42" s="598"/>
      <c r="AH42" s="598"/>
      <c r="AI42" s="598"/>
      <c r="AJ42" s="598"/>
      <c r="AK42" s="598"/>
      <c r="AL42" s="598"/>
      <c r="AM42" s="432"/>
      <c r="AO42">
        <f ca="1">IF($A42="S",IF(BM!$I42=0,0,CHOOSE(MATCH(RegimeExecucao,{"Global","Unitário"},0),ROUND(ROUND(BM.MEDAcumulado,15-13*BM!$A$9)/100*BM!$I42,15-13*ORÇAMENTO!$AF$11),ROUND(ROUND(BM.MEDAcumulado,15-13*BM!$A$9)*ROUND(BM!$H42,15-13*ORÇAMENTO!$AF$10),15-13*ORÇAMENTO!$AF$11))),IF($A42=0,0,ROUND(SomaAgrupBM,15-13*ORÇAMENTO!$AF$11)))</f>
        <v>0</v>
      </c>
    </row>
    <row r="43" spans="1:41" ht="38.25" x14ac:dyDescent="0.2">
      <c r="A43" t="str">
        <f ca="1">ORÇAMENTO!C43</f>
        <v>S</v>
      </c>
      <c r="B43">
        <f ca="1">ORÇAMENTO!D43</f>
        <v>0</v>
      </c>
      <c r="C43" s="143" t="str">
        <f t="shared" ca="1" si="26"/>
        <v/>
      </c>
      <c r="D43" s="146" t="str">
        <f ca="1">ORÇAMENTO!O43</f>
        <v>-</v>
      </c>
      <c r="E43" s="206" t="str">
        <f t="shared" si="3"/>
        <v>ESCAVAÇÃO MANUAL PARA VIGA BALDRAME OU SAPATA CORRIDA (INCLUINDO ESCAVAÇÃO PARA COLOCAÇÃO DE FÔRMAS). AF_01/2024</v>
      </c>
      <c r="F43" s="207" t="str">
        <f ca="1">IF(RegimeExecucao="Global","",ORÇAMENTO.Unidade)</f>
        <v/>
      </c>
      <c r="G43" s="151" t="str">
        <f ca="1">IF(RegimeExecucao="Global","",ORÇAMENTO!T43)</f>
        <v/>
      </c>
      <c r="H43" s="151" t="str">
        <f ca="1">IF(RegimeExecucao="Global","",ORÇAMENTO!W43)</f>
        <v/>
      </c>
      <c r="I43" s="154">
        <f ca="1">ORÇAMENTO!X43</f>
        <v>0</v>
      </c>
      <c r="J43" s="427">
        <f ca="1">IF($A43="S",IF(CAIXA.Modo,BM.AFAnterior,BM.MEDAnterior),IF(AND(RegimeExecucao="Global",$I43&gt;0,COUNTIF($AB$13:$AM$13,BM.medicao-1)&gt;0),M43/$I43*100,0))</f>
        <v>0</v>
      </c>
      <c r="K43" s="151">
        <f t="shared" ca="1" si="27"/>
        <v>0</v>
      </c>
      <c r="L43" s="428">
        <f ca="1">IF($A43="S",IF(CAIXA.Modo,BM.AFAcumulado,BM.MEDAcumulado),IF(AND(RegimeExecucao="Global",$I43&gt;0,COUNTIF($AB$13:$AM$13,BM.medicao)&gt;0),O43/$I43*100,0))</f>
        <v>0</v>
      </c>
      <c r="M43" s="429">
        <f ca="1">IF($A43="S",VTOTALBM,IF($A43=0,0,ROUND(SomaAgrupBM,15-13*ORÇAMENTO!$AF$11)))</f>
        <v>0</v>
      </c>
      <c r="N43" s="430">
        <f t="shared" ca="1" si="28"/>
        <v>0</v>
      </c>
      <c r="O43" s="154">
        <f ca="1">IF($A43="S",VTOTALBM,IF($A43=0,0,ROUND(SomaAgrupBM,15-13*ORÇAMENTO!$AF$11)))</f>
        <v>0</v>
      </c>
      <c r="Q43" s="431"/>
      <c r="R43" s="432"/>
      <c r="T43" s="146" t="str">
        <f t="shared" ca="1" si="29"/>
        <v/>
      </c>
      <c r="U43" s="206" t="str">
        <f t="shared" ca="1" si="30"/>
        <v/>
      </c>
      <c r="V43" s="207" t="str">
        <f ca="1">IF(AND($W43&gt;0,RegimeExecucao="Unitário"),$F43,"")</f>
        <v/>
      </c>
      <c r="W43" s="633">
        <f ca="1">IF($Y43&gt;0,CHOOSE(MATCH(RegimeExecucao,{"Unitário","Global"},0),IF($A43="S",$Y43/$X43,""),($Y43/$X43)*100),0)</f>
        <v>0</v>
      </c>
      <c r="X43" s="433" t="str">
        <f ca="1">IF($Y43&gt;0,CHOOSE(MATCH(RegimeExecucao,{"Unitário","Global"},0),IF($A43="S",ROUND($H43,ORÇAMENTO!$AF$10),""),ROUND($I43,ORÇAMENTO!$AF$11)),"")</f>
        <v/>
      </c>
      <c r="Y43" s="433">
        <f t="shared" ca="1" si="31"/>
        <v>0</v>
      </c>
      <c r="Z43" s="660"/>
      <c r="AB43" s="431"/>
      <c r="AC43" s="598"/>
      <c r="AD43" s="598"/>
      <c r="AE43" s="598"/>
      <c r="AF43" s="598"/>
      <c r="AG43" s="598"/>
      <c r="AH43" s="598"/>
      <c r="AI43" s="598"/>
      <c r="AJ43" s="598"/>
      <c r="AK43" s="598"/>
      <c r="AL43" s="598"/>
      <c r="AM43" s="432"/>
      <c r="AO43">
        <f ca="1">IF($A43="S",IF(BM!$I43=0,0,CHOOSE(MATCH(RegimeExecucao,{"Global","Unitário"},0),ROUND(ROUND(BM.MEDAcumulado,15-13*BM!$A$9)/100*BM!$I43,15-13*ORÇAMENTO!$AF$11),ROUND(ROUND(BM.MEDAcumulado,15-13*BM!$A$9)*ROUND(BM!$H43,15-13*ORÇAMENTO!$AF$10),15-13*ORÇAMENTO!$AF$11))),IF($A43=0,0,ROUND(SomaAgrupBM,15-13*ORÇAMENTO!$AF$11)))</f>
        <v>0</v>
      </c>
    </row>
    <row r="44" spans="1:41" ht="25.5" x14ac:dyDescent="0.2">
      <c r="A44" t="str">
        <f ca="1">ORÇAMENTO!C44</f>
        <v>S</v>
      </c>
      <c r="B44">
        <f ca="1">ORÇAMENTO!D44</f>
        <v>0</v>
      </c>
      <c r="C44" s="143" t="str">
        <f t="shared" ca="1" si="26"/>
        <v/>
      </c>
      <c r="D44" s="146" t="str">
        <f ca="1">ORÇAMENTO!O44</f>
        <v>-</v>
      </c>
      <c r="E44" s="206" t="str">
        <f t="shared" si="3"/>
        <v>REATERRO MANUAL DE VALAS, COM COMPACTADOR DE SOLOS DE PERCUSSÃO. AF_08/2023</v>
      </c>
      <c r="F44" s="207" t="str">
        <f ca="1">IF(RegimeExecucao="Global","",ORÇAMENTO.Unidade)</f>
        <v/>
      </c>
      <c r="G44" s="151" t="str">
        <f ca="1">IF(RegimeExecucao="Global","",ORÇAMENTO!T44)</f>
        <v/>
      </c>
      <c r="H44" s="151" t="str">
        <f ca="1">IF(RegimeExecucao="Global","",ORÇAMENTO!W44)</f>
        <v/>
      </c>
      <c r="I44" s="154">
        <f ca="1">ORÇAMENTO!X44</f>
        <v>0</v>
      </c>
      <c r="J44" s="427">
        <f ca="1">IF($A44="S",IF(CAIXA.Modo,BM.AFAnterior,BM.MEDAnterior),IF(AND(RegimeExecucao="Global",$I44&gt;0,COUNTIF($AB$13:$AM$13,BM.medicao-1)&gt;0),M44/$I44*100,0))</f>
        <v>0</v>
      </c>
      <c r="K44" s="151">
        <f t="shared" ca="1" si="27"/>
        <v>0</v>
      </c>
      <c r="L44" s="428">
        <f ca="1">IF($A44="S",IF(CAIXA.Modo,BM.AFAcumulado,BM.MEDAcumulado),IF(AND(RegimeExecucao="Global",$I44&gt;0,COUNTIF($AB$13:$AM$13,BM.medicao)&gt;0),O44/$I44*100,0))</f>
        <v>0</v>
      </c>
      <c r="M44" s="429">
        <f ca="1">IF($A44="S",VTOTALBM,IF($A44=0,0,ROUND(SomaAgrupBM,15-13*ORÇAMENTO!$AF$11)))</f>
        <v>0</v>
      </c>
      <c r="N44" s="430">
        <f t="shared" ca="1" si="28"/>
        <v>0</v>
      </c>
      <c r="O44" s="154">
        <f ca="1">IF($A44="S",VTOTALBM,IF($A44=0,0,ROUND(SomaAgrupBM,15-13*ORÇAMENTO!$AF$11)))</f>
        <v>0</v>
      </c>
      <c r="Q44" s="431"/>
      <c r="R44" s="432"/>
      <c r="T44" s="146" t="str">
        <f t="shared" ca="1" si="29"/>
        <v/>
      </c>
      <c r="U44" s="206" t="str">
        <f t="shared" ca="1" si="30"/>
        <v/>
      </c>
      <c r="V44" s="207" t="str">
        <f ca="1">IF(AND($W44&gt;0,RegimeExecucao="Unitário"),$F44,"")</f>
        <v/>
      </c>
      <c r="W44" s="633">
        <f ca="1">IF($Y44&gt;0,CHOOSE(MATCH(RegimeExecucao,{"Unitário","Global"},0),IF($A44="S",$Y44/$X44,""),($Y44/$X44)*100),0)</f>
        <v>0</v>
      </c>
      <c r="X44" s="433" t="str">
        <f ca="1">IF($Y44&gt;0,CHOOSE(MATCH(RegimeExecucao,{"Unitário","Global"},0),IF($A44="S",ROUND($H44,ORÇAMENTO!$AF$10),""),ROUND($I44,ORÇAMENTO!$AF$11)),"")</f>
        <v/>
      </c>
      <c r="Y44" s="433">
        <f t="shared" ca="1" si="31"/>
        <v>0</v>
      </c>
      <c r="Z44" s="660"/>
      <c r="AB44" s="431"/>
      <c r="AC44" s="598"/>
      <c r="AD44" s="598"/>
      <c r="AE44" s="598"/>
      <c r="AF44" s="598"/>
      <c r="AG44" s="598"/>
      <c r="AH44" s="598"/>
      <c r="AI44" s="598"/>
      <c r="AJ44" s="598"/>
      <c r="AK44" s="598"/>
      <c r="AL44" s="598"/>
      <c r="AM44" s="432"/>
      <c r="AO44">
        <f ca="1">IF($A44="S",IF(BM!$I44=0,0,CHOOSE(MATCH(RegimeExecucao,{"Global","Unitário"},0),ROUND(ROUND(BM.MEDAcumulado,15-13*BM!$A$9)/100*BM!$I44,15-13*ORÇAMENTO!$AF$11),ROUND(ROUND(BM.MEDAcumulado,15-13*BM!$A$9)*ROUND(BM!$H44,15-13*ORÇAMENTO!$AF$10),15-13*ORÇAMENTO!$AF$11))),IF($A44=0,0,ROUND(SomaAgrupBM,15-13*ORÇAMENTO!$AF$11)))</f>
        <v>0</v>
      </c>
    </row>
    <row r="45" spans="1:41" x14ac:dyDescent="0.2">
      <c r="A45">
        <f ca="1">ORÇAMENTO!C45</f>
        <v>2</v>
      </c>
      <c r="B45">
        <f ca="1">ORÇAMENTO!D45</f>
        <v>6</v>
      </c>
      <c r="C45" s="143" t="str">
        <f t="shared" ca="1" si="26"/>
        <v>F</v>
      </c>
      <c r="D45" s="146" t="str">
        <f ca="1">ORÇAMENTO!O45</f>
        <v>1.6.</v>
      </c>
      <c r="E45" s="206" t="str">
        <f t="shared" si="3"/>
        <v>PILARES (INCLUSO COLARINHO)</v>
      </c>
      <c r="F45" s="207" t="str">
        <f ca="1">IF(RegimeExecucao="Global","",ORÇAMENTO.Unidade)</f>
        <v/>
      </c>
      <c r="G45" s="151" t="str">
        <f ca="1">IF(RegimeExecucao="Global","",ORÇAMENTO!T45)</f>
        <v/>
      </c>
      <c r="H45" s="151" t="str">
        <f ca="1">IF(RegimeExecucao="Global","",ORÇAMENTO!W45)</f>
        <v/>
      </c>
      <c r="I45" s="154">
        <f ca="1">ORÇAMENTO!X45</f>
        <v>0</v>
      </c>
      <c r="J45" s="427">
        <f ca="1">IF($A45="S",IF(CAIXA.Modo,BM.AFAnterior,BM.MEDAnterior),IF(AND(RegimeExecucao="Global",$I45&gt;0,COUNTIF($AB$13:$AM$13,BM.medicao-1)&gt;0),M45/$I45*100,0))</f>
        <v>0</v>
      </c>
      <c r="K45" s="151">
        <f t="shared" ca="1" si="27"/>
        <v>0</v>
      </c>
      <c r="L45" s="428">
        <f ca="1">IF($A45="S",IF(CAIXA.Modo,BM.AFAcumulado,BM.MEDAcumulado),IF(AND(RegimeExecucao="Global",$I45&gt;0,COUNTIF($AB$13:$AM$13,BM.medicao)&gt;0),O45/$I45*100,0))</f>
        <v>0</v>
      </c>
      <c r="M45" s="429">
        <f ca="1">IF($A45="S",VTOTALBM,IF($A45=0,0,ROUND(SomaAgrupBM,15-13*ORÇAMENTO!$AF$11)))</f>
        <v>0</v>
      </c>
      <c r="N45" s="430">
        <f t="shared" ca="1" si="28"/>
        <v>0</v>
      </c>
      <c r="O45" s="154">
        <f ca="1">IF($A45="S",VTOTALBM,IF($A45=0,0,ROUND(SomaAgrupBM,15-13*ORÇAMENTO!$AF$11)))</f>
        <v>0</v>
      </c>
      <c r="Q45" s="431"/>
      <c r="R45" s="432"/>
      <c r="T45" s="146" t="str">
        <f t="shared" ca="1" si="29"/>
        <v/>
      </c>
      <c r="U45" s="206" t="str">
        <f t="shared" ca="1" si="30"/>
        <v/>
      </c>
      <c r="V45" s="207" t="str">
        <f ca="1">IF(AND($W45&gt;0,RegimeExecucao="Unitário"),$F45,"")</f>
        <v/>
      </c>
      <c r="W45" s="633">
        <f ca="1">IF($Y45&gt;0,CHOOSE(MATCH(RegimeExecucao,{"Unitário","Global"},0),IF($A45="S",$Y45/$X45,""),($Y45/$X45)*100),0)</f>
        <v>0</v>
      </c>
      <c r="X45" s="433" t="str">
        <f ca="1">IF($Y45&gt;0,CHOOSE(MATCH(RegimeExecucao,{"Unitário","Global"},0),IF($A45="S",ROUND($H45,ORÇAMENTO!$AF$10),""),ROUND($I45,ORÇAMENTO!$AF$11)),"")</f>
        <v/>
      </c>
      <c r="Y45" s="433">
        <f t="shared" ca="1" si="31"/>
        <v>0</v>
      </c>
      <c r="Z45" s="660"/>
      <c r="AB45" s="431"/>
      <c r="AC45" s="598"/>
      <c r="AD45" s="598"/>
      <c r="AE45" s="598"/>
      <c r="AF45" s="598"/>
      <c r="AG45" s="598"/>
      <c r="AH45" s="598"/>
      <c r="AI45" s="598"/>
      <c r="AJ45" s="598"/>
      <c r="AK45" s="598"/>
      <c r="AL45" s="598"/>
      <c r="AM45" s="432"/>
      <c r="AO45">
        <f ca="1">IF($A45="S",IF(BM!$I45=0,0,CHOOSE(MATCH(RegimeExecucao,{"Global","Unitário"},0),ROUND(ROUND(BM.MEDAcumulado,15-13*BM!$A$9)/100*BM!$I45,15-13*ORÇAMENTO!$AF$11),ROUND(ROUND(BM.MEDAcumulado,15-13*BM!$A$9)*ROUND(BM!$H45,15-13*ORÇAMENTO!$AF$10),15-13*ORÇAMENTO!$AF$11))),IF($A45=0,0,ROUND(SomaAgrupBM,15-13*ORÇAMENTO!$AF$11)))</f>
        <v>0</v>
      </c>
    </row>
    <row r="46" spans="1:41" ht="51" x14ac:dyDescent="0.2">
      <c r="A46" t="str">
        <f ca="1">ORÇAMENTO!C46</f>
        <v>S</v>
      </c>
      <c r="B46">
        <f ca="1">ORÇAMENTO!D46</f>
        <v>0</v>
      </c>
      <c r="C46" s="143" t="str">
        <f t="shared" ca="1" si="26"/>
        <v/>
      </c>
      <c r="D46" s="146" t="str">
        <f ca="1">ORÇAMENTO!O46</f>
        <v>-</v>
      </c>
      <c r="E46" s="206" t="str">
        <f t="shared" si="3"/>
        <v>MONTAGEM E DESMONTAGEM DE FÔRMA DE PILARES RETANGULARES E ESTRUTURAS SIMILARES, PÉ-DIREITO SIMPLES, EM CHAPA DE MADEIRA COMPENSADA PLASTIFICADA, 18 UTILIZAÇÕES. AF_09/2020</v>
      </c>
      <c r="F46" s="207" t="str">
        <f ca="1">IF(RegimeExecucao="Global","",ORÇAMENTO.Unidade)</f>
        <v/>
      </c>
      <c r="G46" s="151" t="str">
        <f ca="1">IF(RegimeExecucao="Global","",ORÇAMENTO!T46)</f>
        <v/>
      </c>
      <c r="H46" s="151" t="str">
        <f ca="1">IF(RegimeExecucao="Global","",ORÇAMENTO!W46)</f>
        <v/>
      </c>
      <c r="I46" s="154">
        <f ca="1">ORÇAMENTO!X46</f>
        <v>0</v>
      </c>
      <c r="J46" s="427">
        <f ca="1">IF($A46="S",IF(CAIXA.Modo,BM.AFAnterior,BM.MEDAnterior),IF(AND(RegimeExecucao="Global",$I46&gt;0,COUNTIF($AB$13:$AM$13,BM.medicao-1)&gt;0),M46/$I46*100,0))</f>
        <v>0</v>
      </c>
      <c r="K46" s="151">
        <f t="shared" ca="1" si="27"/>
        <v>0</v>
      </c>
      <c r="L46" s="428">
        <f ca="1">IF($A46="S",IF(CAIXA.Modo,BM.AFAcumulado,BM.MEDAcumulado),IF(AND(RegimeExecucao="Global",$I46&gt;0,COUNTIF($AB$13:$AM$13,BM.medicao)&gt;0),O46/$I46*100,0))</f>
        <v>0</v>
      </c>
      <c r="M46" s="429">
        <f ca="1">IF($A46="S",VTOTALBM,IF($A46=0,0,ROUND(SomaAgrupBM,15-13*ORÇAMENTO!$AF$11)))</f>
        <v>0</v>
      </c>
      <c r="N46" s="430">
        <f t="shared" ca="1" si="28"/>
        <v>0</v>
      </c>
      <c r="O46" s="154">
        <f ca="1">IF($A46="S",VTOTALBM,IF($A46=0,0,ROUND(SomaAgrupBM,15-13*ORÇAMENTO!$AF$11)))</f>
        <v>0</v>
      </c>
      <c r="Q46" s="431"/>
      <c r="R46" s="432"/>
      <c r="T46" s="146" t="str">
        <f t="shared" ca="1" si="29"/>
        <v/>
      </c>
      <c r="U46" s="206" t="str">
        <f t="shared" ca="1" si="30"/>
        <v/>
      </c>
      <c r="V46" s="207" t="str">
        <f ca="1">IF(AND($W46&gt;0,RegimeExecucao="Unitário"),$F46,"")</f>
        <v/>
      </c>
      <c r="W46" s="633">
        <f ca="1">IF($Y46&gt;0,CHOOSE(MATCH(RegimeExecucao,{"Unitário","Global"},0),IF($A46="S",$Y46/$X46,""),($Y46/$X46)*100),0)</f>
        <v>0</v>
      </c>
      <c r="X46" s="433" t="str">
        <f ca="1">IF($Y46&gt;0,CHOOSE(MATCH(RegimeExecucao,{"Unitário","Global"},0),IF($A46="S",ROUND($H46,ORÇAMENTO!$AF$10),""),ROUND($I46,ORÇAMENTO!$AF$11)),"")</f>
        <v/>
      </c>
      <c r="Y46" s="433">
        <f t="shared" ca="1" si="31"/>
        <v>0</v>
      </c>
      <c r="Z46" s="660"/>
      <c r="AB46" s="431"/>
      <c r="AC46" s="598"/>
      <c r="AD46" s="598"/>
      <c r="AE46" s="598"/>
      <c r="AF46" s="598"/>
      <c r="AG46" s="598"/>
      <c r="AH46" s="598"/>
      <c r="AI46" s="598"/>
      <c r="AJ46" s="598"/>
      <c r="AK46" s="598"/>
      <c r="AL46" s="598"/>
      <c r="AM46" s="432"/>
      <c r="AO46">
        <f ca="1">IF($A46="S",IF(BM!$I46=0,0,CHOOSE(MATCH(RegimeExecucao,{"Global","Unitário"},0),ROUND(ROUND(BM.MEDAcumulado,15-13*BM!$A$9)/100*BM!$I46,15-13*ORÇAMENTO!$AF$11),ROUND(ROUND(BM.MEDAcumulado,15-13*BM!$A$9)*ROUND(BM!$H46,15-13*ORÇAMENTO!$AF$10),15-13*ORÇAMENTO!$AF$11))),IF($A46=0,0,ROUND(SomaAgrupBM,15-13*ORÇAMENTO!$AF$11)))</f>
        <v>0</v>
      </c>
    </row>
    <row r="47" spans="1:41" ht="25.5" x14ac:dyDescent="0.2">
      <c r="A47" t="str">
        <f ca="1">ORÇAMENTO!C47</f>
        <v>S</v>
      </c>
      <c r="B47">
        <f ca="1">ORÇAMENTO!D47</f>
        <v>0</v>
      </c>
      <c r="C47" s="143" t="str">
        <f t="shared" ca="1" si="26"/>
        <v/>
      </c>
      <c r="D47" s="146" t="str">
        <f ca="1">ORÇAMENTO!O47</f>
        <v>-</v>
      </c>
      <c r="E47" s="206" t="str">
        <f t="shared" si="3"/>
        <v>CONCRETAGEM DE PILARES, FCK = 25 MPA, COM USO DE BOMBA - LANÇAMENTO, ADENSAMENTO E ACABAMENTO. AF_02/2022_PS</v>
      </c>
      <c r="F47" s="207" t="str">
        <f ca="1">IF(RegimeExecucao="Global","",ORÇAMENTO.Unidade)</f>
        <v/>
      </c>
      <c r="G47" s="151" t="str">
        <f ca="1">IF(RegimeExecucao="Global","",ORÇAMENTO!T47)</f>
        <v/>
      </c>
      <c r="H47" s="151" t="str">
        <f ca="1">IF(RegimeExecucao="Global","",ORÇAMENTO!W47)</f>
        <v/>
      </c>
      <c r="I47" s="154">
        <f ca="1">ORÇAMENTO!X47</f>
        <v>0</v>
      </c>
      <c r="J47" s="427">
        <f ca="1">IF($A47="S",IF(CAIXA.Modo,BM.AFAnterior,BM.MEDAnterior),IF(AND(RegimeExecucao="Global",$I47&gt;0,COUNTIF($AB$13:$AM$13,BM.medicao-1)&gt;0),M47/$I47*100,0))</f>
        <v>0</v>
      </c>
      <c r="K47" s="151">
        <f t="shared" ca="1" si="27"/>
        <v>0</v>
      </c>
      <c r="L47" s="428">
        <f ca="1">IF($A47="S",IF(CAIXA.Modo,BM.AFAcumulado,BM.MEDAcumulado),IF(AND(RegimeExecucao="Global",$I47&gt;0,COUNTIF($AB$13:$AM$13,BM.medicao)&gt;0),O47/$I47*100,0))</f>
        <v>0</v>
      </c>
      <c r="M47" s="429">
        <f ca="1">IF($A47="S",VTOTALBM,IF($A47=0,0,ROUND(SomaAgrupBM,15-13*ORÇAMENTO!$AF$11)))</f>
        <v>0</v>
      </c>
      <c r="N47" s="430">
        <f t="shared" ca="1" si="28"/>
        <v>0</v>
      </c>
      <c r="O47" s="154">
        <f ca="1">IF($A47="S",VTOTALBM,IF($A47=0,0,ROUND(SomaAgrupBM,15-13*ORÇAMENTO!$AF$11)))</f>
        <v>0</v>
      </c>
      <c r="Q47" s="431"/>
      <c r="R47" s="432"/>
      <c r="T47" s="146" t="str">
        <f t="shared" ca="1" si="29"/>
        <v/>
      </c>
      <c r="U47" s="206" t="str">
        <f t="shared" ca="1" si="30"/>
        <v/>
      </c>
      <c r="V47" s="207" t="str">
        <f ca="1">IF(AND($W47&gt;0,RegimeExecucao="Unitário"),$F47,"")</f>
        <v/>
      </c>
      <c r="W47" s="633">
        <f ca="1">IF($Y47&gt;0,CHOOSE(MATCH(RegimeExecucao,{"Unitário","Global"},0),IF($A47="S",$Y47/$X47,""),($Y47/$X47)*100),0)</f>
        <v>0</v>
      </c>
      <c r="X47" s="433" t="str">
        <f ca="1">IF($Y47&gt;0,CHOOSE(MATCH(RegimeExecucao,{"Unitário","Global"},0),IF($A47="S",ROUND($H47,ORÇAMENTO!$AF$10),""),ROUND($I47,ORÇAMENTO!$AF$11)),"")</f>
        <v/>
      </c>
      <c r="Y47" s="433">
        <f t="shared" ca="1" si="31"/>
        <v>0</v>
      </c>
      <c r="Z47" s="660"/>
      <c r="AB47" s="431"/>
      <c r="AC47" s="598"/>
      <c r="AD47" s="598"/>
      <c r="AE47" s="598"/>
      <c r="AF47" s="598"/>
      <c r="AG47" s="598"/>
      <c r="AH47" s="598"/>
      <c r="AI47" s="598"/>
      <c r="AJ47" s="598"/>
      <c r="AK47" s="598"/>
      <c r="AL47" s="598"/>
      <c r="AM47" s="432"/>
      <c r="AO47">
        <f ca="1">IF($A47="S",IF(BM!$I47=0,0,CHOOSE(MATCH(RegimeExecucao,{"Global","Unitário"},0),ROUND(ROUND(BM.MEDAcumulado,15-13*BM!$A$9)/100*BM!$I47,15-13*ORÇAMENTO!$AF$11),ROUND(ROUND(BM.MEDAcumulado,15-13*BM!$A$9)*ROUND(BM!$H47,15-13*ORÇAMENTO!$AF$10),15-13*ORÇAMENTO!$AF$11))),IF($A47=0,0,ROUND(SomaAgrupBM,15-13*ORÇAMENTO!$AF$11)))</f>
        <v>0</v>
      </c>
    </row>
    <row r="48" spans="1:41" ht="38.25" x14ac:dyDescent="0.2">
      <c r="A48" t="str">
        <f ca="1">ORÇAMENTO!C48</f>
        <v>S</v>
      </c>
      <c r="B48">
        <f ca="1">ORÇAMENTO!D48</f>
        <v>0</v>
      </c>
      <c r="C48" s="143" t="str">
        <f t="shared" ca="1" si="26"/>
        <v/>
      </c>
      <c r="D48" s="146" t="str">
        <f ca="1">ORÇAMENTO!O48</f>
        <v>-</v>
      </c>
      <c r="E48" s="206" t="str">
        <f t="shared" si="3"/>
        <v>ARMAÇÃO DE PILAR OU VIGA DE ESTRUTURA CONVENCIONAL DE CONCRETO ARMADO UTILIZANDO AÇO CA-50 DE 10,0 MM - MONTAGEM. AF_06/2022</v>
      </c>
      <c r="F48" s="207" t="str">
        <f ca="1">IF(RegimeExecucao="Global","",ORÇAMENTO.Unidade)</f>
        <v/>
      </c>
      <c r="G48" s="151" t="str">
        <f ca="1">IF(RegimeExecucao="Global","",ORÇAMENTO!T48)</f>
        <v/>
      </c>
      <c r="H48" s="151" t="str">
        <f ca="1">IF(RegimeExecucao="Global","",ORÇAMENTO!W48)</f>
        <v/>
      </c>
      <c r="I48" s="154">
        <f ca="1">ORÇAMENTO!X48</f>
        <v>0</v>
      </c>
      <c r="J48" s="427">
        <f ca="1">IF($A48="S",IF(CAIXA.Modo,BM.AFAnterior,BM.MEDAnterior),IF(AND(RegimeExecucao="Global",$I48&gt;0,COUNTIF($AB$13:$AM$13,BM.medicao-1)&gt;0),M48/$I48*100,0))</f>
        <v>0</v>
      </c>
      <c r="K48" s="151">
        <f t="shared" ca="1" si="27"/>
        <v>0</v>
      </c>
      <c r="L48" s="428">
        <f ca="1">IF($A48="S",IF(CAIXA.Modo,BM.AFAcumulado,BM.MEDAcumulado),IF(AND(RegimeExecucao="Global",$I48&gt;0,COUNTIF($AB$13:$AM$13,BM.medicao)&gt;0),O48/$I48*100,0))</f>
        <v>0</v>
      </c>
      <c r="M48" s="429">
        <f ca="1">IF($A48="S",VTOTALBM,IF($A48=0,0,ROUND(SomaAgrupBM,15-13*ORÇAMENTO!$AF$11)))</f>
        <v>0</v>
      </c>
      <c r="N48" s="430">
        <f t="shared" ca="1" si="28"/>
        <v>0</v>
      </c>
      <c r="O48" s="154">
        <f ca="1">IF($A48="S",VTOTALBM,IF($A48=0,0,ROUND(SomaAgrupBM,15-13*ORÇAMENTO!$AF$11)))</f>
        <v>0</v>
      </c>
      <c r="Q48" s="431"/>
      <c r="R48" s="432"/>
      <c r="T48" s="146" t="str">
        <f t="shared" ca="1" si="29"/>
        <v/>
      </c>
      <c r="U48" s="206" t="str">
        <f t="shared" ca="1" si="30"/>
        <v/>
      </c>
      <c r="V48" s="207" t="str">
        <f ca="1">IF(AND($W48&gt;0,RegimeExecucao="Unitário"),$F48,"")</f>
        <v/>
      </c>
      <c r="W48" s="633">
        <f ca="1">IF($Y48&gt;0,CHOOSE(MATCH(RegimeExecucao,{"Unitário","Global"},0),IF($A48="S",$Y48/$X48,""),($Y48/$X48)*100),0)</f>
        <v>0</v>
      </c>
      <c r="X48" s="433" t="str">
        <f ca="1">IF($Y48&gt;0,CHOOSE(MATCH(RegimeExecucao,{"Unitário","Global"},0),IF($A48="S",ROUND($H48,ORÇAMENTO!$AF$10),""),ROUND($I48,ORÇAMENTO!$AF$11)),"")</f>
        <v/>
      </c>
      <c r="Y48" s="433">
        <f t="shared" ca="1" si="31"/>
        <v>0</v>
      </c>
      <c r="Z48" s="660"/>
      <c r="AB48" s="431"/>
      <c r="AC48" s="598"/>
      <c r="AD48" s="598"/>
      <c r="AE48" s="598"/>
      <c r="AF48" s="598"/>
      <c r="AG48" s="598"/>
      <c r="AH48" s="598"/>
      <c r="AI48" s="598"/>
      <c r="AJ48" s="598"/>
      <c r="AK48" s="598"/>
      <c r="AL48" s="598"/>
      <c r="AM48" s="432"/>
      <c r="AO48">
        <f ca="1">IF($A48="S",IF(BM!$I48=0,0,CHOOSE(MATCH(RegimeExecucao,{"Global","Unitário"},0),ROUND(ROUND(BM.MEDAcumulado,15-13*BM!$A$9)/100*BM!$I48,15-13*ORÇAMENTO!$AF$11),ROUND(ROUND(BM.MEDAcumulado,15-13*BM!$A$9)*ROUND(BM!$H48,15-13*ORÇAMENTO!$AF$10),15-13*ORÇAMENTO!$AF$11))),IF($A48=0,0,ROUND(SomaAgrupBM,15-13*ORÇAMENTO!$AF$11)))</f>
        <v>0</v>
      </c>
    </row>
    <row r="49" spans="1:41" ht="38.25" x14ac:dyDescent="0.2">
      <c r="A49" t="str">
        <f ca="1">ORÇAMENTO!C49</f>
        <v>S</v>
      </c>
      <c r="B49">
        <f ca="1">ORÇAMENTO!D49</f>
        <v>0</v>
      </c>
      <c r="C49" s="143" t="str">
        <f t="shared" ca="1" si="26"/>
        <v/>
      </c>
      <c r="D49" s="146" t="str">
        <f ca="1">ORÇAMENTO!O49</f>
        <v>-</v>
      </c>
      <c r="E49" s="206" t="str">
        <f t="shared" si="3"/>
        <v>ARMAÇÃO DE PILAR OU VIGA DE ESTRUTURA CONVENCIONAL DE CONCRETO ARMADO UTILIZANDO AÇO CA-50 DE 12,5 MM - MONTAGEM. AF_06/2022</v>
      </c>
      <c r="F49" s="207" t="str">
        <f ca="1">IF(RegimeExecucao="Global","",ORÇAMENTO.Unidade)</f>
        <v/>
      </c>
      <c r="G49" s="151" t="str">
        <f ca="1">IF(RegimeExecucao="Global","",ORÇAMENTO!T49)</f>
        <v/>
      </c>
      <c r="H49" s="151" t="str">
        <f ca="1">IF(RegimeExecucao="Global","",ORÇAMENTO!W49)</f>
        <v/>
      </c>
      <c r="I49" s="154">
        <f ca="1">ORÇAMENTO!X49</f>
        <v>0</v>
      </c>
      <c r="J49" s="427">
        <f ca="1">IF($A49="S",IF(CAIXA.Modo,BM.AFAnterior,BM.MEDAnterior),IF(AND(RegimeExecucao="Global",$I49&gt;0,COUNTIF($AB$13:$AM$13,BM.medicao-1)&gt;0),M49/$I49*100,0))</f>
        <v>0</v>
      </c>
      <c r="K49" s="151">
        <f t="shared" ca="1" si="27"/>
        <v>0</v>
      </c>
      <c r="L49" s="428">
        <f ca="1">IF($A49="S",IF(CAIXA.Modo,BM.AFAcumulado,BM.MEDAcumulado),IF(AND(RegimeExecucao="Global",$I49&gt;0,COUNTIF($AB$13:$AM$13,BM.medicao)&gt;0),O49/$I49*100,0))</f>
        <v>0</v>
      </c>
      <c r="M49" s="429">
        <f ca="1">IF($A49="S",VTOTALBM,IF($A49=0,0,ROUND(SomaAgrupBM,15-13*ORÇAMENTO!$AF$11)))</f>
        <v>0</v>
      </c>
      <c r="N49" s="430">
        <f t="shared" ca="1" si="28"/>
        <v>0</v>
      </c>
      <c r="O49" s="154">
        <f ca="1">IF($A49="S",VTOTALBM,IF($A49=0,0,ROUND(SomaAgrupBM,15-13*ORÇAMENTO!$AF$11)))</f>
        <v>0</v>
      </c>
      <c r="Q49" s="431"/>
      <c r="R49" s="432"/>
      <c r="T49" s="146" t="str">
        <f t="shared" ca="1" si="29"/>
        <v/>
      </c>
      <c r="U49" s="206" t="str">
        <f t="shared" ca="1" si="30"/>
        <v/>
      </c>
      <c r="V49" s="207" t="str">
        <f ca="1">IF(AND($W49&gt;0,RegimeExecucao="Unitário"),$F49,"")</f>
        <v/>
      </c>
      <c r="W49" s="633">
        <f ca="1">IF($Y49&gt;0,CHOOSE(MATCH(RegimeExecucao,{"Unitário","Global"},0),IF($A49="S",$Y49/$X49,""),($Y49/$X49)*100),0)</f>
        <v>0</v>
      </c>
      <c r="X49" s="433" t="str">
        <f ca="1">IF($Y49&gt;0,CHOOSE(MATCH(RegimeExecucao,{"Unitário","Global"},0),IF($A49="S",ROUND($H49,ORÇAMENTO!$AF$10),""),ROUND($I49,ORÇAMENTO!$AF$11)),"")</f>
        <v/>
      </c>
      <c r="Y49" s="433">
        <f t="shared" ca="1" si="31"/>
        <v>0</v>
      </c>
      <c r="Z49" s="660"/>
      <c r="AB49" s="431"/>
      <c r="AC49" s="598"/>
      <c r="AD49" s="598"/>
      <c r="AE49" s="598"/>
      <c r="AF49" s="598"/>
      <c r="AG49" s="598"/>
      <c r="AH49" s="598"/>
      <c r="AI49" s="598"/>
      <c r="AJ49" s="598"/>
      <c r="AK49" s="598"/>
      <c r="AL49" s="598"/>
      <c r="AM49" s="432"/>
      <c r="AO49">
        <f ca="1">IF($A49="S",IF(BM!$I49=0,0,CHOOSE(MATCH(RegimeExecucao,{"Global","Unitário"},0),ROUND(ROUND(BM.MEDAcumulado,15-13*BM!$A$9)/100*BM!$I49,15-13*ORÇAMENTO!$AF$11),ROUND(ROUND(BM.MEDAcumulado,15-13*BM!$A$9)*ROUND(BM!$H49,15-13*ORÇAMENTO!$AF$10),15-13*ORÇAMENTO!$AF$11))),IF($A49=0,0,ROUND(SomaAgrupBM,15-13*ORÇAMENTO!$AF$11)))</f>
        <v>0</v>
      </c>
    </row>
    <row r="50" spans="1:41" ht="38.25" x14ac:dyDescent="0.2">
      <c r="A50" t="str">
        <f ca="1">ORÇAMENTO!C50</f>
        <v>S</v>
      </c>
      <c r="B50">
        <f ca="1">ORÇAMENTO!D50</f>
        <v>0</v>
      </c>
      <c r="C50" s="143" t="str">
        <f ca="1">IF(OR($I50&gt;0,$A50=1,$A50=2,$A50=3,$A50=4),"F","")</f>
        <v/>
      </c>
      <c r="D50" s="146" t="str">
        <f ca="1">ORÇAMENTO!O50</f>
        <v>-</v>
      </c>
      <c r="E50" s="206" t="str">
        <f>ORÇAMENTO.Descricao</f>
        <v>ARMAÇÃO DE PILAR OU VIGA DE ESTRUTURA CONVENCIONAL DE CONCRETO ARMADO UTILIZANDO AÇO CA-60 DE 5,0 MM - MONTAGEM. AF_06/2022</v>
      </c>
      <c r="F50" s="207" t="str">
        <f ca="1">IF(RegimeExecucao="Global","",ORÇAMENTO.Unidade)</f>
        <v/>
      </c>
      <c r="G50" s="151" t="str">
        <f ca="1">IF(RegimeExecucao="Global","",ORÇAMENTO!T50)</f>
        <v/>
      </c>
      <c r="H50" s="151" t="str">
        <f ca="1">IF(RegimeExecucao="Global","",ORÇAMENTO!W50)</f>
        <v/>
      </c>
      <c r="I50" s="154">
        <f ca="1">ORÇAMENTO!X50</f>
        <v>0</v>
      </c>
      <c r="J50" s="427">
        <f ca="1">IF($A50="S",IF(CAIXA.Modo,BM.AFAnterior,BM.MEDAnterior),IF(AND(RegimeExecucao="Global",$I50&gt;0,COUNTIF($AB$13:$AM$13,BM.medicao-1)&gt;0),M50/$I50*100,0))</f>
        <v>0</v>
      </c>
      <c r="K50" s="151">
        <f t="shared" ca="1" si="27"/>
        <v>0</v>
      </c>
      <c r="L50" s="428">
        <f ca="1">IF($A50="S",IF(CAIXA.Modo,BM.AFAcumulado,BM.MEDAcumulado),IF(AND(RegimeExecucao="Global",$I50&gt;0,COUNTIF($AB$13:$AM$13,BM.medicao)&gt;0),O50/$I50*100,0))</f>
        <v>0</v>
      </c>
      <c r="M50" s="429">
        <f ca="1">IF($A50="S",VTOTALBM,IF($A50=0,0,ROUND(SomaAgrupBM,15-13*ORÇAMENTO!$AF$11)))</f>
        <v>0</v>
      </c>
      <c r="N50" s="430">
        <f t="shared" ca="1" si="28"/>
        <v>0</v>
      </c>
      <c r="O50" s="154">
        <f ca="1">IF($A50="S",VTOTALBM,IF($A50=0,0,ROUND(SomaAgrupBM,15-13*ORÇAMENTO!$AF$11)))</f>
        <v>0</v>
      </c>
      <c r="Q50" s="431"/>
      <c r="R50" s="432"/>
      <c r="T50" s="146" t="str">
        <f ca="1">IF($W50&gt;0,$D50,"")</f>
        <v/>
      </c>
      <c r="U50" s="206" t="str">
        <f ca="1">IF($W50&gt;0,$E50,"")</f>
        <v/>
      </c>
      <c r="V50" s="207" t="str">
        <f ca="1">IF(AND($W50&gt;0,RegimeExecucao="Unitário"),$F50,"")</f>
        <v/>
      </c>
      <c r="W50" s="633">
        <f ca="1">IF($Y50&gt;0,CHOOSE(MATCH(RegimeExecucao,{"Unitário","Global"},0),IF($A50="S",$Y50/$X50,""),($Y50/$X50)*100),0)</f>
        <v>0</v>
      </c>
      <c r="X50" s="433" t="str">
        <f ca="1">IF($Y50&gt;0,CHOOSE(MATCH(RegimeExecucao,{"Unitário","Global"},0),IF($A50="S",ROUND($H50,ORÇAMENTO!$AF$10),""),ROUND($I50,ORÇAMENTO!$AF$11)),"")</f>
        <v/>
      </c>
      <c r="Y50" s="433">
        <f ca="1">AO50-O50</f>
        <v>0</v>
      </c>
      <c r="Z50" s="660"/>
      <c r="AB50" s="431"/>
      <c r="AC50" s="598"/>
      <c r="AD50" s="598"/>
      <c r="AE50" s="598"/>
      <c r="AF50" s="598"/>
      <c r="AG50" s="598"/>
      <c r="AH50" s="598"/>
      <c r="AI50" s="598"/>
      <c r="AJ50" s="598"/>
      <c r="AK50" s="598"/>
      <c r="AL50" s="598"/>
      <c r="AM50" s="432"/>
      <c r="AO50">
        <f ca="1">IF($A50="S",IF(BM!$I50=0,0,CHOOSE(MATCH(RegimeExecucao,{"Global","Unitário"},0),ROUND(ROUND(BM.MEDAcumulado,15-13*BM!$A$9)/100*BM!$I50,15-13*ORÇAMENTO!$AF$11),ROUND(ROUND(BM.MEDAcumulado,15-13*BM!$A$9)*ROUND(BM!$H50,15-13*ORÇAMENTO!$AF$10),15-13*ORÇAMENTO!$AF$11))),IF($A50=0,0,ROUND(SomaAgrupBM,15-13*ORÇAMENTO!$AF$11)))</f>
        <v>0</v>
      </c>
    </row>
    <row r="51" spans="1:41" x14ac:dyDescent="0.2">
      <c r="A51">
        <f ca="1">ORÇAMENTO!C51</f>
        <v>2</v>
      </c>
      <c r="B51">
        <f ca="1">ORÇAMENTO!D51</f>
        <v>7</v>
      </c>
      <c r="C51" s="143" t="str">
        <f t="shared" ca="1" si="26"/>
        <v>F</v>
      </c>
      <c r="D51" s="146" t="str">
        <f ca="1">ORÇAMENTO!O51</f>
        <v>1.7.</v>
      </c>
      <c r="E51" s="206" t="str">
        <f t="shared" si="3"/>
        <v>VIGAS (INCLUSO BALDRAME)</v>
      </c>
      <c r="F51" s="207" t="str">
        <f ca="1">IF(RegimeExecucao="Global","",ORÇAMENTO.Unidade)</f>
        <v/>
      </c>
      <c r="G51" s="151" t="str">
        <f ca="1">IF(RegimeExecucao="Global","",ORÇAMENTO!T51)</f>
        <v/>
      </c>
      <c r="H51" s="151" t="str">
        <f ca="1">IF(RegimeExecucao="Global","",ORÇAMENTO!W51)</f>
        <v/>
      </c>
      <c r="I51" s="154">
        <f ca="1">ORÇAMENTO!X51</f>
        <v>0</v>
      </c>
      <c r="J51" s="427">
        <f ca="1">IF($A51="S",IF(CAIXA.Modo,BM.AFAnterior,BM.MEDAnterior),IF(AND(RegimeExecucao="Global",$I51&gt;0,COUNTIF($AB$13:$AM$13,BM.medicao-1)&gt;0),M51/$I51*100,0))</f>
        <v>0</v>
      </c>
      <c r="K51" s="151">
        <f t="shared" ca="1" si="27"/>
        <v>0</v>
      </c>
      <c r="L51" s="428">
        <f ca="1">IF($A51="S",IF(CAIXA.Modo,BM.AFAcumulado,BM.MEDAcumulado),IF(AND(RegimeExecucao="Global",$I51&gt;0,COUNTIF($AB$13:$AM$13,BM.medicao)&gt;0),O51/$I51*100,0))</f>
        <v>0</v>
      </c>
      <c r="M51" s="429">
        <f ca="1">IF($A51="S",VTOTALBM,IF($A51=0,0,ROUND(SomaAgrupBM,15-13*ORÇAMENTO!$AF$11)))</f>
        <v>0</v>
      </c>
      <c r="N51" s="430">
        <f t="shared" ca="1" si="28"/>
        <v>0</v>
      </c>
      <c r="O51" s="154">
        <f ca="1">IF($A51="S",VTOTALBM,IF($A51=0,0,ROUND(SomaAgrupBM,15-13*ORÇAMENTO!$AF$11)))</f>
        <v>0</v>
      </c>
      <c r="Q51" s="431"/>
      <c r="R51" s="432"/>
      <c r="T51" s="146" t="str">
        <f t="shared" ca="1" si="29"/>
        <v/>
      </c>
      <c r="U51" s="206" t="str">
        <f t="shared" ca="1" si="30"/>
        <v/>
      </c>
      <c r="V51" s="207" t="str">
        <f ca="1">IF(AND($W51&gt;0,RegimeExecucao="Unitário"),$F51,"")</f>
        <v/>
      </c>
      <c r="W51" s="633">
        <f ca="1">IF($Y51&gt;0,CHOOSE(MATCH(RegimeExecucao,{"Unitário","Global"},0),IF($A51="S",$Y51/$X51,""),($Y51/$X51)*100),0)</f>
        <v>0</v>
      </c>
      <c r="X51" s="433" t="str">
        <f ca="1">IF($Y51&gt;0,CHOOSE(MATCH(RegimeExecucao,{"Unitário","Global"},0),IF($A51="S",ROUND($H51,ORÇAMENTO!$AF$10),""),ROUND($I51,ORÇAMENTO!$AF$11)),"")</f>
        <v/>
      </c>
      <c r="Y51" s="433">
        <f t="shared" ca="1" si="31"/>
        <v>0</v>
      </c>
      <c r="Z51" s="660"/>
      <c r="AB51" s="431"/>
      <c r="AC51" s="598"/>
      <c r="AD51" s="598"/>
      <c r="AE51" s="598"/>
      <c r="AF51" s="598"/>
      <c r="AG51" s="598"/>
      <c r="AH51" s="598"/>
      <c r="AI51" s="598"/>
      <c r="AJ51" s="598"/>
      <c r="AK51" s="598"/>
      <c r="AL51" s="598"/>
      <c r="AM51" s="432"/>
      <c r="AO51">
        <f ca="1">IF($A51="S",IF(BM!$I51=0,0,CHOOSE(MATCH(RegimeExecucao,{"Global","Unitário"},0),ROUND(ROUND(BM.MEDAcumulado,15-13*BM!$A$9)/100*BM!$I51,15-13*ORÇAMENTO!$AF$11),ROUND(ROUND(BM.MEDAcumulado,15-13*BM!$A$9)*ROUND(BM!$H51,15-13*ORÇAMENTO!$AF$10),15-13*ORÇAMENTO!$AF$11))),IF($A51=0,0,ROUND(SomaAgrupBM,15-13*ORÇAMENTO!$AF$11)))</f>
        <v>0</v>
      </c>
    </row>
    <row r="52" spans="1:41" ht="38.25" x14ac:dyDescent="0.2">
      <c r="A52" t="str">
        <f ca="1">ORÇAMENTO!C52</f>
        <v>S</v>
      </c>
      <c r="B52">
        <f ca="1">ORÇAMENTO!D52</f>
        <v>0</v>
      </c>
      <c r="C52" s="143" t="str">
        <f t="shared" ca="1" si="26"/>
        <v/>
      </c>
      <c r="D52" s="146" t="str">
        <f ca="1">ORÇAMENTO!O52</f>
        <v>-</v>
      </c>
      <c r="E52" s="206" t="str">
        <f t="shared" si="3"/>
        <v>FABRICAÇÃO, MONTAGEM E DESMONTAGEM DE FÔRMA PARA VIGA BALDRAME, EM MADEIRA SERRADA, E=25 MM, 4 UTILIZAÇÕES. AF_01/2024</v>
      </c>
      <c r="F52" s="207" t="str">
        <f ca="1">IF(RegimeExecucao="Global","",ORÇAMENTO.Unidade)</f>
        <v/>
      </c>
      <c r="G52" s="151" t="str">
        <f ca="1">IF(RegimeExecucao="Global","",ORÇAMENTO!T52)</f>
        <v/>
      </c>
      <c r="H52" s="151" t="str">
        <f ca="1">IF(RegimeExecucao="Global","",ORÇAMENTO!W52)</f>
        <v/>
      </c>
      <c r="I52" s="154">
        <f ca="1">ORÇAMENTO!X52</f>
        <v>0</v>
      </c>
      <c r="J52" s="427">
        <f ca="1">IF($A52="S",IF(CAIXA.Modo,BM.AFAnterior,BM.MEDAnterior),IF(AND(RegimeExecucao="Global",$I52&gt;0,COUNTIF($AB$13:$AM$13,BM.medicao-1)&gt;0),M52/$I52*100,0))</f>
        <v>0</v>
      </c>
      <c r="K52" s="151">
        <f t="shared" ca="1" si="27"/>
        <v>0</v>
      </c>
      <c r="L52" s="428">
        <f ca="1">IF($A52="S",IF(CAIXA.Modo,BM.AFAcumulado,BM.MEDAcumulado),IF(AND(RegimeExecucao="Global",$I52&gt;0,COUNTIF($AB$13:$AM$13,BM.medicao)&gt;0),O52/$I52*100,0))</f>
        <v>0</v>
      </c>
      <c r="M52" s="429">
        <f ca="1">IF($A52="S",VTOTALBM,IF($A52=0,0,ROUND(SomaAgrupBM,15-13*ORÇAMENTO!$AF$11)))</f>
        <v>0</v>
      </c>
      <c r="N52" s="430">
        <f t="shared" ca="1" si="28"/>
        <v>0</v>
      </c>
      <c r="O52" s="154">
        <f ca="1">IF($A52="S",VTOTALBM,IF($A52=0,0,ROUND(SomaAgrupBM,15-13*ORÇAMENTO!$AF$11)))</f>
        <v>0</v>
      </c>
      <c r="Q52" s="431"/>
      <c r="R52" s="432"/>
      <c r="T52" s="146" t="str">
        <f t="shared" ca="1" si="29"/>
        <v/>
      </c>
      <c r="U52" s="206" t="str">
        <f t="shared" ca="1" si="30"/>
        <v/>
      </c>
      <c r="V52" s="207" t="str">
        <f ca="1">IF(AND($W52&gt;0,RegimeExecucao="Unitário"),$F52,"")</f>
        <v/>
      </c>
      <c r="W52" s="633">
        <f ca="1">IF($Y52&gt;0,CHOOSE(MATCH(RegimeExecucao,{"Unitário","Global"},0),IF($A52="S",$Y52/$X52,""),($Y52/$X52)*100),0)</f>
        <v>0</v>
      </c>
      <c r="X52" s="433" t="str">
        <f ca="1">IF($Y52&gt;0,CHOOSE(MATCH(RegimeExecucao,{"Unitário","Global"},0),IF($A52="S",ROUND($H52,ORÇAMENTO!$AF$10),""),ROUND($I52,ORÇAMENTO!$AF$11)),"")</f>
        <v/>
      </c>
      <c r="Y52" s="433">
        <f t="shared" ca="1" si="31"/>
        <v>0</v>
      </c>
      <c r="Z52" s="660"/>
      <c r="AB52" s="431"/>
      <c r="AC52" s="598"/>
      <c r="AD52" s="598"/>
      <c r="AE52" s="598"/>
      <c r="AF52" s="598"/>
      <c r="AG52" s="598"/>
      <c r="AH52" s="598"/>
      <c r="AI52" s="598"/>
      <c r="AJ52" s="598"/>
      <c r="AK52" s="598"/>
      <c r="AL52" s="598"/>
      <c r="AM52" s="432"/>
      <c r="AO52">
        <f ca="1">IF($A52="S",IF(BM!$I52=0,0,CHOOSE(MATCH(RegimeExecucao,{"Global","Unitário"},0),ROUND(ROUND(BM.MEDAcumulado,15-13*BM!$A$9)/100*BM!$I52,15-13*ORÇAMENTO!$AF$11),ROUND(ROUND(BM.MEDAcumulado,15-13*BM!$A$9)*ROUND(BM!$H52,15-13*ORÇAMENTO!$AF$10),15-13*ORÇAMENTO!$AF$11))),IF($A52=0,0,ROUND(SomaAgrupBM,15-13*ORÇAMENTO!$AF$11)))</f>
        <v>0</v>
      </c>
    </row>
    <row r="53" spans="1:41" ht="38.25" x14ac:dyDescent="0.2">
      <c r="A53" t="str">
        <f ca="1">ORÇAMENTO!C53</f>
        <v>S</v>
      </c>
      <c r="B53">
        <f ca="1">ORÇAMENTO!D53</f>
        <v>0</v>
      </c>
      <c r="C53" s="143" t="str">
        <f t="shared" ca="1" si="26"/>
        <v/>
      </c>
      <c r="D53" s="146" t="str">
        <f ca="1">ORÇAMENTO!O53</f>
        <v>-</v>
      </c>
      <c r="E53" s="206" t="str">
        <f t="shared" si="3"/>
        <v>CONCRETAGEM DE VIGAS E LAJES, FCK=25 MPA, PARA LAJES PREMOLDADAS COM USO DE BOMBA - LANÇAMENTO, ADENSAMENTO E ACABAMENTO. AF_02/2022_PS</v>
      </c>
      <c r="F53" s="207" t="str">
        <f ca="1">IF(RegimeExecucao="Global","",ORÇAMENTO.Unidade)</f>
        <v/>
      </c>
      <c r="G53" s="151" t="str">
        <f ca="1">IF(RegimeExecucao="Global","",ORÇAMENTO!T53)</f>
        <v/>
      </c>
      <c r="H53" s="151" t="str">
        <f ca="1">IF(RegimeExecucao="Global","",ORÇAMENTO!W53)</f>
        <v/>
      </c>
      <c r="I53" s="154">
        <f ca="1">ORÇAMENTO!X53</f>
        <v>0</v>
      </c>
      <c r="J53" s="427">
        <f ca="1">IF($A53="S",IF(CAIXA.Modo,BM.AFAnterior,BM.MEDAnterior),IF(AND(RegimeExecucao="Global",$I53&gt;0,COUNTIF($AB$13:$AM$13,BM.medicao-1)&gt;0),M53/$I53*100,0))</f>
        <v>0</v>
      </c>
      <c r="K53" s="151">
        <f t="shared" ca="1" si="27"/>
        <v>0</v>
      </c>
      <c r="L53" s="428">
        <f ca="1">IF($A53="S",IF(CAIXA.Modo,BM.AFAcumulado,BM.MEDAcumulado),IF(AND(RegimeExecucao="Global",$I53&gt;0,COUNTIF($AB$13:$AM$13,BM.medicao)&gt;0),O53/$I53*100,0))</f>
        <v>0</v>
      </c>
      <c r="M53" s="429">
        <f ca="1">IF($A53="S",VTOTALBM,IF($A53=0,0,ROUND(SomaAgrupBM,15-13*ORÇAMENTO!$AF$11)))</f>
        <v>0</v>
      </c>
      <c r="N53" s="430">
        <f t="shared" ca="1" si="28"/>
        <v>0</v>
      </c>
      <c r="O53" s="154">
        <f ca="1">IF($A53="S",VTOTALBM,IF($A53=0,0,ROUND(SomaAgrupBM,15-13*ORÇAMENTO!$AF$11)))</f>
        <v>0</v>
      </c>
      <c r="Q53" s="431"/>
      <c r="R53" s="432"/>
      <c r="T53" s="146" t="str">
        <f t="shared" ca="1" si="29"/>
        <v/>
      </c>
      <c r="U53" s="206" t="str">
        <f t="shared" ca="1" si="30"/>
        <v/>
      </c>
      <c r="V53" s="207" t="str">
        <f ca="1">IF(AND($W53&gt;0,RegimeExecucao="Unitário"),$F53,"")</f>
        <v/>
      </c>
      <c r="W53" s="633">
        <f ca="1">IF($Y53&gt;0,CHOOSE(MATCH(RegimeExecucao,{"Unitário","Global"},0),IF($A53="S",$Y53/$X53,""),($Y53/$X53)*100),0)</f>
        <v>0</v>
      </c>
      <c r="X53" s="433" t="str">
        <f ca="1">IF($Y53&gt;0,CHOOSE(MATCH(RegimeExecucao,{"Unitário","Global"},0),IF($A53="S",ROUND($H53,ORÇAMENTO!$AF$10),""),ROUND($I53,ORÇAMENTO!$AF$11)),"")</f>
        <v/>
      </c>
      <c r="Y53" s="433">
        <f t="shared" ca="1" si="31"/>
        <v>0</v>
      </c>
      <c r="Z53" s="660"/>
      <c r="AB53" s="431"/>
      <c r="AC53" s="598"/>
      <c r="AD53" s="598"/>
      <c r="AE53" s="598"/>
      <c r="AF53" s="598"/>
      <c r="AG53" s="598"/>
      <c r="AH53" s="598"/>
      <c r="AI53" s="598"/>
      <c r="AJ53" s="598"/>
      <c r="AK53" s="598"/>
      <c r="AL53" s="598"/>
      <c r="AM53" s="432"/>
      <c r="AO53">
        <f ca="1">IF($A53="S",IF(BM!$I53=0,0,CHOOSE(MATCH(RegimeExecucao,{"Global","Unitário"},0),ROUND(ROUND(BM.MEDAcumulado,15-13*BM!$A$9)/100*BM!$I53,15-13*ORÇAMENTO!$AF$11),ROUND(ROUND(BM.MEDAcumulado,15-13*BM!$A$9)*ROUND(BM!$H53,15-13*ORÇAMENTO!$AF$10),15-13*ORÇAMENTO!$AF$11))),IF($A53=0,0,ROUND(SomaAgrupBM,15-13*ORÇAMENTO!$AF$11)))</f>
        <v>0</v>
      </c>
    </row>
    <row r="54" spans="1:41" ht="38.25" x14ac:dyDescent="0.2">
      <c r="A54" t="str">
        <f ca="1">ORÇAMENTO!C54</f>
        <v>S</v>
      </c>
      <c r="B54">
        <f ca="1">ORÇAMENTO!D54</f>
        <v>0</v>
      </c>
      <c r="C54" s="143" t="str">
        <f t="shared" ca="1" si="26"/>
        <v/>
      </c>
      <c r="D54" s="146" t="str">
        <f ca="1">ORÇAMENTO!O54</f>
        <v>-</v>
      </c>
      <c r="E54" s="206" t="str">
        <f t="shared" si="3"/>
        <v>ARMAÇÃO DE PILAR OU VIGA DE ESTRUTURA CONVENCIONAL DE CONCRETO ARMADO UTILIZANDO AÇO CA-50 DE 10,0 MM - MONTAGEM. AF_06/2022</v>
      </c>
      <c r="F54" s="207" t="str">
        <f ca="1">IF(RegimeExecucao="Global","",ORÇAMENTO.Unidade)</f>
        <v/>
      </c>
      <c r="G54" s="151" t="str">
        <f ca="1">IF(RegimeExecucao="Global","",ORÇAMENTO!T54)</f>
        <v/>
      </c>
      <c r="H54" s="151" t="str">
        <f ca="1">IF(RegimeExecucao="Global","",ORÇAMENTO!W54)</f>
        <v/>
      </c>
      <c r="I54" s="154">
        <f ca="1">ORÇAMENTO!X54</f>
        <v>0</v>
      </c>
      <c r="J54" s="427">
        <f ca="1">IF($A54="S",IF(CAIXA.Modo,BM.AFAnterior,BM.MEDAnterior),IF(AND(RegimeExecucao="Global",$I54&gt;0,COUNTIF($AB$13:$AM$13,BM.medicao-1)&gt;0),M54/$I54*100,0))</f>
        <v>0</v>
      </c>
      <c r="K54" s="151">
        <f t="shared" ca="1" si="27"/>
        <v>0</v>
      </c>
      <c r="L54" s="428">
        <f ca="1">IF($A54="S",IF(CAIXA.Modo,BM.AFAcumulado,BM.MEDAcumulado),IF(AND(RegimeExecucao="Global",$I54&gt;0,COUNTIF($AB$13:$AM$13,BM.medicao)&gt;0),O54/$I54*100,0))</f>
        <v>0</v>
      </c>
      <c r="M54" s="429">
        <f ca="1">IF($A54="S",VTOTALBM,IF($A54=0,0,ROUND(SomaAgrupBM,15-13*ORÇAMENTO!$AF$11)))</f>
        <v>0</v>
      </c>
      <c r="N54" s="430">
        <f t="shared" ca="1" si="28"/>
        <v>0</v>
      </c>
      <c r="O54" s="154">
        <f ca="1">IF($A54="S",VTOTALBM,IF($A54=0,0,ROUND(SomaAgrupBM,15-13*ORÇAMENTO!$AF$11)))</f>
        <v>0</v>
      </c>
      <c r="Q54" s="431"/>
      <c r="R54" s="432"/>
      <c r="T54" s="146" t="str">
        <f t="shared" ca="1" si="29"/>
        <v/>
      </c>
      <c r="U54" s="206" t="str">
        <f t="shared" ca="1" si="30"/>
        <v/>
      </c>
      <c r="V54" s="207" t="str">
        <f ca="1">IF(AND($W54&gt;0,RegimeExecucao="Unitário"),$F54,"")</f>
        <v/>
      </c>
      <c r="W54" s="633">
        <f ca="1">IF($Y54&gt;0,CHOOSE(MATCH(RegimeExecucao,{"Unitário","Global"},0),IF($A54="S",$Y54/$X54,""),($Y54/$X54)*100),0)</f>
        <v>0</v>
      </c>
      <c r="X54" s="433" t="str">
        <f ca="1">IF($Y54&gt;0,CHOOSE(MATCH(RegimeExecucao,{"Unitário","Global"},0),IF($A54="S",ROUND($H54,ORÇAMENTO!$AF$10),""),ROUND($I54,ORÇAMENTO!$AF$11)),"")</f>
        <v/>
      </c>
      <c r="Y54" s="433">
        <f t="shared" ca="1" si="31"/>
        <v>0</v>
      </c>
      <c r="Z54" s="660"/>
      <c r="AB54" s="431"/>
      <c r="AC54" s="598"/>
      <c r="AD54" s="598"/>
      <c r="AE54" s="598"/>
      <c r="AF54" s="598"/>
      <c r="AG54" s="598"/>
      <c r="AH54" s="598"/>
      <c r="AI54" s="598"/>
      <c r="AJ54" s="598"/>
      <c r="AK54" s="598"/>
      <c r="AL54" s="598"/>
      <c r="AM54" s="432"/>
      <c r="AO54">
        <f ca="1">IF($A54="S",IF(BM!$I54=0,0,CHOOSE(MATCH(RegimeExecucao,{"Global","Unitário"},0),ROUND(ROUND(BM.MEDAcumulado,15-13*BM!$A$9)/100*BM!$I54,15-13*ORÇAMENTO!$AF$11),ROUND(ROUND(BM.MEDAcumulado,15-13*BM!$A$9)*ROUND(BM!$H54,15-13*ORÇAMENTO!$AF$10),15-13*ORÇAMENTO!$AF$11))),IF($A54=0,0,ROUND(SomaAgrupBM,15-13*ORÇAMENTO!$AF$11)))</f>
        <v>0</v>
      </c>
    </row>
    <row r="55" spans="1:41" ht="38.25" x14ac:dyDescent="0.2">
      <c r="A55" t="str">
        <f ca="1">ORÇAMENTO!C55</f>
        <v>S</v>
      </c>
      <c r="B55">
        <f ca="1">ORÇAMENTO!D55</f>
        <v>0</v>
      </c>
      <c r="C55" s="143" t="str">
        <f ca="1">IF(OR($I55&gt;0,$A55=1,$A55=2,$A55=3,$A55=4),"F","")</f>
        <v/>
      </c>
      <c r="D55" s="146" t="str">
        <f ca="1">ORÇAMENTO!O55</f>
        <v>-</v>
      </c>
      <c r="E55" s="206" t="str">
        <f>ORÇAMENTO.Descricao</f>
        <v>ARMAÇÃO DE PILAR OU VIGA DE ESTRUTURA CONVENCIONAL DE CONCRETO ARMADO UTILIZANDO AÇO CA-50 DE 12,5 MM - MONTAGEM. AF_06/2022</v>
      </c>
      <c r="F55" s="207" t="str">
        <f ca="1">IF(RegimeExecucao="Global","",ORÇAMENTO.Unidade)</f>
        <v/>
      </c>
      <c r="G55" s="151" t="str">
        <f ca="1">IF(RegimeExecucao="Global","",ORÇAMENTO!T55)</f>
        <v/>
      </c>
      <c r="H55" s="151" t="str">
        <f ca="1">IF(RegimeExecucao="Global","",ORÇAMENTO!W55)</f>
        <v/>
      </c>
      <c r="I55" s="154">
        <f ca="1">ORÇAMENTO!X55</f>
        <v>0</v>
      </c>
      <c r="J55" s="427">
        <f ca="1">IF($A55="S",IF(CAIXA.Modo,BM.AFAnterior,BM.MEDAnterior),IF(AND(RegimeExecucao="Global",$I55&gt;0,COUNTIF($AB$13:$AM$13,BM.medicao-1)&gt;0),M55/$I55*100,0))</f>
        <v>0</v>
      </c>
      <c r="K55" s="151">
        <f t="shared" ca="1" si="27"/>
        <v>0</v>
      </c>
      <c r="L55" s="428">
        <f ca="1">IF($A55="S",IF(CAIXA.Modo,BM.AFAcumulado,BM.MEDAcumulado),IF(AND(RegimeExecucao="Global",$I55&gt;0,COUNTIF($AB$13:$AM$13,BM.medicao)&gt;0),O55/$I55*100,0))</f>
        <v>0</v>
      </c>
      <c r="M55" s="429">
        <f ca="1">IF($A55="S",VTOTALBM,IF($A55=0,0,ROUND(SomaAgrupBM,15-13*ORÇAMENTO!$AF$11)))</f>
        <v>0</v>
      </c>
      <c r="N55" s="430">
        <f t="shared" ca="1" si="28"/>
        <v>0</v>
      </c>
      <c r="O55" s="154">
        <f ca="1">IF($A55="S",VTOTALBM,IF($A55=0,0,ROUND(SomaAgrupBM,15-13*ORÇAMENTO!$AF$11)))</f>
        <v>0</v>
      </c>
      <c r="Q55" s="431"/>
      <c r="R55" s="432"/>
      <c r="T55" s="146" t="str">
        <f ca="1">IF($W55&gt;0,$D55,"")</f>
        <v/>
      </c>
      <c r="U55" s="206" t="str">
        <f ca="1">IF($W55&gt;0,$E55,"")</f>
        <v/>
      </c>
      <c r="V55" s="207" t="str">
        <f ca="1">IF(AND($W55&gt;0,RegimeExecucao="Unitário"),$F55,"")</f>
        <v/>
      </c>
      <c r="W55" s="633">
        <f ca="1">IF($Y55&gt;0,CHOOSE(MATCH(RegimeExecucao,{"Unitário","Global"},0),IF($A55="S",$Y55/$X55,""),($Y55/$X55)*100),0)</f>
        <v>0</v>
      </c>
      <c r="X55" s="433" t="str">
        <f ca="1">IF($Y55&gt;0,CHOOSE(MATCH(RegimeExecucao,{"Unitário","Global"},0),IF($A55="S",ROUND($H55,ORÇAMENTO!$AF$10),""),ROUND($I55,ORÇAMENTO!$AF$11)),"")</f>
        <v/>
      </c>
      <c r="Y55" s="433">
        <f ca="1">AO55-O55</f>
        <v>0</v>
      </c>
      <c r="Z55" s="660"/>
      <c r="AB55" s="431"/>
      <c r="AC55" s="598"/>
      <c r="AD55" s="598"/>
      <c r="AE55" s="598"/>
      <c r="AF55" s="598"/>
      <c r="AG55" s="598"/>
      <c r="AH55" s="598"/>
      <c r="AI55" s="598"/>
      <c r="AJ55" s="598"/>
      <c r="AK55" s="598"/>
      <c r="AL55" s="598"/>
      <c r="AM55" s="432"/>
      <c r="AO55">
        <f ca="1">IF($A55="S",IF(BM!$I55=0,0,CHOOSE(MATCH(RegimeExecucao,{"Global","Unitário"},0),ROUND(ROUND(BM.MEDAcumulado,15-13*BM!$A$9)/100*BM!$I55,15-13*ORÇAMENTO!$AF$11),ROUND(ROUND(BM.MEDAcumulado,15-13*BM!$A$9)*ROUND(BM!$H55,15-13*ORÇAMENTO!$AF$10),15-13*ORÇAMENTO!$AF$11))),IF($A55=0,0,ROUND(SomaAgrupBM,15-13*ORÇAMENTO!$AF$11)))</f>
        <v>0</v>
      </c>
    </row>
    <row r="56" spans="1:41" ht="38.25" x14ac:dyDescent="0.2">
      <c r="A56" t="str">
        <f ca="1">ORÇAMENTO!C56</f>
        <v>S</v>
      </c>
      <c r="B56">
        <f ca="1">ORÇAMENTO!D56</f>
        <v>0</v>
      </c>
      <c r="C56" s="143" t="str">
        <f t="shared" ca="1" si="26"/>
        <v/>
      </c>
      <c r="D56" s="146" t="str">
        <f ca="1">ORÇAMENTO!O56</f>
        <v>-</v>
      </c>
      <c r="E56" s="206" t="str">
        <f t="shared" si="3"/>
        <v>ARMAÇÃO DE PILAR OU VIGA DE ESTRUTURA CONVENCIONAL DE CONCRETO ARMADO UTILIZANDO AÇO CA-50 DE 8,0 MM - MONTAGEM. AF_06/2022</v>
      </c>
      <c r="F56" s="207" t="str">
        <f ca="1">IF(RegimeExecucao="Global","",ORÇAMENTO.Unidade)</f>
        <v/>
      </c>
      <c r="G56" s="151" t="str">
        <f ca="1">IF(RegimeExecucao="Global","",ORÇAMENTO!T56)</f>
        <v/>
      </c>
      <c r="H56" s="151" t="str">
        <f ca="1">IF(RegimeExecucao="Global","",ORÇAMENTO!W56)</f>
        <v/>
      </c>
      <c r="I56" s="154">
        <f ca="1">ORÇAMENTO!X56</f>
        <v>0</v>
      </c>
      <c r="J56" s="427">
        <f ca="1">IF($A56="S",IF(CAIXA.Modo,BM.AFAnterior,BM.MEDAnterior),IF(AND(RegimeExecucao="Global",$I56&gt;0,COUNTIF($AB$13:$AM$13,BM.medicao-1)&gt;0),M56/$I56*100,0))</f>
        <v>0</v>
      </c>
      <c r="K56" s="151">
        <f t="shared" ca="1" si="27"/>
        <v>0</v>
      </c>
      <c r="L56" s="428">
        <f ca="1">IF($A56="S",IF(CAIXA.Modo,BM.AFAcumulado,BM.MEDAcumulado),IF(AND(RegimeExecucao="Global",$I56&gt;0,COUNTIF($AB$13:$AM$13,BM.medicao)&gt;0),O56/$I56*100,0))</f>
        <v>0</v>
      </c>
      <c r="M56" s="429">
        <f ca="1">IF($A56="S",VTOTALBM,IF($A56=0,0,ROUND(SomaAgrupBM,15-13*ORÇAMENTO!$AF$11)))</f>
        <v>0</v>
      </c>
      <c r="N56" s="430">
        <f t="shared" ca="1" si="28"/>
        <v>0</v>
      </c>
      <c r="O56" s="154">
        <f ca="1">IF($A56="S",VTOTALBM,IF($A56=0,0,ROUND(SomaAgrupBM,15-13*ORÇAMENTO!$AF$11)))</f>
        <v>0</v>
      </c>
      <c r="Q56" s="431"/>
      <c r="R56" s="432"/>
      <c r="T56" s="146" t="str">
        <f t="shared" ca="1" si="29"/>
        <v/>
      </c>
      <c r="U56" s="206" t="str">
        <f t="shared" ca="1" si="30"/>
        <v/>
      </c>
      <c r="V56" s="207" t="str">
        <f ca="1">IF(AND($W56&gt;0,RegimeExecucao="Unitário"),$F56,"")</f>
        <v/>
      </c>
      <c r="W56" s="633">
        <f ca="1">IF($Y56&gt;0,CHOOSE(MATCH(RegimeExecucao,{"Unitário","Global"},0),IF($A56="S",$Y56/$X56,""),($Y56/$X56)*100),0)</f>
        <v>0</v>
      </c>
      <c r="X56" s="433" t="str">
        <f ca="1">IF($Y56&gt;0,CHOOSE(MATCH(RegimeExecucao,{"Unitário","Global"},0),IF($A56="S",ROUND($H56,ORÇAMENTO!$AF$10),""),ROUND($I56,ORÇAMENTO!$AF$11)),"")</f>
        <v/>
      </c>
      <c r="Y56" s="433">
        <f t="shared" ca="1" si="31"/>
        <v>0</v>
      </c>
      <c r="Z56" s="660"/>
      <c r="AB56" s="431"/>
      <c r="AC56" s="598"/>
      <c r="AD56" s="598"/>
      <c r="AE56" s="598"/>
      <c r="AF56" s="598"/>
      <c r="AG56" s="598"/>
      <c r="AH56" s="598"/>
      <c r="AI56" s="598"/>
      <c r="AJ56" s="598"/>
      <c r="AK56" s="598"/>
      <c r="AL56" s="598"/>
      <c r="AM56" s="432"/>
      <c r="AO56">
        <f ca="1">IF($A56="S",IF(BM!$I56=0,0,CHOOSE(MATCH(RegimeExecucao,{"Global","Unitário"},0),ROUND(ROUND(BM.MEDAcumulado,15-13*BM!$A$9)/100*BM!$I56,15-13*ORÇAMENTO!$AF$11),ROUND(ROUND(BM.MEDAcumulado,15-13*BM!$A$9)*ROUND(BM!$H56,15-13*ORÇAMENTO!$AF$10),15-13*ORÇAMENTO!$AF$11))),IF($A56=0,0,ROUND(SomaAgrupBM,15-13*ORÇAMENTO!$AF$11)))</f>
        <v>0</v>
      </c>
    </row>
    <row r="57" spans="1:41" ht="38.25" x14ac:dyDescent="0.2">
      <c r="A57" t="str">
        <f ca="1">ORÇAMENTO!C57</f>
        <v>S</v>
      </c>
      <c r="B57">
        <f ca="1">ORÇAMENTO!D57</f>
        <v>0</v>
      </c>
      <c r="C57" s="143" t="str">
        <f t="shared" ca="1" si="26"/>
        <v/>
      </c>
      <c r="D57" s="146" t="str">
        <f ca="1">ORÇAMENTO!O57</f>
        <v>-</v>
      </c>
      <c r="E57" s="206" t="str">
        <f t="shared" si="3"/>
        <v>ARMAÇÃO DE PILAR OU VIGA DE ESTRUTURA CONVENCIONAL DE CONCRETO ARMADO UTILIZANDO AÇO CA-60 DE 5,0 MM - MONTAGEM. AF_06/2022</v>
      </c>
      <c r="F57" s="207" t="str">
        <f ca="1">IF(RegimeExecucao="Global","",ORÇAMENTO.Unidade)</f>
        <v/>
      </c>
      <c r="G57" s="151" t="str">
        <f ca="1">IF(RegimeExecucao="Global","",ORÇAMENTO!T57)</f>
        <v/>
      </c>
      <c r="H57" s="151" t="str">
        <f ca="1">IF(RegimeExecucao="Global","",ORÇAMENTO!W57)</f>
        <v/>
      </c>
      <c r="I57" s="154">
        <f ca="1">ORÇAMENTO!X57</f>
        <v>0</v>
      </c>
      <c r="J57" s="427">
        <f ca="1">IF($A57="S",IF(CAIXA.Modo,BM.AFAnterior,BM.MEDAnterior),IF(AND(RegimeExecucao="Global",$I57&gt;0,COUNTIF($AB$13:$AM$13,BM.medicao-1)&gt;0),M57/$I57*100,0))</f>
        <v>0</v>
      </c>
      <c r="K57" s="151">
        <f t="shared" ca="1" si="27"/>
        <v>0</v>
      </c>
      <c r="L57" s="428">
        <f ca="1">IF($A57="S",IF(CAIXA.Modo,BM.AFAcumulado,BM.MEDAcumulado),IF(AND(RegimeExecucao="Global",$I57&gt;0,COUNTIF($AB$13:$AM$13,BM.medicao)&gt;0),O57/$I57*100,0))</f>
        <v>0</v>
      </c>
      <c r="M57" s="429">
        <f ca="1">IF($A57="S",VTOTALBM,IF($A57=0,0,ROUND(SomaAgrupBM,15-13*ORÇAMENTO!$AF$11)))</f>
        <v>0</v>
      </c>
      <c r="N57" s="430">
        <f t="shared" ca="1" si="28"/>
        <v>0</v>
      </c>
      <c r="O57" s="154">
        <f ca="1">IF($A57="S",VTOTALBM,IF($A57=0,0,ROUND(SomaAgrupBM,15-13*ORÇAMENTO!$AF$11)))</f>
        <v>0</v>
      </c>
      <c r="Q57" s="431"/>
      <c r="R57" s="432"/>
      <c r="T57" s="146" t="str">
        <f t="shared" ca="1" si="29"/>
        <v/>
      </c>
      <c r="U57" s="206" t="str">
        <f t="shared" ca="1" si="30"/>
        <v/>
      </c>
      <c r="V57" s="207" t="str">
        <f ca="1">IF(AND($W57&gt;0,RegimeExecucao="Unitário"),$F57,"")</f>
        <v/>
      </c>
      <c r="W57" s="633">
        <f ca="1">IF($Y57&gt;0,CHOOSE(MATCH(RegimeExecucao,{"Unitário","Global"},0),IF($A57="S",$Y57/$X57,""),($Y57/$X57)*100),0)</f>
        <v>0</v>
      </c>
      <c r="X57" s="433" t="str">
        <f ca="1">IF($Y57&gt;0,CHOOSE(MATCH(RegimeExecucao,{"Unitário","Global"},0),IF($A57="S",ROUND($H57,ORÇAMENTO!$AF$10),""),ROUND($I57,ORÇAMENTO!$AF$11)),"")</f>
        <v/>
      </c>
      <c r="Y57" s="433">
        <f t="shared" ca="1" si="31"/>
        <v>0</v>
      </c>
      <c r="Z57" s="660"/>
      <c r="AB57" s="431"/>
      <c r="AC57" s="598"/>
      <c r="AD57" s="598"/>
      <c r="AE57" s="598"/>
      <c r="AF57" s="598"/>
      <c r="AG57" s="598"/>
      <c r="AH57" s="598"/>
      <c r="AI57" s="598"/>
      <c r="AJ57" s="598"/>
      <c r="AK57" s="598"/>
      <c r="AL57" s="598"/>
      <c r="AM57" s="432"/>
      <c r="AO57">
        <f ca="1">IF($A57="S",IF(BM!$I57=0,0,CHOOSE(MATCH(RegimeExecucao,{"Global","Unitário"},0),ROUND(ROUND(BM.MEDAcumulado,15-13*BM!$A$9)/100*BM!$I57,15-13*ORÇAMENTO!$AF$11),ROUND(ROUND(BM.MEDAcumulado,15-13*BM!$A$9)*ROUND(BM!$H57,15-13*ORÇAMENTO!$AF$10),15-13*ORÇAMENTO!$AF$11))),IF($A57=0,0,ROUND(SomaAgrupBM,15-13*ORÇAMENTO!$AF$11)))</f>
        <v>0</v>
      </c>
    </row>
    <row r="58" spans="1:41" x14ac:dyDescent="0.2">
      <c r="A58">
        <f ca="1">ORÇAMENTO!C58</f>
        <v>2</v>
      </c>
      <c r="B58">
        <f ca="1">ORÇAMENTO!D58</f>
        <v>2</v>
      </c>
      <c r="C58" s="143" t="str">
        <f t="shared" ca="1" si="26"/>
        <v>F</v>
      </c>
      <c r="D58" s="146" t="str">
        <f ca="1">ORÇAMENTO!O58</f>
        <v>1.8.</v>
      </c>
      <c r="E58" s="206" t="str">
        <f t="shared" si="3"/>
        <v xml:space="preserve">IMPERMEABILIZAÇÃO BALDRAME </v>
      </c>
      <c r="F58" s="207" t="str">
        <f ca="1">IF(RegimeExecucao="Global","",ORÇAMENTO.Unidade)</f>
        <v/>
      </c>
      <c r="G58" s="151" t="str">
        <f ca="1">IF(RegimeExecucao="Global","",ORÇAMENTO!T58)</f>
        <v/>
      </c>
      <c r="H58" s="151" t="str">
        <f ca="1">IF(RegimeExecucao="Global","",ORÇAMENTO!W58)</f>
        <v/>
      </c>
      <c r="I58" s="154">
        <f ca="1">ORÇAMENTO!X58</f>
        <v>0</v>
      </c>
      <c r="J58" s="427">
        <f ca="1">IF($A58="S",IF(CAIXA.Modo,BM.AFAnterior,BM.MEDAnterior),IF(AND(RegimeExecucao="Global",$I58&gt;0,COUNTIF($AB$13:$AM$13,BM.medicao-1)&gt;0),M58/$I58*100,0))</f>
        <v>0</v>
      </c>
      <c r="K58" s="151">
        <f t="shared" ca="1" si="27"/>
        <v>0</v>
      </c>
      <c r="L58" s="428">
        <f ca="1">IF($A58="S",IF(CAIXA.Modo,BM.AFAcumulado,BM.MEDAcumulado),IF(AND(RegimeExecucao="Global",$I58&gt;0,COUNTIF($AB$13:$AM$13,BM.medicao)&gt;0),O58/$I58*100,0))</f>
        <v>0</v>
      </c>
      <c r="M58" s="429">
        <f ca="1">IF($A58="S",VTOTALBM,IF($A58=0,0,ROUND(SomaAgrupBM,15-13*ORÇAMENTO!$AF$11)))</f>
        <v>0</v>
      </c>
      <c r="N58" s="430">
        <f t="shared" ca="1" si="28"/>
        <v>0</v>
      </c>
      <c r="O58" s="154">
        <f ca="1">IF($A58="S",VTOTALBM,IF($A58=0,0,ROUND(SomaAgrupBM,15-13*ORÇAMENTO!$AF$11)))</f>
        <v>0</v>
      </c>
      <c r="Q58" s="431"/>
      <c r="R58" s="432"/>
      <c r="T58" s="146" t="str">
        <f t="shared" ca="1" si="29"/>
        <v/>
      </c>
      <c r="U58" s="206" t="str">
        <f t="shared" ca="1" si="30"/>
        <v/>
      </c>
      <c r="V58" s="207" t="str">
        <f ca="1">IF(AND($W58&gt;0,RegimeExecucao="Unitário"),$F58,"")</f>
        <v/>
      </c>
      <c r="W58" s="633">
        <f ca="1">IF($Y58&gt;0,CHOOSE(MATCH(RegimeExecucao,{"Unitário","Global"},0),IF($A58="S",$Y58/$X58,""),($Y58/$X58)*100),0)</f>
        <v>0</v>
      </c>
      <c r="X58" s="433" t="str">
        <f ca="1">IF($Y58&gt;0,CHOOSE(MATCH(RegimeExecucao,{"Unitário","Global"},0),IF($A58="S",ROUND($H58,ORÇAMENTO!$AF$10),""),ROUND($I58,ORÇAMENTO!$AF$11)),"")</f>
        <v/>
      </c>
      <c r="Y58" s="433">
        <f t="shared" ca="1" si="31"/>
        <v>0</v>
      </c>
      <c r="Z58" s="660"/>
      <c r="AB58" s="431"/>
      <c r="AC58" s="598"/>
      <c r="AD58" s="598"/>
      <c r="AE58" s="598"/>
      <c r="AF58" s="598"/>
      <c r="AG58" s="598"/>
      <c r="AH58" s="598"/>
      <c r="AI58" s="598"/>
      <c r="AJ58" s="598"/>
      <c r="AK58" s="598"/>
      <c r="AL58" s="598"/>
      <c r="AM58" s="432"/>
      <c r="AO58">
        <f ca="1">IF($A58="S",IF(BM!$I58=0,0,CHOOSE(MATCH(RegimeExecucao,{"Global","Unitário"},0),ROUND(ROUND(BM.MEDAcumulado,15-13*BM!$A$9)/100*BM!$I58,15-13*ORÇAMENTO!$AF$11),ROUND(ROUND(BM.MEDAcumulado,15-13*BM!$A$9)*ROUND(BM!$H58,15-13*ORÇAMENTO!$AF$10),15-13*ORÇAMENTO!$AF$11))),IF($A58=0,0,ROUND(SomaAgrupBM,15-13*ORÇAMENTO!$AF$11)))</f>
        <v>0</v>
      </c>
    </row>
    <row r="59" spans="1:41" ht="25.5" x14ac:dyDescent="0.2">
      <c r="A59" t="str">
        <f ca="1">ORÇAMENTO!C59</f>
        <v>S</v>
      </c>
      <c r="B59">
        <f ca="1">ORÇAMENTO!D59</f>
        <v>0</v>
      </c>
      <c r="C59" s="143" t="str">
        <f t="shared" ca="1" si="26"/>
        <v/>
      </c>
      <c r="D59" s="146" t="str">
        <f ca="1">ORÇAMENTO!O59</f>
        <v>-</v>
      </c>
      <c r="E59" s="206" t="str">
        <f t="shared" si="3"/>
        <v>IMPERMEABILIZAÇÃO DE SUPERFÍCIE COM EMULSÃO ASFÁLTICA, 2 DEMÃOS. AF_09/2023</v>
      </c>
      <c r="F59" s="207" t="str">
        <f ca="1">IF(RegimeExecucao="Global","",ORÇAMENTO.Unidade)</f>
        <v/>
      </c>
      <c r="G59" s="151" t="str">
        <f ca="1">IF(RegimeExecucao="Global","",ORÇAMENTO!T59)</f>
        <v/>
      </c>
      <c r="H59" s="151" t="str">
        <f ca="1">IF(RegimeExecucao="Global","",ORÇAMENTO!W59)</f>
        <v/>
      </c>
      <c r="I59" s="154">
        <f ca="1">ORÇAMENTO!X59</f>
        <v>0</v>
      </c>
      <c r="J59" s="427">
        <f ca="1">IF($A59="S",IF(CAIXA.Modo,BM.AFAnterior,BM.MEDAnterior),IF(AND(RegimeExecucao="Global",$I59&gt;0,COUNTIF($AB$13:$AM$13,BM.medicao-1)&gt;0),M59/$I59*100,0))</f>
        <v>0</v>
      </c>
      <c r="K59" s="151">
        <f t="shared" ca="1" si="27"/>
        <v>0</v>
      </c>
      <c r="L59" s="428">
        <f ca="1">IF($A59="S",IF(CAIXA.Modo,BM.AFAcumulado,BM.MEDAcumulado),IF(AND(RegimeExecucao="Global",$I59&gt;0,COUNTIF($AB$13:$AM$13,BM.medicao)&gt;0),O59/$I59*100,0))</f>
        <v>0</v>
      </c>
      <c r="M59" s="429">
        <f ca="1">IF($A59="S",VTOTALBM,IF($A59=0,0,ROUND(SomaAgrupBM,15-13*ORÇAMENTO!$AF$11)))</f>
        <v>0</v>
      </c>
      <c r="N59" s="430">
        <f t="shared" ca="1" si="28"/>
        <v>0</v>
      </c>
      <c r="O59" s="154">
        <f ca="1">IF($A59="S",VTOTALBM,IF($A59=0,0,ROUND(SomaAgrupBM,15-13*ORÇAMENTO!$AF$11)))</f>
        <v>0</v>
      </c>
      <c r="Q59" s="431"/>
      <c r="R59" s="432"/>
      <c r="T59" s="146" t="str">
        <f t="shared" ca="1" si="29"/>
        <v/>
      </c>
      <c r="U59" s="206" t="str">
        <f t="shared" ca="1" si="30"/>
        <v/>
      </c>
      <c r="V59" s="207" t="str">
        <f ca="1">IF(AND($W59&gt;0,RegimeExecucao="Unitário"),$F59,"")</f>
        <v/>
      </c>
      <c r="W59" s="633">
        <f ca="1">IF($Y59&gt;0,CHOOSE(MATCH(RegimeExecucao,{"Unitário","Global"},0),IF($A59="S",$Y59/$X59,""),($Y59/$X59)*100),0)</f>
        <v>0</v>
      </c>
      <c r="X59" s="433" t="str">
        <f ca="1">IF($Y59&gt;0,CHOOSE(MATCH(RegimeExecucao,{"Unitário","Global"},0),IF($A59="S",ROUND($H59,ORÇAMENTO!$AF$10),""),ROUND($I59,ORÇAMENTO!$AF$11)),"")</f>
        <v/>
      </c>
      <c r="Y59" s="433">
        <f t="shared" ca="1" si="31"/>
        <v>0</v>
      </c>
      <c r="Z59" s="660"/>
      <c r="AB59" s="431"/>
      <c r="AC59" s="598"/>
      <c r="AD59" s="598"/>
      <c r="AE59" s="598"/>
      <c r="AF59" s="598"/>
      <c r="AG59" s="598"/>
      <c r="AH59" s="598"/>
      <c r="AI59" s="598"/>
      <c r="AJ59" s="598"/>
      <c r="AK59" s="598"/>
      <c r="AL59" s="598"/>
      <c r="AM59" s="432"/>
      <c r="AO59">
        <f ca="1">IF($A59="S",IF(BM!$I59=0,0,CHOOSE(MATCH(RegimeExecucao,{"Global","Unitário"},0),ROUND(ROUND(BM.MEDAcumulado,15-13*BM!$A$9)/100*BM!$I59,15-13*ORÇAMENTO!$AF$11),ROUND(ROUND(BM.MEDAcumulado,15-13*BM!$A$9)*ROUND(BM!$H59,15-13*ORÇAMENTO!$AF$10),15-13*ORÇAMENTO!$AF$11))),IF($A59=0,0,ROUND(SomaAgrupBM,15-13*ORÇAMENTO!$AF$11)))</f>
        <v>0</v>
      </c>
    </row>
    <row r="60" spans="1:41" x14ac:dyDescent="0.2">
      <c r="A60">
        <f ca="1">ORÇAMENTO!C60</f>
        <v>2</v>
      </c>
      <c r="B60">
        <f ca="1">ORÇAMENTO!D60</f>
        <v>6</v>
      </c>
      <c r="C60" s="143" t="str">
        <f ca="1">IF(OR($I60&gt;0,$A60=1,$A60=2,$A60=3,$A60=4),"F","")</f>
        <v>F</v>
      </c>
      <c r="D60" s="146" t="str">
        <f ca="1">ORÇAMENTO!O60</f>
        <v>1.9.</v>
      </c>
      <c r="E60" s="206" t="str">
        <f t="shared" si="3"/>
        <v xml:space="preserve">ALVENARIAS </v>
      </c>
      <c r="F60" s="207" t="str">
        <f ca="1">IF(RegimeExecucao="Global","",ORÇAMENTO.Unidade)</f>
        <v/>
      </c>
      <c r="G60" s="151" t="str">
        <f ca="1">IF(RegimeExecucao="Global","",ORÇAMENTO!T60)</f>
        <v/>
      </c>
      <c r="H60" s="151" t="str">
        <f ca="1">IF(RegimeExecucao="Global","",ORÇAMENTO!W60)</f>
        <v/>
      </c>
      <c r="I60" s="154">
        <f ca="1">ORÇAMENTO!X60</f>
        <v>0</v>
      </c>
      <c r="J60" s="427">
        <f ca="1">IF($A60="S",IF(CAIXA.Modo,BM.AFAnterior,BM.MEDAnterior),IF(AND(RegimeExecucao="Global",$I60&gt;0,COUNTIF($AB$13:$AM$13,BM.medicao-1)&gt;0),M60/$I60*100,0))</f>
        <v>0</v>
      </c>
      <c r="K60" s="151">
        <f ca="1">L60-J60</f>
        <v>0</v>
      </c>
      <c r="L60" s="428">
        <f ca="1">IF($A60="S",IF(CAIXA.Modo,BM.AFAcumulado,BM.MEDAcumulado),IF(AND(RegimeExecucao="Global",$I60&gt;0,COUNTIF($AB$13:$AM$13,BM.medicao)&gt;0),O60/$I60*100,0))</f>
        <v>0</v>
      </c>
      <c r="M60" s="429">
        <f ca="1">IF($A60="S",VTOTALBM,IF($A60=0,0,ROUND(SomaAgrupBM,15-13*ORÇAMENTO!$AF$11)))</f>
        <v>0</v>
      </c>
      <c r="N60" s="430">
        <f ca="1">O60-M60</f>
        <v>0</v>
      </c>
      <c r="O60" s="154">
        <f ca="1">IF($A60="S",VTOTALBM,IF($A60=0,0,ROUND(SomaAgrupBM,15-13*ORÇAMENTO!$AF$11)))</f>
        <v>0</v>
      </c>
      <c r="Q60" s="431"/>
      <c r="R60" s="432"/>
      <c r="T60" s="146" t="str">
        <f ca="1">IF($W60&gt;0,$D60,"")</f>
        <v/>
      </c>
      <c r="U60" s="206" t="str">
        <f ca="1">IF($W60&gt;0,$E60,"")</f>
        <v/>
      </c>
      <c r="V60" s="207" t="str">
        <f ca="1">IF(AND($W60&gt;0,RegimeExecucao="Unitário"),$F60,"")</f>
        <v/>
      </c>
      <c r="W60" s="633">
        <f ca="1">IF($Y60&gt;0,CHOOSE(MATCH(RegimeExecucao,{"Unitário","Global"},0),IF($A60="S",$Y60/$X60,""),($Y60/$X60)*100),0)</f>
        <v>0</v>
      </c>
      <c r="X60" s="433" t="str">
        <f ca="1">IF($Y60&gt;0,CHOOSE(MATCH(RegimeExecucao,{"Unitário","Global"},0),IF($A60="S",ROUND($H60,ORÇAMENTO!$AF$10),""),ROUND($I60,ORÇAMENTO!$AF$11)),"")</f>
        <v/>
      </c>
      <c r="Y60" s="433">
        <f ca="1">AO60-O60</f>
        <v>0</v>
      </c>
      <c r="Z60" s="660"/>
      <c r="AB60" s="431"/>
      <c r="AC60" s="598"/>
      <c r="AD60" s="598"/>
      <c r="AE60" s="598"/>
      <c r="AF60" s="598"/>
      <c r="AG60" s="598"/>
      <c r="AH60" s="598"/>
      <c r="AI60" s="598"/>
      <c r="AJ60" s="598"/>
      <c r="AK60" s="598"/>
      <c r="AL60" s="598"/>
      <c r="AM60" s="432"/>
      <c r="AO60">
        <f ca="1">IF($A60="S",IF(BM!$I60=0,0,CHOOSE(MATCH(RegimeExecucao,{"Global","Unitário"},0),ROUND(ROUND(BM.MEDAcumulado,15-13*BM!$A$9)/100*BM!$I60,15-13*ORÇAMENTO!$AF$11),ROUND(ROUND(BM.MEDAcumulado,15-13*BM!$A$9)*ROUND(BM!$H60,15-13*ORÇAMENTO!$AF$10),15-13*ORÇAMENTO!$AF$11))),IF($A60=0,0,ROUND(SomaAgrupBM,15-13*ORÇAMENTO!$AF$11)))</f>
        <v>0</v>
      </c>
    </row>
    <row r="61" spans="1:41" ht="38.25" x14ac:dyDescent="0.2">
      <c r="A61" t="str">
        <f ca="1">ORÇAMENTO!C61</f>
        <v>S</v>
      </c>
      <c r="B61">
        <f ca="1">ORÇAMENTO!D61</f>
        <v>0</v>
      </c>
      <c r="C61" s="143" t="str">
        <f ca="1">IF(OR($I61&gt;0,$A61=1,$A61=2,$A61=3,$A61=4),"F","")</f>
        <v/>
      </c>
      <c r="D61" s="146" t="str">
        <f ca="1">ORÇAMENTO!O61</f>
        <v>-</v>
      </c>
      <c r="E61" s="206" t="str">
        <f t="shared" ref="E61:E100" si="32">ORÇAMENTO.Descricao</f>
        <v>ALVENARIA DE VEDAÇÃO DE BLOCOS CERÂMICOS FURADOS NA VERTICAL DE 14X19X39 CM (ESPESSURA 14 CM) E ARGAMASSA DE ASSENTAMENTO COM PREPARO MANUAL. AF_12/2021</v>
      </c>
      <c r="F61" s="207" t="str">
        <f ca="1">IF(RegimeExecucao="Global","",ORÇAMENTO.Unidade)</f>
        <v/>
      </c>
      <c r="G61" s="151" t="str">
        <f ca="1">IF(RegimeExecucao="Global","",ORÇAMENTO!T61)</f>
        <v/>
      </c>
      <c r="H61" s="151" t="str">
        <f ca="1">IF(RegimeExecucao="Global","",ORÇAMENTO!W61)</f>
        <v/>
      </c>
      <c r="I61" s="154">
        <f ca="1">ORÇAMENTO!X61</f>
        <v>0</v>
      </c>
      <c r="J61" s="427">
        <f ca="1">IF($A61="S",IF(CAIXA.Modo,BM.AFAnterior,BM.MEDAnterior),IF(AND(RegimeExecucao="Global",$I61&gt;0,COUNTIF($AB$13:$AM$13,BM.medicao-1)&gt;0),M61/$I61*100,0))</f>
        <v>0</v>
      </c>
      <c r="K61" s="151">
        <f ca="1">L61-J61</f>
        <v>0</v>
      </c>
      <c r="L61" s="428">
        <f ca="1">IF($A61="S",IF(CAIXA.Modo,BM.AFAcumulado,BM.MEDAcumulado),IF(AND(RegimeExecucao="Global",$I61&gt;0,COUNTIF($AB$13:$AM$13,BM.medicao)&gt;0),O61/$I61*100,0))</f>
        <v>0</v>
      </c>
      <c r="M61" s="429">
        <f ca="1">IF($A61="S",VTOTALBM,IF($A61=0,0,ROUND(SomaAgrupBM,15-13*ORÇAMENTO!$AF$11)))</f>
        <v>0</v>
      </c>
      <c r="N61" s="430">
        <f ca="1">O61-M61</f>
        <v>0</v>
      </c>
      <c r="O61" s="154">
        <f ca="1">IF($A61="S",VTOTALBM,IF($A61=0,0,ROUND(SomaAgrupBM,15-13*ORÇAMENTO!$AF$11)))</f>
        <v>0</v>
      </c>
      <c r="Q61" s="431"/>
      <c r="R61" s="432"/>
      <c r="T61" s="146" t="str">
        <f ca="1">IF($W61&gt;0,$D61,"")</f>
        <v/>
      </c>
      <c r="U61" s="206" t="str">
        <f ca="1">IF($W61&gt;0,$E61,"")</f>
        <v/>
      </c>
      <c r="V61" s="207" t="str">
        <f ca="1">IF(AND($W61&gt;0,RegimeExecucao="Unitário"),$F61,"")</f>
        <v/>
      </c>
      <c r="W61" s="633">
        <f ca="1">IF($Y61&gt;0,CHOOSE(MATCH(RegimeExecucao,{"Unitário","Global"},0),IF($A61="S",$Y61/$X61,""),($Y61/$X61)*100),0)</f>
        <v>0</v>
      </c>
      <c r="X61" s="433" t="str">
        <f ca="1">IF($Y61&gt;0,CHOOSE(MATCH(RegimeExecucao,{"Unitário","Global"},0),IF($A61="S",ROUND($H61,ORÇAMENTO!$AF$10),""),ROUND($I61,ORÇAMENTO!$AF$11)),"")</f>
        <v/>
      </c>
      <c r="Y61" s="433">
        <f ca="1">AO61-O61</f>
        <v>0</v>
      </c>
      <c r="Z61" s="660"/>
      <c r="AB61" s="431"/>
      <c r="AC61" s="598"/>
      <c r="AD61" s="598"/>
      <c r="AE61" s="598"/>
      <c r="AF61" s="598"/>
      <c r="AG61" s="598"/>
      <c r="AH61" s="598"/>
      <c r="AI61" s="598"/>
      <c r="AJ61" s="598"/>
      <c r="AK61" s="598"/>
      <c r="AL61" s="598"/>
      <c r="AM61" s="432"/>
      <c r="AO61">
        <f ca="1">IF($A61="S",IF(BM!$I61=0,0,CHOOSE(MATCH(RegimeExecucao,{"Global","Unitário"},0),ROUND(ROUND(BM.MEDAcumulado,15-13*BM!$A$9)/100*BM!$I61,15-13*ORÇAMENTO!$AF$11),ROUND(ROUND(BM.MEDAcumulado,15-13*BM!$A$9)*ROUND(BM!$H61,15-13*ORÇAMENTO!$AF$10),15-13*ORÇAMENTO!$AF$11))),IF($A61=0,0,ROUND(SomaAgrupBM,15-13*ORÇAMENTO!$AF$11)))</f>
        <v>0</v>
      </c>
    </row>
    <row r="62" spans="1:41" ht="51" x14ac:dyDescent="0.2">
      <c r="A62" t="str">
        <f ca="1">ORÇAMENTO!C62</f>
        <v>S</v>
      </c>
      <c r="B62">
        <f ca="1">ORÇAMENTO!D62</f>
        <v>0</v>
      </c>
      <c r="C62" s="143" t="str">
        <f t="shared" ref="C62:C100" ca="1" si="33">IF(OR($I62&gt;0,$A62=1,$A62=2,$A62=3,$A62=4),"F","")</f>
        <v/>
      </c>
      <c r="D62" s="146" t="str">
        <f ca="1">ORÇAMENTO!O62</f>
        <v>-</v>
      </c>
      <c r="E62" s="206" t="str">
        <f t="shared" si="32"/>
        <v>EMBOÇO OU MASSA ÚNICA EM ARGAMASSA TRAÇO 1:2:8, PREPARO MECÂNICO COM BETONEIRA 400 L, APLICADA MANUALMENTE EM PANOS DE FACHADA COM PRESENÇA DE VÃOS, ESPESSURA DE 25 MM. AF_08/2022</v>
      </c>
      <c r="F62" s="207" t="str">
        <f ca="1">IF(RegimeExecucao="Global","",ORÇAMENTO.Unidade)</f>
        <v/>
      </c>
      <c r="G62" s="151" t="str">
        <f ca="1">IF(RegimeExecucao="Global","",ORÇAMENTO!T62)</f>
        <v/>
      </c>
      <c r="H62" s="151" t="str">
        <f ca="1">IF(RegimeExecucao="Global","",ORÇAMENTO!W62)</f>
        <v/>
      </c>
      <c r="I62" s="154">
        <f ca="1">ORÇAMENTO!X62</f>
        <v>0</v>
      </c>
      <c r="J62" s="427">
        <f ca="1">IF($A62="S",IF(CAIXA.Modo,BM.AFAnterior,BM.MEDAnterior),IF(AND(RegimeExecucao="Global",$I62&gt;0,COUNTIF($AB$13:$AM$13,BM.medicao-1)&gt;0),M62/$I62*100,0))</f>
        <v>0</v>
      </c>
      <c r="K62" s="151">
        <f t="shared" ref="K62:K100" ca="1" si="34">L62-J62</f>
        <v>0</v>
      </c>
      <c r="L62" s="428">
        <f ca="1">IF($A62="S",IF(CAIXA.Modo,BM.AFAcumulado,BM.MEDAcumulado),IF(AND(RegimeExecucao="Global",$I62&gt;0,COUNTIF($AB$13:$AM$13,BM.medicao)&gt;0),O62/$I62*100,0))</f>
        <v>0</v>
      </c>
      <c r="M62" s="429">
        <f ca="1">IF($A62="S",VTOTALBM,IF($A62=0,0,ROUND(SomaAgrupBM,15-13*ORÇAMENTO!$AF$11)))</f>
        <v>0</v>
      </c>
      <c r="N62" s="430">
        <f t="shared" ref="N62:N100" ca="1" si="35">O62-M62</f>
        <v>0</v>
      </c>
      <c r="O62" s="154">
        <f ca="1">IF($A62="S",VTOTALBM,IF($A62=0,0,ROUND(SomaAgrupBM,15-13*ORÇAMENTO!$AF$11)))</f>
        <v>0</v>
      </c>
      <c r="Q62" s="431"/>
      <c r="R62" s="432"/>
      <c r="T62" s="146" t="str">
        <f t="shared" ref="T62:T100" ca="1" si="36">IF($W62&gt;0,$D62,"")</f>
        <v/>
      </c>
      <c r="U62" s="206" t="str">
        <f t="shared" ref="U62:U100" ca="1" si="37">IF($W62&gt;0,$E62,"")</f>
        <v/>
      </c>
      <c r="V62" s="207" t="str">
        <f ca="1">IF(AND($W62&gt;0,RegimeExecucao="Unitário"),$F62,"")</f>
        <v/>
      </c>
      <c r="W62" s="633">
        <f ca="1">IF($Y62&gt;0,CHOOSE(MATCH(RegimeExecucao,{"Unitário","Global"},0),IF($A62="S",$Y62/$X62,""),($Y62/$X62)*100),0)</f>
        <v>0</v>
      </c>
      <c r="X62" s="433" t="str">
        <f ca="1">IF($Y62&gt;0,CHOOSE(MATCH(RegimeExecucao,{"Unitário","Global"},0),IF($A62="S",ROUND($H62,ORÇAMENTO!$AF$10),""),ROUND($I62,ORÇAMENTO!$AF$11)),"")</f>
        <v/>
      </c>
      <c r="Y62" s="433">
        <f t="shared" ref="Y62:Y100" ca="1" si="38">AO62-O62</f>
        <v>0</v>
      </c>
      <c r="Z62" s="660"/>
      <c r="AB62" s="431"/>
      <c r="AC62" s="598"/>
      <c r="AD62" s="598"/>
      <c r="AE62" s="598"/>
      <c r="AF62" s="598"/>
      <c r="AG62" s="598"/>
      <c r="AH62" s="598"/>
      <c r="AI62" s="598"/>
      <c r="AJ62" s="598"/>
      <c r="AK62" s="598"/>
      <c r="AL62" s="598"/>
      <c r="AM62" s="432"/>
      <c r="AO62">
        <f ca="1">IF($A62="S",IF(BM!$I62=0,0,CHOOSE(MATCH(RegimeExecucao,{"Global","Unitário"},0),ROUND(ROUND(BM.MEDAcumulado,15-13*BM!$A$9)/100*BM!$I62,15-13*ORÇAMENTO!$AF$11),ROUND(ROUND(BM.MEDAcumulado,15-13*BM!$A$9)*ROUND(BM!$H62,15-13*ORÇAMENTO!$AF$10),15-13*ORÇAMENTO!$AF$11))),IF($A62=0,0,ROUND(SomaAgrupBM,15-13*ORÇAMENTO!$AF$11)))</f>
        <v>0</v>
      </c>
    </row>
    <row r="63" spans="1:41" ht="51" x14ac:dyDescent="0.2">
      <c r="A63" t="str">
        <f ca="1">ORÇAMENTO!C63</f>
        <v>S</v>
      </c>
      <c r="B63">
        <f ca="1">ORÇAMENTO!D63</f>
        <v>0</v>
      </c>
      <c r="C63" s="143" t="str">
        <f t="shared" ca="1" si="33"/>
        <v/>
      </c>
      <c r="D63" s="146" t="str">
        <f ca="1">ORÇAMENTO!O63</f>
        <v>-</v>
      </c>
      <c r="E63" s="206" t="str">
        <f t="shared" si="32"/>
        <v>CHAPISCO APLICADO EM ALVENARIA (COM PRESENÇA DE VÃOS) E ESTRUTURAS DE CONCRETO DE FACHADA, COM COLHER DE PEDREIRO.  ARGAMASSA TRAÇO 1:3 COM PREPARO EM BETONEIRA 400L. AF_10/2022</v>
      </c>
      <c r="F63" s="207" t="str">
        <f ca="1">IF(RegimeExecucao="Global","",ORÇAMENTO.Unidade)</f>
        <v/>
      </c>
      <c r="G63" s="151" t="str">
        <f ca="1">IF(RegimeExecucao="Global","",ORÇAMENTO!T63)</f>
        <v/>
      </c>
      <c r="H63" s="151" t="str">
        <f ca="1">IF(RegimeExecucao="Global","",ORÇAMENTO!W63)</f>
        <v/>
      </c>
      <c r="I63" s="154">
        <f ca="1">ORÇAMENTO!X63</f>
        <v>0</v>
      </c>
      <c r="J63" s="427">
        <f ca="1">IF($A63="S",IF(CAIXA.Modo,BM.AFAnterior,BM.MEDAnterior),IF(AND(RegimeExecucao="Global",$I63&gt;0,COUNTIF($AB$13:$AM$13,BM.medicao-1)&gt;0),M63/$I63*100,0))</f>
        <v>0</v>
      </c>
      <c r="K63" s="151">
        <f t="shared" ca="1" si="34"/>
        <v>0</v>
      </c>
      <c r="L63" s="428">
        <f ca="1">IF($A63="S",IF(CAIXA.Modo,BM.AFAcumulado,BM.MEDAcumulado),IF(AND(RegimeExecucao="Global",$I63&gt;0,COUNTIF($AB$13:$AM$13,BM.medicao)&gt;0),O63/$I63*100,0))</f>
        <v>0</v>
      </c>
      <c r="M63" s="429">
        <f ca="1">IF($A63="S",VTOTALBM,IF($A63=0,0,ROUND(SomaAgrupBM,15-13*ORÇAMENTO!$AF$11)))</f>
        <v>0</v>
      </c>
      <c r="N63" s="430">
        <f t="shared" ca="1" si="35"/>
        <v>0</v>
      </c>
      <c r="O63" s="154">
        <f ca="1">IF($A63="S",VTOTALBM,IF($A63=0,0,ROUND(SomaAgrupBM,15-13*ORÇAMENTO!$AF$11)))</f>
        <v>0</v>
      </c>
      <c r="Q63" s="431"/>
      <c r="R63" s="432"/>
      <c r="T63" s="146" t="str">
        <f t="shared" ca="1" si="36"/>
        <v/>
      </c>
      <c r="U63" s="206" t="str">
        <f t="shared" ca="1" si="37"/>
        <v/>
      </c>
      <c r="V63" s="207" t="str">
        <f ca="1">IF(AND($W63&gt;0,RegimeExecucao="Unitário"),$F63,"")</f>
        <v/>
      </c>
      <c r="W63" s="633">
        <f ca="1">IF($Y63&gt;0,CHOOSE(MATCH(RegimeExecucao,{"Unitário","Global"},0),IF($A63="S",$Y63/$X63,""),($Y63/$X63)*100),0)</f>
        <v>0</v>
      </c>
      <c r="X63" s="433" t="str">
        <f ca="1">IF($Y63&gt;0,CHOOSE(MATCH(RegimeExecucao,{"Unitário","Global"},0),IF($A63="S",ROUND($H63,ORÇAMENTO!$AF$10),""),ROUND($I63,ORÇAMENTO!$AF$11)),"")</f>
        <v/>
      </c>
      <c r="Y63" s="433">
        <f t="shared" ca="1" si="38"/>
        <v>0</v>
      </c>
      <c r="Z63" s="660"/>
      <c r="AB63" s="431"/>
      <c r="AC63" s="598"/>
      <c r="AD63" s="598"/>
      <c r="AE63" s="598"/>
      <c r="AF63" s="598"/>
      <c r="AG63" s="598"/>
      <c r="AH63" s="598"/>
      <c r="AI63" s="598"/>
      <c r="AJ63" s="598"/>
      <c r="AK63" s="598"/>
      <c r="AL63" s="598"/>
      <c r="AM63" s="432"/>
      <c r="AO63">
        <f ca="1">IF($A63="S",IF(BM!$I63=0,0,CHOOSE(MATCH(RegimeExecucao,{"Global","Unitário"},0),ROUND(ROUND(BM.MEDAcumulado,15-13*BM!$A$9)/100*BM!$I63,15-13*ORÇAMENTO!$AF$11),ROUND(ROUND(BM.MEDAcumulado,15-13*BM!$A$9)*ROUND(BM!$H63,15-13*ORÇAMENTO!$AF$10),15-13*ORÇAMENTO!$AF$11))),IF($A63=0,0,ROUND(SomaAgrupBM,15-13*ORÇAMENTO!$AF$11)))</f>
        <v>0</v>
      </c>
    </row>
    <row r="64" spans="1:41" ht="25.5" x14ac:dyDescent="0.2">
      <c r="A64" t="str">
        <f ca="1">ORÇAMENTO!C64</f>
        <v>S</v>
      </c>
      <c r="B64">
        <f ca="1">ORÇAMENTO!D64</f>
        <v>0</v>
      </c>
      <c r="C64" s="143" t="str">
        <f t="shared" ca="1" si="33"/>
        <v/>
      </c>
      <c r="D64" s="146" t="str">
        <f ca="1">ORÇAMENTO!O64</f>
        <v>-</v>
      </c>
      <c r="E64" s="206" t="str">
        <f t="shared" si="32"/>
        <v>PAREDE INTERNA DE DIVISÓRIA  EM PLACA CIMENTÍCIA 10MM, DUPLA COM ESTRUTURA METALICA TIPO DRYWALL</v>
      </c>
      <c r="F64" s="207" t="str">
        <f ca="1">IF(RegimeExecucao="Global","",ORÇAMENTO.Unidade)</f>
        <v/>
      </c>
      <c r="G64" s="151" t="str">
        <f ca="1">IF(RegimeExecucao="Global","",ORÇAMENTO!T64)</f>
        <v/>
      </c>
      <c r="H64" s="151" t="str">
        <f ca="1">IF(RegimeExecucao="Global","",ORÇAMENTO!W64)</f>
        <v/>
      </c>
      <c r="I64" s="154">
        <f ca="1">ORÇAMENTO!X64</f>
        <v>0</v>
      </c>
      <c r="J64" s="427">
        <f ca="1">IF($A64="S",IF(CAIXA.Modo,BM.AFAnterior,BM.MEDAnterior),IF(AND(RegimeExecucao="Global",$I64&gt;0,COUNTIF($AB$13:$AM$13,BM.medicao-1)&gt;0),M64/$I64*100,0))</f>
        <v>0</v>
      </c>
      <c r="K64" s="151">
        <f t="shared" ca="1" si="34"/>
        <v>0</v>
      </c>
      <c r="L64" s="428">
        <f ca="1">IF($A64="S",IF(CAIXA.Modo,BM.AFAcumulado,BM.MEDAcumulado),IF(AND(RegimeExecucao="Global",$I64&gt;0,COUNTIF($AB$13:$AM$13,BM.medicao)&gt;0),O64/$I64*100,0))</f>
        <v>0</v>
      </c>
      <c r="M64" s="429">
        <f ca="1">IF($A64="S",VTOTALBM,IF($A64=0,0,ROUND(SomaAgrupBM,15-13*ORÇAMENTO!$AF$11)))</f>
        <v>0</v>
      </c>
      <c r="N64" s="430">
        <f t="shared" ca="1" si="35"/>
        <v>0</v>
      </c>
      <c r="O64" s="154">
        <f ca="1">IF($A64="S",VTOTALBM,IF($A64=0,0,ROUND(SomaAgrupBM,15-13*ORÇAMENTO!$AF$11)))</f>
        <v>0</v>
      </c>
      <c r="Q64" s="431"/>
      <c r="R64" s="432"/>
      <c r="T64" s="146" t="str">
        <f t="shared" ca="1" si="36"/>
        <v/>
      </c>
      <c r="U64" s="206" t="str">
        <f t="shared" ca="1" si="37"/>
        <v/>
      </c>
      <c r="V64" s="207" t="str">
        <f ca="1">IF(AND($W64&gt;0,RegimeExecucao="Unitário"),$F64,"")</f>
        <v/>
      </c>
      <c r="W64" s="633">
        <f ca="1">IF($Y64&gt;0,CHOOSE(MATCH(RegimeExecucao,{"Unitário","Global"},0),IF($A64="S",$Y64/$X64,""),($Y64/$X64)*100),0)</f>
        <v>0</v>
      </c>
      <c r="X64" s="433" t="str">
        <f ca="1">IF($Y64&gt;0,CHOOSE(MATCH(RegimeExecucao,{"Unitário","Global"},0),IF($A64="S",ROUND($H64,ORÇAMENTO!$AF$10),""),ROUND($I64,ORÇAMENTO!$AF$11)),"")</f>
        <v/>
      </c>
      <c r="Y64" s="433">
        <f t="shared" ca="1" si="38"/>
        <v>0</v>
      </c>
      <c r="Z64" s="660"/>
      <c r="AB64" s="431"/>
      <c r="AC64" s="598"/>
      <c r="AD64" s="598"/>
      <c r="AE64" s="598"/>
      <c r="AF64" s="598"/>
      <c r="AG64" s="598"/>
      <c r="AH64" s="598"/>
      <c r="AI64" s="598"/>
      <c r="AJ64" s="598"/>
      <c r="AK64" s="598"/>
      <c r="AL64" s="598"/>
      <c r="AM64" s="432"/>
      <c r="AO64">
        <f ca="1">IF($A64="S",IF(BM!$I64=0,0,CHOOSE(MATCH(RegimeExecucao,{"Global","Unitário"},0),ROUND(ROUND(BM.MEDAcumulado,15-13*BM!$A$9)/100*BM!$I64,15-13*ORÇAMENTO!$AF$11),ROUND(ROUND(BM.MEDAcumulado,15-13*BM!$A$9)*ROUND(BM!$H64,15-13*ORÇAMENTO!$AF$10),15-13*ORÇAMENTO!$AF$11))),IF($A64=0,0,ROUND(SomaAgrupBM,15-13*ORÇAMENTO!$AF$11)))</f>
        <v>0</v>
      </c>
    </row>
    <row r="65" spans="1:41" ht="38.25" x14ac:dyDescent="0.2">
      <c r="A65" t="str">
        <f ca="1">ORÇAMENTO!C65</f>
        <v>S</v>
      </c>
      <c r="B65">
        <f ca="1">ORÇAMENTO!D65</f>
        <v>0</v>
      </c>
      <c r="C65" s="143" t="str">
        <f ca="1">IF(OR($I65&gt;0,$A65=1,$A65=2,$A65=3,$A65=4),"F","")</f>
        <v/>
      </c>
      <c r="D65" s="146" t="str">
        <f ca="1">ORÇAMENTO!O65</f>
        <v>-</v>
      </c>
      <c r="E65" s="206" t="str">
        <f>ORÇAMENTO.Descricao</f>
        <v>REVESTIMENTO CERÂMICO PARA PAREDES INTERNAS COM PLACAS TIPO ESMALTADA DE DIMENSÕES 33X45 CM APLICADAS NA ALTURA INTEIRA DAS PAREDES. AF_02/2023_PE</v>
      </c>
      <c r="F65" s="207" t="str">
        <f ca="1">IF(RegimeExecucao="Global","",ORÇAMENTO.Unidade)</f>
        <v/>
      </c>
      <c r="G65" s="151" t="str">
        <f ca="1">IF(RegimeExecucao="Global","",ORÇAMENTO!T65)</f>
        <v/>
      </c>
      <c r="H65" s="151" t="str">
        <f ca="1">IF(RegimeExecucao="Global","",ORÇAMENTO!W65)</f>
        <v/>
      </c>
      <c r="I65" s="154">
        <f ca="1">ORÇAMENTO!X65</f>
        <v>0</v>
      </c>
      <c r="J65" s="427">
        <f ca="1">IF($A65="S",IF(CAIXA.Modo,BM.AFAnterior,BM.MEDAnterior),IF(AND(RegimeExecucao="Global",$I65&gt;0,COUNTIF($AB$13:$AM$13,BM.medicao-1)&gt;0),M65/$I65*100,0))</f>
        <v>0</v>
      </c>
      <c r="K65" s="151">
        <f t="shared" ca="1" si="34"/>
        <v>0</v>
      </c>
      <c r="L65" s="428">
        <f ca="1">IF($A65="S",IF(CAIXA.Modo,BM.AFAcumulado,BM.MEDAcumulado),IF(AND(RegimeExecucao="Global",$I65&gt;0,COUNTIF($AB$13:$AM$13,BM.medicao)&gt;0),O65/$I65*100,0))</f>
        <v>0</v>
      </c>
      <c r="M65" s="429">
        <f ca="1">IF($A65="S",VTOTALBM,IF($A65=0,0,ROUND(SomaAgrupBM,15-13*ORÇAMENTO!$AF$11)))</f>
        <v>0</v>
      </c>
      <c r="N65" s="430">
        <f t="shared" ca="1" si="35"/>
        <v>0</v>
      </c>
      <c r="O65" s="154">
        <f ca="1">IF($A65="S",VTOTALBM,IF($A65=0,0,ROUND(SomaAgrupBM,15-13*ORÇAMENTO!$AF$11)))</f>
        <v>0</v>
      </c>
      <c r="Q65" s="431"/>
      <c r="R65" s="432"/>
      <c r="T65" s="146" t="str">
        <f ca="1">IF($W65&gt;0,$D65,"")</f>
        <v/>
      </c>
      <c r="U65" s="206" t="str">
        <f ca="1">IF($W65&gt;0,$E65,"")</f>
        <v/>
      </c>
      <c r="V65" s="207" t="str">
        <f ca="1">IF(AND($W65&gt;0,RegimeExecucao="Unitário"),$F65,"")</f>
        <v/>
      </c>
      <c r="W65" s="633">
        <f ca="1">IF($Y65&gt;0,CHOOSE(MATCH(RegimeExecucao,{"Unitário","Global"},0),IF($A65="S",$Y65/$X65,""),($Y65/$X65)*100),0)</f>
        <v>0</v>
      </c>
      <c r="X65" s="433" t="str">
        <f ca="1">IF($Y65&gt;0,CHOOSE(MATCH(RegimeExecucao,{"Unitário","Global"},0),IF($A65="S",ROUND($H65,ORÇAMENTO!$AF$10),""),ROUND($I65,ORÇAMENTO!$AF$11)),"")</f>
        <v/>
      </c>
      <c r="Y65" s="433">
        <f ca="1">AO65-O65</f>
        <v>0</v>
      </c>
      <c r="Z65" s="660"/>
      <c r="AB65" s="431"/>
      <c r="AC65" s="598"/>
      <c r="AD65" s="598"/>
      <c r="AE65" s="598"/>
      <c r="AF65" s="598"/>
      <c r="AG65" s="598"/>
      <c r="AH65" s="598"/>
      <c r="AI65" s="598"/>
      <c r="AJ65" s="598"/>
      <c r="AK65" s="598"/>
      <c r="AL65" s="598"/>
      <c r="AM65" s="432"/>
      <c r="AO65">
        <f ca="1">IF($A65="S",IF(BM!$I65=0,0,CHOOSE(MATCH(RegimeExecucao,{"Global","Unitário"},0),ROUND(ROUND(BM.MEDAcumulado,15-13*BM!$A$9)/100*BM!$I65,15-13*ORÇAMENTO!$AF$11),ROUND(ROUND(BM.MEDAcumulado,15-13*BM!$A$9)*ROUND(BM!$H65,15-13*ORÇAMENTO!$AF$10),15-13*ORÇAMENTO!$AF$11))),IF($A65=0,0,ROUND(SomaAgrupBM,15-13*ORÇAMENTO!$AF$11)))</f>
        <v>0</v>
      </c>
    </row>
    <row r="66" spans="1:41" x14ac:dyDescent="0.2">
      <c r="A66">
        <f ca="1">ORÇAMENTO!C66</f>
        <v>2</v>
      </c>
      <c r="B66">
        <f ca="1">ORÇAMENTO!D66</f>
        <v>2</v>
      </c>
      <c r="C66" s="143" t="str">
        <f ca="1">IF(OR($I66&gt;0,$A66=1,$A66=2,$A66=3,$A66=4),"F","")</f>
        <v>F</v>
      </c>
      <c r="D66" s="146" t="str">
        <f ca="1">ORÇAMENTO!O66</f>
        <v>1.10.</v>
      </c>
      <c r="E66" s="206" t="str">
        <f>ORÇAMENTO.Descricao</f>
        <v>DIVISÓRIA EM VIDRO FIXO</v>
      </c>
      <c r="F66" s="207" t="str">
        <f ca="1">IF(RegimeExecucao="Global","",ORÇAMENTO.Unidade)</f>
        <v/>
      </c>
      <c r="G66" s="151" t="str">
        <f ca="1">IF(RegimeExecucao="Global","",ORÇAMENTO!T66)</f>
        <v/>
      </c>
      <c r="H66" s="151" t="str">
        <f ca="1">IF(RegimeExecucao="Global","",ORÇAMENTO!W66)</f>
        <v/>
      </c>
      <c r="I66" s="154">
        <f ca="1">ORÇAMENTO!X66</f>
        <v>0</v>
      </c>
      <c r="J66" s="427">
        <f ca="1">IF($A66="S",IF(CAIXA.Modo,BM.AFAnterior,BM.MEDAnterior),IF(AND(RegimeExecucao="Global",$I66&gt;0,COUNTIF($AB$13:$AM$13,BM.medicao-1)&gt;0),M66/$I66*100,0))</f>
        <v>0</v>
      </c>
      <c r="K66" s="151">
        <f t="shared" ca="1" si="34"/>
        <v>0</v>
      </c>
      <c r="L66" s="428">
        <f ca="1">IF($A66="S",IF(CAIXA.Modo,BM.AFAcumulado,BM.MEDAcumulado),IF(AND(RegimeExecucao="Global",$I66&gt;0,COUNTIF($AB$13:$AM$13,BM.medicao)&gt;0),O66/$I66*100,0))</f>
        <v>0</v>
      </c>
      <c r="M66" s="429">
        <f ca="1">IF($A66="S",VTOTALBM,IF($A66=0,0,ROUND(SomaAgrupBM,15-13*ORÇAMENTO!$AF$11)))</f>
        <v>0</v>
      </c>
      <c r="N66" s="430">
        <f t="shared" ca="1" si="35"/>
        <v>0</v>
      </c>
      <c r="O66" s="154">
        <f ca="1">IF($A66="S",VTOTALBM,IF($A66=0,0,ROUND(SomaAgrupBM,15-13*ORÇAMENTO!$AF$11)))</f>
        <v>0</v>
      </c>
      <c r="Q66" s="431"/>
      <c r="R66" s="432"/>
      <c r="T66" s="146" t="str">
        <f ca="1">IF($W66&gt;0,$D66,"")</f>
        <v/>
      </c>
      <c r="U66" s="206" t="str">
        <f ca="1">IF($W66&gt;0,$E66,"")</f>
        <v/>
      </c>
      <c r="V66" s="207" t="str">
        <f ca="1">IF(AND($W66&gt;0,RegimeExecucao="Unitário"),$F66,"")</f>
        <v/>
      </c>
      <c r="W66" s="633">
        <f ca="1">IF($Y66&gt;0,CHOOSE(MATCH(RegimeExecucao,{"Unitário","Global"},0),IF($A66="S",$Y66/$X66,""),($Y66/$X66)*100),0)</f>
        <v>0</v>
      </c>
      <c r="X66" s="433" t="str">
        <f ca="1">IF($Y66&gt;0,CHOOSE(MATCH(RegimeExecucao,{"Unitário","Global"},0),IF($A66="S",ROUND($H66,ORÇAMENTO!$AF$10),""),ROUND($I66,ORÇAMENTO!$AF$11)),"")</f>
        <v/>
      </c>
      <c r="Y66" s="433">
        <f ca="1">AO66-O66</f>
        <v>0</v>
      </c>
      <c r="Z66" s="660"/>
      <c r="AB66" s="431"/>
      <c r="AC66" s="598"/>
      <c r="AD66" s="598"/>
      <c r="AE66" s="598"/>
      <c r="AF66" s="598"/>
      <c r="AG66" s="598"/>
      <c r="AH66" s="598"/>
      <c r="AI66" s="598"/>
      <c r="AJ66" s="598"/>
      <c r="AK66" s="598"/>
      <c r="AL66" s="598"/>
      <c r="AM66" s="432"/>
      <c r="AO66">
        <f ca="1">IF($A66="S",IF(BM!$I66=0,0,CHOOSE(MATCH(RegimeExecucao,{"Global","Unitário"},0),ROUND(ROUND(BM.MEDAcumulado,15-13*BM!$A$9)/100*BM!$I66,15-13*ORÇAMENTO!$AF$11),ROUND(ROUND(BM.MEDAcumulado,15-13*BM!$A$9)*ROUND(BM!$H66,15-13*ORÇAMENTO!$AF$10),15-13*ORÇAMENTO!$AF$11))),IF($A66=0,0,ROUND(SomaAgrupBM,15-13*ORÇAMENTO!$AF$11)))</f>
        <v>0</v>
      </c>
    </row>
    <row r="67" spans="1:41" ht="38.25" x14ac:dyDescent="0.2">
      <c r="A67" t="str">
        <f ca="1">ORÇAMENTO!C67</f>
        <v>S</v>
      </c>
      <c r="B67">
        <f ca="1">ORÇAMENTO!D67</f>
        <v>0</v>
      </c>
      <c r="C67" s="143" t="str">
        <f ca="1">IF(OR($I67&gt;0,$A67=1,$A67=2,$A67=3,$A67=4),"F","")</f>
        <v/>
      </c>
      <c r="D67" s="146" t="str">
        <f ca="1">ORÇAMENTO!O67</f>
        <v>-</v>
      </c>
      <c r="E67" s="206" t="str">
        <f>ORÇAMENTO.Descricao</f>
        <v xml:space="preserve">DIVISÓRIA  FIXA, EM ALUMINIO PERFIL 20, 60 X 80 CM (A X L), BATENTE/REQUADRO DE 3 A 14 CM, COM VIDRO  DUPLO 4 MM, SEM GUARNICAO/ALIZAR, ACABAMENTO ALUM BRANCO OU BRILHANTE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F67" s="207" t="str">
        <f ca="1">IF(RegimeExecucao="Global","",ORÇAMENTO.Unidade)</f>
        <v/>
      </c>
      <c r="G67" s="151" t="str">
        <f ca="1">IF(RegimeExecucao="Global","",ORÇAMENTO!T67)</f>
        <v/>
      </c>
      <c r="H67" s="151" t="str">
        <f ca="1">IF(RegimeExecucao="Global","",ORÇAMENTO!W67)</f>
        <v/>
      </c>
      <c r="I67" s="154">
        <f ca="1">ORÇAMENTO!X67</f>
        <v>0</v>
      </c>
      <c r="J67" s="427">
        <f ca="1">IF($A67="S",IF(CAIXA.Modo,BM.AFAnterior,BM.MEDAnterior),IF(AND(RegimeExecucao="Global",$I67&gt;0,COUNTIF($AB$13:$AM$13,BM.medicao-1)&gt;0),M67/$I67*100,0))</f>
        <v>0</v>
      </c>
      <c r="K67" s="151">
        <f t="shared" ca="1" si="34"/>
        <v>0</v>
      </c>
      <c r="L67" s="428">
        <f ca="1">IF($A67="S",IF(CAIXA.Modo,BM.AFAcumulado,BM.MEDAcumulado),IF(AND(RegimeExecucao="Global",$I67&gt;0,COUNTIF($AB$13:$AM$13,BM.medicao)&gt;0),O67/$I67*100,0))</f>
        <v>0</v>
      </c>
      <c r="M67" s="429">
        <f ca="1">IF($A67="S",VTOTALBM,IF($A67=0,0,ROUND(SomaAgrupBM,15-13*ORÇAMENTO!$AF$11)))</f>
        <v>0</v>
      </c>
      <c r="N67" s="430">
        <f t="shared" ca="1" si="35"/>
        <v>0</v>
      </c>
      <c r="O67" s="154">
        <f ca="1">IF($A67="S",VTOTALBM,IF($A67=0,0,ROUND(SomaAgrupBM,15-13*ORÇAMENTO!$AF$11)))</f>
        <v>0</v>
      </c>
      <c r="Q67" s="431"/>
      <c r="R67" s="432"/>
      <c r="T67" s="146" t="str">
        <f ca="1">IF($W67&gt;0,$D67,"")</f>
        <v/>
      </c>
      <c r="U67" s="206" t="str">
        <f ca="1">IF($W67&gt;0,$E67,"")</f>
        <v/>
      </c>
      <c r="V67" s="207" t="str">
        <f ca="1">IF(AND($W67&gt;0,RegimeExecucao="Unitário"),$F67,"")</f>
        <v/>
      </c>
      <c r="W67" s="633">
        <f ca="1">IF($Y67&gt;0,CHOOSE(MATCH(RegimeExecucao,{"Unitário","Global"},0),IF($A67="S",$Y67/$X67,""),($Y67/$X67)*100),0)</f>
        <v>0</v>
      </c>
      <c r="X67" s="433" t="str">
        <f ca="1">IF($Y67&gt;0,CHOOSE(MATCH(RegimeExecucao,{"Unitário","Global"},0),IF($A67="S",ROUND($H67,ORÇAMENTO!$AF$10),""),ROUND($I67,ORÇAMENTO!$AF$11)),"")</f>
        <v/>
      </c>
      <c r="Y67" s="433">
        <f ca="1">AO67-O67</f>
        <v>0</v>
      </c>
      <c r="Z67" s="660"/>
      <c r="AB67" s="431"/>
      <c r="AC67" s="598"/>
      <c r="AD67" s="598"/>
      <c r="AE67" s="598"/>
      <c r="AF67" s="598"/>
      <c r="AG67" s="598"/>
      <c r="AH67" s="598"/>
      <c r="AI67" s="598"/>
      <c r="AJ67" s="598"/>
      <c r="AK67" s="598"/>
      <c r="AL67" s="598"/>
      <c r="AM67" s="432"/>
      <c r="AO67">
        <f ca="1">IF($A67="S",IF(BM!$I67=0,0,CHOOSE(MATCH(RegimeExecucao,{"Global","Unitário"},0),ROUND(ROUND(BM.MEDAcumulado,15-13*BM!$A$9)/100*BM!$I67,15-13*ORÇAMENTO!$AF$11),ROUND(ROUND(BM.MEDAcumulado,15-13*BM!$A$9)*ROUND(BM!$H67,15-13*ORÇAMENTO!$AF$10),15-13*ORÇAMENTO!$AF$11))),IF($A67=0,0,ROUND(SomaAgrupBM,15-13*ORÇAMENTO!$AF$11)))</f>
        <v>0</v>
      </c>
    </row>
    <row r="68" spans="1:41" x14ac:dyDescent="0.2">
      <c r="A68">
        <f ca="1">ORÇAMENTO!C68</f>
        <v>2</v>
      </c>
      <c r="B68">
        <f ca="1">ORÇAMENTO!D68</f>
        <v>7</v>
      </c>
      <c r="C68" s="143" t="str">
        <f t="shared" ca="1" si="33"/>
        <v>F</v>
      </c>
      <c r="D68" s="146" t="str">
        <f ca="1">ORÇAMENTO!O68</f>
        <v>1.11.</v>
      </c>
      <c r="E68" s="206" t="str">
        <f t="shared" si="32"/>
        <v>PISO</v>
      </c>
      <c r="F68" s="207" t="str">
        <f ca="1">IF(RegimeExecucao="Global","",ORÇAMENTO.Unidade)</f>
        <v/>
      </c>
      <c r="G68" s="151" t="str">
        <f ca="1">IF(RegimeExecucao="Global","",ORÇAMENTO!T68)</f>
        <v/>
      </c>
      <c r="H68" s="151" t="str">
        <f ca="1">IF(RegimeExecucao="Global","",ORÇAMENTO!W68)</f>
        <v/>
      </c>
      <c r="I68" s="154">
        <f ca="1">ORÇAMENTO!X68</f>
        <v>0</v>
      </c>
      <c r="J68" s="427">
        <f ca="1">IF($A68="S",IF(CAIXA.Modo,BM.AFAnterior,BM.MEDAnterior),IF(AND(RegimeExecucao="Global",$I68&gt;0,COUNTIF($AB$13:$AM$13,BM.medicao-1)&gt;0),M68/$I68*100,0))</f>
        <v>0</v>
      </c>
      <c r="K68" s="151">
        <f t="shared" ca="1" si="34"/>
        <v>0</v>
      </c>
      <c r="L68" s="428">
        <f ca="1">IF($A68="S",IF(CAIXA.Modo,BM.AFAcumulado,BM.MEDAcumulado),IF(AND(RegimeExecucao="Global",$I68&gt;0,COUNTIF($AB$13:$AM$13,BM.medicao)&gt;0),O68/$I68*100,0))</f>
        <v>0</v>
      </c>
      <c r="M68" s="429">
        <f ca="1">IF($A68="S",VTOTALBM,IF($A68=0,0,ROUND(SomaAgrupBM,15-13*ORÇAMENTO!$AF$11)))</f>
        <v>0</v>
      </c>
      <c r="N68" s="430">
        <f t="shared" ca="1" si="35"/>
        <v>0</v>
      </c>
      <c r="O68" s="154">
        <f ca="1">IF($A68="S",VTOTALBM,IF($A68=0,0,ROUND(SomaAgrupBM,15-13*ORÇAMENTO!$AF$11)))</f>
        <v>0</v>
      </c>
      <c r="Q68" s="431"/>
      <c r="R68" s="432"/>
      <c r="T68" s="146" t="str">
        <f t="shared" ca="1" si="36"/>
        <v/>
      </c>
      <c r="U68" s="206" t="str">
        <f t="shared" ca="1" si="37"/>
        <v/>
      </c>
      <c r="V68" s="207" t="str">
        <f ca="1">IF(AND($W68&gt;0,RegimeExecucao="Unitário"),$F68,"")</f>
        <v/>
      </c>
      <c r="W68" s="633">
        <f ca="1">IF($Y68&gt;0,CHOOSE(MATCH(RegimeExecucao,{"Unitário","Global"},0),IF($A68="S",$Y68/$X68,""),($Y68/$X68)*100),0)</f>
        <v>0</v>
      </c>
      <c r="X68" s="433" t="str">
        <f ca="1">IF($Y68&gt;0,CHOOSE(MATCH(RegimeExecucao,{"Unitário","Global"},0),IF($A68="S",ROUND($H68,ORÇAMENTO!$AF$10),""),ROUND($I68,ORÇAMENTO!$AF$11)),"")</f>
        <v/>
      </c>
      <c r="Y68" s="433">
        <f t="shared" ca="1" si="38"/>
        <v>0</v>
      </c>
      <c r="Z68" s="660"/>
      <c r="AB68" s="431"/>
      <c r="AC68" s="598"/>
      <c r="AD68" s="598"/>
      <c r="AE68" s="598"/>
      <c r="AF68" s="598"/>
      <c r="AG68" s="598"/>
      <c r="AH68" s="598"/>
      <c r="AI68" s="598"/>
      <c r="AJ68" s="598"/>
      <c r="AK68" s="598"/>
      <c r="AL68" s="598"/>
      <c r="AM68" s="432"/>
      <c r="AO68">
        <f ca="1">IF($A68="S",IF(BM!$I68=0,0,CHOOSE(MATCH(RegimeExecucao,{"Global","Unitário"},0),ROUND(ROUND(BM.MEDAcumulado,15-13*BM!$A$9)/100*BM!$I68,15-13*ORÇAMENTO!$AF$11),ROUND(ROUND(BM.MEDAcumulado,15-13*BM!$A$9)*ROUND(BM!$H68,15-13*ORÇAMENTO!$AF$10),15-13*ORÇAMENTO!$AF$11))),IF($A68=0,0,ROUND(SomaAgrupBM,15-13*ORÇAMENTO!$AF$11)))</f>
        <v>0</v>
      </c>
    </row>
    <row r="69" spans="1:41" ht="25.5" x14ac:dyDescent="0.2">
      <c r="A69" t="str">
        <f ca="1">ORÇAMENTO!C69</f>
        <v>S</v>
      </c>
      <c r="B69">
        <f ca="1">ORÇAMENTO!D69</f>
        <v>0</v>
      </c>
      <c r="C69" s="143" t="str">
        <f t="shared" ca="1" si="33"/>
        <v/>
      </c>
      <c r="D69" s="146" t="str">
        <f ca="1">ORÇAMENTO!O69</f>
        <v>-</v>
      </c>
      <c r="E69" s="206" t="str">
        <f t="shared" si="32"/>
        <v xml:space="preserve">ARGILA OU BARRO PARA ATERRO/REATERRO (COM TRANSPORTE ATE 10 KM)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F69" s="207" t="str">
        <f ca="1">IF(RegimeExecucao="Global","",ORÇAMENTO.Unidade)</f>
        <v/>
      </c>
      <c r="G69" s="151" t="str">
        <f ca="1">IF(RegimeExecucao="Global","",ORÇAMENTO!T69)</f>
        <v/>
      </c>
      <c r="H69" s="151" t="str">
        <f ca="1">IF(RegimeExecucao="Global","",ORÇAMENTO!W69)</f>
        <v/>
      </c>
      <c r="I69" s="154">
        <f ca="1">ORÇAMENTO!X69</f>
        <v>0</v>
      </c>
      <c r="J69" s="427">
        <f ca="1">IF($A69="S",IF(CAIXA.Modo,BM.AFAnterior,BM.MEDAnterior),IF(AND(RegimeExecucao="Global",$I69&gt;0,COUNTIF($AB$13:$AM$13,BM.medicao-1)&gt;0),M69/$I69*100,0))</f>
        <v>0</v>
      </c>
      <c r="K69" s="151">
        <f t="shared" ca="1" si="34"/>
        <v>0</v>
      </c>
      <c r="L69" s="428">
        <f ca="1">IF($A69="S",IF(CAIXA.Modo,BM.AFAcumulado,BM.MEDAcumulado),IF(AND(RegimeExecucao="Global",$I69&gt;0,COUNTIF($AB$13:$AM$13,BM.medicao)&gt;0),O69/$I69*100,0))</f>
        <v>0</v>
      </c>
      <c r="M69" s="429">
        <f ca="1">IF($A69="S",VTOTALBM,IF($A69=0,0,ROUND(SomaAgrupBM,15-13*ORÇAMENTO!$AF$11)))</f>
        <v>0</v>
      </c>
      <c r="N69" s="430">
        <f t="shared" ca="1" si="35"/>
        <v>0</v>
      </c>
      <c r="O69" s="154">
        <f ca="1">IF($A69="S",VTOTALBM,IF($A69=0,0,ROUND(SomaAgrupBM,15-13*ORÇAMENTO!$AF$11)))</f>
        <v>0</v>
      </c>
      <c r="Q69" s="431"/>
      <c r="R69" s="432"/>
      <c r="T69" s="146" t="str">
        <f t="shared" ca="1" si="36"/>
        <v/>
      </c>
      <c r="U69" s="206" t="str">
        <f t="shared" ca="1" si="37"/>
        <v/>
      </c>
      <c r="V69" s="207" t="str">
        <f ca="1">IF(AND($W69&gt;0,RegimeExecucao="Unitário"),$F69,"")</f>
        <v/>
      </c>
      <c r="W69" s="633">
        <f ca="1">IF($Y69&gt;0,CHOOSE(MATCH(RegimeExecucao,{"Unitário","Global"},0),IF($A69="S",$Y69/$X69,""),($Y69/$X69)*100),0)</f>
        <v>0</v>
      </c>
      <c r="X69" s="433" t="str">
        <f ca="1">IF($Y69&gt;0,CHOOSE(MATCH(RegimeExecucao,{"Unitário","Global"},0),IF($A69="S",ROUND($H69,ORÇAMENTO!$AF$10),""),ROUND($I69,ORÇAMENTO!$AF$11)),"")</f>
        <v/>
      </c>
      <c r="Y69" s="433">
        <f t="shared" ca="1" si="38"/>
        <v>0</v>
      </c>
      <c r="Z69" s="660"/>
      <c r="AB69" s="431"/>
      <c r="AC69" s="598"/>
      <c r="AD69" s="598"/>
      <c r="AE69" s="598"/>
      <c r="AF69" s="598"/>
      <c r="AG69" s="598"/>
      <c r="AH69" s="598"/>
      <c r="AI69" s="598"/>
      <c r="AJ69" s="598"/>
      <c r="AK69" s="598"/>
      <c r="AL69" s="598"/>
      <c r="AM69" s="432"/>
      <c r="AO69">
        <f ca="1">IF($A69="S",IF(BM!$I69=0,0,CHOOSE(MATCH(RegimeExecucao,{"Global","Unitário"},0),ROUND(ROUND(BM.MEDAcumulado,15-13*BM!$A$9)/100*BM!$I69,15-13*ORÇAMENTO!$AF$11),ROUND(ROUND(BM.MEDAcumulado,15-13*BM!$A$9)*ROUND(BM!$H69,15-13*ORÇAMENTO!$AF$10),15-13*ORÇAMENTO!$AF$11))),IF($A69=0,0,ROUND(SomaAgrupBM,15-13*ORÇAMENTO!$AF$11)))</f>
        <v>0</v>
      </c>
    </row>
    <row r="70" spans="1:41" ht="38.25" x14ac:dyDescent="0.2">
      <c r="A70" t="str">
        <f ca="1">ORÇAMENTO!C70</f>
        <v>S</v>
      </c>
      <c r="B70">
        <f ca="1">ORÇAMENTO!D70</f>
        <v>0</v>
      </c>
      <c r="C70" s="143" t="str">
        <f t="shared" ca="1" si="33"/>
        <v/>
      </c>
      <c r="D70" s="146" t="str">
        <f ca="1">ORÇAMENTO!O70</f>
        <v>-</v>
      </c>
      <c r="E70" s="206" t="str">
        <f t="shared" si="32"/>
        <v>COMPACTAÇÃO MECÂNICA DE SOLO PARA EXECUÇÃO DE RADIER, PISO DE CONCRETO OU LAJE SOBRE SOLO, COM COMPACTADOR DE SOLOS TIPO PLACA VIBRATÓRIA. AF_09/2021</v>
      </c>
      <c r="F70" s="207" t="str">
        <f ca="1">IF(RegimeExecucao="Global","",ORÇAMENTO.Unidade)</f>
        <v/>
      </c>
      <c r="G70" s="151" t="str">
        <f ca="1">IF(RegimeExecucao="Global","",ORÇAMENTO!T70)</f>
        <v/>
      </c>
      <c r="H70" s="151" t="str">
        <f ca="1">IF(RegimeExecucao="Global","",ORÇAMENTO!W70)</f>
        <v/>
      </c>
      <c r="I70" s="154">
        <f ca="1">ORÇAMENTO!X70</f>
        <v>0</v>
      </c>
      <c r="J70" s="427">
        <f ca="1">IF($A70="S",IF(CAIXA.Modo,BM.AFAnterior,BM.MEDAnterior),IF(AND(RegimeExecucao="Global",$I70&gt;0,COUNTIF($AB$13:$AM$13,BM.medicao-1)&gt;0),M70/$I70*100,0))</f>
        <v>0</v>
      </c>
      <c r="K70" s="151">
        <f t="shared" ca="1" si="34"/>
        <v>0</v>
      </c>
      <c r="L70" s="428">
        <f ca="1">IF($A70="S",IF(CAIXA.Modo,BM.AFAcumulado,BM.MEDAcumulado),IF(AND(RegimeExecucao="Global",$I70&gt;0,COUNTIF($AB$13:$AM$13,BM.medicao)&gt;0),O70/$I70*100,0))</f>
        <v>0</v>
      </c>
      <c r="M70" s="429">
        <f ca="1">IF($A70="S",VTOTALBM,IF($A70=0,0,ROUND(SomaAgrupBM,15-13*ORÇAMENTO!$AF$11)))</f>
        <v>0</v>
      </c>
      <c r="N70" s="430">
        <f t="shared" ca="1" si="35"/>
        <v>0</v>
      </c>
      <c r="O70" s="154">
        <f ca="1">IF($A70="S",VTOTALBM,IF($A70=0,0,ROUND(SomaAgrupBM,15-13*ORÇAMENTO!$AF$11)))</f>
        <v>0</v>
      </c>
      <c r="Q70" s="431"/>
      <c r="R70" s="432"/>
      <c r="T70" s="146" t="str">
        <f t="shared" ca="1" si="36"/>
        <v/>
      </c>
      <c r="U70" s="206" t="str">
        <f t="shared" ca="1" si="37"/>
        <v/>
      </c>
      <c r="V70" s="207" t="str">
        <f ca="1">IF(AND($W70&gt;0,RegimeExecucao="Unitário"),$F70,"")</f>
        <v/>
      </c>
      <c r="W70" s="633">
        <f ca="1">IF($Y70&gt;0,CHOOSE(MATCH(RegimeExecucao,{"Unitário","Global"},0),IF($A70="S",$Y70/$X70,""),($Y70/$X70)*100),0)</f>
        <v>0</v>
      </c>
      <c r="X70" s="433" t="str">
        <f ca="1">IF($Y70&gt;0,CHOOSE(MATCH(RegimeExecucao,{"Unitário","Global"},0),IF($A70="S",ROUND($H70,ORÇAMENTO!$AF$10),""),ROUND($I70,ORÇAMENTO!$AF$11)),"")</f>
        <v/>
      </c>
      <c r="Y70" s="433">
        <f t="shared" ca="1" si="38"/>
        <v>0</v>
      </c>
      <c r="Z70" s="660"/>
      <c r="AB70" s="431"/>
      <c r="AC70" s="598"/>
      <c r="AD70" s="598"/>
      <c r="AE70" s="598"/>
      <c r="AF70" s="598"/>
      <c r="AG70" s="598"/>
      <c r="AH70" s="598"/>
      <c r="AI70" s="598"/>
      <c r="AJ70" s="598"/>
      <c r="AK70" s="598"/>
      <c r="AL70" s="598"/>
      <c r="AM70" s="432"/>
      <c r="AO70">
        <f ca="1">IF($A70="S",IF(BM!$I70=0,0,CHOOSE(MATCH(RegimeExecucao,{"Global","Unitário"},0),ROUND(ROUND(BM.MEDAcumulado,15-13*BM!$A$9)/100*BM!$I70,15-13*ORÇAMENTO!$AF$11),ROUND(ROUND(BM.MEDAcumulado,15-13*BM!$A$9)*ROUND(BM!$H70,15-13*ORÇAMENTO!$AF$10),15-13*ORÇAMENTO!$AF$11))),IF($A70=0,0,ROUND(SomaAgrupBM,15-13*ORÇAMENTO!$AF$11)))</f>
        <v>0</v>
      </c>
    </row>
    <row r="71" spans="1:41" ht="38.25" x14ac:dyDescent="0.2">
      <c r="A71" t="str">
        <f ca="1">ORÇAMENTO!C71</f>
        <v>S</v>
      </c>
      <c r="B71">
        <f ca="1">ORÇAMENTO!D71</f>
        <v>0</v>
      </c>
      <c r="C71" s="143" t="str">
        <f t="shared" ca="1" si="33"/>
        <v/>
      </c>
      <c r="D71" s="146" t="str">
        <f ca="1">ORÇAMENTO!O71</f>
        <v>-</v>
      </c>
      <c r="E71" s="206" t="str">
        <f t="shared" si="32"/>
        <v>LASTRO COM MATERIAL GRANULAR (PEDRA BRITADA N.1 E PEDRA BRITADA N.2), APLICADO EM PISOS OU LAJES SOBRE SOLO, ESPESSURA DE *10 CM*. AF_01/2024</v>
      </c>
      <c r="F71" s="207" t="str">
        <f ca="1">IF(RegimeExecucao="Global","",ORÇAMENTO.Unidade)</f>
        <v/>
      </c>
      <c r="G71" s="151" t="str">
        <f ca="1">IF(RegimeExecucao="Global","",ORÇAMENTO!T71)</f>
        <v/>
      </c>
      <c r="H71" s="151" t="str">
        <f ca="1">IF(RegimeExecucao="Global","",ORÇAMENTO!W71)</f>
        <v/>
      </c>
      <c r="I71" s="154">
        <f ca="1">ORÇAMENTO!X71</f>
        <v>0</v>
      </c>
      <c r="J71" s="427">
        <f ca="1">IF($A71="S",IF(CAIXA.Modo,BM.AFAnterior,BM.MEDAnterior),IF(AND(RegimeExecucao="Global",$I71&gt;0,COUNTIF($AB$13:$AM$13,BM.medicao-1)&gt;0),M71/$I71*100,0))</f>
        <v>0</v>
      </c>
      <c r="K71" s="151">
        <f t="shared" ca="1" si="34"/>
        <v>0</v>
      </c>
      <c r="L71" s="428">
        <f ca="1">IF($A71="S",IF(CAIXA.Modo,BM.AFAcumulado,BM.MEDAcumulado),IF(AND(RegimeExecucao="Global",$I71&gt;0,COUNTIF($AB$13:$AM$13,BM.medicao)&gt;0),O71/$I71*100,0))</f>
        <v>0</v>
      </c>
      <c r="M71" s="429">
        <f ca="1">IF($A71="S",VTOTALBM,IF($A71=0,0,ROUND(SomaAgrupBM,15-13*ORÇAMENTO!$AF$11)))</f>
        <v>0</v>
      </c>
      <c r="N71" s="430">
        <f t="shared" ca="1" si="35"/>
        <v>0</v>
      </c>
      <c r="O71" s="154">
        <f ca="1">IF($A71="S",VTOTALBM,IF($A71=0,0,ROUND(SomaAgrupBM,15-13*ORÇAMENTO!$AF$11)))</f>
        <v>0</v>
      </c>
      <c r="Q71" s="431"/>
      <c r="R71" s="432"/>
      <c r="T71" s="146" t="str">
        <f t="shared" ca="1" si="36"/>
        <v/>
      </c>
      <c r="U71" s="206" t="str">
        <f t="shared" ca="1" si="37"/>
        <v/>
      </c>
      <c r="V71" s="207" t="str">
        <f ca="1">IF(AND($W71&gt;0,RegimeExecucao="Unitário"),$F71,"")</f>
        <v/>
      </c>
      <c r="W71" s="633">
        <f ca="1">IF($Y71&gt;0,CHOOSE(MATCH(RegimeExecucao,{"Unitário","Global"},0),IF($A71="S",$Y71/$X71,""),($Y71/$X71)*100),0)</f>
        <v>0</v>
      </c>
      <c r="X71" s="433" t="str">
        <f ca="1">IF($Y71&gt;0,CHOOSE(MATCH(RegimeExecucao,{"Unitário","Global"},0),IF($A71="S",ROUND($H71,ORÇAMENTO!$AF$10),""),ROUND($I71,ORÇAMENTO!$AF$11)),"")</f>
        <v/>
      </c>
      <c r="Y71" s="433">
        <f t="shared" ca="1" si="38"/>
        <v>0</v>
      </c>
      <c r="Z71" s="660"/>
      <c r="AB71" s="431"/>
      <c r="AC71" s="598"/>
      <c r="AD71" s="598"/>
      <c r="AE71" s="598"/>
      <c r="AF71" s="598"/>
      <c r="AG71" s="598"/>
      <c r="AH71" s="598"/>
      <c r="AI71" s="598"/>
      <c r="AJ71" s="598"/>
      <c r="AK71" s="598"/>
      <c r="AL71" s="598"/>
      <c r="AM71" s="432"/>
      <c r="AO71">
        <f ca="1">IF($A71="S",IF(BM!$I71=0,0,CHOOSE(MATCH(RegimeExecucao,{"Global","Unitário"},0),ROUND(ROUND(BM.MEDAcumulado,15-13*BM!$A$9)/100*BM!$I71,15-13*ORÇAMENTO!$AF$11),ROUND(ROUND(BM.MEDAcumulado,15-13*BM!$A$9)*ROUND(BM!$H71,15-13*ORÇAMENTO!$AF$10),15-13*ORÇAMENTO!$AF$11))),IF($A71=0,0,ROUND(SomaAgrupBM,15-13*ORÇAMENTO!$AF$11)))</f>
        <v>0</v>
      </c>
    </row>
    <row r="72" spans="1:41" ht="38.25" x14ac:dyDescent="0.2">
      <c r="A72" t="str">
        <f ca="1">ORÇAMENTO!C72</f>
        <v>S</v>
      </c>
      <c r="B72">
        <f ca="1">ORÇAMENTO!D72</f>
        <v>0</v>
      </c>
      <c r="C72" s="143" t="str">
        <f t="shared" ca="1" si="33"/>
        <v/>
      </c>
      <c r="D72" s="146" t="str">
        <f ca="1">ORÇAMENTO!O72</f>
        <v>-</v>
      </c>
      <c r="E72" s="206" t="str">
        <f t="shared" si="32"/>
        <v>EXECUÇÃO DE PASSEIO (CALÇADA) OU PISO DE CONCRETO COM CONCRETO MOLDADO IN LOCO, FEITO EM OBRA, ACABAMENTO CONVENCIONAL, ESPESSURA 8 CM, ARMADO. AF_08/2022</v>
      </c>
      <c r="F72" s="207" t="str">
        <f ca="1">IF(RegimeExecucao="Global","",ORÇAMENTO.Unidade)</f>
        <v/>
      </c>
      <c r="G72" s="151" t="str">
        <f ca="1">IF(RegimeExecucao="Global","",ORÇAMENTO!T72)</f>
        <v/>
      </c>
      <c r="H72" s="151" t="str">
        <f ca="1">IF(RegimeExecucao="Global","",ORÇAMENTO!W72)</f>
        <v/>
      </c>
      <c r="I72" s="154">
        <f ca="1">ORÇAMENTO!X72</f>
        <v>0</v>
      </c>
      <c r="J72" s="427">
        <f ca="1">IF($A72="S",IF(CAIXA.Modo,BM.AFAnterior,BM.MEDAnterior),IF(AND(RegimeExecucao="Global",$I72&gt;0,COUNTIF($AB$13:$AM$13,BM.medicao-1)&gt;0),M72/$I72*100,0))</f>
        <v>0</v>
      </c>
      <c r="K72" s="151">
        <f t="shared" ca="1" si="34"/>
        <v>0</v>
      </c>
      <c r="L72" s="428">
        <f ca="1">IF($A72="S",IF(CAIXA.Modo,BM.AFAcumulado,BM.MEDAcumulado),IF(AND(RegimeExecucao="Global",$I72&gt;0,COUNTIF($AB$13:$AM$13,BM.medicao)&gt;0),O72/$I72*100,0))</f>
        <v>0</v>
      </c>
      <c r="M72" s="429">
        <f ca="1">IF($A72="S",VTOTALBM,IF($A72=0,0,ROUND(SomaAgrupBM,15-13*ORÇAMENTO!$AF$11)))</f>
        <v>0</v>
      </c>
      <c r="N72" s="430">
        <f t="shared" ca="1" si="35"/>
        <v>0</v>
      </c>
      <c r="O72" s="154">
        <f ca="1">IF($A72="S",VTOTALBM,IF($A72=0,0,ROUND(SomaAgrupBM,15-13*ORÇAMENTO!$AF$11)))</f>
        <v>0</v>
      </c>
      <c r="Q72" s="431"/>
      <c r="R72" s="432"/>
      <c r="T72" s="146" t="str">
        <f t="shared" ca="1" si="36"/>
        <v/>
      </c>
      <c r="U72" s="206" t="str">
        <f t="shared" ca="1" si="37"/>
        <v/>
      </c>
      <c r="V72" s="207" t="str">
        <f ca="1">IF(AND($W72&gt;0,RegimeExecucao="Unitário"),$F72,"")</f>
        <v/>
      </c>
      <c r="W72" s="633">
        <f ca="1">IF($Y72&gt;0,CHOOSE(MATCH(RegimeExecucao,{"Unitário","Global"},0),IF($A72="S",$Y72/$X72,""),($Y72/$X72)*100),0)</f>
        <v>0</v>
      </c>
      <c r="X72" s="433" t="str">
        <f ca="1">IF($Y72&gt;0,CHOOSE(MATCH(RegimeExecucao,{"Unitário","Global"},0),IF($A72="S",ROUND($H72,ORÇAMENTO!$AF$10),""),ROUND($I72,ORÇAMENTO!$AF$11)),"")</f>
        <v/>
      </c>
      <c r="Y72" s="433">
        <f t="shared" ca="1" si="38"/>
        <v>0</v>
      </c>
      <c r="Z72" s="660"/>
      <c r="AB72" s="431"/>
      <c r="AC72" s="598"/>
      <c r="AD72" s="598"/>
      <c r="AE72" s="598"/>
      <c r="AF72" s="598"/>
      <c r="AG72" s="598"/>
      <c r="AH72" s="598"/>
      <c r="AI72" s="598"/>
      <c r="AJ72" s="598"/>
      <c r="AK72" s="598"/>
      <c r="AL72" s="598"/>
      <c r="AM72" s="432"/>
      <c r="AO72">
        <f ca="1">IF($A72="S",IF(BM!$I72=0,0,CHOOSE(MATCH(RegimeExecucao,{"Global","Unitário"},0),ROUND(ROUND(BM.MEDAcumulado,15-13*BM!$A$9)/100*BM!$I72,15-13*ORÇAMENTO!$AF$11),ROUND(ROUND(BM.MEDAcumulado,15-13*BM!$A$9)*ROUND(BM!$H72,15-13*ORÇAMENTO!$AF$10),15-13*ORÇAMENTO!$AF$11))),IF($A72=0,0,ROUND(SomaAgrupBM,15-13*ORÇAMENTO!$AF$11)))</f>
        <v>0</v>
      </c>
    </row>
    <row r="73" spans="1:41" ht="38.25" x14ac:dyDescent="0.2">
      <c r="A73" t="str">
        <f ca="1">ORÇAMENTO!C73</f>
        <v>S</v>
      </c>
      <c r="B73">
        <f ca="1">ORÇAMENTO!D73</f>
        <v>0</v>
      </c>
      <c r="C73" s="143" t="str">
        <f t="shared" ca="1" si="33"/>
        <v/>
      </c>
      <c r="D73" s="146" t="str">
        <f ca="1">ORÇAMENTO!O73</f>
        <v>-</v>
      </c>
      <c r="E73" s="206" t="str">
        <f t="shared" si="32"/>
        <v>REVESTIMENTO CERÂMICO PARA PISO COM PLACAS TIPO PORCELANATO DE DIMENSÕES 45X45 CM APLICADA EM AMBIENTES DE ÁREA ENTRE 5 M² E 10 M². AF_02/2023_PE</v>
      </c>
      <c r="F73" s="207" t="str">
        <f ca="1">IF(RegimeExecucao="Global","",ORÇAMENTO.Unidade)</f>
        <v/>
      </c>
      <c r="G73" s="151" t="str">
        <f ca="1">IF(RegimeExecucao="Global","",ORÇAMENTO!T73)</f>
        <v/>
      </c>
      <c r="H73" s="151" t="str">
        <f ca="1">IF(RegimeExecucao="Global","",ORÇAMENTO!W73)</f>
        <v/>
      </c>
      <c r="I73" s="154">
        <f ca="1">ORÇAMENTO!X73</f>
        <v>0</v>
      </c>
      <c r="J73" s="427">
        <f ca="1">IF($A73="S",IF(CAIXA.Modo,BM.AFAnterior,BM.MEDAnterior),IF(AND(RegimeExecucao="Global",$I73&gt;0,COUNTIF($AB$13:$AM$13,BM.medicao-1)&gt;0),M73/$I73*100,0))</f>
        <v>0</v>
      </c>
      <c r="K73" s="151">
        <f t="shared" ca="1" si="34"/>
        <v>0</v>
      </c>
      <c r="L73" s="428">
        <f ca="1">IF($A73="S",IF(CAIXA.Modo,BM.AFAcumulado,BM.MEDAcumulado),IF(AND(RegimeExecucao="Global",$I73&gt;0,COUNTIF($AB$13:$AM$13,BM.medicao)&gt;0),O73/$I73*100,0))</f>
        <v>0</v>
      </c>
      <c r="M73" s="429">
        <f ca="1">IF($A73="S",VTOTALBM,IF($A73=0,0,ROUND(SomaAgrupBM,15-13*ORÇAMENTO!$AF$11)))</f>
        <v>0</v>
      </c>
      <c r="N73" s="430">
        <f t="shared" ca="1" si="35"/>
        <v>0</v>
      </c>
      <c r="O73" s="154">
        <f ca="1">IF($A73="S",VTOTALBM,IF($A73=0,0,ROUND(SomaAgrupBM,15-13*ORÇAMENTO!$AF$11)))</f>
        <v>0</v>
      </c>
      <c r="Q73" s="431"/>
      <c r="R73" s="432"/>
      <c r="T73" s="146" t="str">
        <f t="shared" ca="1" si="36"/>
        <v/>
      </c>
      <c r="U73" s="206" t="str">
        <f t="shared" ca="1" si="37"/>
        <v/>
      </c>
      <c r="V73" s="207" t="str">
        <f ca="1">IF(AND($W73&gt;0,RegimeExecucao="Unitário"),$F73,"")</f>
        <v/>
      </c>
      <c r="W73" s="633">
        <f ca="1">IF($Y73&gt;0,CHOOSE(MATCH(RegimeExecucao,{"Unitário","Global"},0),IF($A73="S",$Y73/$X73,""),($Y73/$X73)*100),0)</f>
        <v>0</v>
      </c>
      <c r="X73" s="433" t="str">
        <f ca="1">IF($Y73&gt;0,CHOOSE(MATCH(RegimeExecucao,{"Unitário","Global"},0),IF($A73="S",ROUND($H73,ORÇAMENTO!$AF$10),""),ROUND($I73,ORÇAMENTO!$AF$11)),"")</f>
        <v/>
      </c>
      <c r="Y73" s="433">
        <f t="shared" ca="1" si="38"/>
        <v>0</v>
      </c>
      <c r="Z73" s="660"/>
      <c r="AB73" s="431"/>
      <c r="AC73" s="598"/>
      <c r="AD73" s="598"/>
      <c r="AE73" s="598"/>
      <c r="AF73" s="598"/>
      <c r="AG73" s="598"/>
      <c r="AH73" s="598"/>
      <c r="AI73" s="598"/>
      <c r="AJ73" s="598"/>
      <c r="AK73" s="598"/>
      <c r="AL73" s="598"/>
      <c r="AM73" s="432"/>
      <c r="AO73">
        <f ca="1">IF($A73="S",IF(BM!$I73=0,0,CHOOSE(MATCH(RegimeExecucao,{"Global","Unitário"},0),ROUND(ROUND(BM.MEDAcumulado,15-13*BM!$A$9)/100*BM!$I73,15-13*ORÇAMENTO!$AF$11),ROUND(ROUND(BM.MEDAcumulado,15-13*BM!$A$9)*ROUND(BM!$H73,15-13*ORÇAMENTO!$AF$10),15-13*ORÇAMENTO!$AF$11))),IF($A73=0,0,ROUND(SomaAgrupBM,15-13*ORÇAMENTO!$AF$11)))</f>
        <v>0</v>
      </c>
    </row>
    <row r="74" spans="1:41" ht="25.5" x14ac:dyDescent="0.2">
      <c r="A74" t="str">
        <f ca="1">ORÇAMENTO!C74</f>
        <v>S</v>
      </c>
      <c r="B74">
        <f ca="1">ORÇAMENTO!D74</f>
        <v>0</v>
      </c>
      <c r="C74" s="143" t="str">
        <f t="shared" ca="1" si="33"/>
        <v/>
      </c>
      <c r="D74" s="146" t="str">
        <f ca="1">ORÇAMENTO!O74</f>
        <v>-</v>
      </c>
      <c r="E74" s="206" t="str">
        <f t="shared" si="32"/>
        <v>RODAPÉ CERÂMICO DE 7CM DE ALTURA COM PLACAS TIPO ESMALTADA DE DIMENSÕES 60X60CM. AF_02/2023</v>
      </c>
      <c r="F74" s="207" t="str">
        <f ca="1">IF(RegimeExecucao="Global","",ORÇAMENTO.Unidade)</f>
        <v/>
      </c>
      <c r="G74" s="151" t="str">
        <f ca="1">IF(RegimeExecucao="Global","",ORÇAMENTO!T74)</f>
        <v/>
      </c>
      <c r="H74" s="151" t="str">
        <f ca="1">IF(RegimeExecucao="Global","",ORÇAMENTO!W74)</f>
        <v/>
      </c>
      <c r="I74" s="154">
        <f ca="1">ORÇAMENTO!X74</f>
        <v>0</v>
      </c>
      <c r="J74" s="427">
        <f ca="1">IF($A74="S",IF(CAIXA.Modo,BM.AFAnterior,BM.MEDAnterior),IF(AND(RegimeExecucao="Global",$I74&gt;0,COUNTIF($AB$13:$AM$13,BM.medicao-1)&gt;0),M74/$I74*100,0))</f>
        <v>0</v>
      </c>
      <c r="K74" s="151">
        <f t="shared" ca="1" si="34"/>
        <v>0</v>
      </c>
      <c r="L74" s="428">
        <f ca="1">IF($A74="S",IF(CAIXA.Modo,BM.AFAcumulado,BM.MEDAcumulado),IF(AND(RegimeExecucao="Global",$I74&gt;0,COUNTIF($AB$13:$AM$13,BM.medicao)&gt;0),O74/$I74*100,0))</f>
        <v>0</v>
      </c>
      <c r="M74" s="429">
        <f ca="1">IF($A74="S",VTOTALBM,IF($A74=0,0,ROUND(SomaAgrupBM,15-13*ORÇAMENTO!$AF$11)))</f>
        <v>0</v>
      </c>
      <c r="N74" s="430">
        <f t="shared" ca="1" si="35"/>
        <v>0</v>
      </c>
      <c r="O74" s="154">
        <f ca="1">IF($A74="S",VTOTALBM,IF($A74=0,0,ROUND(SomaAgrupBM,15-13*ORÇAMENTO!$AF$11)))</f>
        <v>0</v>
      </c>
      <c r="Q74" s="431"/>
      <c r="R74" s="432"/>
      <c r="T74" s="146" t="str">
        <f t="shared" ca="1" si="36"/>
        <v/>
      </c>
      <c r="U74" s="206" t="str">
        <f t="shared" ca="1" si="37"/>
        <v/>
      </c>
      <c r="V74" s="207" t="str">
        <f ca="1">IF(AND($W74&gt;0,RegimeExecucao="Unitário"),$F74,"")</f>
        <v/>
      </c>
      <c r="W74" s="633">
        <f ca="1">IF($Y74&gt;0,CHOOSE(MATCH(RegimeExecucao,{"Unitário","Global"},0),IF($A74="S",$Y74/$X74,""),($Y74/$X74)*100),0)</f>
        <v>0</v>
      </c>
      <c r="X74" s="433" t="str">
        <f ca="1">IF($Y74&gt;0,CHOOSE(MATCH(RegimeExecucao,{"Unitário","Global"},0),IF($A74="S",ROUND($H74,ORÇAMENTO!$AF$10),""),ROUND($I74,ORÇAMENTO!$AF$11)),"")</f>
        <v/>
      </c>
      <c r="Y74" s="433">
        <f t="shared" ca="1" si="38"/>
        <v>0</v>
      </c>
      <c r="Z74" s="660"/>
      <c r="AB74" s="431"/>
      <c r="AC74" s="598"/>
      <c r="AD74" s="598"/>
      <c r="AE74" s="598"/>
      <c r="AF74" s="598"/>
      <c r="AG74" s="598"/>
      <c r="AH74" s="598"/>
      <c r="AI74" s="598"/>
      <c r="AJ74" s="598"/>
      <c r="AK74" s="598"/>
      <c r="AL74" s="598"/>
      <c r="AM74" s="432"/>
      <c r="AO74">
        <f ca="1">IF($A74="S",IF(BM!$I74=0,0,CHOOSE(MATCH(RegimeExecucao,{"Global","Unitário"},0),ROUND(ROUND(BM.MEDAcumulado,15-13*BM!$A$9)/100*BM!$I74,15-13*ORÇAMENTO!$AF$11),ROUND(ROUND(BM.MEDAcumulado,15-13*BM!$A$9)*ROUND(BM!$H74,15-13*ORÇAMENTO!$AF$10),15-13*ORÇAMENTO!$AF$11))),IF($A74=0,0,ROUND(SomaAgrupBM,15-13*ORÇAMENTO!$AF$11)))</f>
        <v>0</v>
      </c>
    </row>
    <row r="75" spans="1:41" x14ac:dyDescent="0.2">
      <c r="A75">
        <f ca="1">ORÇAMENTO!C75</f>
        <v>2</v>
      </c>
      <c r="B75">
        <f ca="1">ORÇAMENTO!D75</f>
        <v>4</v>
      </c>
      <c r="C75" s="143" t="str">
        <f t="shared" ca="1" si="33"/>
        <v>F</v>
      </c>
      <c r="D75" s="146" t="str">
        <f ca="1">ORÇAMENTO!O75</f>
        <v>1.12.</v>
      </c>
      <c r="E75" s="206" t="str">
        <f t="shared" si="32"/>
        <v>LAJE</v>
      </c>
      <c r="F75" s="207" t="str">
        <f ca="1">IF(RegimeExecucao="Global","",ORÇAMENTO.Unidade)</f>
        <v/>
      </c>
      <c r="G75" s="151" t="str">
        <f ca="1">IF(RegimeExecucao="Global","",ORÇAMENTO!T75)</f>
        <v/>
      </c>
      <c r="H75" s="151" t="str">
        <f ca="1">IF(RegimeExecucao="Global","",ORÇAMENTO!W75)</f>
        <v/>
      </c>
      <c r="I75" s="154">
        <f ca="1">ORÇAMENTO!X75</f>
        <v>0</v>
      </c>
      <c r="J75" s="427">
        <f ca="1">IF($A75="S",IF(CAIXA.Modo,BM.AFAnterior,BM.MEDAnterior),IF(AND(RegimeExecucao="Global",$I75&gt;0,COUNTIF($AB$13:$AM$13,BM.medicao-1)&gt;0),M75/$I75*100,0))</f>
        <v>0</v>
      </c>
      <c r="K75" s="151">
        <f t="shared" ca="1" si="34"/>
        <v>0</v>
      </c>
      <c r="L75" s="428">
        <f ca="1">IF($A75="S",IF(CAIXA.Modo,BM.AFAcumulado,BM.MEDAcumulado),IF(AND(RegimeExecucao="Global",$I75&gt;0,COUNTIF($AB$13:$AM$13,BM.medicao)&gt;0),O75/$I75*100,0))</f>
        <v>0</v>
      </c>
      <c r="M75" s="429">
        <f ca="1">IF($A75="S",VTOTALBM,IF($A75=0,0,ROUND(SomaAgrupBM,15-13*ORÇAMENTO!$AF$11)))</f>
        <v>0</v>
      </c>
      <c r="N75" s="430">
        <f t="shared" ca="1" si="35"/>
        <v>0</v>
      </c>
      <c r="O75" s="154">
        <f ca="1">IF($A75="S",VTOTALBM,IF($A75=0,0,ROUND(SomaAgrupBM,15-13*ORÇAMENTO!$AF$11)))</f>
        <v>0</v>
      </c>
      <c r="Q75" s="431"/>
      <c r="R75" s="432"/>
      <c r="T75" s="146" t="str">
        <f t="shared" ca="1" si="36"/>
        <v/>
      </c>
      <c r="U75" s="206" t="str">
        <f t="shared" ca="1" si="37"/>
        <v/>
      </c>
      <c r="V75" s="207" t="str">
        <f ca="1">IF(AND($W75&gt;0,RegimeExecucao="Unitário"),$F75,"")</f>
        <v/>
      </c>
      <c r="W75" s="633">
        <f ca="1">IF($Y75&gt;0,CHOOSE(MATCH(RegimeExecucao,{"Unitário","Global"},0),IF($A75="S",$Y75/$X75,""),($Y75/$X75)*100),0)</f>
        <v>0</v>
      </c>
      <c r="X75" s="433" t="str">
        <f ca="1">IF($Y75&gt;0,CHOOSE(MATCH(RegimeExecucao,{"Unitário","Global"},0),IF($A75="S",ROUND($H75,ORÇAMENTO!$AF$10),""),ROUND($I75,ORÇAMENTO!$AF$11)),"")</f>
        <v/>
      </c>
      <c r="Y75" s="433">
        <f t="shared" ca="1" si="38"/>
        <v>0</v>
      </c>
      <c r="Z75" s="660"/>
      <c r="AB75" s="431"/>
      <c r="AC75" s="598"/>
      <c r="AD75" s="598"/>
      <c r="AE75" s="598"/>
      <c r="AF75" s="598"/>
      <c r="AG75" s="598"/>
      <c r="AH75" s="598"/>
      <c r="AI75" s="598"/>
      <c r="AJ75" s="598"/>
      <c r="AK75" s="598"/>
      <c r="AL75" s="598"/>
      <c r="AM75" s="432"/>
      <c r="AO75">
        <f ca="1">IF($A75="S",IF(BM!$I75=0,0,CHOOSE(MATCH(RegimeExecucao,{"Global","Unitário"},0),ROUND(ROUND(BM.MEDAcumulado,15-13*BM!$A$9)/100*BM!$I75,15-13*ORÇAMENTO!$AF$11),ROUND(ROUND(BM.MEDAcumulado,15-13*BM!$A$9)*ROUND(BM!$H75,15-13*ORÇAMENTO!$AF$10),15-13*ORÇAMENTO!$AF$11))),IF($A75=0,0,ROUND(SomaAgrupBM,15-13*ORÇAMENTO!$AF$11)))</f>
        <v>0</v>
      </c>
    </row>
    <row r="76" spans="1:41" ht="38.25" x14ac:dyDescent="0.2">
      <c r="A76" t="str">
        <f ca="1">ORÇAMENTO!C76</f>
        <v>S</v>
      </c>
      <c r="B76">
        <f ca="1">ORÇAMENTO!D76</f>
        <v>0</v>
      </c>
      <c r="C76" s="143" t="str">
        <f t="shared" ca="1" si="33"/>
        <v/>
      </c>
      <c r="D76" s="146" t="str">
        <f ca="1">ORÇAMENTO!O76</f>
        <v>-</v>
      </c>
      <c r="E76" s="206" t="str">
        <f t="shared" si="32"/>
        <v>LAJE PRÉ-MOLDADA UNIDIRECIONAL, BIAPOIADA, PARA FORRO, ENCHIMENTO EM CERÂMICA, VIGOTA CONVENCIONAL, ALTURA TOTAL DA LAJE (ENCHIMENTO+CAPA) = (8+3). AF_11/2020_PA</v>
      </c>
      <c r="F76" s="207" t="str">
        <f ca="1">IF(RegimeExecucao="Global","",ORÇAMENTO.Unidade)</f>
        <v/>
      </c>
      <c r="G76" s="151" t="str">
        <f ca="1">IF(RegimeExecucao="Global","",ORÇAMENTO!T76)</f>
        <v/>
      </c>
      <c r="H76" s="151" t="str">
        <f ca="1">IF(RegimeExecucao="Global","",ORÇAMENTO!W76)</f>
        <v/>
      </c>
      <c r="I76" s="154">
        <f ca="1">ORÇAMENTO!X76</f>
        <v>0</v>
      </c>
      <c r="J76" s="427">
        <f ca="1">IF($A76="S",IF(CAIXA.Modo,BM.AFAnterior,BM.MEDAnterior),IF(AND(RegimeExecucao="Global",$I76&gt;0,COUNTIF($AB$13:$AM$13,BM.medicao-1)&gt;0),M76/$I76*100,0))</f>
        <v>0</v>
      </c>
      <c r="K76" s="151">
        <f t="shared" ca="1" si="34"/>
        <v>0</v>
      </c>
      <c r="L76" s="428">
        <f ca="1">IF($A76="S",IF(CAIXA.Modo,BM.AFAcumulado,BM.MEDAcumulado),IF(AND(RegimeExecucao="Global",$I76&gt;0,COUNTIF($AB$13:$AM$13,BM.medicao)&gt;0),O76/$I76*100,0))</f>
        <v>0</v>
      </c>
      <c r="M76" s="429">
        <f ca="1">IF($A76="S",VTOTALBM,IF($A76=0,0,ROUND(SomaAgrupBM,15-13*ORÇAMENTO!$AF$11)))</f>
        <v>0</v>
      </c>
      <c r="N76" s="430">
        <f t="shared" ca="1" si="35"/>
        <v>0</v>
      </c>
      <c r="O76" s="154">
        <f ca="1">IF($A76="S",VTOTALBM,IF($A76=0,0,ROUND(SomaAgrupBM,15-13*ORÇAMENTO!$AF$11)))</f>
        <v>0</v>
      </c>
      <c r="Q76" s="431"/>
      <c r="R76" s="432"/>
      <c r="T76" s="146" t="str">
        <f t="shared" ca="1" si="36"/>
        <v/>
      </c>
      <c r="U76" s="206" t="str">
        <f t="shared" ca="1" si="37"/>
        <v/>
      </c>
      <c r="V76" s="207" t="str">
        <f ca="1">IF(AND($W76&gt;0,RegimeExecucao="Unitário"),$F76,"")</f>
        <v/>
      </c>
      <c r="W76" s="633">
        <f ca="1">IF($Y76&gt;0,CHOOSE(MATCH(RegimeExecucao,{"Unitário","Global"},0),IF($A76="S",$Y76/$X76,""),($Y76/$X76)*100),0)</f>
        <v>0</v>
      </c>
      <c r="X76" s="433" t="str">
        <f ca="1">IF($Y76&gt;0,CHOOSE(MATCH(RegimeExecucao,{"Unitário","Global"},0),IF($A76="S",ROUND($H76,ORÇAMENTO!$AF$10),""),ROUND($I76,ORÇAMENTO!$AF$11)),"")</f>
        <v/>
      </c>
      <c r="Y76" s="433">
        <f t="shared" ca="1" si="38"/>
        <v>0</v>
      </c>
      <c r="Z76" s="660"/>
      <c r="AB76" s="431"/>
      <c r="AC76" s="598"/>
      <c r="AD76" s="598"/>
      <c r="AE76" s="598"/>
      <c r="AF76" s="598"/>
      <c r="AG76" s="598"/>
      <c r="AH76" s="598"/>
      <c r="AI76" s="598"/>
      <c r="AJ76" s="598"/>
      <c r="AK76" s="598"/>
      <c r="AL76" s="598"/>
      <c r="AM76" s="432"/>
      <c r="AO76">
        <f ca="1">IF($A76="S",IF(BM!$I76=0,0,CHOOSE(MATCH(RegimeExecucao,{"Global","Unitário"},0),ROUND(ROUND(BM.MEDAcumulado,15-13*BM!$A$9)/100*BM!$I76,15-13*ORÇAMENTO!$AF$11),ROUND(ROUND(BM.MEDAcumulado,15-13*BM!$A$9)*ROUND(BM!$H76,15-13*ORÇAMENTO!$AF$10),15-13*ORÇAMENTO!$AF$11))),IF($A76=0,0,ROUND(SomaAgrupBM,15-13*ORÇAMENTO!$AF$11)))</f>
        <v>0</v>
      </c>
    </row>
    <row r="77" spans="1:41" ht="38.25" x14ac:dyDescent="0.2">
      <c r="A77" t="str">
        <f ca="1">ORÇAMENTO!C77</f>
        <v>S</v>
      </c>
      <c r="B77">
        <f ca="1">ORÇAMENTO!D77</f>
        <v>0</v>
      </c>
      <c r="C77" s="143" t="str">
        <f t="shared" ca="1" si="33"/>
        <v/>
      </c>
      <c r="D77" s="146" t="str">
        <f ca="1">ORÇAMENTO!O77</f>
        <v>-</v>
      </c>
      <c r="E77" s="206" t="str">
        <f t="shared" si="32"/>
        <v>CHAPISCO APLICADO NO TETO OU EM ESTRUTURA, COM DESEMPENADEIRA DENTADA. ARGAMASSA INDUSTRIALIZADA COM PREPARO MANUAL. AF_10/2022</v>
      </c>
      <c r="F77" s="207" t="str">
        <f ca="1">IF(RegimeExecucao="Global","",ORÇAMENTO.Unidade)</f>
        <v/>
      </c>
      <c r="G77" s="151" t="str">
        <f ca="1">IF(RegimeExecucao="Global","",ORÇAMENTO!T77)</f>
        <v/>
      </c>
      <c r="H77" s="151" t="str">
        <f ca="1">IF(RegimeExecucao="Global","",ORÇAMENTO!W77)</f>
        <v/>
      </c>
      <c r="I77" s="154">
        <f ca="1">ORÇAMENTO!X77</f>
        <v>0</v>
      </c>
      <c r="J77" s="427">
        <f ca="1">IF($A77="S",IF(CAIXA.Modo,BM.AFAnterior,BM.MEDAnterior),IF(AND(RegimeExecucao="Global",$I77&gt;0,COUNTIF($AB$13:$AM$13,BM.medicao-1)&gt;0),M77/$I77*100,0))</f>
        <v>0</v>
      </c>
      <c r="K77" s="151">
        <f t="shared" ca="1" si="34"/>
        <v>0</v>
      </c>
      <c r="L77" s="428">
        <f ca="1">IF($A77="S",IF(CAIXA.Modo,BM.AFAcumulado,BM.MEDAcumulado),IF(AND(RegimeExecucao="Global",$I77&gt;0,COUNTIF($AB$13:$AM$13,BM.medicao)&gt;0),O77/$I77*100,0))</f>
        <v>0</v>
      </c>
      <c r="M77" s="429">
        <f ca="1">IF($A77="S",VTOTALBM,IF($A77=0,0,ROUND(SomaAgrupBM,15-13*ORÇAMENTO!$AF$11)))</f>
        <v>0</v>
      </c>
      <c r="N77" s="430">
        <f t="shared" ca="1" si="35"/>
        <v>0</v>
      </c>
      <c r="O77" s="154">
        <f ca="1">IF($A77="S",VTOTALBM,IF($A77=0,0,ROUND(SomaAgrupBM,15-13*ORÇAMENTO!$AF$11)))</f>
        <v>0</v>
      </c>
      <c r="Q77" s="431"/>
      <c r="R77" s="432"/>
      <c r="T77" s="146" t="str">
        <f t="shared" ca="1" si="36"/>
        <v/>
      </c>
      <c r="U77" s="206" t="str">
        <f t="shared" ca="1" si="37"/>
        <v/>
      </c>
      <c r="V77" s="207" t="str">
        <f ca="1">IF(AND($W77&gt;0,RegimeExecucao="Unitário"),$F77,"")</f>
        <v/>
      </c>
      <c r="W77" s="633">
        <f ca="1">IF($Y77&gt;0,CHOOSE(MATCH(RegimeExecucao,{"Unitário","Global"},0),IF($A77="S",$Y77/$X77,""),($Y77/$X77)*100),0)</f>
        <v>0</v>
      </c>
      <c r="X77" s="433" t="str">
        <f ca="1">IF($Y77&gt;0,CHOOSE(MATCH(RegimeExecucao,{"Unitário","Global"},0),IF($A77="S",ROUND($H77,ORÇAMENTO!$AF$10),""),ROUND($I77,ORÇAMENTO!$AF$11)),"")</f>
        <v/>
      </c>
      <c r="Y77" s="433">
        <f t="shared" ca="1" si="38"/>
        <v>0</v>
      </c>
      <c r="Z77" s="660"/>
      <c r="AB77" s="431"/>
      <c r="AC77" s="598"/>
      <c r="AD77" s="598"/>
      <c r="AE77" s="598"/>
      <c r="AF77" s="598"/>
      <c r="AG77" s="598"/>
      <c r="AH77" s="598"/>
      <c r="AI77" s="598"/>
      <c r="AJ77" s="598"/>
      <c r="AK77" s="598"/>
      <c r="AL77" s="598"/>
      <c r="AM77" s="432"/>
      <c r="AO77">
        <f ca="1">IF($A77="S",IF(BM!$I77=0,0,CHOOSE(MATCH(RegimeExecucao,{"Global","Unitário"},0),ROUND(ROUND(BM.MEDAcumulado,15-13*BM!$A$9)/100*BM!$I77,15-13*ORÇAMENTO!$AF$11),ROUND(ROUND(BM.MEDAcumulado,15-13*BM!$A$9)*ROUND(BM!$H77,15-13*ORÇAMENTO!$AF$10),15-13*ORÇAMENTO!$AF$11))),IF($A77=0,0,ROUND(SomaAgrupBM,15-13*ORÇAMENTO!$AF$11)))</f>
        <v>0</v>
      </c>
    </row>
    <row r="78" spans="1:41" ht="38.25" x14ac:dyDescent="0.2">
      <c r="A78" t="str">
        <f ca="1">ORÇAMENTO!C78</f>
        <v>S</v>
      </c>
      <c r="B78">
        <f ca="1">ORÇAMENTO!D78</f>
        <v>0</v>
      </c>
      <c r="C78" s="143" t="str">
        <f t="shared" ca="1" si="33"/>
        <v/>
      </c>
      <c r="D78" s="146" t="str">
        <f ca="1">ORÇAMENTO!O78</f>
        <v>-</v>
      </c>
      <c r="E78" s="206" t="str">
        <f t="shared" si="32"/>
        <v>MASSA ÚNICA, EM ARGAMASSA TRAÇO 1:2:8, PREPARO MECÂNICO, APLICADA MANUALMENTE EM TETO, E = 17,5MM, COM TALISCAS. AF_03/2024</v>
      </c>
      <c r="F78" s="207" t="str">
        <f ca="1">IF(RegimeExecucao="Global","",ORÇAMENTO.Unidade)</f>
        <v/>
      </c>
      <c r="G78" s="151" t="str">
        <f ca="1">IF(RegimeExecucao="Global","",ORÇAMENTO!T78)</f>
        <v/>
      </c>
      <c r="H78" s="151" t="str">
        <f ca="1">IF(RegimeExecucao="Global","",ORÇAMENTO!W78)</f>
        <v/>
      </c>
      <c r="I78" s="154">
        <f ca="1">ORÇAMENTO!X78</f>
        <v>0</v>
      </c>
      <c r="J78" s="427">
        <f ca="1">IF($A78="S",IF(CAIXA.Modo,BM.AFAnterior,BM.MEDAnterior),IF(AND(RegimeExecucao="Global",$I78&gt;0,COUNTIF($AB$13:$AM$13,BM.medicao-1)&gt;0),M78/$I78*100,0))</f>
        <v>0</v>
      </c>
      <c r="K78" s="151">
        <f t="shared" ca="1" si="34"/>
        <v>0</v>
      </c>
      <c r="L78" s="428">
        <f ca="1">IF($A78="S",IF(CAIXA.Modo,BM.AFAcumulado,BM.MEDAcumulado),IF(AND(RegimeExecucao="Global",$I78&gt;0,COUNTIF($AB$13:$AM$13,BM.medicao)&gt;0),O78/$I78*100,0))</f>
        <v>0</v>
      </c>
      <c r="M78" s="429">
        <f ca="1">IF($A78="S",VTOTALBM,IF($A78=0,0,ROUND(SomaAgrupBM,15-13*ORÇAMENTO!$AF$11)))</f>
        <v>0</v>
      </c>
      <c r="N78" s="430">
        <f t="shared" ca="1" si="35"/>
        <v>0</v>
      </c>
      <c r="O78" s="154">
        <f ca="1">IF($A78="S",VTOTALBM,IF($A78=0,0,ROUND(SomaAgrupBM,15-13*ORÇAMENTO!$AF$11)))</f>
        <v>0</v>
      </c>
      <c r="Q78" s="431"/>
      <c r="R78" s="432"/>
      <c r="T78" s="146" t="str">
        <f t="shared" ca="1" si="36"/>
        <v/>
      </c>
      <c r="U78" s="206" t="str">
        <f t="shared" ca="1" si="37"/>
        <v/>
      </c>
      <c r="V78" s="207" t="str">
        <f ca="1">IF(AND($W78&gt;0,RegimeExecucao="Unitário"),$F78,"")</f>
        <v/>
      </c>
      <c r="W78" s="633">
        <f ca="1">IF($Y78&gt;0,CHOOSE(MATCH(RegimeExecucao,{"Unitário","Global"},0),IF($A78="S",$Y78/$X78,""),($Y78/$X78)*100),0)</f>
        <v>0</v>
      </c>
      <c r="X78" s="433" t="str">
        <f ca="1">IF($Y78&gt;0,CHOOSE(MATCH(RegimeExecucao,{"Unitário","Global"},0),IF($A78="S",ROUND($H78,ORÇAMENTO!$AF$10),""),ROUND($I78,ORÇAMENTO!$AF$11)),"")</f>
        <v/>
      </c>
      <c r="Y78" s="433">
        <f t="shared" ca="1" si="38"/>
        <v>0</v>
      </c>
      <c r="Z78" s="660"/>
      <c r="AB78" s="431"/>
      <c r="AC78" s="598"/>
      <c r="AD78" s="598"/>
      <c r="AE78" s="598"/>
      <c r="AF78" s="598"/>
      <c r="AG78" s="598"/>
      <c r="AH78" s="598"/>
      <c r="AI78" s="598"/>
      <c r="AJ78" s="598"/>
      <c r="AK78" s="598"/>
      <c r="AL78" s="598"/>
      <c r="AM78" s="432"/>
      <c r="AO78">
        <f ca="1">IF($A78="S",IF(BM!$I78=0,0,CHOOSE(MATCH(RegimeExecucao,{"Global","Unitário"},0),ROUND(ROUND(BM.MEDAcumulado,15-13*BM!$A$9)/100*BM!$I78,15-13*ORÇAMENTO!$AF$11),ROUND(ROUND(BM.MEDAcumulado,15-13*BM!$A$9)*ROUND(BM!$H78,15-13*ORÇAMENTO!$AF$10),15-13*ORÇAMENTO!$AF$11))),IF($A78=0,0,ROUND(SomaAgrupBM,15-13*ORÇAMENTO!$AF$11)))</f>
        <v>0</v>
      </c>
    </row>
    <row r="79" spans="1:41" x14ac:dyDescent="0.2">
      <c r="A79">
        <f ca="1">ORÇAMENTO!C79</f>
        <v>2</v>
      </c>
      <c r="B79">
        <f ca="1">ORÇAMENTO!D79</f>
        <v>8</v>
      </c>
      <c r="C79" s="143" t="str">
        <f t="shared" ca="1" si="33"/>
        <v>F</v>
      </c>
      <c r="D79" s="146" t="str">
        <f ca="1">ORÇAMENTO!O79</f>
        <v>1.13.</v>
      </c>
      <c r="E79" s="206" t="str">
        <f t="shared" si="32"/>
        <v xml:space="preserve">COBERTURA </v>
      </c>
      <c r="F79" s="207" t="str">
        <f ca="1">IF(RegimeExecucao="Global","",ORÇAMENTO.Unidade)</f>
        <v/>
      </c>
      <c r="G79" s="151" t="str">
        <f ca="1">IF(RegimeExecucao="Global","",ORÇAMENTO!T79)</f>
        <v/>
      </c>
      <c r="H79" s="151" t="str">
        <f ca="1">IF(RegimeExecucao="Global","",ORÇAMENTO!W79)</f>
        <v/>
      </c>
      <c r="I79" s="154">
        <f ca="1">ORÇAMENTO!X79</f>
        <v>0</v>
      </c>
      <c r="J79" s="427">
        <f ca="1">IF($A79="S",IF(CAIXA.Modo,BM.AFAnterior,BM.MEDAnterior),IF(AND(RegimeExecucao="Global",$I79&gt;0,COUNTIF($AB$13:$AM$13,BM.medicao-1)&gt;0),M79/$I79*100,0))</f>
        <v>0</v>
      </c>
      <c r="K79" s="151">
        <f t="shared" ca="1" si="34"/>
        <v>0</v>
      </c>
      <c r="L79" s="428">
        <f ca="1">IF($A79="S",IF(CAIXA.Modo,BM.AFAcumulado,BM.MEDAcumulado),IF(AND(RegimeExecucao="Global",$I79&gt;0,COUNTIF($AB$13:$AM$13,BM.medicao)&gt;0),O79/$I79*100,0))</f>
        <v>0</v>
      </c>
      <c r="M79" s="429">
        <f ca="1">IF($A79="S",VTOTALBM,IF($A79=0,0,ROUND(SomaAgrupBM,15-13*ORÇAMENTO!$AF$11)))</f>
        <v>0</v>
      </c>
      <c r="N79" s="430">
        <f t="shared" ca="1" si="35"/>
        <v>0</v>
      </c>
      <c r="O79" s="154">
        <f ca="1">IF($A79="S",VTOTALBM,IF($A79=0,0,ROUND(SomaAgrupBM,15-13*ORÇAMENTO!$AF$11)))</f>
        <v>0</v>
      </c>
      <c r="Q79" s="431"/>
      <c r="R79" s="432"/>
      <c r="T79" s="146" t="str">
        <f t="shared" ca="1" si="36"/>
        <v/>
      </c>
      <c r="U79" s="206" t="str">
        <f t="shared" ca="1" si="37"/>
        <v/>
      </c>
      <c r="V79" s="207" t="str">
        <f ca="1">IF(AND($W79&gt;0,RegimeExecucao="Unitário"),$F79,"")</f>
        <v/>
      </c>
      <c r="W79" s="633">
        <f ca="1">IF($Y79&gt;0,CHOOSE(MATCH(RegimeExecucao,{"Unitário","Global"},0),IF($A79="S",$Y79/$X79,""),($Y79/$X79)*100),0)</f>
        <v>0</v>
      </c>
      <c r="X79" s="433" t="str">
        <f ca="1">IF($Y79&gt;0,CHOOSE(MATCH(RegimeExecucao,{"Unitário","Global"},0),IF($A79="S",ROUND($H79,ORÇAMENTO!$AF$10),""),ROUND($I79,ORÇAMENTO!$AF$11)),"")</f>
        <v/>
      </c>
      <c r="Y79" s="433">
        <f t="shared" ca="1" si="38"/>
        <v>0</v>
      </c>
      <c r="Z79" s="660"/>
      <c r="AB79" s="431"/>
      <c r="AC79" s="598"/>
      <c r="AD79" s="598"/>
      <c r="AE79" s="598"/>
      <c r="AF79" s="598"/>
      <c r="AG79" s="598"/>
      <c r="AH79" s="598"/>
      <c r="AI79" s="598"/>
      <c r="AJ79" s="598"/>
      <c r="AK79" s="598"/>
      <c r="AL79" s="598"/>
      <c r="AM79" s="432"/>
      <c r="AO79">
        <f ca="1">IF($A79="S",IF(BM!$I79=0,0,CHOOSE(MATCH(RegimeExecucao,{"Global","Unitário"},0),ROUND(ROUND(BM.MEDAcumulado,15-13*BM!$A$9)/100*BM!$I79,15-13*ORÇAMENTO!$AF$11),ROUND(ROUND(BM.MEDAcumulado,15-13*BM!$A$9)*ROUND(BM!$H79,15-13*ORÇAMENTO!$AF$10),15-13*ORÇAMENTO!$AF$11))),IF($A79=0,0,ROUND(SomaAgrupBM,15-13*ORÇAMENTO!$AF$11)))</f>
        <v>0</v>
      </c>
    </row>
    <row r="80" spans="1:41" ht="38.25" x14ac:dyDescent="0.2">
      <c r="A80" t="str">
        <f ca="1">ORÇAMENTO!C80</f>
        <v>S</v>
      </c>
      <c r="B80">
        <f ca="1">ORÇAMENTO!D80</f>
        <v>0</v>
      </c>
      <c r="C80" s="143" t="str">
        <f t="shared" ca="1" si="33"/>
        <v/>
      </c>
      <c r="D80" s="146" t="str">
        <f ca="1">ORÇAMENTO!O80</f>
        <v>-</v>
      </c>
      <c r="E80" s="206" t="str">
        <f t="shared" si="32"/>
        <v>FABRICAÇÃO E INSTALAÇÃO DE TESOURA INTEIRA EM AÇO, VÃO DE 10 M, PARA TELHA ONDULADA DE FIBROCIMENTO, METÁLICA, PLÁSTICA OU TERMOACÚSTICA, INCLUSO IÇAMENTO. AF_07/2019</v>
      </c>
      <c r="F80" s="207" t="str">
        <f ca="1">IF(RegimeExecucao="Global","",ORÇAMENTO.Unidade)</f>
        <v/>
      </c>
      <c r="G80" s="151" t="str">
        <f ca="1">IF(RegimeExecucao="Global","",ORÇAMENTO!T80)</f>
        <v/>
      </c>
      <c r="H80" s="151" t="str">
        <f ca="1">IF(RegimeExecucao="Global","",ORÇAMENTO!W80)</f>
        <v/>
      </c>
      <c r="I80" s="154">
        <f ca="1">ORÇAMENTO!X80</f>
        <v>0</v>
      </c>
      <c r="J80" s="427">
        <f ca="1">IF($A80="S",IF(CAIXA.Modo,BM.AFAnterior,BM.MEDAnterior),IF(AND(RegimeExecucao="Global",$I80&gt;0,COUNTIF($AB$13:$AM$13,BM.medicao-1)&gt;0),M80/$I80*100,0))</f>
        <v>0</v>
      </c>
      <c r="K80" s="151">
        <f t="shared" ca="1" si="34"/>
        <v>0</v>
      </c>
      <c r="L80" s="428">
        <f ca="1">IF($A80="S",IF(CAIXA.Modo,BM.AFAcumulado,BM.MEDAcumulado),IF(AND(RegimeExecucao="Global",$I80&gt;0,COUNTIF($AB$13:$AM$13,BM.medicao)&gt;0),O80/$I80*100,0))</f>
        <v>0</v>
      </c>
      <c r="M80" s="429">
        <f ca="1">IF($A80="S",VTOTALBM,IF($A80=0,0,ROUND(SomaAgrupBM,15-13*ORÇAMENTO!$AF$11)))</f>
        <v>0</v>
      </c>
      <c r="N80" s="430">
        <f t="shared" ca="1" si="35"/>
        <v>0</v>
      </c>
      <c r="O80" s="154">
        <f ca="1">IF($A80="S",VTOTALBM,IF($A80=0,0,ROUND(SomaAgrupBM,15-13*ORÇAMENTO!$AF$11)))</f>
        <v>0</v>
      </c>
      <c r="Q80" s="431"/>
      <c r="R80" s="432"/>
      <c r="T80" s="146" t="str">
        <f t="shared" ca="1" si="36"/>
        <v/>
      </c>
      <c r="U80" s="206" t="str">
        <f t="shared" ca="1" si="37"/>
        <v/>
      </c>
      <c r="V80" s="207" t="str">
        <f ca="1">IF(AND($W80&gt;0,RegimeExecucao="Unitário"),$F80,"")</f>
        <v/>
      </c>
      <c r="W80" s="633">
        <f ca="1">IF($Y80&gt;0,CHOOSE(MATCH(RegimeExecucao,{"Unitário","Global"},0),IF($A80="S",$Y80/$X80,""),($Y80/$X80)*100),0)</f>
        <v>0</v>
      </c>
      <c r="X80" s="433" t="str">
        <f ca="1">IF($Y80&gt;0,CHOOSE(MATCH(RegimeExecucao,{"Unitário","Global"},0),IF($A80="S",ROUND($H80,ORÇAMENTO!$AF$10),""),ROUND($I80,ORÇAMENTO!$AF$11)),"")</f>
        <v/>
      </c>
      <c r="Y80" s="433">
        <f t="shared" ca="1" si="38"/>
        <v>0</v>
      </c>
      <c r="Z80" s="660"/>
      <c r="AB80" s="431"/>
      <c r="AC80" s="598"/>
      <c r="AD80" s="598"/>
      <c r="AE80" s="598"/>
      <c r="AF80" s="598"/>
      <c r="AG80" s="598"/>
      <c r="AH80" s="598"/>
      <c r="AI80" s="598"/>
      <c r="AJ80" s="598"/>
      <c r="AK80" s="598"/>
      <c r="AL80" s="598"/>
      <c r="AM80" s="432"/>
      <c r="AO80">
        <f ca="1">IF($A80="S",IF(BM!$I80=0,0,CHOOSE(MATCH(RegimeExecucao,{"Global","Unitário"},0),ROUND(ROUND(BM.MEDAcumulado,15-13*BM!$A$9)/100*BM!$I80,15-13*ORÇAMENTO!$AF$11),ROUND(ROUND(BM.MEDAcumulado,15-13*BM!$A$9)*ROUND(BM!$H80,15-13*ORÇAMENTO!$AF$10),15-13*ORÇAMENTO!$AF$11))),IF($A80=0,0,ROUND(SomaAgrupBM,15-13*ORÇAMENTO!$AF$11)))</f>
        <v>0</v>
      </c>
    </row>
    <row r="81" spans="1:41" ht="51" x14ac:dyDescent="0.2">
      <c r="A81" t="str">
        <f ca="1">ORÇAMENTO!C81</f>
        <v>S</v>
      </c>
      <c r="B81">
        <f ca="1">ORÇAMENTO!D81</f>
        <v>0</v>
      </c>
      <c r="C81" s="143" t="str">
        <f t="shared" ca="1" si="33"/>
        <v/>
      </c>
      <c r="D81" s="146" t="str">
        <f ca="1">ORÇAMENTO!O81</f>
        <v>-</v>
      </c>
      <c r="E81" s="206" t="str">
        <f t="shared" si="32"/>
        <v>TRAMA DE AÇO COMPOSTA POR TERÇAS PARA TELHADOS DE ATÉ 2 ÁGUAS PARA TELHA ONDULADA DE FIBROCIMENTO, METÁLICA, PLÁSTICA OU TERMOACÚSTICA, INCLUSO TRANSPORTE VERTICAL. AF_07/2019</v>
      </c>
      <c r="F81" s="207" t="str">
        <f ca="1">IF(RegimeExecucao="Global","",ORÇAMENTO.Unidade)</f>
        <v/>
      </c>
      <c r="G81" s="151" t="str">
        <f ca="1">IF(RegimeExecucao="Global","",ORÇAMENTO!T81)</f>
        <v/>
      </c>
      <c r="H81" s="151" t="str">
        <f ca="1">IF(RegimeExecucao="Global","",ORÇAMENTO!W81)</f>
        <v/>
      </c>
      <c r="I81" s="154">
        <f ca="1">ORÇAMENTO!X81</f>
        <v>0</v>
      </c>
      <c r="J81" s="427">
        <f ca="1">IF($A81="S",IF(CAIXA.Modo,BM.AFAnterior,BM.MEDAnterior),IF(AND(RegimeExecucao="Global",$I81&gt;0,COUNTIF($AB$13:$AM$13,BM.medicao-1)&gt;0),M81/$I81*100,0))</f>
        <v>0</v>
      </c>
      <c r="K81" s="151">
        <f t="shared" ca="1" si="34"/>
        <v>0</v>
      </c>
      <c r="L81" s="428">
        <f ca="1">IF($A81="S",IF(CAIXA.Modo,BM.AFAcumulado,BM.MEDAcumulado),IF(AND(RegimeExecucao="Global",$I81&gt;0,COUNTIF($AB$13:$AM$13,BM.medicao)&gt;0),O81/$I81*100,0))</f>
        <v>0</v>
      </c>
      <c r="M81" s="429">
        <f ca="1">IF($A81="S",VTOTALBM,IF($A81=0,0,ROUND(SomaAgrupBM,15-13*ORÇAMENTO!$AF$11)))</f>
        <v>0</v>
      </c>
      <c r="N81" s="430">
        <f t="shared" ca="1" si="35"/>
        <v>0</v>
      </c>
      <c r="O81" s="154">
        <f ca="1">IF($A81="S",VTOTALBM,IF($A81=0,0,ROUND(SomaAgrupBM,15-13*ORÇAMENTO!$AF$11)))</f>
        <v>0</v>
      </c>
      <c r="Q81" s="431"/>
      <c r="R81" s="432"/>
      <c r="T81" s="146" t="str">
        <f t="shared" ca="1" si="36"/>
        <v/>
      </c>
      <c r="U81" s="206" t="str">
        <f t="shared" ca="1" si="37"/>
        <v/>
      </c>
      <c r="V81" s="207" t="str">
        <f ca="1">IF(AND($W81&gt;0,RegimeExecucao="Unitário"),$F81,"")</f>
        <v/>
      </c>
      <c r="W81" s="633">
        <f ca="1">IF($Y81&gt;0,CHOOSE(MATCH(RegimeExecucao,{"Unitário","Global"},0),IF($A81="S",$Y81/$X81,""),($Y81/$X81)*100),0)</f>
        <v>0</v>
      </c>
      <c r="X81" s="433" t="str">
        <f ca="1">IF($Y81&gt;0,CHOOSE(MATCH(RegimeExecucao,{"Unitário","Global"},0),IF($A81="S",ROUND($H81,ORÇAMENTO!$AF$10),""),ROUND($I81,ORÇAMENTO!$AF$11)),"")</f>
        <v/>
      </c>
      <c r="Y81" s="433">
        <f t="shared" ca="1" si="38"/>
        <v>0</v>
      </c>
      <c r="Z81" s="660"/>
      <c r="AB81" s="431"/>
      <c r="AC81" s="598"/>
      <c r="AD81" s="598"/>
      <c r="AE81" s="598"/>
      <c r="AF81" s="598"/>
      <c r="AG81" s="598"/>
      <c r="AH81" s="598"/>
      <c r="AI81" s="598"/>
      <c r="AJ81" s="598"/>
      <c r="AK81" s="598"/>
      <c r="AL81" s="598"/>
      <c r="AM81" s="432"/>
      <c r="AO81">
        <f ca="1">IF($A81="S",IF(BM!$I81=0,0,CHOOSE(MATCH(RegimeExecucao,{"Global","Unitário"},0),ROUND(ROUND(BM.MEDAcumulado,15-13*BM!$A$9)/100*BM!$I81,15-13*ORÇAMENTO!$AF$11),ROUND(ROUND(BM.MEDAcumulado,15-13*BM!$A$9)*ROUND(BM!$H81,15-13*ORÇAMENTO!$AF$10),15-13*ORÇAMENTO!$AF$11))),IF($A81=0,0,ROUND(SomaAgrupBM,15-13*ORÇAMENTO!$AF$11)))</f>
        <v>0</v>
      </c>
    </row>
    <row r="82" spans="1:41" ht="25.5" x14ac:dyDescent="0.2">
      <c r="A82" t="str">
        <f ca="1">ORÇAMENTO!C82</f>
        <v>S</v>
      </c>
      <c r="B82">
        <f ca="1">ORÇAMENTO!D82</f>
        <v>0</v>
      </c>
      <c r="C82" s="143" t="str">
        <f t="shared" ca="1" si="33"/>
        <v/>
      </c>
      <c r="D82" s="146" t="str">
        <f ca="1">ORÇAMENTO!O82</f>
        <v>-</v>
      </c>
      <c r="E82" s="206" t="str">
        <f t="shared" si="32"/>
        <v>TELHAMENTO COM TELHA DE AÇO/ALUMÍNIO E = 0,5 MM, COM ATÉ 2 ÁGUAS, INCLUSO IÇAMENTO. AF_07/2019</v>
      </c>
      <c r="F82" s="207" t="str">
        <f ca="1">IF(RegimeExecucao="Global","",ORÇAMENTO.Unidade)</f>
        <v/>
      </c>
      <c r="G82" s="151" t="str">
        <f ca="1">IF(RegimeExecucao="Global","",ORÇAMENTO!T82)</f>
        <v/>
      </c>
      <c r="H82" s="151" t="str">
        <f ca="1">IF(RegimeExecucao="Global","",ORÇAMENTO!W82)</f>
        <v/>
      </c>
      <c r="I82" s="154">
        <f ca="1">ORÇAMENTO!X82</f>
        <v>0</v>
      </c>
      <c r="J82" s="427">
        <f ca="1">IF($A82="S",IF(CAIXA.Modo,BM.AFAnterior,BM.MEDAnterior),IF(AND(RegimeExecucao="Global",$I82&gt;0,COUNTIF($AB$13:$AM$13,BM.medicao-1)&gt;0),M82/$I82*100,0))</f>
        <v>0</v>
      </c>
      <c r="K82" s="151">
        <f t="shared" ca="1" si="34"/>
        <v>0</v>
      </c>
      <c r="L82" s="428">
        <f ca="1">IF($A82="S",IF(CAIXA.Modo,BM.AFAcumulado,BM.MEDAcumulado),IF(AND(RegimeExecucao="Global",$I82&gt;0,COUNTIF($AB$13:$AM$13,BM.medicao)&gt;0),O82/$I82*100,0))</f>
        <v>0</v>
      </c>
      <c r="M82" s="429">
        <f ca="1">IF($A82="S",VTOTALBM,IF($A82=0,0,ROUND(SomaAgrupBM,15-13*ORÇAMENTO!$AF$11)))</f>
        <v>0</v>
      </c>
      <c r="N82" s="430">
        <f t="shared" ca="1" si="35"/>
        <v>0</v>
      </c>
      <c r="O82" s="154">
        <f ca="1">IF($A82="S",VTOTALBM,IF($A82=0,0,ROUND(SomaAgrupBM,15-13*ORÇAMENTO!$AF$11)))</f>
        <v>0</v>
      </c>
      <c r="Q82" s="431"/>
      <c r="R82" s="432"/>
      <c r="T82" s="146" t="str">
        <f t="shared" ca="1" si="36"/>
        <v/>
      </c>
      <c r="U82" s="206" t="str">
        <f t="shared" ca="1" si="37"/>
        <v/>
      </c>
      <c r="V82" s="207" t="str">
        <f ca="1">IF(AND($W82&gt;0,RegimeExecucao="Unitário"),$F82,"")</f>
        <v/>
      </c>
      <c r="W82" s="633">
        <f ca="1">IF($Y82&gt;0,CHOOSE(MATCH(RegimeExecucao,{"Unitário","Global"},0),IF($A82="S",$Y82/$X82,""),($Y82/$X82)*100),0)</f>
        <v>0</v>
      </c>
      <c r="X82" s="433" t="str">
        <f ca="1">IF($Y82&gt;0,CHOOSE(MATCH(RegimeExecucao,{"Unitário","Global"},0),IF($A82="S",ROUND($H82,ORÇAMENTO!$AF$10),""),ROUND($I82,ORÇAMENTO!$AF$11)),"")</f>
        <v/>
      </c>
      <c r="Y82" s="433">
        <f t="shared" ca="1" si="38"/>
        <v>0</v>
      </c>
      <c r="Z82" s="660"/>
      <c r="AB82" s="431"/>
      <c r="AC82" s="598"/>
      <c r="AD82" s="598"/>
      <c r="AE82" s="598"/>
      <c r="AF82" s="598"/>
      <c r="AG82" s="598"/>
      <c r="AH82" s="598"/>
      <c r="AI82" s="598"/>
      <c r="AJ82" s="598"/>
      <c r="AK82" s="598"/>
      <c r="AL82" s="598"/>
      <c r="AM82" s="432"/>
      <c r="AO82">
        <f ca="1">IF($A82="S",IF(BM!$I82=0,0,CHOOSE(MATCH(RegimeExecucao,{"Global","Unitário"},0),ROUND(ROUND(BM.MEDAcumulado,15-13*BM!$A$9)/100*BM!$I82,15-13*ORÇAMENTO!$AF$11),ROUND(ROUND(BM.MEDAcumulado,15-13*BM!$A$9)*ROUND(BM!$H82,15-13*ORÇAMENTO!$AF$10),15-13*ORÇAMENTO!$AF$11))),IF($A82=0,0,ROUND(SomaAgrupBM,15-13*ORÇAMENTO!$AF$11)))</f>
        <v>0</v>
      </c>
    </row>
    <row r="83" spans="1:41" ht="25.5" x14ac:dyDescent="0.2">
      <c r="A83" t="str">
        <f ca="1">ORÇAMENTO!C83</f>
        <v>S</v>
      </c>
      <c r="B83">
        <f ca="1">ORÇAMENTO!D83</f>
        <v>0</v>
      </c>
      <c r="C83" s="143" t="str">
        <f t="shared" ca="1" si="33"/>
        <v/>
      </c>
      <c r="D83" s="146" t="str">
        <f ca="1">ORÇAMENTO!O83</f>
        <v>-</v>
      </c>
      <c r="E83" s="206" t="str">
        <f t="shared" si="32"/>
        <v>RUFO EXTERNO/INTERNO EM CHAPA DE AÇO GALVANIZADO NÚMERO 26, CORTE DE 33 CM, INCLUSO IÇAMENTO. AF_07/2019</v>
      </c>
      <c r="F83" s="207" t="str">
        <f ca="1">IF(RegimeExecucao="Global","",ORÇAMENTO.Unidade)</f>
        <v/>
      </c>
      <c r="G83" s="151" t="str">
        <f ca="1">IF(RegimeExecucao="Global","",ORÇAMENTO!T83)</f>
        <v/>
      </c>
      <c r="H83" s="151" t="str">
        <f ca="1">IF(RegimeExecucao="Global","",ORÇAMENTO!W83)</f>
        <v/>
      </c>
      <c r="I83" s="154">
        <f ca="1">ORÇAMENTO!X83</f>
        <v>0</v>
      </c>
      <c r="J83" s="427">
        <f ca="1">IF($A83="S",IF(CAIXA.Modo,BM.AFAnterior,BM.MEDAnterior),IF(AND(RegimeExecucao="Global",$I83&gt;0,COUNTIF($AB$13:$AM$13,BM.medicao-1)&gt;0),M83/$I83*100,0))</f>
        <v>0</v>
      </c>
      <c r="K83" s="151">
        <f t="shared" ca="1" si="34"/>
        <v>0</v>
      </c>
      <c r="L83" s="428">
        <f ca="1">IF($A83="S",IF(CAIXA.Modo,BM.AFAcumulado,BM.MEDAcumulado),IF(AND(RegimeExecucao="Global",$I83&gt;0,COUNTIF($AB$13:$AM$13,BM.medicao)&gt;0),O83/$I83*100,0))</f>
        <v>0</v>
      </c>
      <c r="M83" s="429">
        <f ca="1">IF($A83="S",VTOTALBM,IF($A83=0,0,ROUND(SomaAgrupBM,15-13*ORÇAMENTO!$AF$11)))</f>
        <v>0</v>
      </c>
      <c r="N83" s="430">
        <f t="shared" ca="1" si="35"/>
        <v>0</v>
      </c>
      <c r="O83" s="154">
        <f ca="1">IF($A83="S",VTOTALBM,IF($A83=0,0,ROUND(SomaAgrupBM,15-13*ORÇAMENTO!$AF$11)))</f>
        <v>0</v>
      </c>
      <c r="Q83" s="431"/>
      <c r="R83" s="432"/>
      <c r="T83" s="146" t="str">
        <f t="shared" ca="1" si="36"/>
        <v/>
      </c>
      <c r="U83" s="206" t="str">
        <f t="shared" ca="1" si="37"/>
        <v/>
      </c>
      <c r="V83" s="207" t="str">
        <f ca="1">IF(AND($W83&gt;0,RegimeExecucao="Unitário"),$F83,"")</f>
        <v/>
      </c>
      <c r="W83" s="633">
        <f ca="1">IF($Y83&gt;0,CHOOSE(MATCH(RegimeExecucao,{"Unitário","Global"},0),IF($A83="S",$Y83/$X83,""),($Y83/$X83)*100),0)</f>
        <v>0</v>
      </c>
      <c r="X83" s="433" t="str">
        <f ca="1">IF($Y83&gt;0,CHOOSE(MATCH(RegimeExecucao,{"Unitário","Global"},0),IF($A83="S",ROUND($H83,ORÇAMENTO!$AF$10),""),ROUND($I83,ORÇAMENTO!$AF$11)),"")</f>
        <v/>
      </c>
      <c r="Y83" s="433">
        <f t="shared" ca="1" si="38"/>
        <v>0</v>
      </c>
      <c r="Z83" s="660"/>
      <c r="AB83" s="431"/>
      <c r="AC83" s="598"/>
      <c r="AD83" s="598"/>
      <c r="AE83" s="598"/>
      <c r="AF83" s="598"/>
      <c r="AG83" s="598"/>
      <c r="AH83" s="598"/>
      <c r="AI83" s="598"/>
      <c r="AJ83" s="598"/>
      <c r="AK83" s="598"/>
      <c r="AL83" s="598"/>
      <c r="AM83" s="432"/>
      <c r="AO83">
        <f ca="1">IF($A83="S",IF(BM!$I83=0,0,CHOOSE(MATCH(RegimeExecucao,{"Global","Unitário"},0),ROUND(ROUND(BM.MEDAcumulado,15-13*BM!$A$9)/100*BM!$I83,15-13*ORÇAMENTO!$AF$11),ROUND(ROUND(BM.MEDAcumulado,15-13*BM!$A$9)*ROUND(BM!$H83,15-13*ORÇAMENTO!$AF$10),15-13*ORÇAMENTO!$AF$11))),IF($A83=0,0,ROUND(SomaAgrupBM,15-13*ORÇAMENTO!$AF$11)))</f>
        <v>0</v>
      </c>
    </row>
    <row r="84" spans="1:41" ht="38.25" x14ac:dyDescent="0.2">
      <c r="A84" t="str">
        <f ca="1">ORÇAMENTO!C84</f>
        <v>S</v>
      </c>
      <c r="B84">
        <f ca="1">ORÇAMENTO!D84</f>
        <v>0</v>
      </c>
      <c r="C84" s="143" t="str">
        <f t="shared" ca="1" si="33"/>
        <v/>
      </c>
      <c r="D84" s="146" t="str">
        <f ca="1">ORÇAMENTO!O84</f>
        <v>-</v>
      </c>
      <c r="E84" s="206" t="str">
        <f t="shared" si="32"/>
        <v>CALHA EM CHAPA DE AÇO GALVANIZADO NÚMERO 24, DESENVOLVIMENTO DE 50 CM, INCLUSO TRANSPORTE VERTICAL. AF_07/2019</v>
      </c>
      <c r="F84" s="207" t="str">
        <f ca="1">IF(RegimeExecucao="Global","",ORÇAMENTO.Unidade)</f>
        <v/>
      </c>
      <c r="G84" s="151" t="str">
        <f ca="1">IF(RegimeExecucao="Global","",ORÇAMENTO!T84)</f>
        <v/>
      </c>
      <c r="H84" s="151" t="str">
        <f ca="1">IF(RegimeExecucao="Global","",ORÇAMENTO!W84)</f>
        <v/>
      </c>
      <c r="I84" s="154">
        <f ca="1">ORÇAMENTO!X84</f>
        <v>0</v>
      </c>
      <c r="J84" s="427">
        <f ca="1">IF($A84="S",IF(CAIXA.Modo,BM.AFAnterior,BM.MEDAnterior),IF(AND(RegimeExecucao="Global",$I84&gt;0,COUNTIF($AB$13:$AM$13,BM.medicao-1)&gt;0),M84/$I84*100,0))</f>
        <v>0</v>
      </c>
      <c r="K84" s="151">
        <f t="shared" ca="1" si="34"/>
        <v>0</v>
      </c>
      <c r="L84" s="428">
        <f ca="1">IF($A84="S",IF(CAIXA.Modo,BM.AFAcumulado,BM.MEDAcumulado),IF(AND(RegimeExecucao="Global",$I84&gt;0,COUNTIF($AB$13:$AM$13,BM.medicao)&gt;0),O84/$I84*100,0))</f>
        <v>0</v>
      </c>
      <c r="M84" s="429">
        <f ca="1">IF($A84="S",VTOTALBM,IF($A84=0,0,ROUND(SomaAgrupBM,15-13*ORÇAMENTO!$AF$11)))</f>
        <v>0</v>
      </c>
      <c r="N84" s="430">
        <f t="shared" ca="1" si="35"/>
        <v>0</v>
      </c>
      <c r="O84" s="154">
        <f ca="1">IF($A84="S",VTOTALBM,IF($A84=0,0,ROUND(SomaAgrupBM,15-13*ORÇAMENTO!$AF$11)))</f>
        <v>0</v>
      </c>
      <c r="Q84" s="431"/>
      <c r="R84" s="432"/>
      <c r="T84" s="146" t="str">
        <f t="shared" ca="1" si="36"/>
        <v/>
      </c>
      <c r="U84" s="206" t="str">
        <f t="shared" ca="1" si="37"/>
        <v/>
      </c>
      <c r="V84" s="207" t="str">
        <f ca="1">IF(AND($W84&gt;0,RegimeExecucao="Unitário"),$F84,"")</f>
        <v/>
      </c>
      <c r="W84" s="633">
        <f ca="1">IF($Y84&gt;0,CHOOSE(MATCH(RegimeExecucao,{"Unitário","Global"},0),IF($A84="S",$Y84/$X84,""),($Y84/$X84)*100),0)</f>
        <v>0</v>
      </c>
      <c r="X84" s="433" t="str">
        <f ca="1">IF($Y84&gt;0,CHOOSE(MATCH(RegimeExecucao,{"Unitário","Global"},0),IF($A84="S",ROUND($H84,ORÇAMENTO!$AF$10),""),ROUND($I84,ORÇAMENTO!$AF$11)),"")</f>
        <v/>
      </c>
      <c r="Y84" s="433">
        <f t="shared" ca="1" si="38"/>
        <v>0</v>
      </c>
      <c r="Z84" s="660"/>
      <c r="AB84" s="431"/>
      <c r="AC84" s="598"/>
      <c r="AD84" s="598"/>
      <c r="AE84" s="598"/>
      <c r="AF84" s="598"/>
      <c r="AG84" s="598"/>
      <c r="AH84" s="598"/>
      <c r="AI84" s="598"/>
      <c r="AJ84" s="598"/>
      <c r="AK84" s="598"/>
      <c r="AL84" s="598"/>
      <c r="AM84" s="432"/>
      <c r="AO84">
        <f ca="1">IF($A84="S",IF(BM!$I84=0,0,CHOOSE(MATCH(RegimeExecucao,{"Global","Unitário"},0),ROUND(ROUND(BM.MEDAcumulado,15-13*BM!$A$9)/100*BM!$I84,15-13*ORÇAMENTO!$AF$11),ROUND(ROUND(BM.MEDAcumulado,15-13*BM!$A$9)*ROUND(BM!$H84,15-13*ORÇAMENTO!$AF$10),15-13*ORÇAMENTO!$AF$11))),IF($A84=0,0,ROUND(SomaAgrupBM,15-13*ORÇAMENTO!$AF$11)))</f>
        <v>0</v>
      </c>
    </row>
    <row r="85" spans="1:41" ht="38.25" x14ac:dyDescent="0.2">
      <c r="A85" t="str">
        <f ca="1">ORÇAMENTO!C85</f>
        <v>S</v>
      </c>
      <c r="B85">
        <f ca="1">ORÇAMENTO!D85</f>
        <v>0</v>
      </c>
      <c r="C85" s="143" t="str">
        <f ca="1">IF(OR($I85&gt;0,$A85=1,$A85=2,$A85=3,$A85=4),"F","")</f>
        <v/>
      </c>
      <c r="D85" s="146" t="str">
        <f ca="1">ORÇAMENTO!O85</f>
        <v>-</v>
      </c>
      <c r="E85" s="206" t="str">
        <f>ORÇAMENTO.Descricao</f>
        <v>TUBO PVC, SÉRIE R, ÁGUA PLUVIAL, DN 100 MM, FORNECIDO E INSTALADO EM CONDUTORES VERTICAIS DE ÁGUAS PLUVIAIS. AF_06/2022</v>
      </c>
      <c r="F85" s="207" t="str">
        <f ca="1">IF(RegimeExecucao="Global","",ORÇAMENTO.Unidade)</f>
        <v/>
      </c>
      <c r="G85" s="151" t="str">
        <f ca="1">IF(RegimeExecucao="Global","",ORÇAMENTO!T85)</f>
        <v/>
      </c>
      <c r="H85" s="151" t="str">
        <f ca="1">IF(RegimeExecucao="Global","",ORÇAMENTO!W85)</f>
        <v/>
      </c>
      <c r="I85" s="154">
        <f ca="1">ORÇAMENTO!X85</f>
        <v>0</v>
      </c>
      <c r="J85" s="427">
        <f ca="1">IF($A85="S",IF(CAIXA.Modo,BM.AFAnterior,BM.MEDAnterior),IF(AND(RegimeExecucao="Global",$I85&gt;0,COUNTIF($AB$13:$AM$13,BM.medicao-1)&gt;0),M85/$I85*100,0))</f>
        <v>0</v>
      </c>
      <c r="K85" s="151">
        <f t="shared" ca="1" si="34"/>
        <v>0</v>
      </c>
      <c r="L85" s="428">
        <f ca="1">IF($A85="S",IF(CAIXA.Modo,BM.AFAcumulado,BM.MEDAcumulado),IF(AND(RegimeExecucao="Global",$I85&gt;0,COUNTIF($AB$13:$AM$13,BM.medicao)&gt;0),O85/$I85*100,0))</f>
        <v>0</v>
      </c>
      <c r="M85" s="429">
        <f ca="1">IF($A85="S",VTOTALBM,IF($A85=0,0,ROUND(SomaAgrupBM,15-13*ORÇAMENTO!$AF$11)))</f>
        <v>0</v>
      </c>
      <c r="N85" s="430">
        <f t="shared" ca="1" si="35"/>
        <v>0</v>
      </c>
      <c r="O85" s="154">
        <f ca="1">IF($A85="S",VTOTALBM,IF($A85=0,0,ROUND(SomaAgrupBM,15-13*ORÇAMENTO!$AF$11)))</f>
        <v>0</v>
      </c>
      <c r="Q85" s="431"/>
      <c r="R85" s="432"/>
      <c r="T85" s="146" t="str">
        <f ca="1">IF($W85&gt;0,$D85,"")</f>
        <v/>
      </c>
      <c r="U85" s="206" t="str">
        <f ca="1">IF($W85&gt;0,$E85,"")</f>
        <v/>
      </c>
      <c r="V85" s="207" t="str">
        <f ca="1">IF(AND($W85&gt;0,RegimeExecucao="Unitário"),$F85,"")</f>
        <v/>
      </c>
      <c r="W85" s="633">
        <f ca="1">IF($Y85&gt;0,CHOOSE(MATCH(RegimeExecucao,{"Unitário","Global"},0),IF($A85="S",$Y85/$X85,""),($Y85/$X85)*100),0)</f>
        <v>0</v>
      </c>
      <c r="X85" s="433" t="str">
        <f ca="1">IF($Y85&gt;0,CHOOSE(MATCH(RegimeExecucao,{"Unitário","Global"},0),IF($A85="S",ROUND($H85,ORÇAMENTO!$AF$10),""),ROUND($I85,ORÇAMENTO!$AF$11)),"")</f>
        <v/>
      </c>
      <c r="Y85" s="433">
        <f ca="1">AO85-O85</f>
        <v>0</v>
      </c>
      <c r="Z85" s="660"/>
      <c r="AB85" s="431"/>
      <c r="AC85" s="598"/>
      <c r="AD85" s="598"/>
      <c r="AE85" s="598"/>
      <c r="AF85" s="598"/>
      <c r="AG85" s="598"/>
      <c r="AH85" s="598"/>
      <c r="AI85" s="598"/>
      <c r="AJ85" s="598"/>
      <c r="AK85" s="598"/>
      <c r="AL85" s="598"/>
      <c r="AM85" s="432"/>
      <c r="AO85">
        <f ca="1">IF($A85="S",IF(BM!$I85=0,0,CHOOSE(MATCH(RegimeExecucao,{"Global","Unitário"},0),ROUND(ROUND(BM.MEDAcumulado,15-13*BM!$A$9)/100*BM!$I85,15-13*ORÇAMENTO!$AF$11),ROUND(ROUND(BM.MEDAcumulado,15-13*BM!$A$9)*ROUND(BM!$H85,15-13*ORÇAMENTO!$AF$10),15-13*ORÇAMENTO!$AF$11))),IF($A85=0,0,ROUND(SomaAgrupBM,15-13*ORÇAMENTO!$AF$11)))</f>
        <v>0</v>
      </c>
    </row>
    <row r="86" spans="1:41" ht="38.25" x14ac:dyDescent="0.2">
      <c r="A86" t="str">
        <f ca="1">ORÇAMENTO!C86</f>
        <v>S</v>
      </c>
      <c r="B86">
        <f ca="1">ORÇAMENTO!D86</f>
        <v>0</v>
      </c>
      <c r="C86" s="143" t="str">
        <f ca="1">IF(OR($I86&gt;0,$A86=1,$A86=2,$A86=3,$A86=4),"F","")</f>
        <v/>
      </c>
      <c r="D86" s="146" t="str">
        <f ca="1">ORÇAMENTO!O86</f>
        <v>-</v>
      </c>
      <c r="E86" s="206" t="str">
        <f>ORÇAMENTO.Descricao</f>
        <v>CURVA 90 GRAUS, PVC, SERIE R, ÁGUA PLUVIAL, DN 100 MM, JUNTA ELÁSTICA, FORNECIDO E INSTALADO EM CONDUTORES VERTICAIS DE ÁGUAS PLUVIAIS. AF_06/2022</v>
      </c>
      <c r="F86" s="207" t="str">
        <f ca="1">IF(RegimeExecucao="Global","",ORÇAMENTO.Unidade)</f>
        <v/>
      </c>
      <c r="G86" s="151" t="str">
        <f ca="1">IF(RegimeExecucao="Global","",ORÇAMENTO!T86)</f>
        <v/>
      </c>
      <c r="H86" s="151" t="str">
        <f ca="1">IF(RegimeExecucao="Global","",ORÇAMENTO!W86)</f>
        <v/>
      </c>
      <c r="I86" s="154">
        <f ca="1">ORÇAMENTO!X86</f>
        <v>0</v>
      </c>
      <c r="J86" s="427">
        <f ca="1">IF($A86="S",IF(CAIXA.Modo,BM.AFAnterior,BM.MEDAnterior),IF(AND(RegimeExecucao="Global",$I86&gt;0,COUNTIF($AB$13:$AM$13,BM.medicao-1)&gt;0),M86/$I86*100,0))</f>
        <v>0</v>
      </c>
      <c r="K86" s="151">
        <f t="shared" ca="1" si="34"/>
        <v>0</v>
      </c>
      <c r="L86" s="428">
        <f ca="1">IF($A86="S",IF(CAIXA.Modo,BM.AFAcumulado,BM.MEDAcumulado),IF(AND(RegimeExecucao="Global",$I86&gt;0,COUNTIF($AB$13:$AM$13,BM.medicao)&gt;0),O86/$I86*100,0))</f>
        <v>0</v>
      </c>
      <c r="M86" s="429">
        <f ca="1">IF($A86="S",VTOTALBM,IF($A86=0,0,ROUND(SomaAgrupBM,15-13*ORÇAMENTO!$AF$11)))</f>
        <v>0</v>
      </c>
      <c r="N86" s="430">
        <f t="shared" ca="1" si="35"/>
        <v>0</v>
      </c>
      <c r="O86" s="154">
        <f ca="1">IF($A86="S",VTOTALBM,IF($A86=0,0,ROUND(SomaAgrupBM,15-13*ORÇAMENTO!$AF$11)))</f>
        <v>0</v>
      </c>
      <c r="Q86" s="431"/>
      <c r="R86" s="432"/>
      <c r="T86" s="146" t="str">
        <f ca="1">IF($W86&gt;0,$D86,"")</f>
        <v/>
      </c>
      <c r="U86" s="206" t="str">
        <f ca="1">IF($W86&gt;0,$E86,"")</f>
        <v/>
      </c>
      <c r="V86" s="207" t="str">
        <f ca="1">IF(AND($W86&gt;0,RegimeExecucao="Unitário"),$F86,"")</f>
        <v/>
      </c>
      <c r="W86" s="633">
        <f ca="1">IF($Y86&gt;0,CHOOSE(MATCH(RegimeExecucao,{"Unitário","Global"},0),IF($A86="S",$Y86/$X86,""),($Y86/$X86)*100),0)</f>
        <v>0</v>
      </c>
      <c r="X86" s="433" t="str">
        <f ca="1">IF($Y86&gt;0,CHOOSE(MATCH(RegimeExecucao,{"Unitário","Global"},0),IF($A86="S",ROUND($H86,ORÇAMENTO!$AF$10),""),ROUND($I86,ORÇAMENTO!$AF$11)),"")</f>
        <v/>
      </c>
      <c r="Y86" s="433">
        <f ca="1">AO86-O86</f>
        <v>0</v>
      </c>
      <c r="Z86" s="660"/>
      <c r="AB86" s="431"/>
      <c r="AC86" s="598"/>
      <c r="AD86" s="598"/>
      <c r="AE86" s="598"/>
      <c r="AF86" s="598"/>
      <c r="AG86" s="598"/>
      <c r="AH86" s="598"/>
      <c r="AI86" s="598"/>
      <c r="AJ86" s="598"/>
      <c r="AK86" s="598"/>
      <c r="AL86" s="598"/>
      <c r="AM86" s="432"/>
      <c r="AO86">
        <f ca="1">IF($A86="S",IF(BM!$I86=0,0,CHOOSE(MATCH(RegimeExecucao,{"Global","Unitário"},0),ROUND(ROUND(BM.MEDAcumulado,15-13*BM!$A$9)/100*BM!$I86,15-13*ORÇAMENTO!$AF$11),ROUND(ROUND(BM.MEDAcumulado,15-13*BM!$A$9)*ROUND(BM!$H86,15-13*ORÇAMENTO!$AF$10),15-13*ORÇAMENTO!$AF$11))),IF($A86=0,0,ROUND(SomaAgrupBM,15-13*ORÇAMENTO!$AF$11)))</f>
        <v>0</v>
      </c>
    </row>
    <row r="87" spans="1:41" x14ac:dyDescent="0.2">
      <c r="A87">
        <f ca="1">ORÇAMENTO!C87</f>
        <v>2</v>
      </c>
      <c r="B87">
        <f ca="1">ORÇAMENTO!D87</f>
        <v>7</v>
      </c>
      <c r="C87" s="143" t="str">
        <f t="shared" ca="1" si="33"/>
        <v>F</v>
      </c>
      <c r="D87" s="146" t="str">
        <f ca="1">ORÇAMENTO!O87</f>
        <v>1.14.</v>
      </c>
      <c r="E87" s="206" t="str">
        <f t="shared" si="32"/>
        <v>SPDA</v>
      </c>
      <c r="F87" s="207" t="str">
        <f ca="1">IF(RegimeExecucao="Global","",ORÇAMENTO.Unidade)</f>
        <v/>
      </c>
      <c r="G87" s="151" t="str">
        <f ca="1">IF(RegimeExecucao="Global","",ORÇAMENTO!T87)</f>
        <v/>
      </c>
      <c r="H87" s="151" t="str">
        <f ca="1">IF(RegimeExecucao="Global","",ORÇAMENTO!W87)</f>
        <v/>
      </c>
      <c r="I87" s="154">
        <f ca="1">ORÇAMENTO!X87</f>
        <v>0</v>
      </c>
      <c r="J87" s="427">
        <f ca="1">IF($A87="S",IF(CAIXA.Modo,BM.AFAnterior,BM.MEDAnterior),IF(AND(RegimeExecucao="Global",$I87&gt;0,COUNTIF($AB$13:$AM$13,BM.medicao-1)&gt;0),M87/$I87*100,0))</f>
        <v>0</v>
      </c>
      <c r="K87" s="151">
        <f t="shared" ca="1" si="34"/>
        <v>0</v>
      </c>
      <c r="L87" s="428">
        <f ca="1">IF($A87="S",IF(CAIXA.Modo,BM.AFAcumulado,BM.MEDAcumulado),IF(AND(RegimeExecucao="Global",$I87&gt;0,COUNTIF($AB$13:$AM$13,BM.medicao)&gt;0),O87/$I87*100,0))</f>
        <v>0</v>
      </c>
      <c r="M87" s="429">
        <f ca="1">IF($A87="S",VTOTALBM,IF($A87=0,0,ROUND(SomaAgrupBM,15-13*ORÇAMENTO!$AF$11)))</f>
        <v>0</v>
      </c>
      <c r="N87" s="430">
        <f t="shared" ca="1" si="35"/>
        <v>0</v>
      </c>
      <c r="O87" s="154">
        <f ca="1">IF($A87="S",VTOTALBM,IF($A87=0,0,ROUND(SomaAgrupBM,15-13*ORÇAMENTO!$AF$11)))</f>
        <v>0</v>
      </c>
      <c r="Q87" s="431"/>
      <c r="R87" s="432"/>
      <c r="T87" s="146" t="str">
        <f t="shared" ca="1" si="36"/>
        <v/>
      </c>
      <c r="U87" s="206" t="str">
        <f t="shared" ca="1" si="37"/>
        <v/>
      </c>
      <c r="V87" s="207" t="str">
        <f ca="1">IF(AND($W87&gt;0,RegimeExecucao="Unitário"),$F87,"")</f>
        <v/>
      </c>
      <c r="W87" s="633">
        <f ca="1">IF($Y87&gt;0,CHOOSE(MATCH(RegimeExecucao,{"Unitário","Global"},0),IF($A87="S",$Y87/$X87,""),($Y87/$X87)*100),0)</f>
        <v>0</v>
      </c>
      <c r="X87" s="433" t="str">
        <f ca="1">IF($Y87&gt;0,CHOOSE(MATCH(RegimeExecucao,{"Unitário","Global"},0),IF($A87="S",ROUND($H87,ORÇAMENTO!$AF$10),""),ROUND($I87,ORÇAMENTO!$AF$11)),"")</f>
        <v/>
      </c>
      <c r="Y87" s="433">
        <f t="shared" ca="1" si="38"/>
        <v>0</v>
      </c>
      <c r="Z87" s="660"/>
      <c r="AB87" s="431"/>
      <c r="AC87" s="598"/>
      <c r="AD87" s="598"/>
      <c r="AE87" s="598"/>
      <c r="AF87" s="598"/>
      <c r="AG87" s="598"/>
      <c r="AH87" s="598"/>
      <c r="AI87" s="598"/>
      <c r="AJ87" s="598"/>
      <c r="AK87" s="598"/>
      <c r="AL87" s="598"/>
      <c r="AM87" s="432"/>
      <c r="AO87">
        <f ca="1">IF($A87="S",IF(BM!$I87=0,0,CHOOSE(MATCH(RegimeExecucao,{"Global","Unitário"},0),ROUND(ROUND(BM.MEDAcumulado,15-13*BM!$A$9)/100*BM!$I87,15-13*ORÇAMENTO!$AF$11),ROUND(ROUND(BM.MEDAcumulado,15-13*BM!$A$9)*ROUND(BM!$H87,15-13*ORÇAMENTO!$AF$10),15-13*ORÇAMENTO!$AF$11))),IF($A87=0,0,ROUND(SomaAgrupBM,15-13*ORÇAMENTO!$AF$11)))</f>
        <v>0</v>
      </c>
    </row>
    <row r="88" spans="1:41" x14ac:dyDescent="0.2">
      <c r="A88" t="str">
        <f ca="1">ORÇAMENTO!C88</f>
        <v>S</v>
      </c>
      <c r="B88">
        <f ca="1">ORÇAMENTO!D88</f>
        <v>0</v>
      </c>
      <c r="C88" s="143" t="str">
        <f t="shared" ca="1" si="33"/>
        <v/>
      </c>
      <c r="D88" s="146" t="str">
        <f ca="1">ORÇAMENTO!O88</f>
        <v>-</v>
      </c>
      <c r="E88" s="206" t="str">
        <f t="shared" si="32"/>
        <v>Caixa Equipotencialização 40 x 40 x 10 cm c/ Barramento</v>
      </c>
      <c r="F88" s="207" t="str">
        <f ca="1">IF(RegimeExecucao="Global","",ORÇAMENTO.Unidade)</f>
        <v/>
      </c>
      <c r="G88" s="151" t="str">
        <f ca="1">IF(RegimeExecucao="Global","",ORÇAMENTO!T88)</f>
        <v/>
      </c>
      <c r="H88" s="151" t="str">
        <f ca="1">IF(RegimeExecucao="Global","",ORÇAMENTO!W88)</f>
        <v/>
      </c>
      <c r="I88" s="154">
        <f ca="1">ORÇAMENTO!X88</f>
        <v>0</v>
      </c>
      <c r="J88" s="427">
        <f ca="1">IF($A88="S",IF(CAIXA.Modo,BM.AFAnterior,BM.MEDAnterior),IF(AND(RegimeExecucao="Global",$I88&gt;0,COUNTIF($AB$13:$AM$13,BM.medicao-1)&gt;0),M88/$I88*100,0))</f>
        <v>0</v>
      </c>
      <c r="K88" s="151">
        <f t="shared" ca="1" si="34"/>
        <v>0</v>
      </c>
      <c r="L88" s="428">
        <f ca="1">IF($A88="S",IF(CAIXA.Modo,BM.AFAcumulado,BM.MEDAcumulado),IF(AND(RegimeExecucao="Global",$I88&gt;0,COUNTIF($AB$13:$AM$13,BM.medicao)&gt;0),O88/$I88*100,0))</f>
        <v>0</v>
      </c>
      <c r="M88" s="429">
        <f ca="1">IF($A88="S",VTOTALBM,IF($A88=0,0,ROUND(SomaAgrupBM,15-13*ORÇAMENTO!$AF$11)))</f>
        <v>0</v>
      </c>
      <c r="N88" s="430">
        <f t="shared" ca="1" si="35"/>
        <v>0</v>
      </c>
      <c r="O88" s="154">
        <f ca="1">IF($A88="S",VTOTALBM,IF($A88=0,0,ROUND(SomaAgrupBM,15-13*ORÇAMENTO!$AF$11)))</f>
        <v>0</v>
      </c>
      <c r="Q88" s="431"/>
      <c r="R88" s="432"/>
      <c r="T88" s="146" t="str">
        <f t="shared" ca="1" si="36"/>
        <v/>
      </c>
      <c r="U88" s="206" t="str">
        <f t="shared" ca="1" si="37"/>
        <v/>
      </c>
      <c r="V88" s="207" t="str">
        <f ca="1">IF(AND($W88&gt;0,RegimeExecucao="Unitário"),$F88,"")</f>
        <v/>
      </c>
      <c r="W88" s="633">
        <f ca="1">IF($Y88&gt;0,CHOOSE(MATCH(RegimeExecucao,{"Unitário","Global"},0),IF($A88="S",$Y88/$X88,""),($Y88/$X88)*100),0)</f>
        <v>0</v>
      </c>
      <c r="X88" s="433" t="str">
        <f ca="1">IF($Y88&gt;0,CHOOSE(MATCH(RegimeExecucao,{"Unitário","Global"},0),IF($A88="S",ROUND($H88,ORÇAMENTO!$AF$10),""),ROUND($I88,ORÇAMENTO!$AF$11)),"")</f>
        <v/>
      </c>
      <c r="Y88" s="433">
        <f t="shared" ca="1" si="38"/>
        <v>0</v>
      </c>
      <c r="Z88" s="660"/>
      <c r="AB88" s="431"/>
      <c r="AC88" s="598"/>
      <c r="AD88" s="598"/>
      <c r="AE88" s="598"/>
      <c r="AF88" s="598"/>
      <c r="AG88" s="598"/>
      <c r="AH88" s="598"/>
      <c r="AI88" s="598"/>
      <c r="AJ88" s="598"/>
      <c r="AK88" s="598"/>
      <c r="AL88" s="598"/>
      <c r="AM88" s="432"/>
      <c r="AO88">
        <f ca="1">IF($A88="S",IF(BM!$I88=0,0,CHOOSE(MATCH(RegimeExecucao,{"Global","Unitário"},0),ROUND(ROUND(BM.MEDAcumulado,15-13*BM!$A$9)/100*BM!$I88,15-13*ORÇAMENTO!$AF$11),ROUND(ROUND(BM.MEDAcumulado,15-13*BM!$A$9)*ROUND(BM!$H88,15-13*ORÇAMENTO!$AF$10),15-13*ORÇAMENTO!$AF$11))),IF($A88=0,0,ROUND(SomaAgrupBM,15-13*ORÇAMENTO!$AF$11)))</f>
        <v>0</v>
      </c>
    </row>
    <row r="89" spans="1:41" ht="25.5" x14ac:dyDescent="0.2">
      <c r="A89" t="str">
        <f ca="1">ORÇAMENTO!C89</f>
        <v>S</v>
      </c>
      <c r="B89">
        <f ca="1">ORÇAMENTO!D89</f>
        <v>0</v>
      </c>
      <c r="C89" s="143" t="str">
        <f ca="1">IF(OR($I89&gt;0,$A89=1,$A89=2,$A89=3,$A89=4),"F","")</f>
        <v/>
      </c>
      <c r="D89" s="146" t="str">
        <f ca="1">ORÇAMENTO!O89</f>
        <v>-</v>
      </c>
      <c r="E89" s="206" t="str">
        <f>ORÇAMENTO.Descricao</f>
        <v xml:space="preserve">TERMINAL METALICO A PRESSAO PARA 1 CABO DE 300 MM2, COM 1 FURO DE FIXACAO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F89" s="207" t="str">
        <f ca="1">IF(RegimeExecucao="Global","",ORÇAMENTO.Unidade)</f>
        <v/>
      </c>
      <c r="G89" s="151" t="str">
        <f ca="1">IF(RegimeExecucao="Global","",ORÇAMENTO!T89)</f>
        <v/>
      </c>
      <c r="H89" s="151" t="str">
        <f ca="1">IF(RegimeExecucao="Global","",ORÇAMENTO!W89)</f>
        <v/>
      </c>
      <c r="I89" s="154">
        <f ca="1">ORÇAMENTO!X89</f>
        <v>0</v>
      </c>
      <c r="J89" s="427">
        <f ca="1">IF($A89="S",IF(CAIXA.Modo,BM.AFAnterior,BM.MEDAnterior),IF(AND(RegimeExecucao="Global",$I89&gt;0,COUNTIF($AB$13:$AM$13,BM.medicao-1)&gt;0),M89/$I89*100,0))</f>
        <v>0</v>
      </c>
      <c r="K89" s="151">
        <f t="shared" ca="1" si="34"/>
        <v>0</v>
      </c>
      <c r="L89" s="428">
        <f ca="1">IF($A89="S",IF(CAIXA.Modo,BM.AFAcumulado,BM.MEDAcumulado),IF(AND(RegimeExecucao="Global",$I89&gt;0,COUNTIF($AB$13:$AM$13,BM.medicao)&gt;0),O89/$I89*100,0))</f>
        <v>0</v>
      </c>
      <c r="M89" s="429">
        <f ca="1">IF($A89="S",VTOTALBM,IF($A89=0,0,ROUND(SomaAgrupBM,15-13*ORÇAMENTO!$AF$11)))</f>
        <v>0</v>
      </c>
      <c r="N89" s="430">
        <f t="shared" ca="1" si="35"/>
        <v>0</v>
      </c>
      <c r="O89" s="154">
        <f ca="1">IF($A89="S",VTOTALBM,IF($A89=0,0,ROUND(SomaAgrupBM,15-13*ORÇAMENTO!$AF$11)))</f>
        <v>0</v>
      </c>
      <c r="Q89" s="431"/>
      <c r="R89" s="432"/>
      <c r="T89" s="146" t="str">
        <f ca="1">IF($W89&gt;0,$D89,"")</f>
        <v/>
      </c>
      <c r="U89" s="206" t="str">
        <f ca="1">IF($W89&gt;0,$E89,"")</f>
        <v/>
      </c>
      <c r="V89" s="207" t="str">
        <f ca="1">IF(AND($W89&gt;0,RegimeExecucao="Unitário"),$F89,"")</f>
        <v/>
      </c>
      <c r="W89" s="633">
        <f ca="1">IF($Y89&gt;0,CHOOSE(MATCH(RegimeExecucao,{"Unitário","Global"},0),IF($A89="S",$Y89/$X89,""),($Y89/$X89)*100),0)</f>
        <v>0</v>
      </c>
      <c r="X89" s="433" t="str">
        <f ca="1">IF($Y89&gt;0,CHOOSE(MATCH(RegimeExecucao,{"Unitário","Global"},0),IF($A89="S",ROUND($H89,ORÇAMENTO!$AF$10),""),ROUND($I89,ORÇAMENTO!$AF$11)),"")</f>
        <v/>
      </c>
      <c r="Y89" s="433">
        <f ca="1">AO89-O89</f>
        <v>0</v>
      </c>
      <c r="Z89" s="660"/>
      <c r="AB89" s="431"/>
      <c r="AC89" s="598"/>
      <c r="AD89" s="598"/>
      <c r="AE89" s="598"/>
      <c r="AF89" s="598"/>
      <c r="AG89" s="598"/>
      <c r="AH89" s="598"/>
      <c r="AI89" s="598"/>
      <c r="AJ89" s="598"/>
      <c r="AK89" s="598"/>
      <c r="AL89" s="598"/>
      <c r="AM89" s="432"/>
      <c r="AO89">
        <f ca="1">IF($A89="S",IF(BM!$I89=0,0,CHOOSE(MATCH(RegimeExecucao,{"Global","Unitário"},0),ROUND(ROUND(BM.MEDAcumulado,15-13*BM!$A$9)/100*BM!$I89,15-13*ORÇAMENTO!$AF$11),ROUND(ROUND(BM.MEDAcumulado,15-13*BM!$A$9)*ROUND(BM!$H89,15-13*ORÇAMENTO!$AF$10),15-13*ORÇAMENTO!$AF$11))),IF($A89=0,0,ROUND(SomaAgrupBM,15-13*ORÇAMENTO!$AF$11)))</f>
        <v>0</v>
      </c>
    </row>
    <row r="90" spans="1:41" x14ac:dyDescent="0.2">
      <c r="A90" t="str">
        <f ca="1">ORÇAMENTO!C90</f>
        <v>S</v>
      </c>
      <c r="B90">
        <f ca="1">ORÇAMENTO!D90</f>
        <v>0</v>
      </c>
      <c r="C90" s="143" t="str">
        <f t="shared" ca="1" si="33"/>
        <v/>
      </c>
      <c r="D90" s="146" t="str">
        <f ca="1">ORÇAMENTO!O90</f>
        <v>-</v>
      </c>
      <c r="E90" s="206" t="str">
        <f t="shared" si="32"/>
        <v xml:space="preserve">CABO DE COBRE NU 35 MM2 MEIO-DURO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F90" s="207" t="str">
        <f ca="1">IF(RegimeExecucao="Global","",ORÇAMENTO.Unidade)</f>
        <v/>
      </c>
      <c r="G90" s="151" t="str">
        <f ca="1">IF(RegimeExecucao="Global","",ORÇAMENTO!T90)</f>
        <v/>
      </c>
      <c r="H90" s="151" t="str">
        <f ca="1">IF(RegimeExecucao="Global","",ORÇAMENTO!W90)</f>
        <v/>
      </c>
      <c r="I90" s="154">
        <f ca="1">ORÇAMENTO!X90</f>
        <v>0</v>
      </c>
      <c r="J90" s="427">
        <f ca="1">IF($A90="S",IF(CAIXA.Modo,BM.AFAnterior,BM.MEDAnterior),IF(AND(RegimeExecucao="Global",$I90&gt;0,COUNTIF($AB$13:$AM$13,BM.medicao-1)&gt;0),M90/$I90*100,0))</f>
        <v>0</v>
      </c>
      <c r="K90" s="151">
        <f t="shared" ca="1" si="34"/>
        <v>0</v>
      </c>
      <c r="L90" s="428">
        <f ca="1">IF($A90="S",IF(CAIXA.Modo,BM.AFAcumulado,BM.MEDAcumulado),IF(AND(RegimeExecucao="Global",$I90&gt;0,COUNTIF($AB$13:$AM$13,BM.medicao)&gt;0),O90/$I90*100,0))</f>
        <v>0</v>
      </c>
      <c r="M90" s="429">
        <f ca="1">IF($A90="S",VTOTALBM,IF($A90=0,0,ROUND(SomaAgrupBM,15-13*ORÇAMENTO!$AF$11)))</f>
        <v>0</v>
      </c>
      <c r="N90" s="430">
        <f t="shared" ca="1" si="35"/>
        <v>0</v>
      </c>
      <c r="O90" s="154">
        <f ca="1">IF($A90="S",VTOTALBM,IF($A90=0,0,ROUND(SomaAgrupBM,15-13*ORÇAMENTO!$AF$11)))</f>
        <v>0</v>
      </c>
      <c r="Q90" s="431"/>
      <c r="R90" s="432"/>
      <c r="T90" s="146" t="str">
        <f t="shared" ca="1" si="36"/>
        <v/>
      </c>
      <c r="U90" s="206" t="str">
        <f t="shared" ca="1" si="37"/>
        <v/>
      </c>
      <c r="V90" s="207" t="str">
        <f ca="1">IF(AND($W90&gt;0,RegimeExecucao="Unitário"),$F90,"")</f>
        <v/>
      </c>
      <c r="W90" s="633">
        <f ca="1">IF($Y90&gt;0,CHOOSE(MATCH(RegimeExecucao,{"Unitário","Global"},0),IF($A90="S",$Y90/$X90,""),($Y90/$X90)*100),0)</f>
        <v>0</v>
      </c>
      <c r="X90" s="433" t="str">
        <f ca="1">IF($Y90&gt;0,CHOOSE(MATCH(RegimeExecucao,{"Unitário","Global"},0),IF($A90="S",ROUND($H90,ORÇAMENTO!$AF$10),""),ROUND($I90,ORÇAMENTO!$AF$11)),"")</f>
        <v/>
      </c>
      <c r="Y90" s="433">
        <f t="shared" ca="1" si="38"/>
        <v>0</v>
      </c>
      <c r="Z90" s="660"/>
      <c r="AB90" s="431"/>
      <c r="AC90" s="598"/>
      <c r="AD90" s="598"/>
      <c r="AE90" s="598"/>
      <c r="AF90" s="598"/>
      <c r="AG90" s="598"/>
      <c r="AH90" s="598"/>
      <c r="AI90" s="598"/>
      <c r="AJ90" s="598"/>
      <c r="AK90" s="598"/>
      <c r="AL90" s="598"/>
      <c r="AM90" s="432"/>
      <c r="AO90">
        <f ca="1">IF($A90="S",IF(BM!$I90=0,0,CHOOSE(MATCH(RegimeExecucao,{"Global","Unitário"},0),ROUND(ROUND(BM.MEDAcumulado,15-13*BM!$A$9)/100*BM!$I90,15-13*ORÇAMENTO!$AF$11),ROUND(ROUND(BM.MEDAcumulado,15-13*BM!$A$9)*ROUND(BM!$H90,15-13*ORÇAMENTO!$AF$10),15-13*ORÇAMENTO!$AF$11))),IF($A90=0,0,ROUND(SomaAgrupBM,15-13*ORÇAMENTO!$AF$11)))</f>
        <v>0</v>
      </c>
    </row>
    <row r="91" spans="1:41" ht="25.5" x14ac:dyDescent="0.2">
      <c r="A91" t="str">
        <f ca="1">ORÇAMENTO!C91</f>
        <v>S</v>
      </c>
      <c r="B91">
        <f ca="1">ORÇAMENTO!D91</f>
        <v>0</v>
      </c>
      <c r="C91" s="143" t="str">
        <f t="shared" ca="1" si="33"/>
        <v/>
      </c>
      <c r="D91" s="146" t="str">
        <f ca="1">ORÇAMENTO!O91</f>
        <v>-</v>
      </c>
      <c r="E91" s="206" t="str">
        <f t="shared" si="32"/>
        <v xml:space="preserve">CAIXA DE ATERRAMENTO EM CONCRETO PRE-MOLDADO, DIAMETRO DE 0,30 M E ALTURA DE 0,35 M, SEM FUNDO E COM TAMPA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F91" s="207" t="str">
        <f ca="1">IF(RegimeExecucao="Global","",ORÇAMENTO.Unidade)</f>
        <v/>
      </c>
      <c r="G91" s="151" t="str">
        <f ca="1">IF(RegimeExecucao="Global","",ORÇAMENTO!T91)</f>
        <v/>
      </c>
      <c r="H91" s="151" t="str">
        <f ca="1">IF(RegimeExecucao="Global","",ORÇAMENTO!W91)</f>
        <v/>
      </c>
      <c r="I91" s="154">
        <f ca="1">ORÇAMENTO!X91</f>
        <v>0</v>
      </c>
      <c r="J91" s="427">
        <f ca="1">IF($A91="S",IF(CAIXA.Modo,BM.AFAnterior,BM.MEDAnterior),IF(AND(RegimeExecucao="Global",$I91&gt;0,COUNTIF($AB$13:$AM$13,BM.medicao-1)&gt;0),M91/$I91*100,0))</f>
        <v>0</v>
      </c>
      <c r="K91" s="151">
        <f t="shared" ca="1" si="34"/>
        <v>0</v>
      </c>
      <c r="L91" s="428">
        <f ca="1">IF($A91="S",IF(CAIXA.Modo,BM.AFAcumulado,BM.MEDAcumulado),IF(AND(RegimeExecucao="Global",$I91&gt;0,COUNTIF($AB$13:$AM$13,BM.medicao)&gt;0),O91/$I91*100,0))</f>
        <v>0</v>
      </c>
      <c r="M91" s="429">
        <f ca="1">IF($A91="S",VTOTALBM,IF($A91=0,0,ROUND(SomaAgrupBM,15-13*ORÇAMENTO!$AF$11)))</f>
        <v>0</v>
      </c>
      <c r="N91" s="430">
        <f t="shared" ca="1" si="35"/>
        <v>0</v>
      </c>
      <c r="O91" s="154">
        <f ca="1">IF($A91="S",VTOTALBM,IF($A91=0,0,ROUND(SomaAgrupBM,15-13*ORÇAMENTO!$AF$11)))</f>
        <v>0</v>
      </c>
      <c r="Q91" s="431"/>
      <c r="R91" s="432"/>
      <c r="T91" s="146" t="str">
        <f t="shared" ca="1" si="36"/>
        <v/>
      </c>
      <c r="U91" s="206" t="str">
        <f t="shared" ca="1" si="37"/>
        <v/>
      </c>
      <c r="V91" s="207" t="str">
        <f ca="1">IF(AND($W91&gt;0,RegimeExecucao="Unitário"),$F91,"")</f>
        <v/>
      </c>
      <c r="W91" s="633">
        <f ca="1">IF($Y91&gt;0,CHOOSE(MATCH(RegimeExecucao,{"Unitário","Global"},0),IF($A91="S",$Y91/$X91,""),($Y91/$X91)*100),0)</f>
        <v>0</v>
      </c>
      <c r="X91" s="433" t="str">
        <f ca="1">IF($Y91&gt;0,CHOOSE(MATCH(RegimeExecucao,{"Unitário","Global"},0),IF($A91="S",ROUND($H91,ORÇAMENTO!$AF$10),""),ROUND($I91,ORÇAMENTO!$AF$11)),"")</f>
        <v/>
      </c>
      <c r="Y91" s="433">
        <f t="shared" ca="1" si="38"/>
        <v>0</v>
      </c>
      <c r="Z91" s="660"/>
      <c r="AB91" s="431"/>
      <c r="AC91" s="598"/>
      <c r="AD91" s="598"/>
      <c r="AE91" s="598"/>
      <c r="AF91" s="598"/>
      <c r="AG91" s="598"/>
      <c r="AH91" s="598"/>
      <c r="AI91" s="598"/>
      <c r="AJ91" s="598"/>
      <c r="AK91" s="598"/>
      <c r="AL91" s="598"/>
      <c r="AM91" s="432"/>
      <c r="AO91">
        <f ca="1">IF($A91="S",IF(BM!$I91=0,0,CHOOSE(MATCH(RegimeExecucao,{"Global","Unitário"},0),ROUND(ROUND(BM.MEDAcumulado,15-13*BM!$A$9)/100*BM!$I91,15-13*ORÇAMENTO!$AF$11),ROUND(ROUND(BM.MEDAcumulado,15-13*BM!$A$9)*ROUND(BM!$H91,15-13*ORÇAMENTO!$AF$10),15-13*ORÇAMENTO!$AF$11))),IF($A91=0,0,ROUND(SomaAgrupBM,15-13*ORÇAMENTO!$AF$11)))</f>
        <v>0</v>
      </c>
    </row>
    <row r="92" spans="1:41" ht="38.25" x14ac:dyDescent="0.2">
      <c r="A92" t="str">
        <f ca="1">ORÇAMENTO!C92</f>
        <v>S</v>
      </c>
      <c r="B92">
        <f ca="1">ORÇAMENTO!D92</f>
        <v>0</v>
      </c>
      <c r="C92" s="143" t="str">
        <f t="shared" ca="1" si="33"/>
        <v/>
      </c>
      <c r="D92" s="146" t="str">
        <f ca="1">ORÇAMENTO!O92</f>
        <v>-</v>
      </c>
      <c r="E92" s="206" t="str">
        <f t="shared" si="32"/>
        <v>CONECTOR GRAMPO METÁLICO TIPO OLHAL, PARA SPDA, PARA HASTE DE ATERRAMENTO DE 5/8'' E CABOS DE 10 A 50 MM2 - FORNECIMENTO E INSTALAÇÃO. AF_08/2023</v>
      </c>
      <c r="F92" s="207" t="str">
        <f ca="1">IF(RegimeExecucao="Global","",ORÇAMENTO.Unidade)</f>
        <v/>
      </c>
      <c r="G92" s="151" t="str">
        <f ca="1">IF(RegimeExecucao="Global","",ORÇAMENTO!T92)</f>
        <v/>
      </c>
      <c r="H92" s="151" t="str">
        <f ca="1">IF(RegimeExecucao="Global","",ORÇAMENTO!W92)</f>
        <v/>
      </c>
      <c r="I92" s="154">
        <f ca="1">ORÇAMENTO!X92</f>
        <v>0</v>
      </c>
      <c r="J92" s="427">
        <f ca="1">IF($A92="S",IF(CAIXA.Modo,BM.AFAnterior,BM.MEDAnterior),IF(AND(RegimeExecucao="Global",$I92&gt;0,COUNTIF($AB$13:$AM$13,BM.medicao-1)&gt;0),M92/$I92*100,0))</f>
        <v>0</v>
      </c>
      <c r="K92" s="151">
        <f t="shared" ca="1" si="34"/>
        <v>0</v>
      </c>
      <c r="L92" s="428">
        <f ca="1">IF($A92="S",IF(CAIXA.Modo,BM.AFAcumulado,BM.MEDAcumulado),IF(AND(RegimeExecucao="Global",$I92&gt;0,COUNTIF($AB$13:$AM$13,BM.medicao)&gt;0),O92/$I92*100,0))</f>
        <v>0</v>
      </c>
      <c r="M92" s="429">
        <f ca="1">IF($A92="S",VTOTALBM,IF($A92=0,0,ROUND(SomaAgrupBM,15-13*ORÇAMENTO!$AF$11)))</f>
        <v>0</v>
      </c>
      <c r="N92" s="430">
        <f t="shared" ca="1" si="35"/>
        <v>0</v>
      </c>
      <c r="O92" s="154">
        <f ca="1">IF($A92="S",VTOTALBM,IF($A92=0,0,ROUND(SomaAgrupBM,15-13*ORÇAMENTO!$AF$11)))</f>
        <v>0</v>
      </c>
      <c r="Q92" s="431"/>
      <c r="R92" s="432"/>
      <c r="T92" s="146" t="str">
        <f t="shared" ca="1" si="36"/>
        <v/>
      </c>
      <c r="U92" s="206" t="str">
        <f t="shared" ca="1" si="37"/>
        <v/>
      </c>
      <c r="V92" s="207" t="str">
        <f ca="1">IF(AND($W92&gt;0,RegimeExecucao="Unitário"),$F92,"")</f>
        <v/>
      </c>
      <c r="W92" s="633">
        <f ca="1">IF($Y92&gt;0,CHOOSE(MATCH(RegimeExecucao,{"Unitário","Global"},0),IF($A92="S",$Y92/$X92,""),($Y92/$X92)*100),0)</f>
        <v>0</v>
      </c>
      <c r="X92" s="433" t="str">
        <f ca="1">IF($Y92&gt;0,CHOOSE(MATCH(RegimeExecucao,{"Unitário","Global"},0),IF($A92="S",ROUND($H92,ORÇAMENTO!$AF$10),""),ROUND($I92,ORÇAMENTO!$AF$11)),"")</f>
        <v/>
      </c>
      <c r="Y92" s="433">
        <f t="shared" ca="1" si="38"/>
        <v>0</v>
      </c>
      <c r="Z92" s="660"/>
      <c r="AB92" s="431"/>
      <c r="AC92" s="598"/>
      <c r="AD92" s="598"/>
      <c r="AE92" s="598"/>
      <c r="AF92" s="598"/>
      <c r="AG92" s="598"/>
      <c r="AH92" s="598"/>
      <c r="AI92" s="598"/>
      <c r="AJ92" s="598"/>
      <c r="AK92" s="598"/>
      <c r="AL92" s="598"/>
      <c r="AM92" s="432"/>
      <c r="AO92">
        <f ca="1">IF($A92="S",IF(BM!$I92=0,0,CHOOSE(MATCH(RegimeExecucao,{"Global","Unitário"},0),ROUND(ROUND(BM.MEDAcumulado,15-13*BM!$A$9)/100*BM!$I92,15-13*ORÇAMENTO!$AF$11),ROUND(ROUND(BM.MEDAcumulado,15-13*BM!$A$9)*ROUND(BM!$H92,15-13*ORÇAMENTO!$AF$10),15-13*ORÇAMENTO!$AF$11))),IF($A92=0,0,ROUND(SomaAgrupBM,15-13*ORÇAMENTO!$AF$11)))</f>
        <v>0</v>
      </c>
    </row>
    <row r="93" spans="1:41" ht="25.5" x14ac:dyDescent="0.2">
      <c r="A93" t="str">
        <f ca="1">ORÇAMENTO!C93</f>
        <v>S</v>
      </c>
      <c r="B93">
        <f ca="1">ORÇAMENTO!D93</f>
        <v>0</v>
      </c>
      <c r="C93" s="143" t="str">
        <f t="shared" ca="1" si="33"/>
        <v/>
      </c>
      <c r="D93" s="146" t="str">
        <f ca="1">ORÇAMENTO!O93</f>
        <v>-</v>
      </c>
      <c r="E93" s="206" t="str">
        <f t="shared" si="32"/>
        <v>HASTE DE ATERRAMENTO, DIÂMETRO 5/8", COM 3 METROS - FORNECIMENTO E INSTALAÇÃO. AF_08/2023</v>
      </c>
      <c r="F93" s="207" t="str">
        <f ca="1">IF(RegimeExecucao="Global","",ORÇAMENTO.Unidade)</f>
        <v/>
      </c>
      <c r="G93" s="151" t="str">
        <f ca="1">IF(RegimeExecucao="Global","",ORÇAMENTO!T93)</f>
        <v/>
      </c>
      <c r="H93" s="151" t="str">
        <f ca="1">IF(RegimeExecucao="Global","",ORÇAMENTO!W93)</f>
        <v/>
      </c>
      <c r="I93" s="154">
        <f ca="1">ORÇAMENTO!X93</f>
        <v>0</v>
      </c>
      <c r="J93" s="427">
        <f ca="1">IF($A93="S",IF(CAIXA.Modo,BM.AFAnterior,BM.MEDAnterior),IF(AND(RegimeExecucao="Global",$I93&gt;0,COUNTIF($AB$13:$AM$13,BM.medicao-1)&gt;0),M93/$I93*100,0))</f>
        <v>0</v>
      </c>
      <c r="K93" s="151">
        <f t="shared" ca="1" si="34"/>
        <v>0</v>
      </c>
      <c r="L93" s="428">
        <f ca="1">IF($A93="S",IF(CAIXA.Modo,BM.AFAcumulado,BM.MEDAcumulado),IF(AND(RegimeExecucao="Global",$I93&gt;0,COUNTIF($AB$13:$AM$13,BM.medicao)&gt;0),O93/$I93*100,0))</f>
        <v>0</v>
      </c>
      <c r="M93" s="429">
        <f ca="1">IF($A93="S",VTOTALBM,IF($A93=0,0,ROUND(SomaAgrupBM,15-13*ORÇAMENTO!$AF$11)))</f>
        <v>0</v>
      </c>
      <c r="N93" s="430">
        <f t="shared" ca="1" si="35"/>
        <v>0</v>
      </c>
      <c r="O93" s="154">
        <f ca="1">IF($A93="S",VTOTALBM,IF($A93=0,0,ROUND(SomaAgrupBM,15-13*ORÇAMENTO!$AF$11)))</f>
        <v>0</v>
      </c>
      <c r="Q93" s="431"/>
      <c r="R93" s="432"/>
      <c r="T93" s="146" t="str">
        <f t="shared" ca="1" si="36"/>
        <v/>
      </c>
      <c r="U93" s="206" t="str">
        <f t="shared" ca="1" si="37"/>
        <v/>
      </c>
      <c r="V93" s="207" t="str">
        <f ca="1">IF(AND($W93&gt;0,RegimeExecucao="Unitário"),$F93,"")</f>
        <v/>
      </c>
      <c r="W93" s="633">
        <f ca="1">IF($Y93&gt;0,CHOOSE(MATCH(RegimeExecucao,{"Unitário","Global"},0),IF($A93="S",$Y93/$X93,""),($Y93/$X93)*100),0)</f>
        <v>0</v>
      </c>
      <c r="X93" s="433" t="str">
        <f ca="1">IF($Y93&gt;0,CHOOSE(MATCH(RegimeExecucao,{"Unitário","Global"},0),IF($A93="S",ROUND($H93,ORÇAMENTO!$AF$10),""),ROUND($I93,ORÇAMENTO!$AF$11)),"")</f>
        <v/>
      </c>
      <c r="Y93" s="433">
        <f t="shared" ca="1" si="38"/>
        <v>0</v>
      </c>
      <c r="Z93" s="660"/>
      <c r="AB93" s="431"/>
      <c r="AC93" s="598"/>
      <c r="AD93" s="598"/>
      <c r="AE93" s="598"/>
      <c r="AF93" s="598"/>
      <c r="AG93" s="598"/>
      <c r="AH93" s="598"/>
      <c r="AI93" s="598"/>
      <c r="AJ93" s="598"/>
      <c r="AK93" s="598"/>
      <c r="AL93" s="598"/>
      <c r="AM93" s="432"/>
      <c r="AO93">
        <f ca="1">IF($A93="S",IF(BM!$I93=0,0,CHOOSE(MATCH(RegimeExecucao,{"Global","Unitário"},0),ROUND(ROUND(BM.MEDAcumulado,15-13*BM!$A$9)/100*BM!$I93,15-13*ORÇAMENTO!$AF$11),ROUND(ROUND(BM.MEDAcumulado,15-13*BM!$A$9)*ROUND(BM!$H93,15-13*ORÇAMENTO!$AF$10),15-13*ORÇAMENTO!$AF$11))),IF($A93=0,0,ROUND(SomaAgrupBM,15-13*ORÇAMENTO!$AF$11)))</f>
        <v>0</v>
      </c>
    </row>
    <row r="94" spans="1:41" x14ac:dyDescent="0.2">
      <c r="A94">
        <f ca="1">ORÇAMENTO!C94</f>
        <v>2</v>
      </c>
      <c r="B94">
        <f ca="1">ORÇAMENTO!D94</f>
        <v>6</v>
      </c>
      <c r="C94" s="143" t="str">
        <f t="shared" ca="1" si="33"/>
        <v>F</v>
      </c>
      <c r="D94" s="146" t="str">
        <f ca="1">ORÇAMENTO!O94</f>
        <v>1.15.</v>
      </c>
      <c r="E94" s="206" t="str">
        <f t="shared" si="32"/>
        <v xml:space="preserve">ESQUADRIAS </v>
      </c>
      <c r="F94" s="207" t="str">
        <f ca="1">IF(RegimeExecucao="Global","",ORÇAMENTO.Unidade)</f>
        <v/>
      </c>
      <c r="G94" s="151" t="str">
        <f ca="1">IF(RegimeExecucao="Global","",ORÇAMENTO!T94)</f>
        <v/>
      </c>
      <c r="H94" s="151" t="str">
        <f ca="1">IF(RegimeExecucao="Global","",ORÇAMENTO!W94)</f>
        <v/>
      </c>
      <c r="I94" s="154">
        <f ca="1">ORÇAMENTO!X94</f>
        <v>0</v>
      </c>
      <c r="J94" s="427">
        <f ca="1">IF($A94="S",IF(CAIXA.Modo,BM.AFAnterior,BM.MEDAnterior),IF(AND(RegimeExecucao="Global",$I94&gt;0,COUNTIF($AB$13:$AM$13,BM.medicao-1)&gt;0),M94/$I94*100,0))</f>
        <v>0</v>
      </c>
      <c r="K94" s="151">
        <f t="shared" ca="1" si="34"/>
        <v>0</v>
      </c>
      <c r="L94" s="428">
        <f ca="1">IF($A94="S",IF(CAIXA.Modo,BM.AFAcumulado,BM.MEDAcumulado),IF(AND(RegimeExecucao="Global",$I94&gt;0,COUNTIF($AB$13:$AM$13,BM.medicao)&gt;0),O94/$I94*100,0))</f>
        <v>0</v>
      </c>
      <c r="M94" s="429">
        <f ca="1">IF($A94="S",VTOTALBM,IF($A94=0,0,ROUND(SomaAgrupBM,15-13*ORÇAMENTO!$AF$11)))</f>
        <v>0</v>
      </c>
      <c r="N94" s="430">
        <f t="shared" ca="1" si="35"/>
        <v>0</v>
      </c>
      <c r="O94" s="154">
        <f ca="1">IF($A94="S",VTOTALBM,IF($A94=0,0,ROUND(SomaAgrupBM,15-13*ORÇAMENTO!$AF$11)))</f>
        <v>0</v>
      </c>
      <c r="Q94" s="431"/>
      <c r="R94" s="432"/>
      <c r="T94" s="146" t="str">
        <f t="shared" ca="1" si="36"/>
        <v/>
      </c>
      <c r="U94" s="206" t="str">
        <f t="shared" ca="1" si="37"/>
        <v/>
      </c>
      <c r="V94" s="207" t="str">
        <f ca="1">IF(AND($W94&gt;0,RegimeExecucao="Unitário"),$F94,"")</f>
        <v/>
      </c>
      <c r="W94" s="633">
        <f ca="1">IF($Y94&gt;0,CHOOSE(MATCH(RegimeExecucao,{"Unitário","Global"},0),IF($A94="S",$Y94/$X94,""),($Y94/$X94)*100),0)</f>
        <v>0</v>
      </c>
      <c r="X94" s="433" t="str">
        <f ca="1">IF($Y94&gt;0,CHOOSE(MATCH(RegimeExecucao,{"Unitário","Global"},0),IF($A94="S",ROUND($H94,ORÇAMENTO!$AF$10),""),ROUND($I94,ORÇAMENTO!$AF$11)),"")</f>
        <v/>
      </c>
      <c r="Y94" s="433">
        <f t="shared" ca="1" si="38"/>
        <v>0</v>
      </c>
      <c r="Z94" s="660"/>
      <c r="AB94" s="431"/>
      <c r="AC94" s="598"/>
      <c r="AD94" s="598"/>
      <c r="AE94" s="598"/>
      <c r="AF94" s="598"/>
      <c r="AG94" s="598"/>
      <c r="AH94" s="598"/>
      <c r="AI94" s="598"/>
      <c r="AJ94" s="598"/>
      <c r="AK94" s="598"/>
      <c r="AL94" s="598"/>
      <c r="AM94" s="432"/>
      <c r="AO94">
        <f ca="1">IF($A94="S",IF(BM!$I94=0,0,CHOOSE(MATCH(RegimeExecucao,{"Global","Unitário"},0),ROUND(ROUND(BM.MEDAcumulado,15-13*BM!$A$9)/100*BM!$I94,15-13*ORÇAMENTO!$AF$11),ROUND(ROUND(BM.MEDAcumulado,15-13*BM!$A$9)*ROUND(BM!$H94,15-13*ORÇAMENTO!$AF$10),15-13*ORÇAMENTO!$AF$11))),IF($A94=0,0,ROUND(SomaAgrupBM,15-13*ORÇAMENTO!$AF$11)))</f>
        <v>0</v>
      </c>
    </row>
    <row r="95" spans="1:41" ht="38.25" x14ac:dyDescent="0.2">
      <c r="A95" t="str">
        <f ca="1">ORÇAMENTO!C95</f>
        <v>S</v>
      </c>
      <c r="B95">
        <f ca="1">ORÇAMENTO!D95</f>
        <v>0</v>
      </c>
      <c r="C95" s="143" t="str">
        <f t="shared" ca="1" si="33"/>
        <v/>
      </c>
      <c r="D95" s="146" t="str">
        <f ca="1">ORÇAMENTO!O95</f>
        <v>-</v>
      </c>
      <c r="E95" s="206" t="str">
        <f t="shared" si="32"/>
        <v>JANELA DE ALUMÍNIO TIPO MAXIM-AR, COM VIDROS, BATENTE E FERRAGENS. EXCLUSIVE ALIZAR, ACABAMENTO E CONTRAMARCO. FORNECIMENTO E INSTALAÇÃO. AF_12/2019</v>
      </c>
      <c r="F95" s="207" t="str">
        <f ca="1">IF(RegimeExecucao="Global","",ORÇAMENTO.Unidade)</f>
        <v/>
      </c>
      <c r="G95" s="151" t="str">
        <f ca="1">IF(RegimeExecucao="Global","",ORÇAMENTO!T95)</f>
        <v/>
      </c>
      <c r="H95" s="151" t="str">
        <f ca="1">IF(RegimeExecucao="Global","",ORÇAMENTO!W95)</f>
        <v/>
      </c>
      <c r="I95" s="154">
        <f ca="1">ORÇAMENTO!X95</f>
        <v>0</v>
      </c>
      <c r="J95" s="427">
        <f ca="1">IF($A95="S",IF(CAIXA.Modo,BM.AFAnterior,BM.MEDAnterior),IF(AND(RegimeExecucao="Global",$I95&gt;0,COUNTIF($AB$13:$AM$13,BM.medicao-1)&gt;0),M95/$I95*100,0))</f>
        <v>0</v>
      </c>
      <c r="K95" s="151">
        <f t="shared" ca="1" si="34"/>
        <v>0</v>
      </c>
      <c r="L95" s="428">
        <f ca="1">IF($A95="S",IF(CAIXA.Modo,BM.AFAcumulado,BM.MEDAcumulado),IF(AND(RegimeExecucao="Global",$I95&gt;0,COUNTIF($AB$13:$AM$13,BM.medicao)&gt;0),O95/$I95*100,0))</f>
        <v>0</v>
      </c>
      <c r="M95" s="429">
        <f ca="1">IF($A95="S",VTOTALBM,IF($A95=0,0,ROUND(SomaAgrupBM,15-13*ORÇAMENTO!$AF$11)))</f>
        <v>0</v>
      </c>
      <c r="N95" s="430">
        <f t="shared" ca="1" si="35"/>
        <v>0</v>
      </c>
      <c r="O95" s="154">
        <f ca="1">IF($A95="S",VTOTALBM,IF($A95=0,0,ROUND(SomaAgrupBM,15-13*ORÇAMENTO!$AF$11)))</f>
        <v>0</v>
      </c>
      <c r="Q95" s="431"/>
      <c r="R95" s="432"/>
      <c r="T95" s="146" t="str">
        <f t="shared" ca="1" si="36"/>
        <v/>
      </c>
      <c r="U95" s="206" t="str">
        <f t="shared" ca="1" si="37"/>
        <v/>
      </c>
      <c r="V95" s="207" t="str">
        <f ca="1">IF(AND($W95&gt;0,RegimeExecucao="Unitário"),$F95,"")</f>
        <v/>
      </c>
      <c r="W95" s="633">
        <f ca="1">IF($Y95&gt;0,CHOOSE(MATCH(RegimeExecucao,{"Unitário","Global"},0),IF($A95="S",$Y95/$X95,""),($Y95/$X95)*100),0)</f>
        <v>0</v>
      </c>
      <c r="X95" s="433" t="str">
        <f ca="1">IF($Y95&gt;0,CHOOSE(MATCH(RegimeExecucao,{"Unitário","Global"},0),IF($A95="S",ROUND($H95,ORÇAMENTO!$AF$10),""),ROUND($I95,ORÇAMENTO!$AF$11)),"")</f>
        <v/>
      </c>
      <c r="Y95" s="433">
        <f t="shared" ca="1" si="38"/>
        <v>0</v>
      </c>
      <c r="Z95" s="660"/>
      <c r="AB95" s="431"/>
      <c r="AC95" s="598"/>
      <c r="AD95" s="598"/>
      <c r="AE95" s="598"/>
      <c r="AF95" s="598"/>
      <c r="AG95" s="598"/>
      <c r="AH95" s="598"/>
      <c r="AI95" s="598"/>
      <c r="AJ95" s="598"/>
      <c r="AK95" s="598"/>
      <c r="AL95" s="598"/>
      <c r="AM95" s="432"/>
      <c r="AO95">
        <f ca="1">IF($A95="S",IF(BM!$I95=0,0,CHOOSE(MATCH(RegimeExecucao,{"Global","Unitário"},0),ROUND(ROUND(BM.MEDAcumulado,15-13*BM!$A$9)/100*BM!$I95,15-13*ORÇAMENTO!$AF$11),ROUND(ROUND(BM.MEDAcumulado,15-13*BM!$A$9)*ROUND(BM!$H95,15-13*ORÇAMENTO!$AF$10),15-13*ORÇAMENTO!$AF$11))),IF($A95=0,0,ROUND(SomaAgrupBM,15-13*ORÇAMENTO!$AF$11)))</f>
        <v>0</v>
      </c>
    </row>
    <row r="96" spans="1:41" ht="38.25" x14ac:dyDescent="0.2">
      <c r="A96" t="str">
        <f ca="1">ORÇAMENTO!C96</f>
        <v>S</v>
      </c>
      <c r="B96">
        <f ca="1">ORÇAMENTO!D96</f>
        <v>0</v>
      </c>
      <c r="C96" s="143" t="str">
        <f t="shared" ca="1" si="33"/>
        <v/>
      </c>
      <c r="D96" s="146" t="str">
        <f ca="1">ORÇAMENTO!O96</f>
        <v>-</v>
      </c>
      <c r="E96" s="206" t="str">
        <f t="shared" si="32"/>
        <v>JANELA FIXA DE ALUMÍNIO PARA VIDRO, COM VIDRO, BATENTE E FERRAGENS. EXCLUSIVE ACABAMENTO, ALIZAR E CONTRAMARCO. FORNECIMENTO E INSTALAÇÃO. AF_12/2019</v>
      </c>
      <c r="F96" s="207" t="str">
        <f ca="1">IF(RegimeExecucao="Global","",ORÇAMENTO.Unidade)</f>
        <v/>
      </c>
      <c r="G96" s="151" t="str">
        <f ca="1">IF(RegimeExecucao="Global","",ORÇAMENTO!T96)</f>
        <v/>
      </c>
      <c r="H96" s="151" t="str">
        <f ca="1">IF(RegimeExecucao="Global","",ORÇAMENTO!W96)</f>
        <v/>
      </c>
      <c r="I96" s="154">
        <f ca="1">ORÇAMENTO!X96</f>
        <v>0</v>
      </c>
      <c r="J96" s="427">
        <f ca="1">IF($A96="S",IF(CAIXA.Modo,BM.AFAnterior,BM.MEDAnterior),IF(AND(RegimeExecucao="Global",$I96&gt;0,COUNTIF($AB$13:$AM$13,BM.medicao-1)&gt;0),M96/$I96*100,0))</f>
        <v>0</v>
      </c>
      <c r="K96" s="151">
        <f t="shared" ca="1" si="34"/>
        <v>0</v>
      </c>
      <c r="L96" s="428">
        <f ca="1">IF($A96="S",IF(CAIXA.Modo,BM.AFAcumulado,BM.MEDAcumulado),IF(AND(RegimeExecucao="Global",$I96&gt;0,COUNTIF($AB$13:$AM$13,BM.medicao)&gt;0),O96/$I96*100,0))</f>
        <v>0</v>
      </c>
      <c r="M96" s="429">
        <f ca="1">IF($A96="S",VTOTALBM,IF($A96=0,0,ROUND(SomaAgrupBM,15-13*ORÇAMENTO!$AF$11)))</f>
        <v>0</v>
      </c>
      <c r="N96" s="430">
        <f t="shared" ca="1" si="35"/>
        <v>0</v>
      </c>
      <c r="O96" s="154">
        <f ca="1">IF($A96="S",VTOTALBM,IF($A96=0,0,ROUND(SomaAgrupBM,15-13*ORÇAMENTO!$AF$11)))</f>
        <v>0</v>
      </c>
      <c r="Q96" s="431"/>
      <c r="R96" s="432"/>
      <c r="T96" s="146" t="str">
        <f t="shared" ca="1" si="36"/>
        <v/>
      </c>
      <c r="U96" s="206" t="str">
        <f t="shared" ca="1" si="37"/>
        <v/>
      </c>
      <c r="V96" s="207" t="str">
        <f ca="1">IF(AND($W96&gt;0,RegimeExecucao="Unitário"),$F96,"")</f>
        <v/>
      </c>
      <c r="W96" s="633">
        <f ca="1">IF($Y96&gt;0,CHOOSE(MATCH(RegimeExecucao,{"Unitário","Global"},0),IF($A96="S",$Y96/$X96,""),($Y96/$X96)*100),0)</f>
        <v>0</v>
      </c>
      <c r="X96" s="433" t="str">
        <f ca="1">IF($Y96&gt;0,CHOOSE(MATCH(RegimeExecucao,{"Unitário","Global"},0),IF($A96="S",ROUND($H96,ORÇAMENTO!$AF$10),""),ROUND($I96,ORÇAMENTO!$AF$11)),"")</f>
        <v/>
      </c>
      <c r="Y96" s="433">
        <f t="shared" ca="1" si="38"/>
        <v>0</v>
      </c>
      <c r="Z96" s="660"/>
      <c r="AB96" s="431"/>
      <c r="AC96" s="598"/>
      <c r="AD96" s="598"/>
      <c r="AE96" s="598"/>
      <c r="AF96" s="598"/>
      <c r="AG96" s="598"/>
      <c r="AH96" s="598"/>
      <c r="AI96" s="598"/>
      <c r="AJ96" s="598"/>
      <c r="AK96" s="598"/>
      <c r="AL96" s="598"/>
      <c r="AM96" s="432"/>
      <c r="AO96">
        <f ca="1">IF($A96="S",IF(BM!$I96=0,0,CHOOSE(MATCH(RegimeExecucao,{"Global","Unitário"},0),ROUND(ROUND(BM.MEDAcumulado,15-13*BM!$A$9)/100*BM!$I96,15-13*ORÇAMENTO!$AF$11),ROUND(ROUND(BM.MEDAcumulado,15-13*BM!$A$9)*ROUND(BM!$H96,15-13*ORÇAMENTO!$AF$10),15-13*ORÇAMENTO!$AF$11))),IF($A96=0,0,ROUND(SomaAgrupBM,15-13*ORÇAMENTO!$AF$11)))</f>
        <v>0</v>
      </c>
    </row>
    <row r="97" spans="1:41" ht="38.25" x14ac:dyDescent="0.2">
      <c r="A97" t="str">
        <f ca="1">ORÇAMENTO!C97</f>
        <v>S</v>
      </c>
      <c r="B97">
        <f ca="1">ORÇAMENTO!D97</f>
        <v>0</v>
      </c>
      <c r="C97" s="143" t="str">
        <f t="shared" ca="1" si="33"/>
        <v/>
      </c>
      <c r="D97" s="146" t="str">
        <f ca="1">ORÇAMENTO!O97</f>
        <v>-</v>
      </c>
      <c r="E97" s="206" t="str">
        <f t="shared" si="32"/>
        <v>PORTA DE CORRER DE ALUMÍNIO, COM DUAS FOLHAS PARA VIDRO, INCLUSO VIDRO LISO INCOLOR, FECHADURA E PUXADOR, SEM ALIZAR. AF_12/2019</v>
      </c>
      <c r="F97" s="207" t="str">
        <f ca="1">IF(RegimeExecucao="Global","",ORÇAMENTO.Unidade)</f>
        <v/>
      </c>
      <c r="G97" s="151" t="str">
        <f ca="1">IF(RegimeExecucao="Global","",ORÇAMENTO!T97)</f>
        <v/>
      </c>
      <c r="H97" s="151" t="str">
        <f ca="1">IF(RegimeExecucao="Global","",ORÇAMENTO!W97)</f>
        <v/>
      </c>
      <c r="I97" s="154">
        <f ca="1">ORÇAMENTO!X97</f>
        <v>0</v>
      </c>
      <c r="J97" s="427">
        <f ca="1">IF($A97="S",IF(CAIXA.Modo,BM.AFAnterior,BM.MEDAnterior),IF(AND(RegimeExecucao="Global",$I97&gt;0,COUNTIF($AB$13:$AM$13,BM.medicao-1)&gt;0),M97/$I97*100,0))</f>
        <v>0</v>
      </c>
      <c r="K97" s="151">
        <f t="shared" ca="1" si="34"/>
        <v>0</v>
      </c>
      <c r="L97" s="428">
        <f ca="1">IF($A97="S",IF(CAIXA.Modo,BM.AFAcumulado,BM.MEDAcumulado),IF(AND(RegimeExecucao="Global",$I97&gt;0,COUNTIF($AB$13:$AM$13,BM.medicao)&gt;0),O97/$I97*100,0))</f>
        <v>0</v>
      </c>
      <c r="M97" s="429">
        <f ca="1">IF($A97="S",VTOTALBM,IF($A97=0,0,ROUND(SomaAgrupBM,15-13*ORÇAMENTO!$AF$11)))</f>
        <v>0</v>
      </c>
      <c r="N97" s="430">
        <f t="shared" ca="1" si="35"/>
        <v>0</v>
      </c>
      <c r="O97" s="154">
        <f ca="1">IF($A97="S",VTOTALBM,IF($A97=0,0,ROUND(SomaAgrupBM,15-13*ORÇAMENTO!$AF$11)))</f>
        <v>0</v>
      </c>
      <c r="Q97" s="431"/>
      <c r="R97" s="432"/>
      <c r="T97" s="146" t="str">
        <f t="shared" ca="1" si="36"/>
        <v/>
      </c>
      <c r="U97" s="206" t="str">
        <f t="shared" ca="1" si="37"/>
        <v/>
      </c>
      <c r="V97" s="207" t="str">
        <f ca="1">IF(AND($W97&gt;0,RegimeExecucao="Unitário"),$F97,"")</f>
        <v/>
      </c>
      <c r="W97" s="633">
        <f ca="1">IF($Y97&gt;0,CHOOSE(MATCH(RegimeExecucao,{"Unitário","Global"},0),IF($A97="S",$Y97/$X97,""),($Y97/$X97)*100),0)</f>
        <v>0</v>
      </c>
      <c r="X97" s="433" t="str">
        <f ca="1">IF($Y97&gt;0,CHOOSE(MATCH(RegimeExecucao,{"Unitário","Global"},0),IF($A97="S",ROUND($H97,ORÇAMENTO!$AF$10),""),ROUND($I97,ORÇAMENTO!$AF$11)),"")</f>
        <v/>
      </c>
      <c r="Y97" s="433">
        <f t="shared" ca="1" si="38"/>
        <v>0</v>
      </c>
      <c r="Z97" s="660"/>
      <c r="AB97" s="431"/>
      <c r="AC97" s="598"/>
      <c r="AD97" s="598"/>
      <c r="AE97" s="598"/>
      <c r="AF97" s="598"/>
      <c r="AG97" s="598"/>
      <c r="AH97" s="598"/>
      <c r="AI97" s="598"/>
      <c r="AJ97" s="598"/>
      <c r="AK97" s="598"/>
      <c r="AL97" s="598"/>
      <c r="AM97" s="432"/>
      <c r="AO97">
        <f ca="1">IF($A97="S",IF(BM!$I97=0,0,CHOOSE(MATCH(RegimeExecucao,{"Global","Unitário"},0),ROUND(ROUND(BM.MEDAcumulado,15-13*BM!$A$9)/100*BM!$I97,15-13*ORÇAMENTO!$AF$11),ROUND(ROUND(BM.MEDAcumulado,15-13*BM!$A$9)*ROUND(BM!$H97,15-13*ORÇAMENTO!$AF$10),15-13*ORÇAMENTO!$AF$11))),IF($A97=0,0,ROUND(SomaAgrupBM,15-13*ORÇAMENTO!$AF$11)))</f>
        <v>0</v>
      </c>
    </row>
    <row r="98" spans="1:41" ht="51" x14ac:dyDescent="0.2">
      <c r="A98" t="str">
        <f ca="1">ORÇAMENTO!C98</f>
        <v>S</v>
      </c>
      <c r="B98">
        <f ca="1">ORÇAMENTO!D98</f>
        <v>0</v>
      </c>
      <c r="C98" s="143" t="str">
        <f ca="1">IF(OR($I98&gt;0,$A98=1,$A98=2,$A98=3,$A98=4),"F","")</f>
        <v/>
      </c>
      <c r="D98" s="146" t="str">
        <f ca="1">ORÇAMENTO!O98</f>
        <v>-</v>
      </c>
      <c r="E98" s="206" t="str">
        <f>ORÇAMENTO.Descricao</f>
        <v>KIT DE PORTA DE MADEIRA PARA PINTURA, SEMI-OCA (LEVE OU MÉDIA), PADRÃO MÉDIO, 90X210CM, ESPESSURA DE 3,5CM, ITENS INCLUSOS: DOBRADIÇAS, MONTAGEM E INSTALAÇÃO DO BATENTE, SEM FECHADURA - FORNECIMENTO E INSTALAÇÃO. AF_12/2019</v>
      </c>
      <c r="F98" s="207" t="str">
        <f ca="1">IF(RegimeExecucao="Global","",ORÇAMENTO.Unidade)</f>
        <v/>
      </c>
      <c r="G98" s="151" t="str">
        <f ca="1">IF(RegimeExecucao="Global","",ORÇAMENTO!T98)</f>
        <v/>
      </c>
      <c r="H98" s="151" t="str">
        <f ca="1">IF(RegimeExecucao="Global","",ORÇAMENTO!W98)</f>
        <v/>
      </c>
      <c r="I98" s="154">
        <f ca="1">ORÇAMENTO!X98</f>
        <v>0</v>
      </c>
      <c r="J98" s="427">
        <f ca="1">IF($A98="S",IF(CAIXA.Modo,BM.AFAnterior,BM.MEDAnterior),IF(AND(RegimeExecucao="Global",$I98&gt;0,COUNTIF($AB$13:$AM$13,BM.medicao-1)&gt;0),M98/$I98*100,0))</f>
        <v>0</v>
      </c>
      <c r="K98" s="151">
        <f ca="1">L98-J98</f>
        <v>0</v>
      </c>
      <c r="L98" s="428">
        <f ca="1">IF($A98="S",IF(CAIXA.Modo,BM.AFAcumulado,BM.MEDAcumulado),IF(AND(RegimeExecucao="Global",$I98&gt;0,COUNTIF($AB$13:$AM$13,BM.medicao)&gt;0),O98/$I98*100,0))</f>
        <v>0</v>
      </c>
      <c r="M98" s="429">
        <f ca="1">IF($A98="S",VTOTALBM,IF($A98=0,0,ROUND(SomaAgrupBM,15-13*ORÇAMENTO!$AF$11)))</f>
        <v>0</v>
      </c>
      <c r="N98" s="430">
        <f ca="1">O98-M98</f>
        <v>0</v>
      </c>
      <c r="O98" s="154">
        <f ca="1">IF($A98="S",VTOTALBM,IF($A98=0,0,ROUND(SomaAgrupBM,15-13*ORÇAMENTO!$AF$11)))</f>
        <v>0</v>
      </c>
      <c r="Q98" s="431"/>
      <c r="R98" s="432"/>
      <c r="T98" s="146" t="str">
        <f ca="1">IF($W98&gt;0,$D98,"")</f>
        <v/>
      </c>
      <c r="U98" s="206" t="str">
        <f ca="1">IF($W98&gt;0,$E98,"")</f>
        <v/>
      </c>
      <c r="V98" s="207" t="str">
        <f ca="1">IF(AND($W98&gt;0,RegimeExecucao="Unitário"),$F98,"")</f>
        <v/>
      </c>
      <c r="W98" s="633">
        <f ca="1">IF($Y98&gt;0,CHOOSE(MATCH(RegimeExecucao,{"Unitário","Global"},0),IF($A98="S",$Y98/$X98,""),($Y98/$X98)*100),0)</f>
        <v>0</v>
      </c>
      <c r="X98" s="433" t="str">
        <f ca="1">IF($Y98&gt;0,CHOOSE(MATCH(RegimeExecucao,{"Unitário","Global"},0),IF($A98="S",ROUND($H98,ORÇAMENTO!$AF$10),""),ROUND($I98,ORÇAMENTO!$AF$11)),"")</f>
        <v/>
      </c>
      <c r="Y98" s="433">
        <f ca="1">AO98-O98</f>
        <v>0</v>
      </c>
      <c r="Z98" s="660"/>
      <c r="AB98" s="431"/>
      <c r="AC98" s="598"/>
      <c r="AD98" s="598"/>
      <c r="AE98" s="598"/>
      <c r="AF98" s="598"/>
      <c r="AG98" s="598"/>
      <c r="AH98" s="598"/>
      <c r="AI98" s="598"/>
      <c r="AJ98" s="598"/>
      <c r="AK98" s="598"/>
      <c r="AL98" s="598"/>
      <c r="AM98" s="432"/>
      <c r="AO98">
        <f ca="1">IF($A98="S",IF(BM!$I98=0,0,CHOOSE(MATCH(RegimeExecucao,{"Global","Unitário"},0),ROUND(ROUND(BM.MEDAcumulado,15-13*BM!$A$9)/100*BM!$I98,15-13*ORÇAMENTO!$AF$11),ROUND(ROUND(BM.MEDAcumulado,15-13*BM!$A$9)*ROUND(BM!$H98,15-13*ORÇAMENTO!$AF$10),15-13*ORÇAMENTO!$AF$11))),IF($A98=0,0,ROUND(SomaAgrupBM,15-13*ORÇAMENTO!$AF$11)))</f>
        <v>0</v>
      </c>
    </row>
    <row r="99" spans="1:41" ht="25.5" x14ac:dyDescent="0.2">
      <c r="A99" t="str">
        <f ca="1">ORÇAMENTO!C99</f>
        <v>S</v>
      </c>
      <c r="B99">
        <f ca="1">ORÇAMENTO!D99</f>
        <v>0</v>
      </c>
      <c r="C99" s="143" t="str">
        <f ca="1">IF(OR($I99&gt;0,$A99=1,$A99=2,$A99=3,$A99=4),"F","")</f>
        <v/>
      </c>
      <c r="D99" s="146" t="str">
        <f ca="1">ORÇAMENTO!O99</f>
        <v>-</v>
      </c>
      <c r="E99" s="206" t="str">
        <f>ORÇAMENTO.Descricao</f>
        <v>SOLEIRA EM GRANITO, LARGURA 15 CM, ESPESSURA 2,0 CM. AF_09/2020</v>
      </c>
      <c r="F99" s="207" t="str">
        <f ca="1">IF(RegimeExecucao="Global","",ORÇAMENTO.Unidade)</f>
        <v/>
      </c>
      <c r="G99" s="151" t="str">
        <f ca="1">IF(RegimeExecucao="Global","",ORÇAMENTO!T99)</f>
        <v/>
      </c>
      <c r="H99" s="151" t="str">
        <f ca="1">IF(RegimeExecucao="Global","",ORÇAMENTO!W99)</f>
        <v/>
      </c>
      <c r="I99" s="154">
        <f ca="1">ORÇAMENTO!X99</f>
        <v>0</v>
      </c>
      <c r="J99" s="427">
        <f ca="1">IF($A99="S",IF(CAIXA.Modo,BM.AFAnterior,BM.MEDAnterior),IF(AND(RegimeExecucao="Global",$I99&gt;0,COUNTIF($AB$13:$AM$13,BM.medicao-1)&gt;0),M99/$I99*100,0))</f>
        <v>0</v>
      </c>
      <c r="K99" s="151">
        <f t="shared" ref="K99" ca="1" si="39">L99-J99</f>
        <v>0</v>
      </c>
      <c r="L99" s="428">
        <f ca="1">IF($A99="S",IF(CAIXA.Modo,BM.AFAcumulado,BM.MEDAcumulado),IF(AND(RegimeExecucao="Global",$I99&gt;0,COUNTIF($AB$13:$AM$13,BM.medicao)&gt;0),O99/$I99*100,0))</f>
        <v>0</v>
      </c>
      <c r="M99" s="429">
        <f ca="1">IF($A99="S",VTOTALBM,IF($A99=0,0,ROUND(SomaAgrupBM,15-13*ORÇAMENTO!$AF$11)))</f>
        <v>0</v>
      </c>
      <c r="N99" s="430">
        <f t="shared" ref="N99" ca="1" si="40">O99-M99</f>
        <v>0</v>
      </c>
      <c r="O99" s="154">
        <f ca="1">IF($A99="S",VTOTALBM,IF($A99=0,0,ROUND(SomaAgrupBM,15-13*ORÇAMENTO!$AF$11)))</f>
        <v>0</v>
      </c>
      <c r="Q99" s="431"/>
      <c r="R99" s="432"/>
      <c r="T99" s="146" t="str">
        <f ca="1">IF($W99&gt;0,$D99,"")</f>
        <v/>
      </c>
      <c r="U99" s="206" t="str">
        <f ca="1">IF($W99&gt;0,$E99,"")</f>
        <v/>
      </c>
      <c r="V99" s="207" t="str">
        <f ca="1">IF(AND($W99&gt;0,RegimeExecucao="Unitário"),$F99,"")</f>
        <v/>
      </c>
      <c r="W99" s="633">
        <f ca="1">IF($Y99&gt;0,CHOOSE(MATCH(RegimeExecucao,{"Unitário","Global"},0),IF($A99="S",$Y99/$X99,""),($Y99/$X99)*100),0)</f>
        <v>0</v>
      </c>
      <c r="X99" s="433" t="str">
        <f ca="1">IF($Y99&gt;0,CHOOSE(MATCH(RegimeExecucao,{"Unitário","Global"},0),IF($A99="S",ROUND($H99,ORÇAMENTO!$AF$10),""),ROUND($I99,ORÇAMENTO!$AF$11)),"")</f>
        <v/>
      </c>
      <c r="Y99" s="433">
        <f ca="1">AO99-O99</f>
        <v>0</v>
      </c>
      <c r="Z99" s="660"/>
      <c r="AB99" s="431"/>
      <c r="AC99" s="598"/>
      <c r="AD99" s="598"/>
      <c r="AE99" s="598"/>
      <c r="AF99" s="598"/>
      <c r="AG99" s="598"/>
      <c r="AH99" s="598"/>
      <c r="AI99" s="598"/>
      <c r="AJ99" s="598"/>
      <c r="AK99" s="598"/>
      <c r="AL99" s="598"/>
      <c r="AM99" s="432"/>
      <c r="AO99">
        <f ca="1">IF($A99="S",IF(BM!$I99=0,0,CHOOSE(MATCH(RegimeExecucao,{"Global","Unitário"},0),ROUND(ROUND(BM.MEDAcumulado,15-13*BM!$A$9)/100*BM!$I99,15-13*ORÇAMENTO!$AF$11),ROUND(ROUND(BM.MEDAcumulado,15-13*BM!$A$9)*ROUND(BM!$H99,15-13*ORÇAMENTO!$AF$10),15-13*ORÇAMENTO!$AF$11))),IF($A99=0,0,ROUND(SomaAgrupBM,15-13*ORÇAMENTO!$AF$11)))</f>
        <v>0</v>
      </c>
    </row>
    <row r="100" spans="1:41" x14ac:dyDescent="0.2">
      <c r="A100">
        <f ca="1">ORÇAMENTO!C100</f>
        <v>2</v>
      </c>
      <c r="B100">
        <f ca="1">ORÇAMENTO!D100</f>
        <v>4</v>
      </c>
      <c r="C100" s="143" t="str">
        <f t="shared" ca="1" si="33"/>
        <v>F</v>
      </c>
      <c r="D100" s="146" t="str">
        <f ca="1">ORÇAMENTO!O100</f>
        <v>1.16.</v>
      </c>
      <c r="E100" s="206" t="str">
        <f t="shared" si="32"/>
        <v xml:space="preserve">PINTURA </v>
      </c>
      <c r="F100" s="207" t="str">
        <f ca="1">IF(RegimeExecucao="Global","",ORÇAMENTO.Unidade)</f>
        <v/>
      </c>
      <c r="G100" s="151" t="str">
        <f ca="1">IF(RegimeExecucao="Global","",ORÇAMENTO!T100)</f>
        <v/>
      </c>
      <c r="H100" s="151" t="str">
        <f ca="1">IF(RegimeExecucao="Global","",ORÇAMENTO!W100)</f>
        <v/>
      </c>
      <c r="I100" s="154">
        <f ca="1">ORÇAMENTO!X100</f>
        <v>0</v>
      </c>
      <c r="J100" s="427">
        <f ca="1">IF($A100="S",IF(CAIXA.Modo,BM.AFAnterior,BM.MEDAnterior),IF(AND(RegimeExecucao="Global",$I100&gt;0,COUNTIF($AB$13:$AM$13,BM.medicao-1)&gt;0),M100/$I100*100,0))</f>
        <v>0</v>
      </c>
      <c r="K100" s="151">
        <f t="shared" ca="1" si="34"/>
        <v>0</v>
      </c>
      <c r="L100" s="428">
        <f ca="1">IF($A100="S",IF(CAIXA.Modo,BM.AFAcumulado,BM.MEDAcumulado),IF(AND(RegimeExecucao="Global",$I100&gt;0,COUNTIF($AB$13:$AM$13,BM.medicao)&gt;0),O100/$I100*100,0))</f>
        <v>0</v>
      </c>
      <c r="M100" s="429">
        <f ca="1">IF($A100="S",VTOTALBM,IF($A100=0,0,ROUND(SomaAgrupBM,15-13*ORÇAMENTO!$AF$11)))</f>
        <v>0</v>
      </c>
      <c r="N100" s="430">
        <f t="shared" ca="1" si="35"/>
        <v>0</v>
      </c>
      <c r="O100" s="154">
        <f ca="1">IF($A100="S",VTOTALBM,IF($A100=0,0,ROUND(SomaAgrupBM,15-13*ORÇAMENTO!$AF$11)))</f>
        <v>0</v>
      </c>
      <c r="Q100" s="431"/>
      <c r="R100" s="432"/>
      <c r="T100" s="146" t="str">
        <f t="shared" ca="1" si="36"/>
        <v/>
      </c>
      <c r="U100" s="206" t="str">
        <f t="shared" ca="1" si="37"/>
        <v/>
      </c>
      <c r="V100" s="207" t="str">
        <f ca="1">IF(AND($W100&gt;0,RegimeExecucao="Unitário"),$F100,"")</f>
        <v/>
      </c>
      <c r="W100" s="633">
        <f ca="1">IF($Y100&gt;0,CHOOSE(MATCH(RegimeExecucao,{"Unitário","Global"},0),IF($A100="S",$Y100/$X100,""),($Y100/$X100)*100),0)</f>
        <v>0</v>
      </c>
      <c r="X100" s="433" t="str">
        <f ca="1">IF($Y100&gt;0,CHOOSE(MATCH(RegimeExecucao,{"Unitário","Global"},0),IF($A100="S",ROUND($H100,ORÇAMENTO!$AF$10),""),ROUND($I100,ORÇAMENTO!$AF$11)),"")</f>
        <v/>
      </c>
      <c r="Y100" s="433">
        <f t="shared" ca="1" si="38"/>
        <v>0</v>
      </c>
      <c r="Z100" s="660"/>
      <c r="AB100" s="431"/>
      <c r="AC100" s="598"/>
      <c r="AD100" s="598"/>
      <c r="AE100" s="598"/>
      <c r="AF100" s="598"/>
      <c r="AG100" s="598"/>
      <c r="AH100" s="598"/>
      <c r="AI100" s="598"/>
      <c r="AJ100" s="598"/>
      <c r="AK100" s="598"/>
      <c r="AL100" s="598"/>
      <c r="AM100" s="432"/>
      <c r="AO100">
        <f ca="1">IF($A100="S",IF(BM!$I100=0,0,CHOOSE(MATCH(RegimeExecucao,{"Global","Unitário"},0),ROUND(ROUND(BM.MEDAcumulado,15-13*BM!$A$9)/100*BM!$I100,15-13*ORÇAMENTO!$AF$11),ROUND(ROUND(BM.MEDAcumulado,15-13*BM!$A$9)*ROUND(BM!$H100,15-13*ORÇAMENTO!$AF$10),15-13*ORÇAMENTO!$AF$11))),IF($A100=0,0,ROUND(SomaAgrupBM,15-13*ORÇAMENTO!$AF$11)))</f>
        <v>0</v>
      </c>
    </row>
    <row r="101" spans="1:41" ht="25.5" x14ac:dyDescent="0.2">
      <c r="A101" t="str">
        <f ca="1">ORÇAMENTO!C101</f>
        <v>S</v>
      </c>
      <c r="B101">
        <f ca="1">ORÇAMENTO!D101</f>
        <v>0</v>
      </c>
      <c r="C101" s="143" t="str">
        <f t="shared" ref="C101:C117" ca="1" si="41">IF(OR($I101&gt;0,$A101=1,$A101=2,$A101=3,$A101=4),"F","")</f>
        <v/>
      </c>
      <c r="D101" s="146" t="str">
        <f ca="1">ORÇAMENTO!O101</f>
        <v>-</v>
      </c>
      <c r="E101" s="206" t="str">
        <f t="shared" ref="E101:E149" si="42">ORÇAMENTO.Descricao</f>
        <v>PINTURA LÁTEX ACRÍLICA PREMIUM, APLICAÇÃO MANUAL EM PAREDES, DUAS DEMÃOS. AF_04/2023</v>
      </c>
      <c r="F101" s="207" t="str">
        <f ca="1">IF(RegimeExecucao="Global","",ORÇAMENTO.Unidade)</f>
        <v/>
      </c>
      <c r="G101" s="151" t="str">
        <f ca="1">IF(RegimeExecucao="Global","",ORÇAMENTO!T101)</f>
        <v/>
      </c>
      <c r="H101" s="151" t="str">
        <f ca="1">IF(RegimeExecucao="Global","",ORÇAMENTO!W101)</f>
        <v/>
      </c>
      <c r="I101" s="154">
        <f ca="1">ORÇAMENTO!X101</f>
        <v>0</v>
      </c>
      <c r="J101" s="427">
        <f ca="1">IF($A101="S",IF(CAIXA.Modo,BM.AFAnterior,BM.MEDAnterior),IF(AND(RegimeExecucao="Global",$I101&gt;0,COUNTIF($AB$13:$AM$13,BM.medicao-1)&gt;0),M101/$I101*100,0))</f>
        <v>0</v>
      </c>
      <c r="K101" s="151">
        <f t="shared" ref="K101:K120" ca="1" si="43">L101-J101</f>
        <v>0</v>
      </c>
      <c r="L101" s="428">
        <f ca="1">IF($A101="S",IF(CAIXA.Modo,BM.AFAcumulado,BM.MEDAcumulado),IF(AND(RegimeExecucao="Global",$I101&gt;0,COUNTIF($AB$13:$AM$13,BM.medicao)&gt;0),O101/$I101*100,0))</f>
        <v>0</v>
      </c>
      <c r="M101" s="429">
        <f ca="1">IF($A101="S",VTOTALBM,IF($A101=0,0,ROUND(SomaAgrupBM,15-13*ORÇAMENTO!$AF$11)))</f>
        <v>0</v>
      </c>
      <c r="N101" s="430">
        <f t="shared" ref="N101:N120" ca="1" si="44">O101-M101</f>
        <v>0</v>
      </c>
      <c r="O101" s="154">
        <f ca="1">IF($A101="S",VTOTALBM,IF($A101=0,0,ROUND(SomaAgrupBM,15-13*ORÇAMENTO!$AF$11)))</f>
        <v>0</v>
      </c>
      <c r="Q101" s="431"/>
      <c r="R101" s="432"/>
      <c r="T101" s="146" t="str">
        <f t="shared" ref="T101:T117" ca="1" si="45">IF($W101&gt;0,$D101,"")</f>
        <v/>
      </c>
      <c r="U101" s="206" t="str">
        <f t="shared" ref="U101:U117" ca="1" si="46">IF($W101&gt;0,$E101,"")</f>
        <v/>
      </c>
      <c r="V101" s="207" t="str">
        <f ca="1">IF(AND($W101&gt;0,RegimeExecucao="Unitário"),$F101,"")</f>
        <v/>
      </c>
      <c r="W101" s="633">
        <f ca="1">IF($Y101&gt;0,CHOOSE(MATCH(RegimeExecucao,{"Unitário","Global"},0),IF($A101="S",$Y101/$X101,""),($Y101/$X101)*100),0)</f>
        <v>0</v>
      </c>
      <c r="X101" s="433" t="str">
        <f ca="1">IF($Y101&gt;0,CHOOSE(MATCH(RegimeExecucao,{"Unitário","Global"},0),IF($A101="S",ROUND($H101,ORÇAMENTO!$AF$10),""),ROUND($I101,ORÇAMENTO!$AF$11)),"")</f>
        <v/>
      </c>
      <c r="Y101" s="433">
        <f t="shared" ref="Y101:Y117" ca="1" si="47">AO101-O101</f>
        <v>0</v>
      </c>
      <c r="Z101" s="660"/>
      <c r="AB101" s="431"/>
      <c r="AC101" s="598"/>
      <c r="AD101" s="598"/>
      <c r="AE101" s="598"/>
      <c r="AF101" s="598"/>
      <c r="AG101" s="598"/>
      <c r="AH101" s="598"/>
      <c r="AI101" s="598"/>
      <c r="AJ101" s="598"/>
      <c r="AK101" s="598"/>
      <c r="AL101" s="598"/>
      <c r="AM101" s="432"/>
      <c r="AO101">
        <f ca="1">IF($A101="S",IF(BM!$I101=0,0,CHOOSE(MATCH(RegimeExecucao,{"Global","Unitário"},0),ROUND(ROUND(BM.MEDAcumulado,15-13*BM!$A$9)/100*BM!$I101,15-13*ORÇAMENTO!$AF$11),ROUND(ROUND(BM.MEDAcumulado,15-13*BM!$A$9)*ROUND(BM!$H101,15-13*ORÇAMENTO!$AF$10),15-13*ORÇAMENTO!$AF$11))),IF($A101=0,0,ROUND(SomaAgrupBM,15-13*ORÇAMENTO!$AF$11)))</f>
        <v>0</v>
      </c>
    </row>
    <row r="102" spans="1:41" ht="25.5" x14ac:dyDescent="0.2">
      <c r="A102" t="str">
        <f ca="1">ORÇAMENTO!C102</f>
        <v>S</v>
      </c>
      <c r="B102">
        <f ca="1">ORÇAMENTO!D102</f>
        <v>0</v>
      </c>
      <c r="C102" s="143" t="str">
        <f t="shared" ca="1" si="41"/>
        <v/>
      </c>
      <c r="D102" s="146" t="str">
        <f ca="1">ORÇAMENTO!O102</f>
        <v>-</v>
      </c>
      <c r="E102" s="206" t="str">
        <f t="shared" si="42"/>
        <v>APLICAÇÃO MANUAL DE FUNDO SELADOR ACRÍLICO EM PAREDES EXTERNAS DE CASAS. AF_03/2024</v>
      </c>
      <c r="F102" s="207" t="str">
        <f ca="1">IF(RegimeExecucao="Global","",ORÇAMENTO.Unidade)</f>
        <v/>
      </c>
      <c r="G102" s="151" t="str">
        <f ca="1">IF(RegimeExecucao="Global","",ORÇAMENTO!T102)</f>
        <v/>
      </c>
      <c r="H102" s="151" t="str">
        <f ca="1">IF(RegimeExecucao="Global","",ORÇAMENTO!W102)</f>
        <v/>
      </c>
      <c r="I102" s="154">
        <f ca="1">ORÇAMENTO!X102</f>
        <v>0</v>
      </c>
      <c r="J102" s="427">
        <f ca="1">IF($A102="S",IF(CAIXA.Modo,BM.AFAnterior,BM.MEDAnterior),IF(AND(RegimeExecucao="Global",$I102&gt;0,COUNTIF($AB$13:$AM$13,BM.medicao-1)&gt;0),M102/$I102*100,0))</f>
        <v>0</v>
      </c>
      <c r="K102" s="151">
        <f t="shared" ca="1" si="43"/>
        <v>0</v>
      </c>
      <c r="L102" s="428">
        <f ca="1">IF($A102="S",IF(CAIXA.Modo,BM.AFAcumulado,BM.MEDAcumulado),IF(AND(RegimeExecucao="Global",$I102&gt;0,COUNTIF($AB$13:$AM$13,BM.medicao)&gt;0),O102/$I102*100,0))</f>
        <v>0</v>
      </c>
      <c r="M102" s="429">
        <f ca="1">IF($A102="S",VTOTALBM,IF($A102=0,0,ROUND(SomaAgrupBM,15-13*ORÇAMENTO!$AF$11)))</f>
        <v>0</v>
      </c>
      <c r="N102" s="430">
        <f t="shared" ca="1" si="44"/>
        <v>0</v>
      </c>
      <c r="O102" s="154">
        <f ca="1">IF($A102="S",VTOTALBM,IF($A102=0,0,ROUND(SomaAgrupBM,15-13*ORÇAMENTO!$AF$11)))</f>
        <v>0</v>
      </c>
      <c r="Q102" s="431"/>
      <c r="R102" s="432"/>
      <c r="T102" s="146" t="str">
        <f t="shared" ca="1" si="45"/>
        <v/>
      </c>
      <c r="U102" s="206" t="str">
        <f t="shared" ca="1" si="46"/>
        <v/>
      </c>
      <c r="V102" s="207" t="str">
        <f ca="1">IF(AND($W102&gt;0,RegimeExecucao="Unitário"),$F102,"")</f>
        <v/>
      </c>
      <c r="W102" s="633">
        <f ca="1">IF($Y102&gt;0,CHOOSE(MATCH(RegimeExecucao,{"Unitário","Global"},0),IF($A102="S",$Y102/$X102,""),($Y102/$X102)*100),0)</f>
        <v>0</v>
      </c>
      <c r="X102" s="433" t="str">
        <f ca="1">IF($Y102&gt;0,CHOOSE(MATCH(RegimeExecucao,{"Unitário","Global"},0),IF($A102="S",ROUND($H102,ORÇAMENTO!$AF$10),""),ROUND($I102,ORÇAMENTO!$AF$11)),"")</f>
        <v/>
      </c>
      <c r="Y102" s="433">
        <f t="shared" ca="1" si="47"/>
        <v>0</v>
      </c>
      <c r="Z102" s="660"/>
      <c r="AB102" s="431"/>
      <c r="AC102" s="598"/>
      <c r="AD102" s="598"/>
      <c r="AE102" s="598"/>
      <c r="AF102" s="598"/>
      <c r="AG102" s="598"/>
      <c r="AH102" s="598"/>
      <c r="AI102" s="598"/>
      <c r="AJ102" s="598"/>
      <c r="AK102" s="598"/>
      <c r="AL102" s="598"/>
      <c r="AM102" s="432"/>
      <c r="AO102">
        <f ca="1">IF($A102="S",IF(BM!$I102=0,0,CHOOSE(MATCH(RegimeExecucao,{"Global","Unitário"},0),ROUND(ROUND(BM.MEDAcumulado,15-13*BM!$A$9)/100*BM!$I102,15-13*ORÇAMENTO!$AF$11),ROUND(ROUND(BM.MEDAcumulado,15-13*BM!$A$9)*ROUND(BM!$H102,15-13*ORÇAMENTO!$AF$10),15-13*ORÇAMENTO!$AF$11))),IF($A102=0,0,ROUND(SomaAgrupBM,15-13*ORÇAMENTO!$AF$11)))</f>
        <v>0</v>
      </c>
    </row>
    <row r="103" spans="1:41" ht="25.5" x14ac:dyDescent="0.2">
      <c r="A103" t="str">
        <f ca="1">ORÇAMENTO!C103</f>
        <v>S</v>
      </c>
      <c r="B103">
        <f ca="1">ORÇAMENTO!D103</f>
        <v>0</v>
      </c>
      <c r="C103" s="143" t="str">
        <f ca="1">IF(OR($I103&gt;0,$A103=1,$A103=2,$A103=3,$A103=4),"F","")</f>
        <v/>
      </c>
      <c r="D103" s="146" t="str">
        <f ca="1">ORÇAMENTO!O103</f>
        <v>-</v>
      </c>
      <c r="E103" s="206" t="str">
        <f>ORÇAMENTO.Descricao</f>
        <v>PINTURA TINTA DE ACABAMENTO (PIGMENTADA) ESMALTE SINTÉTICO FOSCO EM MADEIRA, 2 DEMÃOS. AF_01/2021</v>
      </c>
      <c r="F103" s="207" t="str">
        <f ca="1">IF(RegimeExecucao="Global","",ORÇAMENTO.Unidade)</f>
        <v/>
      </c>
      <c r="G103" s="151" t="str">
        <f ca="1">IF(RegimeExecucao="Global","",ORÇAMENTO!T103)</f>
        <v/>
      </c>
      <c r="H103" s="151" t="str">
        <f ca="1">IF(RegimeExecucao="Global","",ORÇAMENTO!W103)</f>
        <v/>
      </c>
      <c r="I103" s="154">
        <f ca="1">ORÇAMENTO!X103</f>
        <v>0</v>
      </c>
      <c r="J103" s="427">
        <f ca="1">IF($A103="S",IF(CAIXA.Modo,BM.AFAnterior,BM.MEDAnterior),IF(AND(RegimeExecucao="Global",$I103&gt;0,COUNTIF($AB$13:$AM$13,BM.medicao-1)&gt;0),M103/$I103*100,0))</f>
        <v>0</v>
      </c>
      <c r="K103" s="151">
        <f t="shared" ca="1" si="43"/>
        <v>0</v>
      </c>
      <c r="L103" s="428">
        <f ca="1">IF($A103="S",IF(CAIXA.Modo,BM.AFAcumulado,BM.MEDAcumulado),IF(AND(RegimeExecucao="Global",$I103&gt;0,COUNTIF($AB$13:$AM$13,BM.medicao)&gt;0),O103/$I103*100,0))</f>
        <v>0</v>
      </c>
      <c r="M103" s="429">
        <f ca="1">IF($A103="S",VTOTALBM,IF($A103=0,0,ROUND(SomaAgrupBM,15-13*ORÇAMENTO!$AF$11)))</f>
        <v>0</v>
      </c>
      <c r="N103" s="430">
        <f t="shared" ca="1" si="44"/>
        <v>0</v>
      </c>
      <c r="O103" s="154">
        <f ca="1">IF($A103="S",VTOTALBM,IF($A103=0,0,ROUND(SomaAgrupBM,15-13*ORÇAMENTO!$AF$11)))</f>
        <v>0</v>
      </c>
      <c r="Q103" s="431"/>
      <c r="R103" s="432"/>
      <c r="T103" s="146" t="str">
        <f ca="1">IF($W103&gt;0,$D103,"")</f>
        <v/>
      </c>
      <c r="U103" s="206" t="str">
        <f ca="1">IF($W103&gt;0,$E103,"")</f>
        <v/>
      </c>
      <c r="V103" s="207" t="str">
        <f ca="1">IF(AND($W103&gt;0,RegimeExecucao="Unitário"),$F103,"")</f>
        <v/>
      </c>
      <c r="W103" s="633">
        <f ca="1">IF($Y103&gt;0,CHOOSE(MATCH(RegimeExecucao,{"Unitário","Global"},0),IF($A103="S",$Y103/$X103,""),($Y103/$X103)*100),0)</f>
        <v>0</v>
      </c>
      <c r="X103" s="433" t="str">
        <f ca="1">IF($Y103&gt;0,CHOOSE(MATCH(RegimeExecucao,{"Unitário","Global"},0),IF($A103="S",ROUND($H103,ORÇAMENTO!$AF$10),""),ROUND($I103,ORÇAMENTO!$AF$11)),"")</f>
        <v/>
      </c>
      <c r="Y103" s="433">
        <f ca="1">AO103-O103</f>
        <v>0</v>
      </c>
      <c r="Z103" s="660"/>
      <c r="AB103" s="431"/>
      <c r="AC103" s="598"/>
      <c r="AD103" s="598"/>
      <c r="AE103" s="598"/>
      <c r="AF103" s="598"/>
      <c r="AG103" s="598"/>
      <c r="AH103" s="598"/>
      <c r="AI103" s="598"/>
      <c r="AJ103" s="598"/>
      <c r="AK103" s="598"/>
      <c r="AL103" s="598"/>
      <c r="AM103" s="432"/>
      <c r="AO103">
        <f ca="1">IF($A103="S",IF(BM!$I103=0,0,CHOOSE(MATCH(RegimeExecucao,{"Global","Unitário"},0),ROUND(ROUND(BM.MEDAcumulado,15-13*BM!$A$9)/100*BM!$I103,15-13*ORÇAMENTO!$AF$11),ROUND(ROUND(BM.MEDAcumulado,15-13*BM!$A$9)*ROUND(BM!$H103,15-13*ORÇAMENTO!$AF$10),15-13*ORÇAMENTO!$AF$11))),IF($A103=0,0,ROUND(SomaAgrupBM,15-13*ORÇAMENTO!$AF$11)))</f>
        <v>0</v>
      </c>
    </row>
    <row r="104" spans="1:41" x14ac:dyDescent="0.2">
      <c r="A104">
        <f ca="1">ORÇAMENTO!C104</f>
        <v>2</v>
      </c>
      <c r="B104">
        <f ca="1">ORÇAMENTO!D104</f>
        <v>4</v>
      </c>
      <c r="C104" s="143" t="str">
        <f t="shared" ca="1" si="41"/>
        <v>F</v>
      </c>
      <c r="D104" s="146" t="str">
        <f ca="1">ORÇAMENTO!O104</f>
        <v>1.17.</v>
      </c>
      <c r="E104" s="206" t="str">
        <f t="shared" si="42"/>
        <v xml:space="preserve">PREVENTIVO DE INCENDIO </v>
      </c>
      <c r="F104" s="207" t="str">
        <f ca="1">IF(RegimeExecucao="Global","",ORÇAMENTO.Unidade)</f>
        <v/>
      </c>
      <c r="G104" s="151" t="str">
        <f ca="1">IF(RegimeExecucao="Global","",ORÇAMENTO!T104)</f>
        <v/>
      </c>
      <c r="H104" s="151" t="str">
        <f ca="1">IF(RegimeExecucao="Global","",ORÇAMENTO!W104)</f>
        <v/>
      </c>
      <c r="I104" s="154">
        <f ca="1">ORÇAMENTO!X104</f>
        <v>0</v>
      </c>
      <c r="J104" s="427">
        <f ca="1">IF($A104="S",IF(CAIXA.Modo,BM.AFAnterior,BM.MEDAnterior),IF(AND(RegimeExecucao="Global",$I104&gt;0,COUNTIF($AB$13:$AM$13,BM.medicao-1)&gt;0),M104/$I104*100,0))</f>
        <v>0</v>
      </c>
      <c r="K104" s="151">
        <f t="shared" ca="1" si="43"/>
        <v>0</v>
      </c>
      <c r="L104" s="428">
        <f ca="1">IF($A104="S",IF(CAIXA.Modo,BM.AFAcumulado,BM.MEDAcumulado),IF(AND(RegimeExecucao="Global",$I104&gt;0,COUNTIF($AB$13:$AM$13,BM.medicao)&gt;0),O104/$I104*100,0))</f>
        <v>0</v>
      </c>
      <c r="M104" s="429">
        <f ca="1">IF($A104="S",VTOTALBM,IF($A104=0,0,ROUND(SomaAgrupBM,15-13*ORÇAMENTO!$AF$11)))</f>
        <v>0</v>
      </c>
      <c r="N104" s="430">
        <f t="shared" ca="1" si="44"/>
        <v>0</v>
      </c>
      <c r="O104" s="154">
        <f ca="1">IF($A104="S",VTOTALBM,IF($A104=0,0,ROUND(SomaAgrupBM,15-13*ORÇAMENTO!$AF$11)))</f>
        <v>0</v>
      </c>
      <c r="Q104" s="431"/>
      <c r="R104" s="432"/>
      <c r="T104" s="146" t="str">
        <f t="shared" ca="1" si="45"/>
        <v/>
      </c>
      <c r="U104" s="206" t="str">
        <f t="shared" ca="1" si="46"/>
        <v/>
      </c>
      <c r="V104" s="207" t="str">
        <f ca="1">IF(AND($W104&gt;0,RegimeExecucao="Unitário"),$F104,"")</f>
        <v/>
      </c>
      <c r="W104" s="633">
        <f ca="1">IF($Y104&gt;0,CHOOSE(MATCH(RegimeExecucao,{"Unitário","Global"},0),IF($A104="S",$Y104/$X104,""),($Y104/$X104)*100),0)</f>
        <v>0</v>
      </c>
      <c r="X104" s="433" t="str">
        <f ca="1">IF($Y104&gt;0,CHOOSE(MATCH(RegimeExecucao,{"Unitário","Global"},0),IF($A104="S",ROUND($H104,ORÇAMENTO!$AF$10),""),ROUND($I104,ORÇAMENTO!$AF$11)),"")</f>
        <v/>
      </c>
      <c r="Y104" s="433">
        <f t="shared" ca="1" si="47"/>
        <v>0</v>
      </c>
      <c r="Z104" s="660"/>
      <c r="AB104" s="431"/>
      <c r="AC104" s="598"/>
      <c r="AD104" s="598"/>
      <c r="AE104" s="598"/>
      <c r="AF104" s="598"/>
      <c r="AG104" s="598"/>
      <c r="AH104" s="598"/>
      <c r="AI104" s="598"/>
      <c r="AJ104" s="598"/>
      <c r="AK104" s="598"/>
      <c r="AL104" s="598"/>
      <c r="AM104" s="432"/>
      <c r="AO104">
        <f ca="1">IF($A104="S",IF(BM!$I104=0,0,CHOOSE(MATCH(RegimeExecucao,{"Global","Unitário"},0),ROUND(ROUND(BM.MEDAcumulado,15-13*BM!$A$9)/100*BM!$I104,15-13*ORÇAMENTO!$AF$11),ROUND(ROUND(BM.MEDAcumulado,15-13*BM!$A$9)*ROUND(BM!$H104,15-13*ORÇAMENTO!$AF$10),15-13*ORÇAMENTO!$AF$11))),IF($A104=0,0,ROUND(SomaAgrupBM,15-13*ORÇAMENTO!$AF$11)))</f>
        <v>0</v>
      </c>
    </row>
    <row r="105" spans="1:41" ht="25.5" x14ac:dyDescent="0.2">
      <c r="A105" t="str">
        <f ca="1">ORÇAMENTO!C105</f>
        <v>S</v>
      </c>
      <c r="B105">
        <f ca="1">ORÇAMENTO!D105</f>
        <v>0</v>
      </c>
      <c r="C105" s="143" t="str">
        <f t="shared" ca="1" si="41"/>
        <v/>
      </c>
      <c r="D105" s="146" t="str">
        <f ca="1">ORÇAMENTO!O105</f>
        <v>-</v>
      </c>
      <c r="E105" s="206" t="str">
        <f t="shared" si="42"/>
        <v>EXTINTOR DE INCÊNDIO PORTÁTIL COM CARGA DE PQS DE 4 KG, CLASSE BC - FORNECIMENTO E INSTALAÇÃO. AF_10/2020_PE</v>
      </c>
      <c r="F105" s="207" t="str">
        <f ca="1">IF(RegimeExecucao="Global","",ORÇAMENTO.Unidade)</f>
        <v/>
      </c>
      <c r="G105" s="151" t="str">
        <f ca="1">IF(RegimeExecucao="Global","",ORÇAMENTO!T105)</f>
        <v/>
      </c>
      <c r="H105" s="151" t="str">
        <f ca="1">IF(RegimeExecucao="Global","",ORÇAMENTO!W105)</f>
        <v/>
      </c>
      <c r="I105" s="154">
        <f ca="1">ORÇAMENTO!X105</f>
        <v>0</v>
      </c>
      <c r="J105" s="427">
        <f ca="1">IF($A105="S",IF(CAIXA.Modo,BM.AFAnterior,BM.MEDAnterior),IF(AND(RegimeExecucao="Global",$I105&gt;0,COUNTIF($AB$13:$AM$13,BM.medicao-1)&gt;0),M105/$I105*100,0))</f>
        <v>0</v>
      </c>
      <c r="K105" s="151">
        <f t="shared" ca="1" si="43"/>
        <v>0</v>
      </c>
      <c r="L105" s="428">
        <f ca="1">IF($A105="S",IF(CAIXA.Modo,BM.AFAcumulado,BM.MEDAcumulado),IF(AND(RegimeExecucao="Global",$I105&gt;0,COUNTIF($AB$13:$AM$13,BM.medicao)&gt;0),O105/$I105*100,0))</f>
        <v>0</v>
      </c>
      <c r="M105" s="429">
        <f ca="1">IF($A105="S",VTOTALBM,IF($A105=0,0,ROUND(SomaAgrupBM,15-13*ORÇAMENTO!$AF$11)))</f>
        <v>0</v>
      </c>
      <c r="N105" s="430">
        <f t="shared" ca="1" si="44"/>
        <v>0</v>
      </c>
      <c r="O105" s="154">
        <f ca="1">IF($A105="S",VTOTALBM,IF($A105=0,0,ROUND(SomaAgrupBM,15-13*ORÇAMENTO!$AF$11)))</f>
        <v>0</v>
      </c>
      <c r="Q105" s="431"/>
      <c r="R105" s="432"/>
      <c r="T105" s="146" t="str">
        <f t="shared" ca="1" si="45"/>
        <v/>
      </c>
      <c r="U105" s="206" t="str">
        <f t="shared" ca="1" si="46"/>
        <v/>
      </c>
      <c r="V105" s="207" t="str">
        <f ca="1">IF(AND($W105&gt;0,RegimeExecucao="Unitário"),$F105,"")</f>
        <v/>
      </c>
      <c r="W105" s="633">
        <f ca="1">IF($Y105&gt;0,CHOOSE(MATCH(RegimeExecucao,{"Unitário","Global"},0),IF($A105="S",$Y105/$X105,""),($Y105/$X105)*100),0)</f>
        <v>0</v>
      </c>
      <c r="X105" s="433" t="str">
        <f ca="1">IF($Y105&gt;0,CHOOSE(MATCH(RegimeExecucao,{"Unitário","Global"},0),IF($A105="S",ROUND($H105,ORÇAMENTO!$AF$10),""),ROUND($I105,ORÇAMENTO!$AF$11)),"")</f>
        <v/>
      </c>
      <c r="Y105" s="433">
        <f t="shared" ca="1" si="47"/>
        <v>0</v>
      </c>
      <c r="Z105" s="660"/>
      <c r="AB105" s="431"/>
      <c r="AC105" s="598"/>
      <c r="AD105" s="598"/>
      <c r="AE105" s="598"/>
      <c r="AF105" s="598"/>
      <c r="AG105" s="598"/>
      <c r="AH105" s="598"/>
      <c r="AI105" s="598"/>
      <c r="AJ105" s="598"/>
      <c r="AK105" s="598"/>
      <c r="AL105" s="598"/>
      <c r="AM105" s="432"/>
      <c r="AO105">
        <f ca="1">IF($A105="S",IF(BM!$I105=0,0,CHOOSE(MATCH(RegimeExecucao,{"Global","Unitário"},0),ROUND(ROUND(BM.MEDAcumulado,15-13*BM!$A$9)/100*BM!$I105,15-13*ORÇAMENTO!$AF$11),ROUND(ROUND(BM.MEDAcumulado,15-13*BM!$A$9)*ROUND(BM!$H105,15-13*ORÇAMENTO!$AF$10),15-13*ORÇAMENTO!$AF$11))),IF($A105=0,0,ROUND(SomaAgrupBM,15-13*ORÇAMENTO!$AF$11)))</f>
        <v>0</v>
      </c>
    </row>
    <row r="106" spans="1:41" ht="25.5" x14ac:dyDescent="0.2">
      <c r="A106" t="str">
        <f ca="1">ORÇAMENTO!C106</f>
        <v>S</v>
      </c>
      <c r="B106">
        <f ca="1">ORÇAMENTO!D106</f>
        <v>0</v>
      </c>
      <c r="C106" s="143" t="str">
        <f t="shared" ca="1" si="41"/>
        <v/>
      </c>
      <c r="D106" s="146" t="str">
        <f ca="1">ORÇAMENTO!O106</f>
        <v>-</v>
      </c>
      <c r="E106" s="206" t="str">
        <f t="shared" si="42"/>
        <v>LUMINÁRIA DE EMERGÊNCIA, COM 30 LÂMPADAS LED DE 2 W, SEM REATOR - FORNECIMENTO E INSTALAÇÃO. AF_02/2020</v>
      </c>
      <c r="F106" s="207" t="str">
        <f ca="1">IF(RegimeExecucao="Global","",ORÇAMENTO.Unidade)</f>
        <v/>
      </c>
      <c r="G106" s="151" t="str">
        <f ca="1">IF(RegimeExecucao="Global","",ORÇAMENTO!T106)</f>
        <v/>
      </c>
      <c r="H106" s="151" t="str">
        <f ca="1">IF(RegimeExecucao="Global","",ORÇAMENTO!W106)</f>
        <v/>
      </c>
      <c r="I106" s="154">
        <f ca="1">ORÇAMENTO!X106</f>
        <v>0</v>
      </c>
      <c r="J106" s="427">
        <f ca="1">IF($A106="S",IF(CAIXA.Modo,BM.AFAnterior,BM.MEDAnterior),IF(AND(RegimeExecucao="Global",$I106&gt;0,COUNTIF($AB$13:$AM$13,BM.medicao-1)&gt;0),M106/$I106*100,0))</f>
        <v>0</v>
      </c>
      <c r="K106" s="151">
        <f t="shared" ca="1" si="43"/>
        <v>0</v>
      </c>
      <c r="L106" s="428">
        <f ca="1">IF($A106="S",IF(CAIXA.Modo,BM.AFAcumulado,BM.MEDAcumulado),IF(AND(RegimeExecucao="Global",$I106&gt;0,COUNTIF($AB$13:$AM$13,BM.medicao)&gt;0),O106/$I106*100,0))</f>
        <v>0</v>
      </c>
      <c r="M106" s="429">
        <f ca="1">IF($A106="S",VTOTALBM,IF($A106=0,0,ROUND(SomaAgrupBM,15-13*ORÇAMENTO!$AF$11)))</f>
        <v>0</v>
      </c>
      <c r="N106" s="430">
        <f t="shared" ca="1" si="44"/>
        <v>0</v>
      </c>
      <c r="O106" s="154">
        <f ca="1">IF($A106="S",VTOTALBM,IF($A106=0,0,ROUND(SomaAgrupBM,15-13*ORÇAMENTO!$AF$11)))</f>
        <v>0</v>
      </c>
      <c r="Q106" s="431"/>
      <c r="R106" s="432"/>
      <c r="T106" s="146" t="str">
        <f t="shared" ca="1" si="45"/>
        <v/>
      </c>
      <c r="U106" s="206" t="str">
        <f t="shared" ca="1" si="46"/>
        <v/>
      </c>
      <c r="V106" s="207" t="str">
        <f ca="1">IF(AND($W106&gt;0,RegimeExecucao="Unitário"),$F106,"")</f>
        <v/>
      </c>
      <c r="W106" s="633">
        <f ca="1">IF($Y106&gt;0,CHOOSE(MATCH(RegimeExecucao,{"Unitário","Global"},0),IF($A106="S",$Y106/$X106,""),($Y106/$X106)*100),0)</f>
        <v>0</v>
      </c>
      <c r="X106" s="433" t="str">
        <f ca="1">IF($Y106&gt;0,CHOOSE(MATCH(RegimeExecucao,{"Unitário","Global"},0),IF($A106="S",ROUND($H106,ORÇAMENTO!$AF$10),""),ROUND($I106,ORÇAMENTO!$AF$11)),"")</f>
        <v/>
      </c>
      <c r="Y106" s="433">
        <f t="shared" ca="1" si="47"/>
        <v>0</v>
      </c>
      <c r="Z106" s="660"/>
      <c r="AB106" s="431"/>
      <c r="AC106" s="598"/>
      <c r="AD106" s="598"/>
      <c r="AE106" s="598"/>
      <c r="AF106" s="598"/>
      <c r="AG106" s="598"/>
      <c r="AH106" s="598"/>
      <c r="AI106" s="598"/>
      <c r="AJ106" s="598"/>
      <c r="AK106" s="598"/>
      <c r="AL106" s="598"/>
      <c r="AM106" s="432"/>
      <c r="AO106">
        <f ca="1">IF($A106="S",IF(BM!$I106=0,0,CHOOSE(MATCH(RegimeExecucao,{"Global","Unitário"},0),ROUND(ROUND(BM.MEDAcumulado,15-13*BM!$A$9)/100*BM!$I106,15-13*ORÇAMENTO!$AF$11),ROUND(ROUND(BM.MEDAcumulado,15-13*BM!$A$9)*ROUND(BM!$H106,15-13*ORÇAMENTO!$AF$10),15-13*ORÇAMENTO!$AF$11))),IF($A106=0,0,ROUND(SomaAgrupBM,15-13*ORÇAMENTO!$AF$11)))</f>
        <v>0</v>
      </c>
    </row>
    <row r="107" spans="1:41" ht="51" x14ac:dyDescent="0.2">
      <c r="A107" t="str">
        <f ca="1">ORÇAMENTO!C107</f>
        <v>S</v>
      </c>
      <c r="B107">
        <f ca="1">ORÇAMENTO!D107</f>
        <v>0</v>
      </c>
      <c r="C107" s="143" t="str">
        <f t="shared" ca="1" si="41"/>
        <v/>
      </c>
      <c r="D107" s="146" t="str">
        <f ca="1">ORÇAMENTO!O107</f>
        <v>-</v>
      </c>
      <c r="E107" s="206" t="str">
        <f t="shared" si="42"/>
        <v xml:space="preserve">PLACA DE SINALIZACAO DE SEGURANCA CONTRA INCENDIO - ALERTA, TRIANGULAR, BASE DE *30* CM, EM PVC *2* MM ANTI-CHAMAS (SIMBOLOS, CORES E PICTOGRAMAS CONFORME NBR 16820)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F107" s="207" t="str">
        <f ca="1">IF(RegimeExecucao="Global","",ORÇAMENTO.Unidade)</f>
        <v/>
      </c>
      <c r="G107" s="151" t="str">
        <f ca="1">IF(RegimeExecucao="Global","",ORÇAMENTO!T107)</f>
        <v/>
      </c>
      <c r="H107" s="151" t="str">
        <f ca="1">IF(RegimeExecucao="Global","",ORÇAMENTO!W107)</f>
        <v/>
      </c>
      <c r="I107" s="154">
        <f ca="1">ORÇAMENTO!X107</f>
        <v>0</v>
      </c>
      <c r="J107" s="427">
        <f ca="1">IF($A107="S",IF(CAIXA.Modo,BM.AFAnterior,BM.MEDAnterior),IF(AND(RegimeExecucao="Global",$I107&gt;0,COUNTIF($AB$13:$AM$13,BM.medicao-1)&gt;0),M107/$I107*100,0))</f>
        <v>0</v>
      </c>
      <c r="K107" s="151">
        <f t="shared" ca="1" si="43"/>
        <v>0</v>
      </c>
      <c r="L107" s="428">
        <f ca="1">IF($A107="S",IF(CAIXA.Modo,BM.AFAcumulado,BM.MEDAcumulado),IF(AND(RegimeExecucao="Global",$I107&gt;0,COUNTIF($AB$13:$AM$13,BM.medicao)&gt;0),O107/$I107*100,0))</f>
        <v>0</v>
      </c>
      <c r="M107" s="429">
        <f ca="1">IF($A107="S",VTOTALBM,IF($A107=0,0,ROUND(SomaAgrupBM,15-13*ORÇAMENTO!$AF$11)))</f>
        <v>0</v>
      </c>
      <c r="N107" s="430">
        <f t="shared" ca="1" si="44"/>
        <v>0</v>
      </c>
      <c r="O107" s="154">
        <f ca="1">IF($A107="S",VTOTALBM,IF($A107=0,0,ROUND(SomaAgrupBM,15-13*ORÇAMENTO!$AF$11)))</f>
        <v>0</v>
      </c>
      <c r="Q107" s="431"/>
      <c r="R107" s="432"/>
      <c r="T107" s="146" t="str">
        <f t="shared" ca="1" si="45"/>
        <v/>
      </c>
      <c r="U107" s="206" t="str">
        <f t="shared" ca="1" si="46"/>
        <v/>
      </c>
      <c r="V107" s="207" t="str">
        <f ca="1">IF(AND($W107&gt;0,RegimeExecucao="Unitário"),$F107,"")</f>
        <v/>
      </c>
      <c r="W107" s="633">
        <f ca="1">IF($Y107&gt;0,CHOOSE(MATCH(RegimeExecucao,{"Unitário","Global"},0),IF($A107="S",$Y107/$X107,""),($Y107/$X107)*100),0)</f>
        <v>0</v>
      </c>
      <c r="X107" s="433" t="str">
        <f ca="1">IF($Y107&gt;0,CHOOSE(MATCH(RegimeExecucao,{"Unitário","Global"},0),IF($A107="S",ROUND($H107,ORÇAMENTO!$AF$10),""),ROUND($I107,ORÇAMENTO!$AF$11)),"")</f>
        <v/>
      </c>
      <c r="Y107" s="433">
        <f t="shared" ca="1" si="47"/>
        <v>0</v>
      </c>
      <c r="Z107" s="660"/>
      <c r="AB107" s="431"/>
      <c r="AC107" s="598"/>
      <c r="AD107" s="598"/>
      <c r="AE107" s="598"/>
      <c r="AF107" s="598"/>
      <c r="AG107" s="598"/>
      <c r="AH107" s="598"/>
      <c r="AI107" s="598"/>
      <c r="AJ107" s="598"/>
      <c r="AK107" s="598"/>
      <c r="AL107" s="598"/>
      <c r="AM107" s="432"/>
      <c r="AO107">
        <f ca="1">IF($A107="S",IF(BM!$I107=0,0,CHOOSE(MATCH(RegimeExecucao,{"Global","Unitário"},0),ROUND(ROUND(BM.MEDAcumulado,15-13*BM!$A$9)/100*BM!$I107,15-13*ORÇAMENTO!$AF$11),ROUND(ROUND(BM.MEDAcumulado,15-13*BM!$A$9)*ROUND(BM!$H107,15-13*ORÇAMENTO!$AF$10),15-13*ORÇAMENTO!$AF$11))),IF($A107=0,0,ROUND(SomaAgrupBM,15-13*ORÇAMENTO!$AF$11)))</f>
        <v>0</v>
      </c>
    </row>
    <row r="108" spans="1:41" x14ac:dyDescent="0.2">
      <c r="A108">
        <f ca="1">ORÇAMENTO!C108</f>
        <v>2</v>
      </c>
      <c r="B108">
        <f ca="1">ORÇAMENTO!D108</f>
        <v>41</v>
      </c>
      <c r="C108" s="143" t="str">
        <f t="shared" ca="1" si="41"/>
        <v>F</v>
      </c>
      <c r="D108" s="146" t="str">
        <f ca="1">ORÇAMENTO!O108</f>
        <v>1.18.</v>
      </c>
      <c r="E108" s="206" t="str">
        <f t="shared" si="42"/>
        <v xml:space="preserve">ELÉTRICA </v>
      </c>
      <c r="F108" s="207" t="str">
        <f ca="1">IF(RegimeExecucao="Global","",ORÇAMENTO.Unidade)</f>
        <v/>
      </c>
      <c r="G108" s="151" t="str">
        <f ca="1">IF(RegimeExecucao="Global","",ORÇAMENTO!T108)</f>
        <v/>
      </c>
      <c r="H108" s="151" t="str">
        <f ca="1">IF(RegimeExecucao="Global","",ORÇAMENTO!W108)</f>
        <v/>
      </c>
      <c r="I108" s="154">
        <f ca="1">ORÇAMENTO!X108</f>
        <v>0</v>
      </c>
      <c r="J108" s="427">
        <f ca="1">IF($A108="S",IF(CAIXA.Modo,BM.AFAnterior,BM.MEDAnterior),IF(AND(RegimeExecucao="Global",$I108&gt;0,COUNTIF($AB$13:$AM$13,BM.medicao-1)&gt;0),M108/$I108*100,0))</f>
        <v>0</v>
      </c>
      <c r="K108" s="151">
        <f t="shared" ca="1" si="43"/>
        <v>0</v>
      </c>
      <c r="L108" s="428">
        <f ca="1">IF($A108="S",IF(CAIXA.Modo,BM.AFAcumulado,BM.MEDAcumulado),IF(AND(RegimeExecucao="Global",$I108&gt;0,COUNTIF($AB$13:$AM$13,BM.medicao)&gt;0),O108/$I108*100,0))</f>
        <v>0</v>
      </c>
      <c r="M108" s="429">
        <f ca="1">IF($A108="S",VTOTALBM,IF($A108=0,0,ROUND(SomaAgrupBM,15-13*ORÇAMENTO!$AF$11)))</f>
        <v>0</v>
      </c>
      <c r="N108" s="430">
        <f t="shared" ca="1" si="44"/>
        <v>0</v>
      </c>
      <c r="O108" s="154">
        <f ca="1">IF($A108="S",VTOTALBM,IF($A108=0,0,ROUND(SomaAgrupBM,15-13*ORÇAMENTO!$AF$11)))</f>
        <v>0</v>
      </c>
      <c r="Q108" s="431"/>
      <c r="R108" s="432"/>
      <c r="T108" s="146" t="str">
        <f t="shared" ca="1" si="45"/>
        <v/>
      </c>
      <c r="U108" s="206" t="str">
        <f t="shared" ca="1" si="46"/>
        <v/>
      </c>
      <c r="V108" s="207" t="str">
        <f ca="1">IF(AND($W108&gt;0,RegimeExecucao="Unitário"),$F108,"")</f>
        <v/>
      </c>
      <c r="W108" s="633">
        <f ca="1">IF($Y108&gt;0,CHOOSE(MATCH(RegimeExecucao,{"Unitário","Global"},0),IF($A108="S",$Y108/$X108,""),($Y108/$X108)*100),0)</f>
        <v>0</v>
      </c>
      <c r="X108" s="433" t="str">
        <f ca="1">IF($Y108&gt;0,CHOOSE(MATCH(RegimeExecucao,{"Unitário","Global"},0),IF($A108="S",ROUND($H108,ORÇAMENTO!$AF$10),""),ROUND($I108,ORÇAMENTO!$AF$11)),"")</f>
        <v/>
      </c>
      <c r="Y108" s="433">
        <f t="shared" ca="1" si="47"/>
        <v>0</v>
      </c>
      <c r="Z108" s="660"/>
      <c r="AB108" s="431"/>
      <c r="AC108" s="598"/>
      <c r="AD108" s="598"/>
      <c r="AE108" s="598"/>
      <c r="AF108" s="598"/>
      <c r="AG108" s="598"/>
      <c r="AH108" s="598"/>
      <c r="AI108" s="598"/>
      <c r="AJ108" s="598"/>
      <c r="AK108" s="598"/>
      <c r="AL108" s="598"/>
      <c r="AM108" s="432"/>
      <c r="AO108">
        <f ca="1">IF($A108="S",IF(BM!$I108=0,0,CHOOSE(MATCH(RegimeExecucao,{"Global","Unitário"},0),ROUND(ROUND(BM.MEDAcumulado,15-13*BM!$A$9)/100*BM!$I108,15-13*ORÇAMENTO!$AF$11),ROUND(ROUND(BM.MEDAcumulado,15-13*BM!$A$9)*ROUND(BM!$H108,15-13*ORÇAMENTO!$AF$10),15-13*ORÇAMENTO!$AF$11))),IF($A108=0,0,ROUND(SomaAgrupBM,15-13*ORÇAMENTO!$AF$11)))</f>
        <v>0</v>
      </c>
    </row>
    <row r="109" spans="1:41" ht="38.25" x14ac:dyDescent="0.2">
      <c r="A109" t="str">
        <f ca="1">ORÇAMENTO!C109</f>
        <v>S</v>
      </c>
      <c r="B109">
        <f ca="1">ORÇAMENTO!D109</f>
        <v>0</v>
      </c>
      <c r="C109" s="143" t="str">
        <f t="shared" ca="1" si="41"/>
        <v/>
      </c>
      <c r="D109" s="146" t="str">
        <f ca="1">ORÇAMENTO!O109</f>
        <v>-</v>
      </c>
      <c r="E109" s="206" t="str">
        <f t="shared" si="42"/>
        <v>CABO DE COBRE FLEXÍVEL ISOLADO, 1,5 MM², ANTI-CHAMA 0,6/1,0 KV, PARA CIRCUITOS TERMINAIS - FORNECIMENTO E INSTALAÇÃO. AF_03/2023</v>
      </c>
      <c r="F109" s="207" t="str">
        <f ca="1">IF(RegimeExecucao="Global","",ORÇAMENTO.Unidade)</f>
        <v/>
      </c>
      <c r="G109" s="151" t="str">
        <f ca="1">IF(RegimeExecucao="Global","",ORÇAMENTO!T109)</f>
        <v/>
      </c>
      <c r="H109" s="151" t="str">
        <f ca="1">IF(RegimeExecucao="Global","",ORÇAMENTO!W109)</f>
        <v/>
      </c>
      <c r="I109" s="154">
        <f ca="1">ORÇAMENTO!X109</f>
        <v>0</v>
      </c>
      <c r="J109" s="427">
        <f ca="1">IF($A109="S",IF(CAIXA.Modo,BM.AFAnterior,BM.MEDAnterior),IF(AND(RegimeExecucao="Global",$I109&gt;0,COUNTIF($AB$13:$AM$13,BM.medicao-1)&gt;0),M109/$I109*100,0))</f>
        <v>0</v>
      </c>
      <c r="K109" s="151">
        <f t="shared" ca="1" si="43"/>
        <v>0</v>
      </c>
      <c r="L109" s="428">
        <f ca="1">IF($A109="S",IF(CAIXA.Modo,BM.AFAcumulado,BM.MEDAcumulado),IF(AND(RegimeExecucao="Global",$I109&gt;0,COUNTIF($AB$13:$AM$13,BM.medicao)&gt;0),O109/$I109*100,0))</f>
        <v>0</v>
      </c>
      <c r="M109" s="429">
        <f ca="1">IF($A109="S",VTOTALBM,IF($A109=0,0,ROUND(SomaAgrupBM,15-13*ORÇAMENTO!$AF$11)))</f>
        <v>0</v>
      </c>
      <c r="N109" s="430">
        <f t="shared" ca="1" si="44"/>
        <v>0</v>
      </c>
      <c r="O109" s="154">
        <f ca="1">IF($A109="S",VTOTALBM,IF($A109=0,0,ROUND(SomaAgrupBM,15-13*ORÇAMENTO!$AF$11)))</f>
        <v>0</v>
      </c>
      <c r="Q109" s="431"/>
      <c r="R109" s="432"/>
      <c r="T109" s="146" t="str">
        <f t="shared" ca="1" si="45"/>
        <v/>
      </c>
      <c r="U109" s="206" t="str">
        <f t="shared" ca="1" si="46"/>
        <v/>
      </c>
      <c r="V109" s="207" t="str">
        <f ca="1">IF(AND($W109&gt;0,RegimeExecucao="Unitário"),$F109,"")</f>
        <v/>
      </c>
      <c r="W109" s="633">
        <f ca="1">IF($Y109&gt;0,CHOOSE(MATCH(RegimeExecucao,{"Unitário","Global"},0),IF($A109="S",$Y109/$X109,""),($Y109/$X109)*100),0)</f>
        <v>0</v>
      </c>
      <c r="X109" s="433" t="str">
        <f ca="1">IF($Y109&gt;0,CHOOSE(MATCH(RegimeExecucao,{"Unitário","Global"},0),IF($A109="S",ROUND($H109,ORÇAMENTO!$AF$10),""),ROUND($I109,ORÇAMENTO!$AF$11)),"")</f>
        <v/>
      </c>
      <c r="Y109" s="433">
        <f t="shared" ca="1" si="47"/>
        <v>0</v>
      </c>
      <c r="Z109" s="660"/>
      <c r="AB109" s="431"/>
      <c r="AC109" s="598"/>
      <c r="AD109" s="598"/>
      <c r="AE109" s="598"/>
      <c r="AF109" s="598"/>
      <c r="AG109" s="598"/>
      <c r="AH109" s="598"/>
      <c r="AI109" s="598"/>
      <c r="AJ109" s="598"/>
      <c r="AK109" s="598"/>
      <c r="AL109" s="598"/>
      <c r="AM109" s="432"/>
      <c r="AO109">
        <f ca="1">IF($A109="S",IF(BM!$I109=0,0,CHOOSE(MATCH(RegimeExecucao,{"Global","Unitário"},0),ROUND(ROUND(BM.MEDAcumulado,15-13*BM!$A$9)/100*BM!$I109,15-13*ORÇAMENTO!$AF$11),ROUND(ROUND(BM.MEDAcumulado,15-13*BM!$A$9)*ROUND(BM!$H109,15-13*ORÇAMENTO!$AF$10),15-13*ORÇAMENTO!$AF$11))),IF($A109=0,0,ROUND(SomaAgrupBM,15-13*ORÇAMENTO!$AF$11)))</f>
        <v>0</v>
      </c>
    </row>
    <row r="110" spans="1:41" ht="38.25" x14ac:dyDescent="0.2">
      <c r="A110" t="str">
        <f ca="1">ORÇAMENTO!C110</f>
        <v>S</v>
      </c>
      <c r="B110">
        <f ca="1">ORÇAMENTO!D110</f>
        <v>0</v>
      </c>
      <c r="C110" s="143" t="str">
        <f t="shared" ca="1" si="41"/>
        <v/>
      </c>
      <c r="D110" s="146" t="str">
        <f ca="1">ORÇAMENTO!O110</f>
        <v>-</v>
      </c>
      <c r="E110" s="206" t="str">
        <f t="shared" si="42"/>
        <v>CABO DE COBRE FLEXÍVEL ISOLADO, 16 MM², ANTI-CHAMA 0,6/1,0 KV, PARA CIRCUITOS TERMINAIS - FORNECIMENTO E INSTALAÇÃO. AF_03/2023</v>
      </c>
      <c r="F110" s="207" t="str">
        <f ca="1">IF(RegimeExecucao="Global","",ORÇAMENTO.Unidade)</f>
        <v/>
      </c>
      <c r="G110" s="151" t="str">
        <f ca="1">IF(RegimeExecucao="Global","",ORÇAMENTO!T110)</f>
        <v/>
      </c>
      <c r="H110" s="151" t="str">
        <f ca="1">IF(RegimeExecucao="Global","",ORÇAMENTO!W110)</f>
        <v/>
      </c>
      <c r="I110" s="154">
        <f ca="1">ORÇAMENTO!X110</f>
        <v>0</v>
      </c>
      <c r="J110" s="427">
        <f ca="1">IF($A110="S",IF(CAIXA.Modo,BM.AFAnterior,BM.MEDAnterior),IF(AND(RegimeExecucao="Global",$I110&gt;0,COUNTIF($AB$13:$AM$13,BM.medicao-1)&gt;0),M110/$I110*100,0))</f>
        <v>0</v>
      </c>
      <c r="K110" s="151">
        <f t="shared" ca="1" si="43"/>
        <v>0</v>
      </c>
      <c r="L110" s="428">
        <f ca="1">IF($A110="S",IF(CAIXA.Modo,BM.AFAcumulado,BM.MEDAcumulado),IF(AND(RegimeExecucao="Global",$I110&gt;0,COUNTIF($AB$13:$AM$13,BM.medicao)&gt;0),O110/$I110*100,0))</f>
        <v>0</v>
      </c>
      <c r="M110" s="429">
        <f ca="1">IF($A110="S",VTOTALBM,IF($A110=0,0,ROUND(SomaAgrupBM,15-13*ORÇAMENTO!$AF$11)))</f>
        <v>0</v>
      </c>
      <c r="N110" s="430">
        <f t="shared" ca="1" si="44"/>
        <v>0</v>
      </c>
      <c r="O110" s="154">
        <f ca="1">IF($A110="S",VTOTALBM,IF($A110=0,0,ROUND(SomaAgrupBM,15-13*ORÇAMENTO!$AF$11)))</f>
        <v>0</v>
      </c>
      <c r="Q110" s="431"/>
      <c r="R110" s="432"/>
      <c r="T110" s="146" t="str">
        <f t="shared" ca="1" si="45"/>
        <v/>
      </c>
      <c r="U110" s="206" t="str">
        <f t="shared" ca="1" si="46"/>
        <v/>
      </c>
      <c r="V110" s="207" t="str">
        <f ca="1">IF(AND($W110&gt;0,RegimeExecucao="Unitário"),$F110,"")</f>
        <v/>
      </c>
      <c r="W110" s="633">
        <f ca="1">IF($Y110&gt;0,CHOOSE(MATCH(RegimeExecucao,{"Unitário","Global"},0),IF($A110="S",$Y110/$X110,""),($Y110/$X110)*100),0)</f>
        <v>0</v>
      </c>
      <c r="X110" s="433" t="str">
        <f ca="1">IF($Y110&gt;0,CHOOSE(MATCH(RegimeExecucao,{"Unitário","Global"},0),IF($A110="S",ROUND($H110,ORÇAMENTO!$AF$10),""),ROUND($I110,ORÇAMENTO!$AF$11)),"")</f>
        <v/>
      </c>
      <c r="Y110" s="433">
        <f t="shared" ca="1" si="47"/>
        <v>0</v>
      </c>
      <c r="Z110" s="660"/>
      <c r="AB110" s="431"/>
      <c r="AC110" s="598"/>
      <c r="AD110" s="598"/>
      <c r="AE110" s="598"/>
      <c r="AF110" s="598"/>
      <c r="AG110" s="598"/>
      <c r="AH110" s="598"/>
      <c r="AI110" s="598"/>
      <c r="AJ110" s="598"/>
      <c r="AK110" s="598"/>
      <c r="AL110" s="598"/>
      <c r="AM110" s="432"/>
      <c r="AO110">
        <f ca="1">IF($A110="S",IF(BM!$I110=0,0,CHOOSE(MATCH(RegimeExecucao,{"Global","Unitário"},0),ROUND(ROUND(BM.MEDAcumulado,15-13*BM!$A$9)/100*BM!$I110,15-13*ORÇAMENTO!$AF$11),ROUND(ROUND(BM.MEDAcumulado,15-13*BM!$A$9)*ROUND(BM!$H110,15-13*ORÇAMENTO!$AF$10),15-13*ORÇAMENTO!$AF$11))),IF($A110=0,0,ROUND(SomaAgrupBM,15-13*ORÇAMENTO!$AF$11)))</f>
        <v>0</v>
      </c>
    </row>
    <row r="111" spans="1:41" ht="38.25" x14ac:dyDescent="0.2">
      <c r="A111" t="str">
        <f ca="1">ORÇAMENTO!C111</f>
        <v>S</v>
      </c>
      <c r="B111">
        <f ca="1">ORÇAMENTO!D111</f>
        <v>0</v>
      </c>
      <c r="C111" s="143" t="str">
        <f t="shared" ca="1" si="41"/>
        <v/>
      </c>
      <c r="D111" s="146" t="str">
        <f ca="1">ORÇAMENTO!O111</f>
        <v>-</v>
      </c>
      <c r="E111" s="206" t="str">
        <f t="shared" si="42"/>
        <v>CABO DE COBRE FLEXÍVEL ISOLADO, 2,5 MM², ANTI-CHAMA 0,6/1,0 KV, PARA CIRCUITOS TERMINAIS - FORNECIMENTO E INSTALAÇÃO. AF_03/2023</v>
      </c>
      <c r="F111" s="207" t="str">
        <f ca="1">IF(RegimeExecucao="Global","",ORÇAMENTO.Unidade)</f>
        <v/>
      </c>
      <c r="G111" s="151" t="str">
        <f ca="1">IF(RegimeExecucao="Global","",ORÇAMENTO!T111)</f>
        <v/>
      </c>
      <c r="H111" s="151" t="str">
        <f ca="1">IF(RegimeExecucao="Global","",ORÇAMENTO!W111)</f>
        <v/>
      </c>
      <c r="I111" s="154">
        <f ca="1">ORÇAMENTO!X111</f>
        <v>0</v>
      </c>
      <c r="J111" s="427">
        <f ca="1">IF($A111="S",IF(CAIXA.Modo,BM.AFAnterior,BM.MEDAnterior),IF(AND(RegimeExecucao="Global",$I111&gt;0,COUNTIF($AB$13:$AM$13,BM.medicao-1)&gt;0),M111/$I111*100,0))</f>
        <v>0</v>
      </c>
      <c r="K111" s="151">
        <f t="shared" ca="1" si="43"/>
        <v>0</v>
      </c>
      <c r="L111" s="428">
        <f ca="1">IF($A111="S",IF(CAIXA.Modo,BM.AFAcumulado,BM.MEDAcumulado),IF(AND(RegimeExecucao="Global",$I111&gt;0,COUNTIF($AB$13:$AM$13,BM.medicao)&gt;0),O111/$I111*100,0))</f>
        <v>0</v>
      </c>
      <c r="M111" s="429">
        <f ca="1">IF($A111="S",VTOTALBM,IF($A111=0,0,ROUND(SomaAgrupBM,15-13*ORÇAMENTO!$AF$11)))</f>
        <v>0</v>
      </c>
      <c r="N111" s="430">
        <f t="shared" ca="1" si="44"/>
        <v>0</v>
      </c>
      <c r="O111" s="154">
        <f ca="1">IF($A111="S",VTOTALBM,IF($A111=0,0,ROUND(SomaAgrupBM,15-13*ORÇAMENTO!$AF$11)))</f>
        <v>0</v>
      </c>
      <c r="Q111" s="431"/>
      <c r="R111" s="432"/>
      <c r="T111" s="146" t="str">
        <f t="shared" ca="1" si="45"/>
        <v/>
      </c>
      <c r="U111" s="206" t="str">
        <f t="shared" ca="1" si="46"/>
        <v/>
      </c>
      <c r="V111" s="207" t="str">
        <f ca="1">IF(AND($W111&gt;0,RegimeExecucao="Unitário"),$F111,"")</f>
        <v/>
      </c>
      <c r="W111" s="633">
        <f ca="1">IF($Y111&gt;0,CHOOSE(MATCH(RegimeExecucao,{"Unitário","Global"},0),IF($A111="S",$Y111/$X111,""),($Y111/$X111)*100),0)</f>
        <v>0</v>
      </c>
      <c r="X111" s="433" t="str">
        <f ca="1">IF($Y111&gt;0,CHOOSE(MATCH(RegimeExecucao,{"Unitário","Global"},0),IF($A111="S",ROUND($H111,ORÇAMENTO!$AF$10),""),ROUND($I111,ORÇAMENTO!$AF$11)),"")</f>
        <v/>
      </c>
      <c r="Y111" s="433">
        <f t="shared" ca="1" si="47"/>
        <v>0</v>
      </c>
      <c r="Z111" s="660"/>
      <c r="AB111" s="431"/>
      <c r="AC111" s="598"/>
      <c r="AD111" s="598"/>
      <c r="AE111" s="598"/>
      <c r="AF111" s="598"/>
      <c r="AG111" s="598"/>
      <c r="AH111" s="598"/>
      <c r="AI111" s="598"/>
      <c r="AJ111" s="598"/>
      <c r="AK111" s="598"/>
      <c r="AL111" s="598"/>
      <c r="AM111" s="432"/>
      <c r="AO111">
        <f ca="1">IF($A111="S",IF(BM!$I111=0,0,CHOOSE(MATCH(RegimeExecucao,{"Global","Unitário"},0),ROUND(ROUND(BM.MEDAcumulado,15-13*BM!$A$9)/100*BM!$I111,15-13*ORÇAMENTO!$AF$11),ROUND(ROUND(BM.MEDAcumulado,15-13*BM!$A$9)*ROUND(BM!$H111,15-13*ORÇAMENTO!$AF$10),15-13*ORÇAMENTO!$AF$11))),IF($A111=0,0,ROUND(SomaAgrupBM,15-13*ORÇAMENTO!$AF$11)))</f>
        <v>0</v>
      </c>
    </row>
    <row r="112" spans="1:41" ht="38.25" x14ac:dyDescent="0.2">
      <c r="A112" t="str">
        <f ca="1">ORÇAMENTO!C112</f>
        <v>S</v>
      </c>
      <c r="B112">
        <f ca="1">ORÇAMENTO!D112</f>
        <v>0</v>
      </c>
      <c r="C112" s="143" t="str">
        <f t="shared" ca="1" si="41"/>
        <v/>
      </c>
      <c r="D112" s="146" t="str">
        <f ca="1">ORÇAMENTO!O112</f>
        <v>-</v>
      </c>
      <c r="E112" s="206" t="str">
        <f t="shared" si="42"/>
        <v>CABO DE COBRE FLEXÍVEL ISOLADO, 35 MM², 0,6/1,0 KV, PARA REDE AÉREA DE DISTRIBUIÇÃO DE ENERGIA ELÉTRICA DE BAIXA TENSÃO - FORNECIMENTO E INSTALAÇÃO. AF_07/2020</v>
      </c>
      <c r="F112" s="207" t="str">
        <f ca="1">IF(RegimeExecucao="Global","",ORÇAMENTO.Unidade)</f>
        <v/>
      </c>
      <c r="G112" s="151" t="str">
        <f ca="1">IF(RegimeExecucao="Global","",ORÇAMENTO!T112)</f>
        <v/>
      </c>
      <c r="H112" s="151" t="str">
        <f ca="1">IF(RegimeExecucao="Global","",ORÇAMENTO!W112)</f>
        <v/>
      </c>
      <c r="I112" s="154">
        <f ca="1">ORÇAMENTO!X112</f>
        <v>0</v>
      </c>
      <c r="J112" s="427">
        <f ca="1">IF($A112="S",IF(CAIXA.Modo,BM.AFAnterior,BM.MEDAnterior),IF(AND(RegimeExecucao="Global",$I112&gt;0,COUNTIF($AB$13:$AM$13,BM.medicao-1)&gt;0),M112/$I112*100,0))</f>
        <v>0</v>
      </c>
      <c r="K112" s="151">
        <f t="shared" ca="1" si="43"/>
        <v>0</v>
      </c>
      <c r="L112" s="428">
        <f ca="1">IF($A112="S",IF(CAIXA.Modo,BM.AFAcumulado,BM.MEDAcumulado),IF(AND(RegimeExecucao="Global",$I112&gt;0,COUNTIF($AB$13:$AM$13,BM.medicao)&gt;0),O112/$I112*100,0))</f>
        <v>0</v>
      </c>
      <c r="M112" s="429">
        <f ca="1">IF($A112="S",VTOTALBM,IF($A112=0,0,ROUND(SomaAgrupBM,15-13*ORÇAMENTO!$AF$11)))</f>
        <v>0</v>
      </c>
      <c r="N112" s="430">
        <f t="shared" ca="1" si="44"/>
        <v>0</v>
      </c>
      <c r="O112" s="154">
        <f ca="1">IF($A112="S",VTOTALBM,IF($A112=0,0,ROUND(SomaAgrupBM,15-13*ORÇAMENTO!$AF$11)))</f>
        <v>0</v>
      </c>
      <c r="Q112" s="431"/>
      <c r="R112" s="432"/>
      <c r="T112" s="146" t="str">
        <f t="shared" ca="1" si="45"/>
        <v/>
      </c>
      <c r="U112" s="206" t="str">
        <f t="shared" ca="1" si="46"/>
        <v/>
      </c>
      <c r="V112" s="207" t="str">
        <f ca="1">IF(AND($W112&gt;0,RegimeExecucao="Unitário"),$F112,"")</f>
        <v/>
      </c>
      <c r="W112" s="633">
        <f ca="1">IF($Y112&gt;0,CHOOSE(MATCH(RegimeExecucao,{"Unitário","Global"},0),IF($A112="S",$Y112/$X112,""),($Y112/$X112)*100),0)</f>
        <v>0</v>
      </c>
      <c r="X112" s="433" t="str">
        <f ca="1">IF($Y112&gt;0,CHOOSE(MATCH(RegimeExecucao,{"Unitário","Global"},0),IF($A112="S",ROUND($H112,ORÇAMENTO!$AF$10),""),ROUND($I112,ORÇAMENTO!$AF$11)),"")</f>
        <v/>
      </c>
      <c r="Y112" s="433">
        <f t="shared" ca="1" si="47"/>
        <v>0</v>
      </c>
      <c r="Z112" s="660"/>
      <c r="AB112" s="431"/>
      <c r="AC112" s="598"/>
      <c r="AD112" s="598"/>
      <c r="AE112" s="598"/>
      <c r="AF112" s="598"/>
      <c r="AG112" s="598"/>
      <c r="AH112" s="598"/>
      <c r="AI112" s="598"/>
      <c r="AJ112" s="598"/>
      <c r="AK112" s="598"/>
      <c r="AL112" s="598"/>
      <c r="AM112" s="432"/>
      <c r="AO112">
        <f ca="1">IF($A112="S",IF(BM!$I112=0,0,CHOOSE(MATCH(RegimeExecucao,{"Global","Unitário"},0),ROUND(ROUND(BM.MEDAcumulado,15-13*BM!$A$9)/100*BM!$I112,15-13*ORÇAMENTO!$AF$11),ROUND(ROUND(BM.MEDAcumulado,15-13*BM!$A$9)*ROUND(BM!$H112,15-13*ORÇAMENTO!$AF$10),15-13*ORÇAMENTO!$AF$11))),IF($A112=0,0,ROUND(SomaAgrupBM,15-13*ORÇAMENTO!$AF$11)))</f>
        <v>0</v>
      </c>
    </row>
    <row r="113" spans="1:41" ht="38.25" x14ac:dyDescent="0.2">
      <c r="A113" t="str">
        <f ca="1">ORÇAMENTO!C113</f>
        <v>S</v>
      </c>
      <c r="B113">
        <f ca="1">ORÇAMENTO!D113</f>
        <v>0</v>
      </c>
      <c r="C113" s="143" t="str">
        <f t="shared" ca="1" si="41"/>
        <v/>
      </c>
      <c r="D113" s="146" t="str">
        <f ca="1">ORÇAMENTO!O113</f>
        <v>-</v>
      </c>
      <c r="E113" s="206" t="str">
        <f t="shared" si="42"/>
        <v>CABO DE COBRE FLEXÍVEL ISOLADO, 4 MM², ANTI-CHAMA 0,6/1,0 KV, PARA CIRCUITOS TERMINAIS - FORNECIMENTO E INSTALAÇÃO. AF_03/2023</v>
      </c>
      <c r="F113" s="207" t="str">
        <f ca="1">IF(RegimeExecucao="Global","",ORÇAMENTO.Unidade)</f>
        <v/>
      </c>
      <c r="G113" s="151" t="str">
        <f ca="1">IF(RegimeExecucao="Global","",ORÇAMENTO!T113)</f>
        <v/>
      </c>
      <c r="H113" s="151" t="str">
        <f ca="1">IF(RegimeExecucao="Global","",ORÇAMENTO!W113)</f>
        <v/>
      </c>
      <c r="I113" s="154">
        <f ca="1">ORÇAMENTO!X113</f>
        <v>0</v>
      </c>
      <c r="J113" s="427">
        <f ca="1">IF($A113="S",IF(CAIXA.Modo,BM.AFAnterior,BM.MEDAnterior),IF(AND(RegimeExecucao="Global",$I113&gt;0,COUNTIF($AB$13:$AM$13,BM.medicao-1)&gt;0),M113/$I113*100,0))</f>
        <v>0</v>
      </c>
      <c r="K113" s="151">
        <f t="shared" ca="1" si="43"/>
        <v>0</v>
      </c>
      <c r="L113" s="428">
        <f ca="1">IF($A113="S",IF(CAIXA.Modo,BM.AFAcumulado,BM.MEDAcumulado),IF(AND(RegimeExecucao="Global",$I113&gt;0,COUNTIF($AB$13:$AM$13,BM.medicao)&gt;0),O113/$I113*100,0))</f>
        <v>0</v>
      </c>
      <c r="M113" s="429">
        <f ca="1">IF($A113="S",VTOTALBM,IF($A113=0,0,ROUND(SomaAgrupBM,15-13*ORÇAMENTO!$AF$11)))</f>
        <v>0</v>
      </c>
      <c r="N113" s="430">
        <f t="shared" ca="1" si="44"/>
        <v>0</v>
      </c>
      <c r="O113" s="154">
        <f ca="1">IF($A113="S",VTOTALBM,IF($A113=0,0,ROUND(SomaAgrupBM,15-13*ORÇAMENTO!$AF$11)))</f>
        <v>0</v>
      </c>
      <c r="Q113" s="431"/>
      <c r="R113" s="432"/>
      <c r="T113" s="146" t="str">
        <f t="shared" ca="1" si="45"/>
        <v/>
      </c>
      <c r="U113" s="206" t="str">
        <f t="shared" ca="1" si="46"/>
        <v/>
      </c>
      <c r="V113" s="207" t="str">
        <f ca="1">IF(AND($W113&gt;0,RegimeExecucao="Unitário"),$F113,"")</f>
        <v/>
      </c>
      <c r="W113" s="633">
        <f ca="1">IF($Y113&gt;0,CHOOSE(MATCH(RegimeExecucao,{"Unitário","Global"},0),IF($A113="S",$Y113/$X113,""),($Y113/$X113)*100),0)</f>
        <v>0</v>
      </c>
      <c r="X113" s="433" t="str">
        <f ca="1">IF($Y113&gt;0,CHOOSE(MATCH(RegimeExecucao,{"Unitário","Global"},0),IF($A113="S",ROUND($H113,ORÇAMENTO!$AF$10),""),ROUND($I113,ORÇAMENTO!$AF$11)),"")</f>
        <v/>
      </c>
      <c r="Y113" s="433">
        <f t="shared" ca="1" si="47"/>
        <v>0</v>
      </c>
      <c r="Z113" s="660"/>
      <c r="AB113" s="431"/>
      <c r="AC113" s="598"/>
      <c r="AD113" s="598"/>
      <c r="AE113" s="598"/>
      <c r="AF113" s="598"/>
      <c r="AG113" s="598"/>
      <c r="AH113" s="598"/>
      <c r="AI113" s="598"/>
      <c r="AJ113" s="598"/>
      <c r="AK113" s="598"/>
      <c r="AL113" s="598"/>
      <c r="AM113" s="432"/>
      <c r="AO113">
        <f ca="1">IF($A113="S",IF(BM!$I113=0,0,CHOOSE(MATCH(RegimeExecucao,{"Global","Unitário"},0),ROUND(ROUND(BM.MEDAcumulado,15-13*BM!$A$9)/100*BM!$I113,15-13*ORÇAMENTO!$AF$11),ROUND(ROUND(BM.MEDAcumulado,15-13*BM!$A$9)*ROUND(BM!$H113,15-13*ORÇAMENTO!$AF$10),15-13*ORÇAMENTO!$AF$11))),IF($A113=0,0,ROUND(SomaAgrupBM,15-13*ORÇAMENTO!$AF$11)))</f>
        <v>0</v>
      </c>
    </row>
    <row r="114" spans="1:41" ht="38.25" x14ac:dyDescent="0.2">
      <c r="A114" t="str">
        <f ca="1">ORÇAMENTO!C114</f>
        <v>S</v>
      </c>
      <c r="B114">
        <f ca="1">ORÇAMENTO!D114</f>
        <v>0</v>
      </c>
      <c r="C114" s="143" t="str">
        <f t="shared" ca="1" si="41"/>
        <v/>
      </c>
      <c r="D114" s="146" t="str">
        <f ca="1">ORÇAMENTO!O114</f>
        <v>-</v>
      </c>
      <c r="E114" s="206" t="str">
        <f t="shared" si="42"/>
        <v>CABO DE COBRE FLEXÍVEL ISOLADO, 6 MM², ANTI-CHAMA 0,6/1,0 KV, PARA CIRCUITOS TERMINAIS - FORNECIMENTO E INSTALAÇÃO. AF_03/2023</v>
      </c>
      <c r="F114" s="207" t="str">
        <f ca="1">IF(RegimeExecucao="Global","",ORÇAMENTO.Unidade)</f>
        <v/>
      </c>
      <c r="G114" s="151" t="str">
        <f ca="1">IF(RegimeExecucao="Global","",ORÇAMENTO!T114)</f>
        <v/>
      </c>
      <c r="H114" s="151" t="str">
        <f ca="1">IF(RegimeExecucao="Global","",ORÇAMENTO!W114)</f>
        <v/>
      </c>
      <c r="I114" s="154">
        <f ca="1">ORÇAMENTO!X114</f>
        <v>0</v>
      </c>
      <c r="J114" s="427">
        <f ca="1">IF($A114="S",IF(CAIXA.Modo,BM.AFAnterior,BM.MEDAnterior),IF(AND(RegimeExecucao="Global",$I114&gt;0,COUNTIF($AB$13:$AM$13,BM.medicao-1)&gt;0),M114/$I114*100,0))</f>
        <v>0</v>
      </c>
      <c r="K114" s="151">
        <f t="shared" ca="1" si="43"/>
        <v>0</v>
      </c>
      <c r="L114" s="428">
        <f ca="1">IF($A114="S",IF(CAIXA.Modo,BM.AFAcumulado,BM.MEDAcumulado),IF(AND(RegimeExecucao="Global",$I114&gt;0,COUNTIF($AB$13:$AM$13,BM.medicao)&gt;0),O114/$I114*100,0))</f>
        <v>0</v>
      </c>
      <c r="M114" s="429">
        <f ca="1">IF($A114="S",VTOTALBM,IF($A114=0,0,ROUND(SomaAgrupBM,15-13*ORÇAMENTO!$AF$11)))</f>
        <v>0</v>
      </c>
      <c r="N114" s="430">
        <f t="shared" ca="1" si="44"/>
        <v>0</v>
      </c>
      <c r="O114" s="154">
        <f ca="1">IF($A114="S",VTOTALBM,IF($A114=0,0,ROUND(SomaAgrupBM,15-13*ORÇAMENTO!$AF$11)))</f>
        <v>0</v>
      </c>
      <c r="Q114" s="431"/>
      <c r="R114" s="432"/>
      <c r="T114" s="146" t="str">
        <f t="shared" ca="1" si="45"/>
        <v/>
      </c>
      <c r="U114" s="206" t="str">
        <f t="shared" ca="1" si="46"/>
        <v/>
      </c>
      <c r="V114" s="207" t="str">
        <f ca="1">IF(AND($W114&gt;0,RegimeExecucao="Unitário"),$F114,"")</f>
        <v/>
      </c>
      <c r="W114" s="633">
        <f ca="1">IF($Y114&gt;0,CHOOSE(MATCH(RegimeExecucao,{"Unitário","Global"},0),IF($A114="S",$Y114/$X114,""),($Y114/$X114)*100),0)</f>
        <v>0</v>
      </c>
      <c r="X114" s="433" t="str">
        <f ca="1">IF($Y114&gt;0,CHOOSE(MATCH(RegimeExecucao,{"Unitário","Global"},0),IF($A114="S",ROUND($H114,ORÇAMENTO!$AF$10),""),ROUND($I114,ORÇAMENTO!$AF$11)),"")</f>
        <v/>
      </c>
      <c r="Y114" s="433">
        <f t="shared" ca="1" si="47"/>
        <v>0</v>
      </c>
      <c r="Z114" s="660"/>
      <c r="AB114" s="431"/>
      <c r="AC114" s="598"/>
      <c r="AD114" s="598"/>
      <c r="AE114" s="598"/>
      <c r="AF114" s="598"/>
      <c r="AG114" s="598"/>
      <c r="AH114" s="598"/>
      <c r="AI114" s="598"/>
      <c r="AJ114" s="598"/>
      <c r="AK114" s="598"/>
      <c r="AL114" s="598"/>
      <c r="AM114" s="432"/>
      <c r="AO114">
        <f ca="1">IF($A114="S",IF(BM!$I114=0,0,CHOOSE(MATCH(RegimeExecucao,{"Global","Unitário"},0),ROUND(ROUND(BM.MEDAcumulado,15-13*BM!$A$9)/100*BM!$I114,15-13*ORÇAMENTO!$AF$11),ROUND(ROUND(BM.MEDAcumulado,15-13*BM!$A$9)*ROUND(BM!$H114,15-13*ORÇAMENTO!$AF$10),15-13*ORÇAMENTO!$AF$11))),IF($A114=0,0,ROUND(SomaAgrupBM,15-13*ORÇAMENTO!$AF$11)))</f>
        <v>0</v>
      </c>
    </row>
    <row r="115" spans="1:41" ht="25.5" x14ac:dyDescent="0.2">
      <c r="A115" t="str">
        <f ca="1">ORÇAMENTO!C115</f>
        <v>S</v>
      </c>
      <c r="B115">
        <f ca="1">ORÇAMENTO!D115</f>
        <v>0</v>
      </c>
      <c r="C115" s="143" t="str">
        <f t="shared" ca="1" si="41"/>
        <v/>
      </c>
      <c r="D115" s="146" t="str">
        <f ca="1">ORÇAMENTO!O115</f>
        <v>-</v>
      </c>
      <c r="E115" s="206" t="str">
        <f t="shared" si="42"/>
        <v>TOMADA MÉDIA DE EMBUTIR (2 MÓDULOS), 2P+T 10 A, INCLUINDO SUPORTE E PLACA - FORNECIMENTO E INSTALAÇÃO. AF_03/2023</v>
      </c>
      <c r="F115" s="207" t="str">
        <f ca="1">IF(RegimeExecucao="Global","",ORÇAMENTO.Unidade)</f>
        <v/>
      </c>
      <c r="G115" s="151" t="str">
        <f ca="1">IF(RegimeExecucao="Global","",ORÇAMENTO!T115)</f>
        <v/>
      </c>
      <c r="H115" s="151" t="str">
        <f ca="1">IF(RegimeExecucao="Global","",ORÇAMENTO!W115)</f>
        <v/>
      </c>
      <c r="I115" s="154">
        <f ca="1">ORÇAMENTO!X115</f>
        <v>0</v>
      </c>
      <c r="J115" s="427">
        <f ca="1">IF($A115="S",IF(CAIXA.Modo,BM.AFAnterior,BM.MEDAnterior),IF(AND(RegimeExecucao="Global",$I115&gt;0,COUNTIF($AB$13:$AM$13,BM.medicao-1)&gt;0),M115/$I115*100,0))</f>
        <v>0</v>
      </c>
      <c r="K115" s="151">
        <f t="shared" ca="1" si="43"/>
        <v>0</v>
      </c>
      <c r="L115" s="428">
        <f ca="1">IF($A115="S",IF(CAIXA.Modo,BM.AFAcumulado,BM.MEDAcumulado),IF(AND(RegimeExecucao="Global",$I115&gt;0,COUNTIF($AB$13:$AM$13,BM.medicao)&gt;0),O115/$I115*100,0))</f>
        <v>0</v>
      </c>
      <c r="M115" s="429">
        <f ca="1">IF($A115="S",VTOTALBM,IF($A115=0,0,ROUND(SomaAgrupBM,15-13*ORÇAMENTO!$AF$11)))</f>
        <v>0</v>
      </c>
      <c r="N115" s="430">
        <f t="shared" ca="1" si="44"/>
        <v>0</v>
      </c>
      <c r="O115" s="154">
        <f ca="1">IF($A115="S",VTOTALBM,IF($A115=0,0,ROUND(SomaAgrupBM,15-13*ORÇAMENTO!$AF$11)))</f>
        <v>0</v>
      </c>
      <c r="Q115" s="431"/>
      <c r="R115" s="432"/>
      <c r="T115" s="146" t="str">
        <f t="shared" ca="1" si="45"/>
        <v/>
      </c>
      <c r="U115" s="206" t="str">
        <f t="shared" ca="1" si="46"/>
        <v/>
      </c>
      <c r="V115" s="207" t="str">
        <f ca="1">IF(AND($W115&gt;0,RegimeExecucao="Unitário"),$F115,"")</f>
        <v/>
      </c>
      <c r="W115" s="633">
        <f ca="1">IF($Y115&gt;0,CHOOSE(MATCH(RegimeExecucao,{"Unitário","Global"},0),IF($A115="S",$Y115/$X115,""),($Y115/$X115)*100),0)</f>
        <v>0</v>
      </c>
      <c r="X115" s="433" t="str">
        <f ca="1">IF($Y115&gt;0,CHOOSE(MATCH(RegimeExecucao,{"Unitário","Global"},0),IF($A115="S",ROUND($H115,ORÇAMENTO!$AF$10),""),ROUND($I115,ORÇAMENTO!$AF$11)),"")</f>
        <v/>
      </c>
      <c r="Y115" s="433">
        <f t="shared" ca="1" si="47"/>
        <v>0</v>
      </c>
      <c r="Z115" s="660"/>
      <c r="AB115" s="431"/>
      <c r="AC115" s="598"/>
      <c r="AD115" s="598"/>
      <c r="AE115" s="598"/>
      <c r="AF115" s="598"/>
      <c r="AG115" s="598"/>
      <c r="AH115" s="598"/>
      <c r="AI115" s="598"/>
      <c r="AJ115" s="598"/>
      <c r="AK115" s="598"/>
      <c r="AL115" s="598"/>
      <c r="AM115" s="432"/>
      <c r="AO115">
        <f ca="1">IF($A115="S",IF(BM!$I115=0,0,CHOOSE(MATCH(RegimeExecucao,{"Global","Unitário"},0),ROUND(ROUND(BM.MEDAcumulado,15-13*BM!$A$9)/100*BM!$I115,15-13*ORÇAMENTO!$AF$11),ROUND(ROUND(BM.MEDAcumulado,15-13*BM!$A$9)*ROUND(BM!$H115,15-13*ORÇAMENTO!$AF$10),15-13*ORÇAMENTO!$AF$11))),IF($A115=0,0,ROUND(SomaAgrupBM,15-13*ORÇAMENTO!$AF$11)))</f>
        <v>0</v>
      </c>
    </row>
    <row r="116" spans="1:41" ht="38.25" x14ac:dyDescent="0.2">
      <c r="A116" t="str">
        <f ca="1">ORÇAMENTO!C116</f>
        <v>S</v>
      </c>
      <c r="B116">
        <f ca="1">ORÇAMENTO!D116</f>
        <v>0</v>
      </c>
      <c r="C116" s="143" t="str">
        <f t="shared" ca="1" si="41"/>
        <v/>
      </c>
      <c r="D116" s="146" t="str">
        <f ca="1">ORÇAMENTO!O116</f>
        <v>-</v>
      </c>
      <c r="E116" s="206" t="str">
        <f t="shared" si="42"/>
        <v>INTERRUPTOR SIMPLES (1 MÓDULO) COM 1 TOMADA DE EMBUTIR 2P+T 10 A, INCLUINDO SUPORTE E PLACA - FORNECIMENTO E INSTALAÇÃO. AF_03/2023</v>
      </c>
      <c r="F116" s="207" t="str">
        <f ca="1">IF(RegimeExecucao="Global","",ORÇAMENTO.Unidade)</f>
        <v/>
      </c>
      <c r="G116" s="151" t="str">
        <f ca="1">IF(RegimeExecucao="Global","",ORÇAMENTO!T116)</f>
        <v/>
      </c>
      <c r="H116" s="151" t="str">
        <f ca="1">IF(RegimeExecucao="Global","",ORÇAMENTO!W116)</f>
        <v/>
      </c>
      <c r="I116" s="154">
        <f ca="1">ORÇAMENTO!X116</f>
        <v>0</v>
      </c>
      <c r="J116" s="427">
        <f ca="1">IF($A116="S",IF(CAIXA.Modo,BM.AFAnterior,BM.MEDAnterior),IF(AND(RegimeExecucao="Global",$I116&gt;0,COUNTIF($AB$13:$AM$13,BM.medicao-1)&gt;0),M116/$I116*100,0))</f>
        <v>0</v>
      </c>
      <c r="K116" s="151">
        <f t="shared" ca="1" si="43"/>
        <v>0</v>
      </c>
      <c r="L116" s="428">
        <f ca="1">IF($A116="S",IF(CAIXA.Modo,BM.AFAcumulado,BM.MEDAcumulado),IF(AND(RegimeExecucao="Global",$I116&gt;0,COUNTIF($AB$13:$AM$13,BM.medicao)&gt;0),O116/$I116*100,0))</f>
        <v>0</v>
      </c>
      <c r="M116" s="429">
        <f ca="1">IF($A116="S",VTOTALBM,IF($A116=0,0,ROUND(SomaAgrupBM,15-13*ORÇAMENTO!$AF$11)))</f>
        <v>0</v>
      </c>
      <c r="N116" s="430">
        <f t="shared" ca="1" si="44"/>
        <v>0</v>
      </c>
      <c r="O116" s="154">
        <f ca="1">IF($A116="S",VTOTALBM,IF($A116=0,0,ROUND(SomaAgrupBM,15-13*ORÇAMENTO!$AF$11)))</f>
        <v>0</v>
      </c>
      <c r="Q116" s="431"/>
      <c r="R116" s="432"/>
      <c r="T116" s="146" t="str">
        <f t="shared" ca="1" si="45"/>
        <v/>
      </c>
      <c r="U116" s="206" t="str">
        <f t="shared" ca="1" si="46"/>
        <v/>
      </c>
      <c r="V116" s="207" t="str">
        <f ca="1">IF(AND($W116&gt;0,RegimeExecucao="Unitário"),$F116,"")</f>
        <v/>
      </c>
      <c r="W116" s="633">
        <f ca="1">IF($Y116&gt;0,CHOOSE(MATCH(RegimeExecucao,{"Unitário","Global"},0),IF($A116="S",$Y116/$X116,""),($Y116/$X116)*100),0)</f>
        <v>0</v>
      </c>
      <c r="X116" s="433" t="str">
        <f ca="1">IF($Y116&gt;0,CHOOSE(MATCH(RegimeExecucao,{"Unitário","Global"},0),IF($A116="S",ROUND($H116,ORÇAMENTO!$AF$10),""),ROUND($I116,ORÇAMENTO!$AF$11)),"")</f>
        <v/>
      </c>
      <c r="Y116" s="433">
        <f t="shared" ca="1" si="47"/>
        <v>0</v>
      </c>
      <c r="Z116" s="660"/>
      <c r="AB116" s="431"/>
      <c r="AC116" s="598"/>
      <c r="AD116" s="598"/>
      <c r="AE116" s="598"/>
      <c r="AF116" s="598"/>
      <c r="AG116" s="598"/>
      <c r="AH116" s="598"/>
      <c r="AI116" s="598"/>
      <c r="AJ116" s="598"/>
      <c r="AK116" s="598"/>
      <c r="AL116" s="598"/>
      <c r="AM116" s="432"/>
      <c r="AO116">
        <f ca="1">IF($A116="S",IF(BM!$I116=0,0,CHOOSE(MATCH(RegimeExecucao,{"Global","Unitário"},0),ROUND(ROUND(BM.MEDAcumulado,15-13*BM!$A$9)/100*BM!$I116,15-13*ORÇAMENTO!$AF$11),ROUND(ROUND(BM.MEDAcumulado,15-13*BM!$A$9)*ROUND(BM!$H116,15-13*ORÇAMENTO!$AF$10),15-13*ORÇAMENTO!$AF$11))),IF($A116=0,0,ROUND(SomaAgrupBM,15-13*ORÇAMENTO!$AF$11)))</f>
        <v>0</v>
      </c>
    </row>
    <row r="117" spans="1:41" ht="38.25" x14ac:dyDescent="0.2">
      <c r="A117" t="str">
        <f ca="1">ORÇAMENTO!C117</f>
        <v>S</v>
      </c>
      <c r="B117">
        <f ca="1">ORÇAMENTO!D117</f>
        <v>0</v>
      </c>
      <c r="C117" s="143" t="str">
        <f t="shared" ca="1" si="41"/>
        <v/>
      </c>
      <c r="D117" s="146" t="str">
        <f ca="1">ORÇAMENTO!O117</f>
        <v>-</v>
      </c>
      <c r="E117" s="206" t="str">
        <f t="shared" si="42"/>
        <v>INTERRUPTOR SIMPLES (2 MÓDULOS) COM 1 TOMADA DE EMBUTIR 2P+T 10 A, INCLUINDO SUPORTE E PLACA - FORNECIMENTO E INSTALAÇÃO. AF_03/2023</v>
      </c>
      <c r="F117" s="207" t="str">
        <f ca="1">IF(RegimeExecucao="Global","",ORÇAMENTO.Unidade)</f>
        <v/>
      </c>
      <c r="G117" s="151" t="str">
        <f ca="1">IF(RegimeExecucao="Global","",ORÇAMENTO!T117)</f>
        <v/>
      </c>
      <c r="H117" s="151" t="str">
        <f ca="1">IF(RegimeExecucao="Global","",ORÇAMENTO!W117)</f>
        <v/>
      </c>
      <c r="I117" s="154">
        <f ca="1">ORÇAMENTO!X117</f>
        <v>0</v>
      </c>
      <c r="J117" s="427">
        <f ca="1">IF($A117="S",IF(CAIXA.Modo,BM.AFAnterior,BM.MEDAnterior),IF(AND(RegimeExecucao="Global",$I117&gt;0,COUNTIF($AB$13:$AM$13,BM.medicao-1)&gt;0),M117/$I117*100,0))</f>
        <v>0</v>
      </c>
      <c r="K117" s="151">
        <f t="shared" ca="1" si="43"/>
        <v>0</v>
      </c>
      <c r="L117" s="428">
        <f ca="1">IF($A117="S",IF(CAIXA.Modo,BM.AFAcumulado,BM.MEDAcumulado),IF(AND(RegimeExecucao="Global",$I117&gt;0,COUNTIF($AB$13:$AM$13,BM.medicao)&gt;0),O117/$I117*100,0))</f>
        <v>0</v>
      </c>
      <c r="M117" s="429">
        <f ca="1">IF($A117="S",VTOTALBM,IF($A117=0,0,ROUND(SomaAgrupBM,15-13*ORÇAMENTO!$AF$11)))</f>
        <v>0</v>
      </c>
      <c r="N117" s="430">
        <f t="shared" ca="1" si="44"/>
        <v>0</v>
      </c>
      <c r="O117" s="154">
        <f ca="1">IF($A117="S",VTOTALBM,IF($A117=0,0,ROUND(SomaAgrupBM,15-13*ORÇAMENTO!$AF$11)))</f>
        <v>0</v>
      </c>
      <c r="Q117" s="431"/>
      <c r="R117" s="432"/>
      <c r="T117" s="146" t="str">
        <f t="shared" ca="1" si="45"/>
        <v/>
      </c>
      <c r="U117" s="206" t="str">
        <f t="shared" ca="1" si="46"/>
        <v/>
      </c>
      <c r="V117" s="207" t="str">
        <f ca="1">IF(AND($W117&gt;0,RegimeExecucao="Unitário"),$F117,"")</f>
        <v/>
      </c>
      <c r="W117" s="633">
        <f ca="1">IF($Y117&gt;0,CHOOSE(MATCH(RegimeExecucao,{"Unitário","Global"},0),IF($A117="S",$Y117/$X117,""),($Y117/$X117)*100),0)</f>
        <v>0</v>
      </c>
      <c r="X117" s="433" t="str">
        <f ca="1">IF($Y117&gt;0,CHOOSE(MATCH(RegimeExecucao,{"Unitário","Global"},0),IF($A117="S",ROUND($H117,ORÇAMENTO!$AF$10),""),ROUND($I117,ORÇAMENTO!$AF$11)),"")</f>
        <v/>
      </c>
      <c r="Y117" s="433">
        <f t="shared" ca="1" si="47"/>
        <v>0</v>
      </c>
      <c r="Z117" s="660"/>
      <c r="AB117" s="431"/>
      <c r="AC117" s="598"/>
      <c r="AD117" s="598"/>
      <c r="AE117" s="598"/>
      <c r="AF117" s="598"/>
      <c r="AG117" s="598"/>
      <c r="AH117" s="598"/>
      <c r="AI117" s="598"/>
      <c r="AJ117" s="598"/>
      <c r="AK117" s="598"/>
      <c r="AL117" s="598"/>
      <c r="AM117" s="432"/>
      <c r="AO117">
        <f ca="1">IF($A117="S",IF(BM!$I117=0,0,CHOOSE(MATCH(RegimeExecucao,{"Global","Unitário"},0),ROUND(ROUND(BM.MEDAcumulado,15-13*BM!$A$9)/100*BM!$I117,15-13*ORÇAMENTO!$AF$11),ROUND(ROUND(BM.MEDAcumulado,15-13*BM!$A$9)*ROUND(BM!$H117,15-13*ORÇAMENTO!$AF$10),15-13*ORÇAMENTO!$AF$11))),IF($A117=0,0,ROUND(SomaAgrupBM,15-13*ORÇAMENTO!$AF$11)))</f>
        <v>0</v>
      </c>
    </row>
    <row r="118" spans="1:41" ht="38.25" x14ac:dyDescent="0.2">
      <c r="A118" t="str">
        <f ca="1">ORÇAMENTO!C118</f>
        <v>S</v>
      </c>
      <c r="B118">
        <f ca="1">ORÇAMENTO!D118</f>
        <v>0</v>
      </c>
      <c r="C118" s="143" t="str">
        <f ca="1">IF(OR($I118&gt;0,$A118=1,$A118=2,$A118=3,$A118=4),"F","")</f>
        <v/>
      </c>
      <c r="D118" s="146" t="str">
        <f ca="1">ORÇAMENTO!O118</f>
        <v>-</v>
      </c>
      <c r="E118" s="206" t="str">
        <f>ORÇAMENTO.Descricao</f>
        <v>CAIXA RETANGULAR 4" X 2" MÉDIA (1,30 M DO PISO), METÁLICA, INSTALADA EM PAREDE - FORNECIMENTO E INSTALAÇÃO. AF_03/2023</v>
      </c>
      <c r="F118" s="207" t="str">
        <f ca="1">IF(RegimeExecucao="Global","",ORÇAMENTO.Unidade)</f>
        <v/>
      </c>
      <c r="G118" s="151" t="str">
        <f ca="1">IF(RegimeExecucao="Global","",ORÇAMENTO!T118)</f>
        <v/>
      </c>
      <c r="H118" s="151" t="str">
        <f ca="1">IF(RegimeExecucao="Global","",ORÇAMENTO!W118)</f>
        <v/>
      </c>
      <c r="I118" s="154">
        <f ca="1">ORÇAMENTO!X118</f>
        <v>0</v>
      </c>
      <c r="J118" s="427">
        <f ca="1">IF($A118="S",IF(CAIXA.Modo,BM.AFAnterior,BM.MEDAnterior),IF(AND(RegimeExecucao="Global",$I118&gt;0,COUNTIF($AB$13:$AM$13,BM.medicao-1)&gt;0),M118/$I118*100,0))</f>
        <v>0</v>
      </c>
      <c r="K118" s="151">
        <f t="shared" ca="1" si="43"/>
        <v>0</v>
      </c>
      <c r="L118" s="428">
        <f ca="1">IF($A118="S",IF(CAIXA.Modo,BM.AFAcumulado,BM.MEDAcumulado),IF(AND(RegimeExecucao="Global",$I118&gt;0,COUNTIF($AB$13:$AM$13,BM.medicao)&gt;0),O118/$I118*100,0))</f>
        <v>0</v>
      </c>
      <c r="M118" s="429">
        <f ca="1">IF($A118="S",VTOTALBM,IF($A118=0,0,ROUND(SomaAgrupBM,15-13*ORÇAMENTO!$AF$11)))</f>
        <v>0</v>
      </c>
      <c r="N118" s="430">
        <f t="shared" ca="1" si="44"/>
        <v>0</v>
      </c>
      <c r="O118" s="154">
        <f ca="1">IF($A118="S",VTOTALBM,IF($A118=0,0,ROUND(SomaAgrupBM,15-13*ORÇAMENTO!$AF$11)))</f>
        <v>0</v>
      </c>
      <c r="Q118" s="431"/>
      <c r="R118" s="432"/>
      <c r="T118" s="146" t="str">
        <f ca="1">IF($W118&gt;0,$D118,"")</f>
        <v/>
      </c>
      <c r="U118" s="206" t="str">
        <f ca="1">IF($W118&gt;0,$E118,"")</f>
        <v/>
      </c>
      <c r="V118" s="207" t="str">
        <f ca="1">IF(AND($W118&gt;0,RegimeExecucao="Unitário"),$F118,"")</f>
        <v/>
      </c>
      <c r="W118" s="633">
        <f ca="1">IF($Y118&gt;0,CHOOSE(MATCH(RegimeExecucao,{"Unitário","Global"},0),IF($A118="S",$Y118/$X118,""),($Y118/$X118)*100),0)</f>
        <v>0</v>
      </c>
      <c r="X118" s="433" t="str">
        <f ca="1">IF($Y118&gt;0,CHOOSE(MATCH(RegimeExecucao,{"Unitário","Global"},0),IF($A118="S",ROUND($H118,ORÇAMENTO!$AF$10),""),ROUND($I118,ORÇAMENTO!$AF$11)),"")</f>
        <v/>
      </c>
      <c r="Y118" s="433">
        <f ca="1">AO118-O118</f>
        <v>0</v>
      </c>
      <c r="Z118" s="660"/>
      <c r="AB118" s="431"/>
      <c r="AC118" s="598"/>
      <c r="AD118" s="598"/>
      <c r="AE118" s="598"/>
      <c r="AF118" s="598"/>
      <c r="AG118" s="598"/>
      <c r="AH118" s="598"/>
      <c r="AI118" s="598"/>
      <c r="AJ118" s="598"/>
      <c r="AK118" s="598"/>
      <c r="AL118" s="598"/>
      <c r="AM118" s="432"/>
      <c r="AO118">
        <f ca="1">IF($A118="S",IF(BM!$I118=0,0,CHOOSE(MATCH(RegimeExecucao,{"Global","Unitário"},0),ROUND(ROUND(BM.MEDAcumulado,15-13*BM!$A$9)/100*BM!$I118,15-13*ORÇAMENTO!$AF$11),ROUND(ROUND(BM.MEDAcumulado,15-13*BM!$A$9)*ROUND(BM!$H118,15-13*ORÇAMENTO!$AF$10),15-13*ORÇAMENTO!$AF$11))),IF($A118=0,0,ROUND(SomaAgrupBM,15-13*ORÇAMENTO!$AF$11)))</f>
        <v>0</v>
      </c>
    </row>
    <row r="119" spans="1:41" ht="25.5" x14ac:dyDescent="0.2">
      <c r="A119" t="str">
        <f ca="1">ORÇAMENTO!C119</f>
        <v>S</v>
      </c>
      <c r="B119">
        <f ca="1">ORÇAMENTO!D119</f>
        <v>0</v>
      </c>
      <c r="C119" s="143" t="str">
        <f ca="1">IF(OR($I119&gt;0,$A119=1,$A119=2,$A119=3,$A119=4),"F","")</f>
        <v/>
      </c>
      <c r="D119" s="146" t="str">
        <f ca="1">ORÇAMENTO!O119</f>
        <v>-</v>
      </c>
      <c r="E119" s="206" t="str">
        <f>ORÇAMENTO.Descricao</f>
        <v xml:space="preserve">ESPELHO / PLACA CEGA 4" X 2", PARA INSTALACAO DE TOMADAS E INTERRUPTORES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F119" s="207" t="str">
        <f ca="1">IF(RegimeExecucao="Global","",ORÇAMENTO.Unidade)</f>
        <v/>
      </c>
      <c r="G119" s="151" t="str">
        <f ca="1">IF(RegimeExecucao="Global","",ORÇAMENTO!T119)</f>
        <v/>
      </c>
      <c r="H119" s="151" t="str">
        <f ca="1">IF(RegimeExecucao="Global","",ORÇAMENTO!W119)</f>
        <v/>
      </c>
      <c r="I119" s="154">
        <f ca="1">ORÇAMENTO!X119</f>
        <v>0</v>
      </c>
      <c r="J119" s="427">
        <f ca="1">IF($A119="S",IF(CAIXA.Modo,BM.AFAnterior,BM.MEDAnterior),IF(AND(RegimeExecucao="Global",$I119&gt;0,COUNTIF($AB$13:$AM$13,BM.medicao-1)&gt;0),M119/$I119*100,0))</f>
        <v>0</v>
      </c>
      <c r="K119" s="151">
        <f t="shared" ca="1" si="43"/>
        <v>0</v>
      </c>
      <c r="L119" s="428">
        <f ca="1">IF($A119="S",IF(CAIXA.Modo,BM.AFAcumulado,BM.MEDAcumulado),IF(AND(RegimeExecucao="Global",$I119&gt;0,COUNTIF($AB$13:$AM$13,BM.medicao)&gt;0),O119/$I119*100,0))</f>
        <v>0</v>
      </c>
      <c r="M119" s="429">
        <f ca="1">IF($A119="S",VTOTALBM,IF($A119=0,0,ROUND(SomaAgrupBM,15-13*ORÇAMENTO!$AF$11)))</f>
        <v>0</v>
      </c>
      <c r="N119" s="430">
        <f t="shared" ca="1" si="44"/>
        <v>0</v>
      </c>
      <c r="O119" s="154">
        <f ca="1">IF($A119="S",VTOTALBM,IF($A119=0,0,ROUND(SomaAgrupBM,15-13*ORÇAMENTO!$AF$11)))</f>
        <v>0</v>
      </c>
      <c r="Q119" s="431"/>
      <c r="R119" s="432"/>
      <c r="T119" s="146" t="str">
        <f ca="1">IF($W119&gt;0,$D119,"")</f>
        <v/>
      </c>
      <c r="U119" s="206" t="str">
        <f ca="1">IF($W119&gt;0,$E119,"")</f>
        <v/>
      </c>
      <c r="V119" s="207" t="str">
        <f ca="1">IF(AND($W119&gt;0,RegimeExecucao="Unitário"),$F119,"")</f>
        <v/>
      </c>
      <c r="W119" s="633">
        <f ca="1">IF($Y119&gt;0,CHOOSE(MATCH(RegimeExecucao,{"Unitário","Global"},0),IF($A119="S",$Y119/$X119,""),($Y119/$X119)*100),0)</f>
        <v>0</v>
      </c>
      <c r="X119" s="433" t="str">
        <f ca="1">IF($Y119&gt;0,CHOOSE(MATCH(RegimeExecucao,{"Unitário","Global"},0),IF($A119="S",ROUND($H119,ORÇAMENTO!$AF$10),""),ROUND($I119,ORÇAMENTO!$AF$11)),"")</f>
        <v/>
      </c>
      <c r="Y119" s="433">
        <f ca="1">AO119-O119</f>
        <v>0</v>
      </c>
      <c r="Z119" s="660"/>
      <c r="AB119" s="431"/>
      <c r="AC119" s="598"/>
      <c r="AD119" s="598"/>
      <c r="AE119" s="598"/>
      <c r="AF119" s="598"/>
      <c r="AG119" s="598"/>
      <c r="AH119" s="598"/>
      <c r="AI119" s="598"/>
      <c r="AJ119" s="598"/>
      <c r="AK119" s="598"/>
      <c r="AL119" s="598"/>
      <c r="AM119" s="432"/>
      <c r="AO119">
        <f ca="1">IF($A119="S",IF(BM!$I119=0,0,CHOOSE(MATCH(RegimeExecucao,{"Global","Unitário"},0),ROUND(ROUND(BM.MEDAcumulado,15-13*BM!$A$9)/100*BM!$I119,15-13*ORÇAMENTO!$AF$11),ROUND(ROUND(BM.MEDAcumulado,15-13*BM!$A$9)*ROUND(BM!$H119,15-13*ORÇAMENTO!$AF$10),15-13*ORÇAMENTO!$AF$11))),IF($A119=0,0,ROUND(SomaAgrupBM,15-13*ORÇAMENTO!$AF$11)))</f>
        <v>0</v>
      </c>
    </row>
    <row r="120" spans="1:41" ht="25.5" x14ac:dyDescent="0.2">
      <c r="A120" t="str">
        <f ca="1">ORÇAMENTO!C120</f>
        <v>S</v>
      </c>
      <c r="B120">
        <f ca="1">ORÇAMENTO!D120</f>
        <v>0</v>
      </c>
      <c r="C120" s="143" t="str">
        <f ca="1">IF(OR($I120&gt;0,$A120=1,$A120=2,$A120=3,$A120=4),"F","")</f>
        <v/>
      </c>
      <c r="D120" s="146" t="str">
        <f ca="1">ORÇAMENTO!O120</f>
        <v>-</v>
      </c>
      <c r="E120" s="206" t="str">
        <f>ORÇAMENTO.Descricao</f>
        <v xml:space="preserve">DISJUNTOR TERMOMAGNETICO AJUSTAVEL, TRIPOLAR DE 100 ATE 250A, CAPACIDADE DE INTERRUPCAO DE 35KA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F120" s="207" t="str">
        <f ca="1">IF(RegimeExecucao="Global","",ORÇAMENTO.Unidade)</f>
        <v/>
      </c>
      <c r="G120" s="151" t="str">
        <f ca="1">IF(RegimeExecucao="Global","",ORÇAMENTO!T120)</f>
        <v/>
      </c>
      <c r="H120" s="151" t="str">
        <f ca="1">IF(RegimeExecucao="Global","",ORÇAMENTO!W120)</f>
        <v/>
      </c>
      <c r="I120" s="154">
        <f ca="1">ORÇAMENTO!X120</f>
        <v>0</v>
      </c>
      <c r="J120" s="427">
        <f ca="1">IF($A120="S",IF(CAIXA.Modo,BM.AFAnterior,BM.MEDAnterior),IF(AND(RegimeExecucao="Global",$I120&gt;0,COUNTIF($AB$13:$AM$13,BM.medicao-1)&gt;0),M120/$I120*100,0))</f>
        <v>0</v>
      </c>
      <c r="K120" s="151">
        <f t="shared" ca="1" si="43"/>
        <v>0</v>
      </c>
      <c r="L120" s="428">
        <f ca="1">IF($A120="S",IF(CAIXA.Modo,BM.AFAcumulado,BM.MEDAcumulado),IF(AND(RegimeExecucao="Global",$I120&gt;0,COUNTIF($AB$13:$AM$13,BM.medicao)&gt;0),O120/$I120*100,0))</f>
        <v>0</v>
      </c>
      <c r="M120" s="429">
        <f ca="1">IF($A120="S",VTOTALBM,IF($A120=0,0,ROUND(SomaAgrupBM,15-13*ORÇAMENTO!$AF$11)))</f>
        <v>0</v>
      </c>
      <c r="N120" s="430">
        <f t="shared" ca="1" si="44"/>
        <v>0</v>
      </c>
      <c r="O120" s="154">
        <f ca="1">IF($A120="S",VTOTALBM,IF($A120=0,0,ROUND(SomaAgrupBM,15-13*ORÇAMENTO!$AF$11)))</f>
        <v>0</v>
      </c>
      <c r="Q120" s="431"/>
      <c r="R120" s="432"/>
      <c r="T120" s="146" t="str">
        <f ca="1">IF($W120&gt;0,$D120,"")</f>
        <v/>
      </c>
      <c r="U120" s="206" t="str">
        <f ca="1">IF($W120&gt;0,$E120,"")</f>
        <v/>
      </c>
      <c r="V120" s="207" t="str">
        <f ca="1">IF(AND($W120&gt;0,RegimeExecucao="Unitário"),$F120,"")</f>
        <v/>
      </c>
      <c r="W120" s="633">
        <f ca="1">IF($Y120&gt;0,CHOOSE(MATCH(RegimeExecucao,{"Unitário","Global"},0),IF($A120="S",$Y120/$X120,""),($Y120/$X120)*100),0)</f>
        <v>0</v>
      </c>
      <c r="X120" s="433" t="str">
        <f ca="1">IF($Y120&gt;0,CHOOSE(MATCH(RegimeExecucao,{"Unitário","Global"},0),IF($A120="S",ROUND($H120,ORÇAMENTO!$AF$10),""),ROUND($I120,ORÇAMENTO!$AF$11)),"")</f>
        <v/>
      </c>
      <c r="Y120" s="433">
        <f ca="1">AO120-O120</f>
        <v>0</v>
      </c>
      <c r="Z120" s="660"/>
      <c r="AB120" s="431"/>
      <c r="AC120" s="598"/>
      <c r="AD120" s="598"/>
      <c r="AE120" s="598"/>
      <c r="AF120" s="598"/>
      <c r="AG120" s="598"/>
      <c r="AH120" s="598"/>
      <c r="AI120" s="598"/>
      <c r="AJ120" s="598"/>
      <c r="AK120" s="598"/>
      <c r="AL120" s="598"/>
      <c r="AM120" s="432"/>
      <c r="AO120">
        <f ca="1">IF($A120="S",IF(BM!$I120=0,0,CHOOSE(MATCH(RegimeExecucao,{"Global","Unitário"},0),ROUND(ROUND(BM.MEDAcumulado,15-13*BM!$A$9)/100*BM!$I120,15-13*ORÇAMENTO!$AF$11),ROUND(ROUND(BM.MEDAcumulado,15-13*BM!$A$9)*ROUND(BM!$H120,15-13*ORÇAMENTO!$AF$10),15-13*ORÇAMENTO!$AF$11))),IF($A120=0,0,ROUND(SomaAgrupBM,15-13*ORÇAMENTO!$AF$11)))</f>
        <v>0</v>
      </c>
    </row>
    <row r="121" spans="1:41" ht="25.5" x14ac:dyDescent="0.2">
      <c r="A121" t="str">
        <f ca="1">ORÇAMENTO!C121</f>
        <v>S</v>
      </c>
      <c r="B121">
        <f ca="1">ORÇAMENTO!D121</f>
        <v>0</v>
      </c>
      <c r="C121" s="143" t="str">
        <f ca="1">IF(OR($I121&gt;0,$A121=1,$A121=2,$A121=3,$A121=4),"F","")</f>
        <v/>
      </c>
      <c r="D121" s="146" t="str">
        <f ca="1">ORÇAMENTO!O121</f>
        <v>-</v>
      </c>
      <c r="E121" s="206" t="str">
        <f>ORÇAMENTO.Descricao</f>
        <v xml:space="preserve">DISJUNTOR TERMOMAGNETICO PARA TRILHO DIN (IEC), MONOPOLAR, 6 - 32 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F121" s="207" t="str">
        <f ca="1">IF(RegimeExecucao="Global","",ORÇAMENTO.Unidade)</f>
        <v/>
      </c>
      <c r="G121" s="151" t="str">
        <f ca="1">IF(RegimeExecucao="Global","",ORÇAMENTO!T121)</f>
        <v/>
      </c>
      <c r="H121" s="151" t="str">
        <f ca="1">IF(RegimeExecucao="Global","",ORÇAMENTO!W121)</f>
        <v/>
      </c>
      <c r="I121" s="154">
        <f ca="1">ORÇAMENTO!X121</f>
        <v>0</v>
      </c>
      <c r="J121" s="427">
        <f ca="1">IF($A121="S",IF(CAIXA.Modo,BM.AFAnterior,BM.MEDAnterior),IF(AND(RegimeExecucao="Global",$I121&gt;0,COUNTIF($AB$13:$AM$13,BM.medicao-1)&gt;0),M121/$I121*100,0))</f>
        <v>0</v>
      </c>
      <c r="K121" s="151">
        <f t="shared" ref="K121" ca="1" si="48">L121-J121</f>
        <v>0</v>
      </c>
      <c r="L121" s="428">
        <f ca="1">IF($A121="S",IF(CAIXA.Modo,BM.AFAcumulado,BM.MEDAcumulado),IF(AND(RegimeExecucao="Global",$I121&gt;0,COUNTIF($AB$13:$AM$13,BM.medicao)&gt;0),O121/$I121*100,0))</f>
        <v>0</v>
      </c>
      <c r="M121" s="429">
        <f ca="1">IF($A121="S",VTOTALBM,IF($A121=0,0,ROUND(SomaAgrupBM,15-13*ORÇAMENTO!$AF$11)))</f>
        <v>0</v>
      </c>
      <c r="N121" s="430">
        <f t="shared" ref="N121" ca="1" si="49">O121-M121</f>
        <v>0</v>
      </c>
      <c r="O121" s="154">
        <f ca="1">IF($A121="S",VTOTALBM,IF($A121=0,0,ROUND(SomaAgrupBM,15-13*ORÇAMENTO!$AF$11)))</f>
        <v>0</v>
      </c>
      <c r="Q121" s="431"/>
      <c r="R121" s="432"/>
      <c r="T121" s="146" t="str">
        <f ca="1">IF($W121&gt;0,$D121,"")</f>
        <v/>
      </c>
      <c r="U121" s="206" t="str">
        <f ca="1">IF($W121&gt;0,$E121,"")</f>
        <v/>
      </c>
      <c r="V121" s="207" t="str">
        <f ca="1">IF(AND($W121&gt;0,RegimeExecucao="Unitário"),$F121,"")</f>
        <v/>
      </c>
      <c r="W121" s="633">
        <f ca="1">IF($Y121&gt;0,CHOOSE(MATCH(RegimeExecucao,{"Unitário","Global"},0),IF($A121="S",$Y121/$X121,""),($Y121/$X121)*100),0)</f>
        <v>0</v>
      </c>
      <c r="X121" s="433" t="str">
        <f ca="1">IF($Y121&gt;0,CHOOSE(MATCH(RegimeExecucao,{"Unitário","Global"},0),IF($A121="S",ROUND($H121,ORÇAMENTO!$AF$10),""),ROUND($I121,ORÇAMENTO!$AF$11)),"")</f>
        <v/>
      </c>
      <c r="Y121" s="433">
        <f ca="1">AO121-O121</f>
        <v>0</v>
      </c>
      <c r="Z121" s="660"/>
      <c r="AB121" s="431"/>
      <c r="AC121" s="598"/>
      <c r="AD121" s="598"/>
      <c r="AE121" s="598"/>
      <c r="AF121" s="598"/>
      <c r="AG121" s="598"/>
      <c r="AH121" s="598"/>
      <c r="AI121" s="598"/>
      <c r="AJ121" s="598"/>
      <c r="AK121" s="598"/>
      <c r="AL121" s="598"/>
      <c r="AM121" s="432"/>
      <c r="AO121">
        <f ca="1">IF($A121="S",IF(BM!$I121=0,0,CHOOSE(MATCH(RegimeExecucao,{"Global","Unitário"},0),ROUND(ROUND(BM.MEDAcumulado,15-13*BM!$A$9)/100*BM!$I121,15-13*ORÇAMENTO!$AF$11),ROUND(ROUND(BM.MEDAcumulado,15-13*BM!$A$9)*ROUND(BM!$H121,15-13*ORÇAMENTO!$AF$10),15-13*ORÇAMENTO!$AF$11))),IF($A121=0,0,ROUND(SomaAgrupBM,15-13*ORÇAMENTO!$AF$11)))</f>
        <v>0</v>
      </c>
    </row>
    <row r="122" spans="1:41" ht="25.5" x14ac:dyDescent="0.2">
      <c r="A122" t="str">
        <f ca="1">ORÇAMENTO!C122</f>
        <v>S</v>
      </c>
      <c r="B122">
        <f ca="1">ORÇAMENTO!D122</f>
        <v>0</v>
      </c>
      <c r="C122" s="143" t="str">
        <f t="shared" ref="C122:C149" ca="1" si="50">IF(OR($I122&gt;0,$A122=1,$A122=2,$A122=3,$A122=4),"F","")</f>
        <v/>
      </c>
      <c r="D122" s="146" t="str">
        <f ca="1">ORÇAMENTO!O122</f>
        <v>-</v>
      </c>
      <c r="E122" s="206" t="str">
        <f t="shared" si="42"/>
        <v xml:space="preserve">DISPOSITIVO DPS CLASSE II, 1 POLO, TENSAO MAXIMA DE 275 V, CORRENTE MAXIMA DE *20* KA (TIPO AC)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F122" s="207" t="str">
        <f ca="1">IF(RegimeExecucao="Global","",ORÇAMENTO.Unidade)</f>
        <v/>
      </c>
      <c r="G122" s="151" t="str">
        <f ca="1">IF(RegimeExecucao="Global","",ORÇAMENTO!T122)</f>
        <v/>
      </c>
      <c r="H122" s="151" t="str">
        <f ca="1">IF(RegimeExecucao="Global","",ORÇAMENTO!W122)</f>
        <v/>
      </c>
      <c r="I122" s="154">
        <f ca="1">ORÇAMENTO!X122</f>
        <v>0</v>
      </c>
      <c r="J122" s="427">
        <f ca="1">IF($A122="S",IF(CAIXA.Modo,BM.AFAnterior,BM.MEDAnterior),IF(AND(RegimeExecucao="Global",$I122&gt;0,COUNTIF($AB$13:$AM$13,BM.medicao-1)&gt;0),M122/$I122*100,0))</f>
        <v>0</v>
      </c>
      <c r="K122" s="151">
        <f t="shared" ref="K122:K191" ca="1" si="51">L122-J122</f>
        <v>0</v>
      </c>
      <c r="L122" s="428">
        <f ca="1">IF($A122="S",IF(CAIXA.Modo,BM.AFAcumulado,BM.MEDAcumulado),IF(AND(RegimeExecucao="Global",$I122&gt;0,COUNTIF($AB$13:$AM$13,BM.medicao)&gt;0),O122/$I122*100,0))</f>
        <v>0</v>
      </c>
      <c r="M122" s="429">
        <f ca="1">IF($A122="S",VTOTALBM,IF($A122=0,0,ROUND(SomaAgrupBM,15-13*ORÇAMENTO!$AF$11)))</f>
        <v>0</v>
      </c>
      <c r="N122" s="430">
        <f t="shared" ref="N122:N191" ca="1" si="52">O122-M122</f>
        <v>0</v>
      </c>
      <c r="O122" s="154">
        <f ca="1">IF($A122="S",VTOTALBM,IF($A122=0,0,ROUND(SomaAgrupBM,15-13*ORÇAMENTO!$AF$11)))</f>
        <v>0</v>
      </c>
      <c r="Q122" s="431"/>
      <c r="R122" s="432"/>
      <c r="T122" s="146" t="str">
        <f t="shared" ref="T122:T149" ca="1" si="53">IF($W122&gt;0,$D122,"")</f>
        <v/>
      </c>
      <c r="U122" s="206" t="str">
        <f t="shared" ref="U122:U149" ca="1" si="54">IF($W122&gt;0,$E122,"")</f>
        <v/>
      </c>
      <c r="V122" s="207" t="str">
        <f ca="1">IF(AND($W122&gt;0,RegimeExecucao="Unitário"),$F122,"")</f>
        <v/>
      </c>
      <c r="W122" s="633">
        <f ca="1">IF($Y122&gt;0,CHOOSE(MATCH(RegimeExecucao,{"Unitário","Global"},0),IF($A122="S",$Y122/$X122,""),($Y122/$X122)*100),0)</f>
        <v>0</v>
      </c>
      <c r="X122" s="433" t="str">
        <f ca="1">IF($Y122&gt;0,CHOOSE(MATCH(RegimeExecucao,{"Unitário","Global"},0),IF($A122="S",ROUND($H122,ORÇAMENTO!$AF$10),""),ROUND($I122,ORÇAMENTO!$AF$11)),"")</f>
        <v/>
      </c>
      <c r="Y122" s="433">
        <f t="shared" ref="Y122:Y149" ca="1" si="55">AO122-O122</f>
        <v>0</v>
      </c>
      <c r="Z122" s="660"/>
      <c r="AB122" s="431"/>
      <c r="AC122" s="598"/>
      <c r="AD122" s="598"/>
      <c r="AE122" s="598"/>
      <c r="AF122" s="598"/>
      <c r="AG122" s="598"/>
      <c r="AH122" s="598"/>
      <c r="AI122" s="598"/>
      <c r="AJ122" s="598"/>
      <c r="AK122" s="598"/>
      <c r="AL122" s="598"/>
      <c r="AM122" s="432"/>
      <c r="AO122">
        <f ca="1">IF($A122="S",IF(BM!$I122=0,0,CHOOSE(MATCH(RegimeExecucao,{"Global","Unitário"},0),ROUND(ROUND(BM.MEDAcumulado,15-13*BM!$A$9)/100*BM!$I122,15-13*ORÇAMENTO!$AF$11),ROUND(ROUND(BM.MEDAcumulado,15-13*BM!$A$9)*ROUND(BM!$H122,15-13*ORÇAMENTO!$AF$10),15-13*ORÇAMENTO!$AF$11))),IF($A122=0,0,ROUND(SomaAgrupBM,15-13*ORÇAMENTO!$AF$11)))</f>
        <v>0</v>
      </c>
    </row>
    <row r="123" spans="1:41" ht="25.5" x14ac:dyDescent="0.2">
      <c r="A123" t="str">
        <f ca="1">ORÇAMENTO!C123</f>
        <v>S</v>
      </c>
      <c r="B123">
        <f ca="1">ORÇAMENTO!D123</f>
        <v>0</v>
      </c>
      <c r="C123" s="143" t="str">
        <f t="shared" ca="1" si="50"/>
        <v/>
      </c>
      <c r="D123" s="146" t="str">
        <f ca="1">ORÇAMENTO!O123</f>
        <v>-</v>
      </c>
      <c r="E123" s="206" t="str">
        <f t="shared" si="42"/>
        <v xml:space="preserve">DISPOSITIVO DR, 2 POLOS, SENSIBILIDADE DE 30 MA, CORRENTE DE 25 A, TIPO AC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F123" s="207" t="str">
        <f ca="1">IF(RegimeExecucao="Global","",ORÇAMENTO.Unidade)</f>
        <v/>
      </c>
      <c r="G123" s="151" t="str">
        <f ca="1">IF(RegimeExecucao="Global","",ORÇAMENTO!T123)</f>
        <v/>
      </c>
      <c r="H123" s="151" t="str">
        <f ca="1">IF(RegimeExecucao="Global","",ORÇAMENTO!W123)</f>
        <v/>
      </c>
      <c r="I123" s="154">
        <f ca="1">ORÇAMENTO!X123</f>
        <v>0</v>
      </c>
      <c r="J123" s="427">
        <f ca="1">IF($A123="S",IF(CAIXA.Modo,BM.AFAnterior,BM.MEDAnterior),IF(AND(RegimeExecucao="Global",$I123&gt;0,COUNTIF($AB$13:$AM$13,BM.medicao-1)&gt;0),M123/$I123*100,0))</f>
        <v>0</v>
      </c>
      <c r="K123" s="151">
        <f t="shared" ca="1" si="51"/>
        <v>0</v>
      </c>
      <c r="L123" s="428">
        <f ca="1">IF($A123="S",IF(CAIXA.Modo,BM.AFAcumulado,BM.MEDAcumulado),IF(AND(RegimeExecucao="Global",$I123&gt;0,COUNTIF($AB$13:$AM$13,BM.medicao)&gt;0),O123/$I123*100,0))</f>
        <v>0</v>
      </c>
      <c r="M123" s="429">
        <f ca="1">IF($A123="S",VTOTALBM,IF($A123=0,0,ROUND(SomaAgrupBM,15-13*ORÇAMENTO!$AF$11)))</f>
        <v>0</v>
      </c>
      <c r="N123" s="430">
        <f t="shared" ca="1" si="52"/>
        <v>0</v>
      </c>
      <c r="O123" s="154">
        <f ca="1">IF($A123="S",VTOTALBM,IF($A123=0,0,ROUND(SomaAgrupBM,15-13*ORÇAMENTO!$AF$11)))</f>
        <v>0</v>
      </c>
      <c r="Q123" s="431"/>
      <c r="R123" s="432"/>
      <c r="T123" s="146" t="str">
        <f t="shared" ca="1" si="53"/>
        <v/>
      </c>
      <c r="U123" s="206" t="str">
        <f t="shared" ca="1" si="54"/>
        <v/>
      </c>
      <c r="V123" s="207" t="str">
        <f ca="1">IF(AND($W123&gt;0,RegimeExecucao="Unitário"),$F123,"")</f>
        <v/>
      </c>
      <c r="W123" s="633">
        <f ca="1">IF($Y123&gt;0,CHOOSE(MATCH(RegimeExecucao,{"Unitário","Global"},0),IF($A123="S",$Y123/$X123,""),($Y123/$X123)*100),0)</f>
        <v>0</v>
      </c>
      <c r="X123" s="433" t="str">
        <f ca="1">IF($Y123&gt;0,CHOOSE(MATCH(RegimeExecucao,{"Unitário","Global"},0),IF($A123="S",ROUND($H123,ORÇAMENTO!$AF$10),""),ROUND($I123,ORÇAMENTO!$AF$11)),"")</f>
        <v/>
      </c>
      <c r="Y123" s="433">
        <f t="shared" ca="1" si="55"/>
        <v>0</v>
      </c>
      <c r="Z123" s="660"/>
      <c r="AB123" s="431"/>
      <c r="AC123" s="598"/>
      <c r="AD123" s="598"/>
      <c r="AE123" s="598"/>
      <c r="AF123" s="598"/>
      <c r="AG123" s="598"/>
      <c r="AH123" s="598"/>
      <c r="AI123" s="598"/>
      <c r="AJ123" s="598"/>
      <c r="AK123" s="598"/>
      <c r="AL123" s="598"/>
      <c r="AM123" s="432"/>
      <c r="AO123">
        <f ca="1">IF($A123="S",IF(BM!$I123=0,0,CHOOSE(MATCH(RegimeExecucao,{"Global","Unitário"},0),ROUND(ROUND(BM.MEDAcumulado,15-13*BM!$A$9)/100*BM!$I123,15-13*ORÇAMENTO!$AF$11),ROUND(ROUND(BM.MEDAcumulado,15-13*BM!$A$9)*ROUND(BM!$H123,15-13*ORÇAMENTO!$AF$10),15-13*ORÇAMENTO!$AF$11))),IF($A123=0,0,ROUND(SomaAgrupBM,15-13*ORÇAMENTO!$AF$11)))</f>
        <v>0</v>
      </c>
    </row>
    <row r="124" spans="1:41" ht="25.5" x14ac:dyDescent="0.2">
      <c r="A124" t="str">
        <f ca="1">ORÇAMENTO!C124</f>
        <v>S</v>
      </c>
      <c r="B124">
        <f ca="1">ORÇAMENTO!D124</f>
        <v>0</v>
      </c>
      <c r="C124" s="143" t="str">
        <f t="shared" ca="1" si="50"/>
        <v/>
      </c>
      <c r="D124" s="146" t="str">
        <f ca="1">ORÇAMENTO!O124</f>
        <v>-</v>
      </c>
      <c r="E124" s="206" t="str">
        <f t="shared" si="42"/>
        <v xml:space="preserve">DISPOSITIVO DR, 2 POLOS, SENSIBILIDADE DE 30 MA, CORRENTE DE 40 A, TIPO AC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F124" s="207" t="str">
        <f ca="1">IF(RegimeExecucao="Global","",ORÇAMENTO.Unidade)</f>
        <v/>
      </c>
      <c r="G124" s="151" t="str">
        <f ca="1">IF(RegimeExecucao="Global","",ORÇAMENTO!T124)</f>
        <v/>
      </c>
      <c r="H124" s="151" t="str">
        <f ca="1">IF(RegimeExecucao="Global","",ORÇAMENTO!W124)</f>
        <v/>
      </c>
      <c r="I124" s="154">
        <f ca="1">ORÇAMENTO!X124</f>
        <v>0</v>
      </c>
      <c r="J124" s="427">
        <f ca="1">IF($A124="S",IF(CAIXA.Modo,BM.AFAnterior,BM.MEDAnterior),IF(AND(RegimeExecucao="Global",$I124&gt;0,COUNTIF($AB$13:$AM$13,BM.medicao-1)&gt;0),M124/$I124*100,0))</f>
        <v>0</v>
      </c>
      <c r="K124" s="151">
        <f t="shared" ca="1" si="51"/>
        <v>0</v>
      </c>
      <c r="L124" s="428">
        <f ca="1">IF($A124="S",IF(CAIXA.Modo,BM.AFAcumulado,BM.MEDAcumulado),IF(AND(RegimeExecucao="Global",$I124&gt;0,COUNTIF($AB$13:$AM$13,BM.medicao)&gt;0),O124/$I124*100,0))</f>
        <v>0</v>
      </c>
      <c r="M124" s="429">
        <f ca="1">IF($A124="S",VTOTALBM,IF($A124=0,0,ROUND(SomaAgrupBM,15-13*ORÇAMENTO!$AF$11)))</f>
        <v>0</v>
      </c>
      <c r="N124" s="430">
        <f t="shared" ca="1" si="52"/>
        <v>0</v>
      </c>
      <c r="O124" s="154">
        <f ca="1">IF($A124="S",VTOTALBM,IF($A124=0,0,ROUND(SomaAgrupBM,15-13*ORÇAMENTO!$AF$11)))</f>
        <v>0</v>
      </c>
      <c r="Q124" s="431"/>
      <c r="R124" s="432"/>
      <c r="T124" s="146" t="str">
        <f t="shared" ca="1" si="53"/>
        <v/>
      </c>
      <c r="U124" s="206" t="str">
        <f t="shared" ca="1" si="54"/>
        <v/>
      </c>
      <c r="V124" s="207" t="str">
        <f ca="1">IF(AND($W124&gt;0,RegimeExecucao="Unitário"),$F124,"")</f>
        <v/>
      </c>
      <c r="W124" s="633">
        <f ca="1">IF($Y124&gt;0,CHOOSE(MATCH(RegimeExecucao,{"Unitário","Global"},0),IF($A124="S",$Y124/$X124,""),($Y124/$X124)*100),0)</f>
        <v>0</v>
      </c>
      <c r="X124" s="433" t="str">
        <f ca="1">IF($Y124&gt;0,CHOOSE(MATCH(RegimeExecucao,{"Unitário","Global"},0),IF($A124="S",ROUND($H124,ORÇAMENTO!$AF$10),""),ROUND($I124,ORÇAMENTO!$AF$11)),"")</f>
        <v/>
      </c>
      <c r="Y124" s="433">
        <f t="shared" ca="1" si="55"/>
        <v>0</v>
      </c>
      <c r="Z124" s="660"/>
      <c r="AB124" s="431"/>
      <c r="AC124" s="598"/>
      <c r="AD124" s="598"/>
      <c r="AE124" s="598"/>
      <c r="AF124" s="598"/>
      <c r="AG124" s="598"/>
      <c r="AH124" s="598"/>
      <c r="AI124" s="598"/>
      <c r="AJ124" s="598"/>
      <c r="AK124" s="598"/>
      <c r="AL124" s="598"/>
      <c r="AM124" s="432"/>
      <c r="AO124">
        <f ca="1">IF($A124="S",IF(BM!$I124=0,0,CHOOSE(MATCH(RegimeExecucao,{"Global","Unitário"},0),ROUND(ROUND(BM.MEDAcumulado,15-13*BM!$A$9)/100*BM!$I124,15-13*ORÇAMENTO!$AF$11),ROUND(ROUND(BM.MEDAcumulado,15-13*BM!$A$9)*ROUND(BM!$H124,15-13*ORÇAMENTO!$AF$10),15-13*ORÇAMENTO!$AF$11))),IF($A124=0,0,ROUND(SomaAgrupBM,15-13*ORÇAMENTO!$AF$11)))</f>
        <v>0</v>
      </c>
    </row>
    <row r="125" spans="1:41" ht="38.25" x14ac:dyDescent="0.2">
      <c r="A125" t="str">
        <f ca="1">ORÇAMENTO!C125</f>
        <v>S</v>
      </c>
      <c r="B125">
        <f ca="1">ORÇAMENTO!D125</f>
        <v>0</v>
      </c>
      <c r="C125" s="143" t="str">
        <f ca="1">IF(OR($I125&gt;0,$A125=1,$A125=2,$A125=3,$A125=4),"F","")</f>
        <v/>
      </c>
      <c r="D125" s="146" t="str">
        <f ca="1">ORÇAMENTO!O125</f>
        <v>-</v>
      </c>
      <c r="E125" s="206" t="str">
        <f>ORÇAMENTO.Descricao</f>
        <v>ELETRODUTO FLEXÍVEL CORRUGADO REFORÇADO, PVC, DN 25 MM (3/4"), PARA CIRCUITOS TERMINAIS, INSTALADO EM FORRO - FORNECIMENTO E INSTALAÇÃO. AF_03/2023_PA</v>
      </c>
      <c r="F125" s="207" t="str">
        <f ca="1">IF(RegimeExecucao="Global","",ORÇAMENTO.Unidade)</f>
        <v/>
      </c>
      <c r="G125" s="151" t="str">
        <f ca="1">IF(RegimeExecucao="Global","",ORÇAMENTO!T125)</f>
        <v/>
      </c>
      <c r="H125" s="151" t="str">
        <f ca="1">IF(RegimeExecucao="Global","",ORÇAMENTO!W125)</f>
        <v/>
      </c>
      <c r="I125" s="154">
        <f ca="1">ORÇAMENTO!X125</f>
        <v>0</v>
      </c>
      <c r="J125" s="427">
        <f ca="1">IF($A125="S",IF(CAIXA.Modo,BM.AFAnterior,BM.MEDAnterior),IF(AND(RegimeExecucao="Global",$I125&gt;0,COUNTIF($AB$13:$AM$13,BM.medicao-1)&gt;0),M125/$I125*100,0))</f>
        <v>0</v>
      </c>
      <c r="K125" s="151">
        <f t="shared" ca="1" si="51"/>
        <v>0</v>
      </c>
      <c r="L125" s="428">
        <f ca="1">IF($A125="S",IF(CAIXA.Modo,BM.AFAcumulado,BM.MEDAcumulado),IF(AND(RegimeExecucao="Global",$I125&gt;0,COUNTIF($AB$13:$AM$13,BM.medicao)&gt;0),O125/$I125*100,0))</f>
        <v>0</v>
      </c>
      <c r="M125" s="429">
        <f ca="1">IF($A125="S",VTOTALBM,IF($A125=0,0,ROUND(SomaAgrupBM,15-13*ORÇAMENTO!$AF$11)))</f>
        <v>0</v>
      </c>
      <c r="N125" s="430">
        <f t="shared" ca="1" si="52"/>
        <v>0</v>
      </c>
      <c r="O125" s="154">
        <f ca="1">IF($A125="S",VTOTALBM,IF($A125=0,0,ROUND(SomaAgrupBM,15-13*ORÇAMENTO!$AF$11)))</f>
        <v>0</v>
      </c>
      <c r="Q125" s="431"/>
      <c r="R125" s="432"/>
      <c r="T125" s="146" t="str">
        <f ca="1">IF($W125&gt;0,$D125,"")</f>
        <v/>
      </c>
      <c r="U125" s="206" t="str">
        <f ca="1">IF($W125&gt;0,$E125,"")</f>
        <v/>
      </c>
      <c r="V125" s="207" t="str">
        <f ca="1">IF(AND($W125&gt;0,RegimeExecucao="Unitário"),$F125,"")</f>
        <v/>
      </c>
      <c r="W125" s="633">
        <f ca="1">IF($Y125&gt;0,CHOOSE(MATCH(RegimeExecucao,{"Unitário","Global"},0),IF($A125="S",$Y125/$X125,""),($Y125/$X125)*100),0)</f>
        <v>0</v>
      </c>
      <c r="X125" s="433" t="str">
        <f ca="1">IF($Y125&gt;0,CHOOSE(MATCH(RegimeExecucao,{"Unitário","Global"},0),IF($A125="S",ROUND($H125,ORÇAMENTO!$AF$10),""),ROUND($I125,ORÇAMENTO!$AF$11)),"")</f>
        <v/>
      </c>
      <c r="Y125" s="433">
        <f ca="1">AO125-O125</f>
        <v>0</v>
      </c>
      <c r="Z125" s="660"/>
      <c r="AB125" s="431"/>
      <c r="AC125" s="598"/>
      <c r="AD125" s="598"/>
      <c r="AE125" s="598"/>
      <c r="AF125" s="598"/>
      <c r="AG125" s="598"/>
      <c r="AH125" s="598"/>
      <c r="AI125" s="598"/>
      <c r="AJ125" s="598"/>
      <c r="AK125" s="598"/>
      <c r="AL125" s="598"/>
      <c r="AM125" s="432"/>
      <c r="AO125">
        <f ca="1">IF($A125="S",IF(BM!$I125=0,0,CHOOSE(MATCH(RegimeExecucao,{"Global","Unitário"},0),ROUND(ROUND(BM.MEDAcumulado,15-13*BM!$A$9)/100*BM!$I125,15-13*ORÇAMENTO!$AF$11),ROUND(ROUND(BM.MEDAcumulado,15-13*BM!$A$9)*ROUND(BM!$H125,15-13*ORÇAMENTO!$AF$10),15-13*ORÇAMENTO!$AF$11))),IF($A125=0,0,ROUND(SomaAgrupBM,15-13*ORÇAMENTO!$AF$11)))</f>
        <v>0</v>
      </c>
    </row>
    <row r="126" spans="1:41" ht="38.25" x14ac:dyDescent="0.2">
      <c r="A126" t="str">
        <f ca="1">ORÇAMENTO!C126</f>
        <v>S</v>
      </c>
      <c r="B126">
        <f ca="1">ORÇAMENTO!D126</f>
        <v>0</v>
      </c>
      <c r="C126" s="143" t="str">
        <f t="shared" ca="1" si="50"/>
        <v/>
      </c>
      <c r="D126" s="146" t="str">
        <f ca="1">ORÇAMENTO!O126</f>
        <v>-</v>
      </c>
      <c r="E126" s="206" t="str">
        <f t="shared" si="42"/>
        <v>ELETRODUTO FLEXÍVEL CORRUGADO REFORÇADO, PVC, DN 20 MM (1/2"), PARA CIRCUITOS TERMINAIS, INSTALADO EM PAREDE - FORNECIMENTO E INSTALAÇÃO. AF_03/2023</v>
      </c>
      <c r="F126" s="207" t="str">
        <f ca="1">IF(RegimeExecucao="Global","",ORÇAMENTO.Unidade)</f>
        <v/>
      </c>
      <c r="G126" s="151" t="str">
        <f ca="1">IF(RegimeExecucao="Global","",ORÇAMENTO!T126)</f>
        <v/>
      </c>
      <c r="H126" s="151" t="str">
        <f ca="1">IF(RegimeExecucao="Global","",ORÇAMENTO!W126)</f>
        <v/>
      </c>
      <c r="I126" s="154">
        <f ca="1">ORÇAMENTO!X126</f>
        <v>0</v>
      </c>
      <c r="J126" s="427">
        <f ca="1">IF($A126="S",IF(CAIXA.Modo,BM.AFAnterior,BM.MEDAnterior),IF(AND(RegimeExecucao="Global",$I126&gt;0,COUNTIF($AB$13:$AM$13,BM.medicao-1)&gt;0),M126/$I126*100,0))</f>
        <v>0</v>
      </c>
      <c r="K126" s="151">
        <f t="shared" ca="1" si="51"/>
        <v>0</v>
      </c>
      <c r="L126" s="428">
        <f ca="1">IF($A126="S",IF(CAIXA.Modo,BM.AFAcumulado,BM.MEDAcumulado),IF(AND(RegimeExecucao="Global",$I126&gt;0,COUNTIF($AB$13:$AM$13,BM.medicao)&gt;0),O126/$I126*100,0))</f>
        <v>0</v>
      </c>
      <c r="M126" s="429">
        <f ca="1">IF($A126="S",VTOTALBM,IF($A126=0,0,ROUND(SomaAgrupBM,15-13*ORÇAMENTO!$AF$11)))</f>
        <v>0</v>
      </c>
      <c r="N126" s="430">
        <f t="shared" ca="1" si="52"/>
        <v>0</v>
      </c>
      <c r="O126" s="154">
        <f ca="1">IF($A126="S",VTOTALBM,IF($A126=0,0,ROUND(SomaAgrupBM,15-13*ORÇAMENTO!$AF$11)))</f>
        <v>0</v>
      </c>
      <c r="Q126" s="431"/>
      <c r="R126" s="432"/>
      <c r="T126" s="146" t="str">
        <f t="shared" ca="1" si="53"/>
        <v/>
      </c>
      <c r="U126" s="206" t="str">
        <f t="shared" ca="1" si="54"/>
        <v/>
      </c>
      <c r="V126" s="207" t="str">
        <f ca="1">IF(AND($W126&gt;0,RegimeExecucao="Unitário"),$F126,"")</f>
        <v/>
      </c>
      <c r="W126" s="633">
        <f ca="1">IF($Y126&gt;0,CHOOSE(MATCH(RegimeExecucao,{"Unitário","Global"},0),IF($A126="S",$Y126/$X126,""),($Y126/$X126)*100),0)</f>
        <v>0</v>
      </c>
      <c r="X126" s="433" t="str">
        <f ca="1">IF($Y126&gt;0,CHOOSE(MATCH(RegimeExecucao,{"Unitário","Global"},0),IF($A126="S",ROUND($H126,ORÇAMENTO!$AF$10),""),ROUND($I126,ORÇAMENTO!$AF$11)),"")</f>
        <v/>
      </c>
      <c r="Y126" s="433">
        <f t="shared" ca="1" si="55"/>
        <v>0</v>
      </c>
      <c r="Z126" s="660"/>
      <c r="AB126" s="431"/>
      <c r="AC126" s="598"/>
      <c r="AD126" s="598"/>
      <c r="AE126" s="598"/>
      <c r="AF126" s="598"/>
      <c r="AG126" s="598"/>
      <c r="AH126" s="598"/>
      <c r="AI126" s="598"/>
      <c r="AJ126" s="598"/>
      <c r="AK126" s="598"/>
      <c r="AL126" s="598"/>
      <c r="AM126" s="432"/>
      <c r="AO126">
        <f ca="1">IF($A126="S",IF(BM!$I126=0,0,CHOOSE(MATCH(RegimeExecucao,{"Global","Unitário"},0),ROUND(ROUND(BM.MEDAcumulado,15-13*BM!$A$9)/100*BM!$I126,15-13*ORÇAMENTO!$AF$11),ROUND(ROUND(BM.MEDAcumulado,15-13*BM!$A$9)*ROUND(BM!$H126,15-13*ORÇAMENTO!$AF$10),15-13*ORÇAMENTO!$AF$11))),IF($A126=0,0,ROUND(SomaAgrupBM,15-13*ORÇAMENTO!$AF$11)))</f>
        <v>0</v>
      </c>
    </row>
    <row r="127" spans="1:41" ht="38.25" x14ac:dyDescent="0.2">
      <c r="A127" t="str">
        <f ca="1">ORÇAMENTO!C127</f>
        <v>S</v>
      </c>
      <c r="B127">
        <f ca="1">ORÇAMENTO!D127</f>
        <v>0</v>
      </c>
      <c r="C127" s="143" t="str">
        <f t="shared" ca="1" si="50"/>
        <v/>
      </c>
      <c r="D127" s="146" t="str">
        <f ca="1">ORÇAMENTO!O127</f>
        <v>-</v>
      </c>
      <c r="E127" s="206" t="str">
        <f t="shared" si="42"/>
        <v>ELETRODUTO RÍGIDO ROSCÁVEL, PVC, DN 75 MM (2 1/2"), PARA REDE ENTERRADA DE DISTRIBUIÇÃO DE ENERGIA ELÉTRICA - FORNECIMENTO E INSTALAÇÃO. AF_12/2021</v>
      </c>
      <c r="F127" s="207" t="str">
        <f ca="1">IF(RegimeExecucao="Global","",ORÇAMENTO.Unidade)</f>
        <v/>
      </c>
      <c r="G127" s="151" t="str">
        <f ca="1">IF(RegimeExecucao="Global","",ORÇAMENTO!T127)</f>
        <v/>
      </c>
      <c r="H127" s="151" t="str">
        <f ca="1">IF(RegimeExecucao="Global","",ORÇAMENTO!W127)</f>
        <v/>
      </c>
      <c r="I127" s="154">
        <f ca="1">ORÇAMENTO!X127</f>
        <v>0</v>
      </c>
      <c r="J127" s="427">
        <f ca="1">IF($A127="S",IF(CAIXA.Modo,BM.AFAnterior,BM.MEDAnterior),IF(AND(RegimeExecucao="Global",$I127&gt;0,COUNTIF($AB$13:$AM$13,BM.medicao-1)&gt;0),M127/$I127*100,0))</f>
        <v>0</v>
      </c>
      <c r="K127" s="151">
        <f t="shared" ca="1" si="51"/>
        <v>0</v>
      </c>
      <c r="L127" s="428">
        <f ca="1">IF($A127="S",IF(CAIXA.Modo,BM.AFAcumulado,BM.MEDAcumulado),IF(AND(RegimeExecucao="Global",$I127&gt;0,COUNTIF($AB$13:$AM$13,BM.medicao)&gt;0),O127/$I127*100,0))</f>
        <v>0</v>
      </c>
      <c r="M127" s="429">
        <f ca="1">IF($A127="S",VTOTALBM,IF($A127=0,0,ROUND(SomaAgrupBM,15-13*ORÇAMENTO!$AF$11)))</f>
        <v>0</v>
      </c>
      <c r="N127" s="430">
        <f t="shared" ca="1" si="52"/>
        <v>0</v>
      </c>
      <c r="O127" s="154">
        <f ca="1">IF($A127="S",VTOTALBM,IF($A127=0,0,ROUND(SomaAgrupBM,15-13*ORÇAMENTO!$AF$11)))</f>
        <v>0</v>
      </c>
      <c r="Q127" s="431"/>
      <c r="R127" s="432"/>
      <c r="T127" s="146" t="str">
        <f t="shared" ca="1" si="53"/>
        <v/>
      </c>
      <c r="U127" s="206" t="str">
        <f t="shared" ca="1" si="54"/>
        <v/>
      </c>
      <c r="V127" s="207" t="str">
        <f ca="1">IF(AND($W127&gt;0,RegimeExecucao="Unitário"),$F127,"")</f>
        <v/>
      </c>
      <c r="W127" s="633">
        <f ca="1">IF($Y127&gt;0,CHOOSE(MATCH(RegimeExecucao,{"Unitário","Global"},0),IF($A127="S",$Y127/$X127,""),($Y127/$X127)*100),0)</f>
        <v>0</v>
      </c>
      <c r="X127" s="433" t="str">
        <f ca="1">IF($Y127&gt;0,CHOOSE(MATCH(RegimeExecucao,{"Unitário","Global"},0),IF($A127="S",ROUND($H127,ORÇAMENTO!$AF$10),""),ROUND($I127,ORÇAMENTO!$AF$11)),"")</f>
        <v/>
      </c>
      <c r="Y127" s="433">
        <f t="shared" ca="1" si="55"/>
        <v>0</v>
      </c>
      <c r="Z127" s="660"/>
      <c r="AB127" s="431"/>
      <c r="AC127" s="598"/>
      <c r="AD127" s="598"/>
      <c r="AE127" s="598"/>
      <c r="AF127" s="598"/>
      <c r="AG127" s="598"/>
      <c r="AH127" s="598"/>
      <c r="AI127" s="598"/>
      <c r="AJ127" s="598"/>
      <c r="AK127" s="598"/>
      <c r="AL127" s="598"/>
      <c r="AM127" s="432"/>
      <c r="AO127">
        <f ca="1">IF($A127="S",IF(BM!$I127=0,0,CHOOSE(MATCH(RegimeExecucao,{"Global","Unitário"},0),ROUND(ROUND(BM.MEDAcumulado,15-13*BM!$A$9)/100*BM!$I127,15-13*ORÇAMENTO!$AF$11),ROUND(ROUND(BM.MEDAcumulado,15-13*BM!$A$9)*ROUND(BM!$H127,15-13*ORÇAMENTO!$AF$10),15-13*ORÇAMENTO!$AF$11))),IF($A127=0,0,ROUND(SomaAgrupBM,15-13*ORÇAMENTO!$AF$11)))</f>
        <v>0</v>
      </c>
    </row>
    <row r="128" spans="1:41" ht="51" x14ac:dyDescent="0.2">
      <c r="A128" t="str">
        <f ca="1">ORÇAMENTO!C128</f>
        <v>S</v>
      </c>
      <c r="B128">
        <f ca="1">ORÇAMENTO!D128</f>
        <v>0</v>
      </c>
      <c r="C128" s="143" t="str">
        <f ca="1">IF(OR($I128&gt;0,$A128=1,$A128=2,$A128=3,$A128=4),"F","")</f>
        <v/>
      </c>
      <c r="D128" s="146" t="str">
        <f ca="1">ORÇAMENTO!O128</f>
        <v>-</v>
      </c>
      <c r="E128" s="206" t="str">
        <f>ORÇAMENTO.Descricao</f>
        <v>QUADRO DE DISTRIBUIÇÃO DE ENERGIA EM CHAPA DE AÇO GALVANIZADO, DE EMBUTIR, COM BARRAMENTO TRIFÁSICO, PARA 40 DISJUNTORES DIN 100A - FORNECIMENTO E INSTALAÇÃO. AF_10/2020</v>
      </c>
      <c r="F128" s="207" t="str">
        <f ca="1">IF(RegimeExecucao="Global","",ORÇAMENTO.Unidade)</f>
        <v/>
      </c>
      <c r="G128" s="151" t="str">
        <f ca="1">IF(RegimeExecucao="Global","",ORÇAMENTO!T128)</f>
        <v/>
      </c>
      <c r="H128" s="151" t="str">
        <f ca="1">IF(RegimeExecucao="Global","",ORÇAMENTO!W128)</f>
        <v/>
      </c>
      <c r="I128" s="154">
        <f ca="1">ORÇAMENTO!X128</f>
        <v>0</v>
      </c>
      <c r="J128" s="427">
        <f ca="1">IF($A128="S",IF(CAIXA.Modo,BM.AFAnterior,BM.MEDAnterior),IF(AND(RegimeExecucao="Global",$I128&gt;0,COUNTIF($AB$13:$AM$13,BM.medicao-1)&gt;0),M128/$I128*100,0))</f>
        <v>0</v>
      </c>
      <c r="K128" s="151">
        <f t="shared" ca="1" si="51"/>
        <v>0</v>
      </c>
      <c r="L128" s="428">
        <f ca="1">IF($A128="S",IF(CAIXA.Modo,BM.AFAcumulado,BM.MEDAcumulado),IF(AND(RegimeExecucao="Global",$I128&gt;0,COUNTIF($AB$13:$AM$13,BM.medicao)&gt;0),O128/$I128*100,0))</f>
        <v>0</v>
      </c>
      <c r="M128" s="429">
        <f ca="1">IF($A128="S",VTOTALBM,IF($A128=0,0,ROUND(SomaAgrupBM,15-13*ORÇAMENTO!$AF$11)))</f>
        <v>0</v>
      </c>
      <c r="N128" s="430">
        <f t="shared" ca="1" si="52"/>
        <v>0</v>
      </c>
      <c r="O128" s="154">
        <f ca="1">IF($A128="S",VTOTALBM,IF($A128=0,0,ROUND(SomaAgrupBM,15-13*ORÇAMENTO!$AF$11)))</f>
        <v>0</v>
      </c>
      <c r="Q128" s="431"/>
      <c r="R128" s="432"/>
      <c r="T128" s="146" t="str">
        <f ca="1">IF($W128&gt;0,$D128,"")</f>
        <v/>
      </c>
      <c r="U128" s="206" t="str">
        <f ca="1">IF($W128&gt;0,$E128,"")</f>
        <v/>
      </c>
      <c r="V128" s="207" t="str">
        <f ca="1">IF(AND($W128&gt;0,RegimeExecucao="Unitário"),$F128,"")</f>
        <v/>
      </c>
      <c r="W128" s="633">
        <f ca="1">IF($Y128&gt;0,CHOOSE(MATCH(RegimeExecucao,{"Unitário","Global"},0),IF($A128="S",$Y128/$X128,""),($Y128/$X128)*100),0)</f>
        <v>0</v>
      </c>
      <c r="X128" s="433" t="str">
        <f ca="1">IF($Y128&gt;0,CHOOSE(MATCH(RegimeExecucao,{"Unitário","Global"},0),IF($A128="S",ROUND($H128,ORÇAMENTO!$AF$10),""),ROUND($I128,ORÇAMENTO!$AF$11)),"")</f>
        <v/>
      </c>
      <c r="Y128" s="433">
        <f ca="1">AO128-O128</f>
        <v>0</v>
      </c>
      <c r="Z128" s="660"/>
      <c r="AB128" s="431"/>
      <c r="AC128" s="598"/>
      <c r="AD128" s="598"/>
      <c r="AE128" s="598"/>
      <c r="AF128" s="598"/>
      <c r="AG128" s="598"/>
      <c r="AH128" s="598"/>
      <c r="AI128" s="598"/>
      <c r="AJ128" s="598"/>
      <c r="AK128" s="598"/>
      <c r="AL128" s="598"/>
      <c r="AM128" s="432"/>
      <c r="AO128">
        <f ca="1">IF($A128="S",IF(BM!$I128=0,0,CHOOSE(MATCH(RegimeExecucao,{"Global","Unitário"},0),ROUND(ROUND(BM.MEDAcumulado,15-13*BM!$A$9)/100*BM!$I128,15-13*ORÇAMENTO!$AF$11),ROUND(ROUND(BM.MEDAcumulado,15-13*BM!$A$9)*ROUND(BM!$H128,15-13*ORÇAMENTO!$AF$10),15-13*ORÇAMENTO!$AF$11))),IF($A128=0,0,ROUND(SomaAgrupBM,15-13*ORÇAMENTO!$AF$11)))</f>
        <v>0</v>
      </c>
    </row>
    <row r="129" spans="1:41" ht="38.25" x14ac:dyDescent="0.2">
      <c r="A129" t="str">
        <f ca="1">ORÇAMENTO!C129</f>
        <v>S</v>
      </c>
      <c r="B129">
        <f ca="1">ORÇAMENTO!D129</f>
        <v>0</v>
      </c>
      <c r="C129" s="143" t="str">
        <f t="shared" ca="1" si="50"/>
        <v/>
      </c>
      <c r="D129" s="146" t="str">
        <f ca="1">ORÇAMENTO!O129</f>
        <v>-</v>
      </c>
      <c r="E129" s="206" t="str">
        <f t="shared" si="42"/>
        <v>CAIXA ENTERRADA PARA INSTALAÇÕES TELEFÔNICAS TIPO R1, EM ALVENARIA COM BLOCOS DE CONCRETO, DIMENSÕES INTERNAS: 0,35X0,60X0,60 M, EXCLUINDO TAMPÃO. AF_12/2020</v>
      </c>
      <c r="F129" s="207" t="str">
        <f ca="1">IF(RegimeExecucao="Global","",ORÇAMENTO.Unidade)</f>
        <v/>
      </c>
      <c r="G129" s="151" t="str">
        <f ca="1">IF(RegimeExecucao="Global","",ORÇAMENTO!T129)</f>
        <v/>
      </c>
      <c r="H129" s="151" t="str">
        <f ca="1">IF(RegimeExecucao="Global","",ORÇAMENTO!W129)</f>
        <v/>
      </c>
      <c r="I129" s="154">
        <f ca="1">ORÇAMENTO!X129</f>
        <v>0</v>
      </c>
      <c r="J129" s="427">
        <f ca="1">IF($A129="S",IF(CAIXA.Modo,BM.AFAnterior,BM.MEDAnterior),IF(AND(RegimeExecucao="Global",$I129&gt;0,COUNTIF($AB$13:$AM$13,BM.medicao-1)&gt;0),M129/$I129*100,0))</f>
        <v>0</v>
      </c>
      <c r="K129" s="151">
        <f t="shared" ca="1" si="51"/>
        <v>0</v>
      </c>
      <c r="L129" s="428">
        <f ca="1">IF($A129="S",IF(CAIXA.Modo,BM.AFAcumulado,BM.MEDAcumulado),IF(AND(RegimeExecucao="Global",$I129&gt;0,COUNTIF($AB$13:$AM$13,BM.medicao)&gt;0),O129/$I129*100,0))</f>
        <v>0</v>
      </c>
      <c r="M129" s="429">
        <f ca="1">IF($A129="S",VTOTALBM,IF($A129=0,0,ROUND(SomaAgrupBM,15-13*ORÇAMENTO!$AF$11)))</f>
        <v>0</v>
      </c>
      <c r="N129" s="430">
        <f t="shared" ca="1" si="52"/>
        <v>0</v>
      </c>
      <c r="O129" s="154">
        <f ca="1">IF($A129="S",VTOTALBM,IF($A129=0,0,ROUND(SomaAgrupBM,15-13*ORÇAMENTO!$AF$11)))</f>
        <v>0</v>
      </c>
      <c r="Q129" s="431"/>
      <c r="R129" s="432"/>
      <c r="T129" s="146" t="str">
        <f t="shared" ca="1" si="53"/>
        <v/>
      </c>
      <c r="U129" s="206" t="str">
        <f t="shared" ca="1" si="54"/>
        <v/>
      </c>
      <c r="V129" s="207" t="str">
        <f ca="1">IF(AND($W129&gt;0,RegimeExecucao="Unitário"),$F129,"")</f>
        <v/>
      </c>
      <c r="W129" s="633">
        <f ca="1">IF($Y129&gt;0,CHOOSE(MATCH(RegimeExecucao,{"Unitário","Global"},0),IF($A129="S",$Y129/$X129,""),($Y129/$X129)*100),0)</f>
        <v>0</v>
      </c>
      <c r="X129" s="433" t="str">
        <f ca="1">IF($Y129&gt;0,CHOOSE(MATCH(RegimeExecucao,{"Unitário","Global"},0),IF($A129="S",ROUND($H129,ORÇAMENTO!$AF$10),""),ROUND($I129,ORÇAMENTO!$AF$11)),"")</f>
        <v/>
      </c>
      <c r="Y129" s="433">
        <f t="shared" ca="1" si="55"/>
        <v>0</v>
      </c>
      <c r="Z129" s="660"/>
      <c r="AB129" s="431"/>
      <c r="AC129" s="598"/>
      <c r="AD129" s="598"/>
      <c r="AE129" s="598"/>
      <c r="AF129" s="598"/>
      <c r="AG129" s="598"/>
      <c r="AH129" s="598"/>
      <c r="AI129" s="598"/>
      <c r="AJ129" s="598"/>
      <c r="AK129" s="598"/>
      <c r="AL129" s="598"/>
      <c r="AM129" s="432"/>
      <c r="AO129">
        <f ca="1">IF($A129="S",IF(BM!$I129=0,0,CHOOSE(MATCH(RegimeExecucao,{"Global","Unitário"},0),ROUND(ROUND(BM.MEDAcumulado,15-13*BM!$A$9)/100*BM!$I129,15-13*ORÇAMENTO!$AF$11),ROUND(ROUND(BM.MEDAcumulado,15-13*BM!$A$9)*ROUND(BM!$H129,15-13*ORÇAMENTO!$AF$10),15-13*ORÇAMENTO!$AF$11))),IF($A129=0,0,ROUND(SomaAgrupBM,15-13*ORÇAMENTO!$AF$11)))</f>
        <v>0</v>
      </c>
    </row>
    <row r="130" spans="1:41" ht="25.5" x14ac:dyDescent="0.2">
      <c r="A130" t="str">
        <f ca="1">ORÇAMENTO!C130</f>
        <v>S</v>
      </c>
      <c r="B130">
        <f ca="1">ORÇAMENTO!D130</f>
        <v>0</v>
      </c>
      <c r="C130" s="143" t="str">
        <f t="shared" ca="1" si="50"/>
        <v/>
      </c>
      <c r="D130" s="146" t="str">
        <f ca="1">ORÇAMENTO!O130</f>
        <v>-</v>
      </c>
      <c r="E130" s="206" t="str">
        <f t="shared" si="42"/>
        <v>CAIXA OCTOGONAL 4" X 4", PVC, INSTALADA EM LAJE - FORNECIMENTO E INSTALAÇÃO. AF_03/2023</v>
      </c>
      <c r="F130" s="207" t="str">
        <f ca="1">IF(RegimeExecucao="Global","",ORÇAMENTO.Unidade)</f>
        <v/>
      </c>
      <c r="G130" s="151" t="str">
        <f ca="1">IF(RegimeExecucao="Global","",ORÇAMENTO!T130)</f>
        <v/>
      </c>
      <c r="H130" s="151" t="str">
        <f ca="1">IF(RegimeExecucao="Global","",ORÇAMENTO!W130)</f>
        <v/>
      </c>
      <c r="I130" s="154">
        <f ca="1">ORÇAMENTO!X130</f>
        <v>0</v>
      </c>
      <c r="J130" s="427">
        <f ca="1">IF($A130="S",IF(CAIXA.Modo,BM.AFAnterior,BM.MEDAnterior),IF(AND(RegimeExecucao="Global",$I130&gt;0,COUNTIF($AB$13:$AM$13,BM.medicao-1)&gt;0),M130/$I130*100,0))</f>
        <v>0</v>
      </c>
      <c r="K130" s="151">
        <f t="shared" ca="1" si="51"/>
        <v>0</v>
      </c>
      <c r="L130" s="428">
        <f ca="1">IF($A130="S",IF(CAIXA.Modo,BM.AFAcumulado,BM.MEDAcumulado),IF(AND(RegimeExecucao="Global",$I130&gt;0,COUNTIF($AB$13:$AM$13,BM.medicao)&gt;0),O130/$I130*100,0))</f>
        <v>0</v>
      </c>
      <c r="M130" s="429">
        <f ca="1">IF($A130="S",VTOTALBM,IF($A130=0,0,ROUND(SomaAgrupBM,15-13*ORÇAMENTO!$AF$11)))</f>
        <v>0</v>
      </c>
      <c r="N130" s="430">
        <f t="shared" ca="1" si="52"/>
        <v>0</v>
      </c>
      <c r="O130" s="154">
        <f ca="1">IF($A130="S",VTOTALBM,IF($A130=0,0,ROUND(SomaAgrupBM,15-13*ORÇAMENTO!$AF$11)))</f>
        <v>0</v>
      </c>
      <c r="Q130" s="431"/>
      <c r="R130" s="432"/>
      <c r="T130" s="146" t="str">
        <f t="shared" ca="1" si="53"/>
        <v/>
      </c>
      <c r="U130" s="206" t="str">
        <f t="shared" ca="1" si="54"/>
        <v/>
      </c>
      <c r="V130" s="207" t="str">
        <f ca="1">IF(AND($W130&gt;0,RegimeExecucao="Unitário"),$F130,"")</f>
        <v/>
      </c>
      <c r="W130" s="633">
        <f ca="1">IF($Y130&gt;0,CHOOSE(MATCH(RegimeExecucao,{"Unitário","Global"},0),IF($A130="S",$Y130/$X130,""),($Y130/$X130)*100),0)</f>
        <v>0</v>
      </c>
      <c r="X130" s="433" t="str">
        <f ca="1">IF($Y130&gt;0,CHOOSE(MATCH(RegimeExecucao,{"Unitário","Global"},0),IF($A130="S",ROUND($H130,ORÇAMENTO!$AF$10),""),ROUND($I130,ORÇAMENTO!$AF$11)),"")</f>
        <v/>
      </c>
      <c r="Y130" s="433">
        <f t="shared" ca="1" si="55"/>
        <v>0</v>
      </c>
      <c r="Z130" s="660"/>
      <c r="AB130" s="431"/>
      <c r="AC130" s="598"/>
      <c r="AD130" s="598"/>
      <c r="AE130" s="598"/>
      <c r="AF130" s="598"/>
      <c r="AG130" s="598"/>
      <c r="AH130" s="598"/>
      <c r="AI130" s="598"/>
      <c r="AJ130" s="598"/>
      <c r="AK130" s="598"/>
      <c r="AL130" s="598"/>
      <c r="AM130" s="432"/>
      <c r="AO130">
        <f ca="1">IF($A130="S",IF(BM!$I130=0,0,CHOOSE(MATCH(RegimeExecucao,{"Global","Unitário"},0),ROUND(ROUND(BM.MEDAcumulado,15-13*BM!$A$9)/100*BM!$I130,15-13*ORÇAMENTO!$AF$11),ROUND(ROUND(BM.MEDAcumulado,15-13*BM!$A$9)*ROUND(BM!$H130,15-13*ORÇAMENTO!$AF$10),15-13*ORÇAMENTO!$AF$11))),IF($A130=0,0,ROUND(SomaAgrupBM,15-13*ORÇAMENTO!$AF$11)))</f>
        <v>0</v>
      </c>
    </row>
    <row r="131" spans="1:41" ht="38.25" x14ac:dyDescent="0.2">
      <c r="A131" t="str">
        <f ca="1">ORÇAMENTO!C131</f>
        <v>S</v>
      </c>
      <c r="B131">
        <f ca="1">ORÇAMENTO!D131</f>
        <v>0</v>
      </c>
      <c r="C131" s="143" t="str">
        <f ca="1">IF(OR($I131&gt;0,$A131=1,$A131=2,$A131=3,$A131=4),"F","")</f>
        <v/>
      </c>
      <c r="D131" s="146" t="str">
        <f ca="1">ORÇAMENTO!O131</f>
        <v>-</v>
      </c>
      <c r="E131" s="206" t="str">
        <f>ORÇAMENTO.Descricao</f>
        <v>CAIXA RETANGULAR 4" X 2" BAIXA (0,30 M DO PISO), METÁLICA, INSTALADA EM PAREDE - FORNECIMENTO E INSTALAÇÃO. AF_03/2023</v>
      </c>
      <c r="F131" s="207" t="str">
        <f ca="1">IF(RegimeExecucao="Global","",ORÇAMENTO.Unidade)</f>
        <v/>
      </c>
      <c r="G131" s="151" t="str">
        <f ca="1">IF(RegimeExecucao="Global","",ORÇAMENTO!T131)</f>
        <v/>
      </c>
      <c r="H131" s="151" t="str">
        <f ca="1">IF(RegimeExecucao="Global","",ORÇAMENTO!W131)</f>
        <v/>
      </c>
      <c r="I131" s="154">
        <f ca="1">ORÇAMENTO!X131</f>
        <v>0</v>
      </c>
      <c r="J131" s="427">
        <f ca="1">IF($A131="S",IF(CAIXA.Modo,BM.AFAnterior,BM.MEDAnterior),IF(AND(RegimeExecucao="Global",$I131&gt;0,COUNTIF($AB$13:$AM$13,BM.medicao-1)&gt;0),M131/$I131*100,0))</f>
        <v>0</v>
      </c>
      <c r="K131" s="151">
        <f t="shared" ca="1" si="51"/>
        <v>0</v>
      </c>
      <c r="L131" s="428">
        <f ca="1">IF($A131="S",IF(CAIXA.Modo,BM.AFAcumulado,BM.MEDAcumulado),IF(AND(RegimeExecucao="Global",$I131&gt;0,COUNTIF($AB$13:$AM$13,BM.medicao)&gt;0),O131/$I131*100,0))</f>
        <v>0</v>
      </c>
      <c r="M131" s="429">
        <f ca="1">IF($A131="S",VTOTALBM,IF($A131=0,0,ROUND(SomaAgrupBM,15-13*ORÇAMENTO!$AF$11)))</f>
        <v>0</v>
      </c>
      <c r="N131" s="430">
        <f t="shared" ca="1" si="52"/>
        <v>0</v>
      </c>
      <c r="O131" s="154">
        <f ca="1">IF($A131="S",VTOTALBM,IF($A131=0,0,ROUND(SomaAgrupBM,15-13*ORÇAMENTO!$AF$11)))</f>
        <v>0</v>
      </c>
      <c r="Q131" s="431"/>
      <c r="R131" s="432"/>
      <c r="T131" s="146" t="str">
        <f ca="1">IF($W131&gt;0,$D131,"")</f>
        <v/>
      </c>
      <c r="U131" s="206" t="str">
        <f ca="1">IF($W131&gt;0,$E131,"")</f>
        <v/>
      </c>
      <c r="V131" s="207" t="str">
        <f ca="1">IF(AND($W131&gt;0,RegimeExecucao="Unitário"),$F131,"")</f>
        <v/>
      </c>
      <c r="W131" s="633">
        <f ca="1">IF($Y131&gt;0,CHOOSE(MATCH(RegimeExecucao,{"Unitário","Global"},0),IF($A131="S",$Y131/$X131,""),($Y131/$X131)*100),0)</f>
        <v>0</v>
      </c>
      <c r="X131" s="433" t="str">
        <f ca="1">IF($Y131&gt;0,CHOOSE(MATCH(RegimeExecucao,{"Unitário","Global"},0),IF($A131="S",ROUND($H131,ORÇAMENTO!$AF$10),""),ROUND($I131,ORÇAMENTO!$AF$11)),"")</f>
        <v/>
      </c>
      <c r="Y131" s="433">
        <f ca="1">AO131-O131</f>
        <v>0</v>
      </c>
      <c r="Z131" s="660"/>
      <c r="AB131" s="431"/>
      <c r="AC131" s="598"/>
      <c r="AD131" s="598"/>
      <c r="AE131" s="598"/>
      <c r="AF131" s="598"/>
      <c r="AG131" s="598"/>
      <c r="AH131" s="598"/>
      <c r="AI131" s="598"/>
      <c r="AJ131" s="598"/>
      <c r="AK131" s="598"/>
      <c r="AL131" s="598"/>
      <c r="AM131" s="432"/>
      <c r="AO131">
        <f ca="1">IF($A131="S",IF(BM!$I131=0,0,CHOOSE(MATCH(RegimeExecucao,{"Global","Unitário"},0),ROUND(ROUND(BM.MEDAcumulado,15-13*BM!$A$9)/100*BM!$I131,15-13*ORÇAMENTO!$AF$11),ROUND(ROUND(BM.MEDAcumulado,15-13*BM!$A$9)*ROUND(BM!$H131,15-13*ORÇAMENTO!$AF$10),15-13*ORÇAMENTO!$AF$11))),IF($A131=0,0,ROUND(SomaAgrupBM,15-13*ORÇAMENTO!$AF$11)))</f>
        <v>0</v>
      </c>
    </row>
    <row r="132" spans="1:41" ht="25.5" x14ac:dyDescent="0.2">
      <c r="A132" t="str">
        <f ca="1">ORÇAMENTO!C132</f>
        <v>S</v>
      </c>
      <c r="B132">
        <f ca="1">ORÇAMENTO!D132</f>
        <v>0</v>
      </c>
      <c r="C132" s="143" t="str">
        <f t="shared" ca="1" si="50"/>
        <v/>
      </c>
      <c r="D132" s="146" t="str">
        <f ca="1">ORÇAMENTO!O132</f>
        <v>-</v>
      </c>
      <c r="E132" s="206" t="str">
        <f t="shared" si="42"/>
        <v>Luminária Sobrepor Tubular Alto Rendimento 2 Lâmpadas Retangular 120cm</v>
      </c>
      <c r="F132" s="207" t="str">
        <f ca="1">IF(RegimeExecucao="Global","",ORÇAMENTO.Unidade)</f>
        <v/>
      </c>
      <c r="G132" s="151" t="str">
        <f ca="1">IF(RegimeExecucao="Global","",ORÇAMENTO!T132)</f>
        <v/>
      </c>
      <c r="H132" s="151" t="str">
        <f ca="1">IF(RegimeExecucao="Global","",ORÇAMENTO!W132)</f>
        <v/>
      </c>
      <c r="I132" s="154">
        <f ca="1">ORÇAMENTO!X132</f>
        <v>0</v>
      </c>
      <c r="J132" s="427">
        <f ca="1">IF($A132="S",IF(CAIXA.Modo,BM.AFAnterior,BM.MEDAnterior),IF(AND(RegimeExecucao="Global",$I132&gt;0,COUNTIF($AB$13:$AM$13,BM.medicao-1)&gt;0),M132/$I132*100,0))</f>
        <v>0</v>
      </c>
      <c r="K132" s="151">
        <f t="shared" ca="1" si="51"/>
        <v>0</v>
      </c>
      <c r="L132" s="428">
        <f ca="1">IF($A132="S",IF(CAIXA.Modo,BM.AFAcumulado,BM.MEDAcumulado),IF(AND(RegimeExecucao="Global",$I132&gt;0,COUNTIF($AB$13:$AM$13,BM.medicao)&gt;0),O132/$I132*100,0))</f>
        <v>0</v>
      </c>
      <c r="M132" s="429">
        <f ca="1">IF($A132="S",VTOTALBM,IF($A132=0,0,ROUND(SomaAgrupBM,15-13*ORÇAMENTO!$AF$11)))</f>
        <v>0</v>
      </c>
      <c r="N132" s="430">
        <f t="shared" ca="1" si="52"/>
        <v>0</v>
      </c>
      <c r="O132" s="154">
        <f ca="1">IF($A132="S",VTOTALBM,IF($A132=0,0,ROUND(SomaAgrupBM,15-13*ORÇAMENTO!$AF$11)))</f>
        <v>0</v>
      </c>
      <c r="Q132" s="431"/>
      <c r="R132" s="432"/>
      <c r="T132" s="146" t="str">
        <f t="shared" ca="1" si="53"/>
        <v/>
      </c>
      <c r="U132" s="206" t="str">
        <f t="shared" ca="1" si="54"/>
        <v/>
      </c>
      <c r="V132" s="207" t="str">
        <f ca="1">IF(AND($W132&gt;0,RegimeExecucao="Unitário"),$F132,"")</f>
        <v/>
      </c>
      <c r="W132" s="633">
        <f ca="1">IF($Y132&gt;0,CHOOSE(MATCH(RegimeExecucao,{"Unitário","Global"},0),IF($A132="S",$Y132/$X132,""),($Y132/$X132)*100),0)</f>
        <v>0</v>
      </c>
      <c r="X132" s="433" t="str">
        <f ca="1">IF($Y132&gt;0,CHOOSE(MATCH(RegimeExecucao,{"Unitário","Global"},0),IF($A132="S",ROUND($H132,ORÇAMENTO!$AF$10),""),ROUND($I132,ORÇAMENTO!$AF$11)),"")</f>
        <v/>
      </c>
      <c r="Y132" s="433">
        <f t="shared" ca="1" si="55"/>
        <v>0</v>
      </c>
      <c r="Z132" s="660"/>
      <c r="AB132" s="431"/>
      <c r="AC132" s="598"/>
      <c r="AD132" s="598"/>
      <c r="AE132" s="598"/>
      <c r="AF132" s="598"/>
      <c r="AG132" s="598"/>
      <c r="AH132" s="598"/>
      <c r="AI132" s="598"/>
      <c r="AJ132" s="598"/>
      <c r="AK132" s="598"/>
      <c r="AL132" s="598"/>
      <c r="AM132" s="432"/>
      <c r="AO132">
        <f ca="1">IF($A132="S",IF(BM!$I132=0,0,CHOOSE(MATCH(RegimeExecucao,{"Global","Unitário"},0),ROUND(ROUND(BM.MEDAcumulado,15-13*BM!$A$9)/100*BM!$I132,15-13*ORÇAMENTO!$AF$11),ROUND(ROUND(BM.MEDAcumulado,15-13*BM!$A$9)*ROUND(BM!$H132,15-13*ORÇAMENTO!$AF$10),15-13*ORÇAMENTO!$AF$11))),IF($A132=0,0,ROUND(SomaAgrupBM,15-13*ORÇAMENTO!$AF$11)))</f>
        <v>0</v>
      </c>
    </row>
    <row r="133" spans="1:41" ht="25.5" x14ac:dyDescent="0.2">
      <c r="A133" t="str">
        <f ca="1">ORÇAMENTO!C133</f>
        <v>S</v>
      </c>
      <c r="B133">
        <f ca="1">ORÇAMENTO!D133</f>
        <v>0</v>
      </c>
      <c r="C133" s="143" t="str">
        <f t="shared" ca="1" si="50"/>
        <v/>
      </c>
      <c r="D133" s="146" t="str">
        <f ca="1">ORÇAMENTO!O133</f>
        <v>-</v>
      </c>
      <c r="E133" s="206" t="str">
        <f t="shared" si="42"/>
        <v>LÂMPADA TUBULAR LED DE 18/20 W, BASE G13 - FORNECIMENTO E INSTALAÇÃO. AF_02/2020_PS</v>
      </c>
      <c r="F133" s="207" t="str">
        <f ca="1">IF(RegimeExecucao="Global","",ORÇAMENTO.Unidade)</f>
        <v/>
      </c>
      <c r="G133" s="151" t="str">
        <f ca="1">IF(RegimeExecucao="Global","",ORÇAMENTO!T133)</f>
        <v/>
      </c>
      <c r="H133" s="151" t="str">
        <f ca="1">IF(RegimeExecucao="Global","",ORÇAMENTO!W133)</f>
        <v/>
      </c>
      <c r="I133" s="154">
        <f ca="1">ORÇAMENTO!X133</f>
        <v>0</v>
      </c>
      <c r="J133" s="427">
        <f ca="1">IF($A133="S",IF(CAIXA.Modo,BM.AFAnterior,BM.MEDAnterior),IF(AND(RegimeExecucao="Global",$I133&gt;0,COUNTIF($AB$13:$AM$13,BM.medicao-1)&gt;0),M133/$I133*100,0))</f>
        <v>0</v>
      </c>
      <c r="K133" s="151">
        <f t="shared" ca="1" si="51"/>
        <v>0</v>
      </c>
      <c r="L133" s="428">
        <f ca="1">IF($A133="S",IF(CAIXA.Modo,BM.AFAcumulado,BM.MEDAcumulado),IF(AND(RegimeExecucao="Global",$I133&gt;0,COUNTIF($AB$13:$AM$13,BM.medicao)&gt;0),O133/$I133*100,0))</f>
        <v>0</v>
      </c>
      <c r="M133" s="429">
        <f ca="1">IF($A133="S",VTOTALBM,IF($A133=0,0,ROUND(SomaAgrupBM,15-13*ORÇAMENTO!$AF$11)))</f>
        <v>0</v>
      </c>
      <c r="N133" s="430">
        <f t="shared" ca="1" si="52"/>
        <v>0</v>
      </c>
      <c r="O133" s="154">
        <f ca="1">IF($A133="S",VTOTALBM,IF($A133=0,0,ROUND(SomaAgrupBM,15-13*ORÇAMENTO!$AF$11)))</f>
        <v>0</v>
      </c>
      <c r="Q133" s="431"/>
      <c r="R133" s="432"/>
      <c r="T133" s="146" t="str">
        <f t="shared" ca="1" si="53"/>
        <v/>
      </c>
      <c r="U133" s="206" t="str">
        <f t="shared" ca="1" si="54"/>
        <v/>
      </c>
      <c r="V133" s="207" t="str">
        <f ca="1">IF(AND($W133&gt;0,RegimeExecucao="Unitário"),$F133,"")</f>
        <v/>
      </c>
      <c r="W133" s="633">
        <f ca="1">IF($Y133&gt;0,CHOOSE(MATCH(RegimeExecucao,{"Unitário","Global"},0),IF($A133="S",$Y133/$X133,""),($Y133/$X133)*100),0)</f>
        <v>0</v>
      </c>
      <c r="X133" s="433" t="str">
        <f ca="1">IF($Y133&gt;0,CHOOSE(MATCH(RegimeExecucao,{"Unitário","Global"},0),IF($A133="S",ROUND($H133,ORÇAMENTO!$AF$10),""),ROUND($I133,ORÇAMENTO!$AF$11)),"")</f>
        <v/>
      </c>
      <c r="Y133" s="433">
        <f t="shared" ca="1" si="55"/>
        <v>0</v>
      </c>
      <c r="Z133" s="660"/>
      <c r="AB133" s="431"/>
      <c r="AC133" s="598"/>
      <c r="AD133" s="598"/>
      <c r="AE133" s="598"/>
      <c r="AF133" s="598"/>
      <c r="AG133" s="598"/>
      <c r="AH133" s="598"/>
      <c r="AI133" s="598"/>
      <c r="AJ133" s="598"/>
      <c r="AK133" s="598"/>
      <c r="AL133" s="598"/>
      <c r="AM133" s="432"/>
      <c r="AO133">
        <f ca="1">IF($A133="S",IF(BM!$I133=0,0,CHOOSE(MATCH(RegimeExecucao,{"Global","Unitário"},0),ROUND(ROUND(BM.MEDAcumulado,15-13*BM!$A$9)/100*BM!$I133,15-13*ORÇAMENTO!$AF$11),ROUND(ROUND(BM.MEDAcumulado,15-13*BM!$A$9)*ROUND(BM!$H133,15-13*ORÇAMENTO!$AF$10),15-13*ORÇAMENTO!$AF$11))),IF($A133=0,0,ROUND(SomaAgrupBM,15-13*ORÇAMENTO!$AF$11)))</f>
        <v>0</v>
      </c>
    </row>
    <row r="134" spans="1:41" ht="25.5" x14ac:dyDescent="0.2">
      <c r="A134" t="str">
        <f ca="1">ORÇAMENTO!C134</f>
        <v>S</v>
      </c>
      <c r="B134">
        <f ca="1">ORÇAMENTO!D134</f>
        <v>0</v>
      </c>
      <c r="C134" s="143" t="str">
        <f t="shared" ca="1" si="50"/>
        <v/>
      </c>
      <c r="D134" s="146" t="str">
        <f ca="1">ORÇAMENTO!O134</f>
        <v>-</v>
      </c>
      <c r="E134" s="206" t="str">
        <f t="shared" si="42"/>
        <v xml:space="preserve">CABO DE REDE, PAR TRANCADO UTP, 4 PARES, CATEGORIA 6 (CAT 6), ISOLAMENTO PVC (LSZH)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F134" s="207" t="str">
        <f ca="1">IF(RegimeExecucao="Global","",ORÇAMENTO.Unidade)</f>
        <v/>
      </c>
      <c r="G134" s="151" t="str">
        <f ca="1">IF(RegimeExecucao="Global","",ORÇAMENTO!T134)</f>
        <v/>
      </c>
      <c r="H134" s="151" t="str">
        <f ca="1">IF(RegimeExecucao="Global","",ORÇAMENTO!W134)</f>
        <v/>
      </c>
      <c r="I134" s="154">
        <f ca="1">ORÇAMENTO!X134</f>
        <v>0</v>
      </c>
      <c r="J134" s="427">
        <f ca="1">IF($A134="S",IF(CAIXA.Modo,BM.AFAnterior,BM.MEDAnterior),IF(AND(RegimeExecucao="Global",$I134&gt;0,COUNTIF($AB$13:$AM$13,BM.medicao-1)&gt;0),M134/$I134*100,0))</f>
        <v>0</v>
      </c>
      <c r="K134" s="151">
        <f t="shared" ca="1" si="51"/>
        <v>0</v>
      </c>
      <c r="L134" s="428">
        <f ca="1">IF($A134="S",IF(CAIXA.Modo,BM.AFAcumulado,BM.MEDAcumulado),IF(AND(RegimeExecucao="Global",$I134&gt;0,COUNTIF($AB$13:$AM$13,BM.medicao)&gt;0),O134/$I134*100,0))</f>
        <v>0</v>
      </c>
      <c r="M134" s="429">
        <f ca="1">IF($A134="S",VTOTALBM,IF($A134=0,0,ROUND(SomaAgrupBM,15-13*ORÇAMENTO!$AF$11)))</f>
        <v>0</v>
      </c>
      <c r="N134" s="430">
        <f t="shared" ca="1" si="52"/>
        <v>0</v>
      </c>
      <c r="O134" s="154">
        <f ca="1">IF($A134="S",VTOTALBM,IF($A134=0,0,ROUND(SomaAgrupBM,15-13*ORÇAMENTO!$AF$11)))</f>
        <v>0</v>
      </c>
      <c r="Q134" s="431"/>
      <c r="R134" s="432"/>
      <c r="T134" s="146" t="str">
        <f t="shared" ca="1" si="53"/>
        <v/>
      </c>
      <c r="U134" s="206" t="str">
        <f t="shared" ca="1" si="54"/>
        <v/>
      </c>
      <c r="V134" s="207" t="str">
        <f ca="1">IF(AND($W134&gt;0,RegimeExecucao="Unitário"),$F134,"")</f>
        <v/>
      </c>
      <c r="W134" s="633">
        <f ca="1">IF($Y134&gt;0,CHOOSE(MATCH(RegimeExecucao,{"Unitário","Global"},0),IF($A134="S",$Y134/$X134,""),($Y134/$X134)*100),0)</f>
        <v>0</v>
      </c>
      <c r="X134" s="433" t="str">
        <f ca="1">IF($Y134&gt;0,CHOOSE(MATCH(RegimeExecucao,{"Unitário","Global"},0),IF($A134="S",ROUND($H134,ORÇAMENTO!$AF$10),""),ROUND($I134,ORÇAMENTO!$AF$11)),"")</f>
        <v/>
      </c>
      <c r="Y134" s="433">
        <f t="shared" ca="1" si="55"/>
        <v>0</v>
      </c>
      <c r="Z134" s="660"/>
      <c r="AB134" s="431"/>
      <c r="AC134" s="598"/>
      <c r="AD134" s="598"/>
      <c r="AE134" s="598"/>
      <c r="AF134" s="598"/>
      <c r="AG134" s="598"/>
      <c r="AH134" s="598"/>
      <c r="AI134" s="598"/>
      <c r="AJ134" s="598"/>
      <c r="AK134" s="598"/>
      <c r="AL134" s="598"/>
      <c r="AM134" s="432"/>
      <c r="AO134">
        <f ca="1">IF($A134="S",IF(BM!$I134=0,0,CHOOSE(MATCH(RegimeExecucao,{"Global","Unitário"},0),ROUND(ROUND(BM.MEDAcumulado,15-13*BM!$A$9)/100*BM!$I134,15-13*ORÇAMENTO!$AF$11),ROUND(ROUND(BM.MEDAcumulado,15-13*BM!$A$9)*ROUND(BM!$H134,15-13*ORÇAMENTO!$AF$10),15-13*ORÇAMENTO!$AF$11))),IF($A134=0,0,ROUND(SomaAgrupBM,15-13*ORÇAMENTO!$AF$11)))</f>
        <v>0</v>
      </c>
    </row>
    <row r="135" spans="1:41" ht="25.5" x14ac:dyDescent="0.2">
      <c r="A135" t="str">
        <f ca="1">ORÇAMENTO!C135</f>
        <v>S</v>
      </c>
      <c r="B135">
        <f ca="1">ORÇAMENTO!D135</f>
        <v>0</v>
      </c>
      <c r="C135" s="143" t="str">
        <f t="shared" ca="1" si="50"/>
        <v/>
      </c>
      <c r="D135" s="146" t="str">
        <f ca="1">ORÇAMENTO!O135</f>
        <v>-</v>
      </c>
      <c r="E135" s="206" t="str">
        <f t="shared" si="42"/>
        <v>TOMADA DE REDE RJ45 - FORNECIMENTO E INSTALAÇÃO. AF_11/2019</v>
      </c>
      <c r="F135" s="207" t="str">
        <f ca="1">IF(RegimeExecucao="Global","",ORÇAMENTO.Unidade)</f>
        <v/>
      </c>
      <c r="G135" s="151" t="str">
        <f ca="1">IF(RegimeExecucao="Global","",ORÇAMENTO!T135)</f>
        <v/>
      </c>
      <c r="H135" s="151" t="str">
        <f ca="1">IF(RegimeExecucao="Global","",ORÇAMENTO!W135)</f>
        <v/>
      </c>
      <c r="I135" s="154">
        <f ca="1">ORÇAMENTO!X135</f>
        <v>0</v>
      </c>
      <c r="J135" s="427">
        <f ca="1">IF($A135="S",IF(CAIXA.Modo,BM.AFAnterior,BM.MEDAnterior),IF(AND(RegimeExecucao="Global",$I135&gt;0,COUNTIF($AB$13:$AM$13,BM.medicao-1)&gt;0),M135/$I135*100,0))</f>
        <v>0</v>
      </c>
      <c r="K135" s="151">
        <f t="shared" ca="1" si="51"/>
        <v>0</v>
      </c>
      <c r="L135" s="428">
        <f ca="1">IF($A135="S",IF(CAIXA.Modo,BM.AFAcumulado,BM.MEDAcumulado),IF(AND(RegimeExecucao="Global",$I135&gt;0,COUNTIF($AB$13:$AM$13,BM.medicao)&gt;0),O135/$I135*100,0))</f>
        <v>0</v>
      </c>
      <c r="M135" s="429">
        <f ca="1">IF($A135="S",VTOTALBM,IF($A135=0,0,ROUND(SomaAgrupBM,15-13*ORÇAMENTO!$AF$11)))</f>
        <v>0</v>
      </c>
      <c r="N135" s="430">
        <f t="shared" ca="1" si="52"/>
        <v>0</v>
      </c>
      <c r="O135" s="154">
        <f ca="1">IF($A135="S",VTOTALBM,IF($A135=0,0,ROUND(SomaAgrupBM,15-13*ORÇAMENTO!$AF$11)))</f>
        <v>0</v>
      </c>
      <c r="Q135" s="431"/>
      <c r="R135" s="432"/>
      <c r="T135" s="146" t="str">
        <f t="shared" ca="1" si="53"/>
        <v/>
      </c>
      <c r="U135" s="206" t="str">
        <f t="shared" ca="1" si="54"/>
        <v/>
      </c>
      <c r="V135" s="207" t="str">
        <f ca="1">IF(AND($W135&gt;0,RegimeExecucao="Unitário"),$F135,"")</f>
        <v/>
      </c>
      <c r="W135" s="633">
        <f ca="1">IF($Y135&gt;0,CHOOSE(MATCH(RegimeExecucao,{"Unitário","Global"},0),IF($A135="S",$Y135/$X135,""),($Y135/$X135)*100),0)</f>
        <v>0</v>
      </c>
      <c r="X135" s="433" t="str">
        <f ca="1">IF($Y135&gt;0,CHOOSE(MATCH(RegimeExecucao,{"Unitário","Global"},0),IF($A135="S",ROUND($H135,ORÇAMENTO!$AF$10),""),ROUND($I135,ORÇAMENTO!$AF$11)),"")</f>
        <v/>
      </c>
      <c r="Y135" s="433">
        <f t="shared" ca="1" si="55"/>
        <v>0</v>
      </c>
      <c r="Z135" s="660"/>
      <c r="AB135" s="431"/>
      <c r="AC135" s="598"/>
      <c r="AD135" s="598"/>
      <c r="AE135" s="598"/>
      <c r="AF135" s="598"/>
      <c r="AG135" s="598"/>
      <c r="AH135" s="598"/>
      <c r="AI135" s="598"/>
      <c r="AJ135" s="598"/>
      <c r="AK135" s="598"/>
      <c r="AL135" s="598"/>
      <c r="AM135" s="432"/>
      <c r="AO135">
        <f ca="1">IF($A135="S",IF(BM!$I135=0,0,CHOOSE(MATCH(RegimeExecucao,{"Global","Unitário"},0),ROUND(ROUND(BM.MEDAcumulado,15-13*BM!$A$9)/100*BM!$I135,15-13*ORÇAMENTO!$AF$11),ROUND(ROUND(BM.MEDAcumulado,15-13*BM!$A$9)*ROUND(BM!$H135,15-13*ORÇAMENTO!$AF$10),15-13*ORÇAMENTO!$AF$11))),IF($A135=0,0,ROUND(SomaAgrupBM,15-13*ORÇAMENTO!$AF$11)))</f>
        <v>0</v>
      </c>
    </row>
    <row r="136" spans="1:41" ht="25.5" x14ac:dyDescent="0.2">
      <c r="A136" t="str">
        <f ca="1">ORÇAMENTO!C136</f>
        <v>S</v>
      </c>
      <c r="B136">
        <f ca="1">ORÇAMENTO!D136</f>
        <v>0</v>
      </c>
      <c r="C136" s="143" t="str">
        <f t="shared" ca="1" si="50"/>
        <v/>
      </c>
      <c r="D136" s="146" t="str">
        <f ca="1">ORÇAMENTO!O136</f>
        <v>-</v>
      </c>
      <c r="E136" s="206" t="str">
        <f t="shared" si="42"/>
        <v xml:space="preserve">TERMINAL METALICO A PRESSAO PARA 1 CABO DE 35 MM2, COM 1 FURO DE FIXACAO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F136" s="207" t="str">
        <f ca="1">IF(RegimeExecucao="Global","",ORÇAMENTO.Unidade)</f>
        <v/>
      </c>
      <c r="G136" s="151" t="str">
        <f ca="1">IF(RegimeExecucao="Global","",ORÇAMENTO!T136)</f>
        <v/>
      </c>
      <c r="H136" s="151" t="str">
        <f ca="1">IF(RegimeExecucao="Global","",ORÇAMENTO!W136)</f>
        <v/>
      </c>
      <c r="I136" s="154">
        <f ca="1">ORÇAMENTO!X136</f>
        <v>0</v>
      </c>
      <c r="J136" s="427">
        <f ca="1">IF($A136="S",IF(CAIXA.Modo,BM.AFAnterior,BM.MEDAnterior),IF(AND(RegimeExecucao="Global",$I136&gt;0,COUNTIF($AB$13:$AM$13,BM.medicao-1)&gt;0),M136/$I136*100,0))</f>
        <v>0</v>
      </c>
      <c r="K136" s="151">
        <f t="shared" ca="1" si="51"/>
        <v>0</v>
      </c>
      <c r="L136" s="428">
        <f ca="1">IF($A136="S",IF(CAIXA.Modo,BM.AFAcumulado,BM.MEDAcumulado),IF(AND(RegimeExecucao="Global",$I136&gt;0,COUNTIF($AB$13:$AM$13,BM.medicao)&gt;0),O136/$I136*100,0))</f>
        <v>0</v>
      </c>
      <c r="M136" s="429">
        <f ca="1">IF($A136="S",VTOTALBM,IF($A136=0,0,ROUND(SomaAgrupBM,15-13*ORÇAMENTO!$AF$11)))</f>
        <v>0</v>
      </c>
      <c r="N136" s="430">
        <f t="shared" ca="1" si="52"/>
        <v>0</v>
      </c>
      <c r="O136" s="154">
        <f ca="1">IF($A136="S",VTOTALBM,IF($A136=0,0,ROUND(SomaAgrupBM,15-13*ORÇAMENTO!$AF$11)))</f>
        <v>0</v>
      </c>
      <c r="Q136" s="431"/>
      <c r="R136" s="432"/>
      <c r="T136" s="146" t="str">
        <f t="shared" ca="1" si="53"/>
        <v/>
      </c>
      <c r="U136" s="206" t="str">
        <f t="shared" ca="1" si="54"/>
        <v/>
      </c>
      <c r="V136" s="207" t="str">
        <f ca="1">IF(AND($W136&gt;0,RegimeExecucao="Unitário"),$F136,"")</f>
        <v/>
      </c>
      <c r="W136" s="633">
        <f ca="1">IF($Y136&gt;0,CHOOSE(MATCH(RegimeExecucao,{"Unitário","Global"},0),IF($A136="S",$Y136/$X136,""),($Y136/$X136)*100),0)</f>
        <v>0</v>
      </c>
      <c r="X136" s="433" t="str">
        <f ca="1">IF($Y136&gt;0,CHOOSE(MATCH(RegimeExecucao,{"Unitário","Global"},0),IF($A136="S",ROUND($H136,ORÇAMENTO!$AF$10),""),ROUND($I136,ORÇAMENTO!$AF$11)),"")</f>
        <v/>
      </c>
      <c r="Y136" s="433">
        <f t="shared" ca="1" si="55"/>
        <v>0</v>
      </c>
      <c r="Z136" s="660"/>
      <c r="AB136" s="431"/>
      <c r="AC136" s="598"/>
      <c r="AD136" s="598"/>
      <c r="AE136" s="598"/>
      <c r="AF136" s="598"/>
      <c r="AG136" s="598"/>
      <c r="AH136" s="598"/>
      <c r="AI136" s="598"/>
      <c r="AJ136" s="598"/>
      <c r="AK136" s="598"/>
      <c r="AL136" s="598"/>
      <c r="AM136" s="432"/>
      <c r="AO136">
        <f ca="1">IF($A136="S",IF(BM!$I136=0,0,CHOOSE(MATCH(RegimeExecucao,{"Global","Unitário"},0),ROUND(ROUND(BM.MEDAcumulado,15-13*BM!$A$9)/100*BM!$I136,15-13*ORÇAMENTO!$AF$11),ROUND(ROUND(BM.MEDAcumulado,15-13*BM!$A$9)*ROUND(BM!$H136,15-13*ORÇAMENTO!$AF$10),15-13*ORÇAMENTO!$AF$11))),IF($A136=0,0,ROUND(SomaAgrupBM,15-13*ORÇAMENTO!$AF$11)))</f>
        <v>0</v>
      </c>
    </row>
    <row r="137" spans="1:41" ht="25.5" x14ac:dyDescent="0.2">
      <c r="A137" t="str">
        <f ca="1">ORÇAMENTO!C137</f>
        <v>S</v>
      </c>
      <c r="B137">
        <f ca="1">ORÇAMENTO!D137</f>
        <v>0</v>
      </c>
      <c r="C137" s="143" t="str">
        <f t="shared" ca="1" si="50"/>
        <v/>
      </c>
      <c r="D137" s="146" t="str">
        <f ca="1">ORÇAMENTO!O137</f>
        <v>-</v>
      </c>
      <c r="E137" s="206" t="str">
        <f t="shared" si="42"/>
        <v xml:space="preserve">TERMINAL METALICO A PRESSAO PARA 1 CABO DE 16 MM2, COM 1 FURO DE FIXACAO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F137" s="207" t="str">
        <f ca="1">IF(RegimeExecucao="Global","",ORÇAMENTO.Unidade)</f>
        <v/>
      </c>
      <c r="G137" s="151" t="str">
        <f ca="1">IF(RegimeExecucao="Global","",ORÇAMENTO!T137)</f>
        <v/>
      </c>
      <c r="H137" s="151" t="str">
        <f ca="1">IF(RegimeExecucao="Global","",ORÇAMENTO!W137)</f>
        <v/>
      </c>
      <c r="I137" s="154">
        <f ca="1">ORÇAMENTO!X137</f>
        <v>0</v>
      </c>
      <c r="J137" s="427">
        <f ca="1">IF($A137="S",IF(CAIXA.Modo,BM.AFAnterior,BM.MEDAnterior),IF(AND(RegimeExecucao="Global",$I137&gt;0,COUNTIF($AB$13:$AM$13,BM.medicao-1)&gt;0),M137/$I137*100,0))</f>
        <v>0</v>
      </c>
      <c r="K137" s="151">
        <f t="shared" ca="1" si="51"/>
        <v>0</v>
      </c>
      <c r="L137" s="428">
        <f ca="1">IF($A137="S",IF(CAIXA.Modo,BM.AFAcumulado,BM.MEDAcumulado),IF(AND(RegimeExecucao="Global",$I137&gt;0,COUNTIF($AB$13:$AM$13,BM.medicao)&gt;0),O137/$I137*100,0))</f>
        <v>0</v>
      </c>
      <c r="M137" s="429">
        <f ca="1">IF($A137="S",VTOTALBM,IF($A137=0,0,ROUND(SomaAgrupBM,15-13*ORÇAMENTO!$AF$11)))</f>
        <v>0</v>
      </c>
      <c r="N137" s="430">
        <f t="shared" ca="1" si="52"/>
        <v>0</v>
      </c>
      <c r="O137" s="154">
        <f ca="1">IF($A137="S",VTOTALBM,IF($A137=0,0,ROUND(SomaAgrupBM,15-13*ORÇAMENTO!$AF$11)))</f>
        <v>0</v>
      </c>
      <c r="Q137" s="431"/>
      <c r="R137" s="432"/>
      <c r="T137" s="146" t="str">
        <f t="shared" ca="1" si="53"/>
        <v/>
      </c>
      <c r="U137" s="206" t="str">
        <f t="shared" ca="1" si="54"/>
        <v/>
      </c>
      <c r="V137" s="207" t="str">
        <f ca="1">IF(AND($W137&gt;0,RegimeExecucao="Unitário"),$F137,"")</f>
        <v/>
      </c>
      <c r="W137" s="633">
        <f ca="1">IF($Y137&gt;0,CHOOSE(MATCH(RegimeExecucao,{"Unitário","Global"},0),IF($A137="S",$Y137/$X137,""),($Y137/$X137)*100),0)</f>
        <v>0</v>
      </c>
      <c r="X137" s="433" t="str">
        <f ca="1">IF($Y137&gt;0,CHOOSE(MATCH(RegimeExecucao,{"Unitário","Global"},0),IF($A137="S",ROUND($H137,ORÇAMENTO!$AF$10),""),ROUND($I137,ORÇAMENTO!$AF$11)),"")</f>
        <v/>
      </c>
      <c r="Y137" s="433">
        <f t="shared" ca="1" si="55"/>
        <v>0</v>
      </c>
      <c r="Z137" s="660"/>
      <c r="AB137" s="431"/>
      <c r="AC137" s="598"/>
      <c r="AD137" s="598"/>
      <c r="AE137" s="598"/>
      <c r="AF137" s="598"/>
      <c r="AG137" s="598"/>
      <c r="AH137" s="598"/>
      <c r="AI137" s="598"/>
      <c r="AJ137" s="598"/>
      <c r="AK137" s="598"/>
      <c r="AL137" s="598"/>
      <c r="AM137" s="432"/>
      <c r="AO137">
        <f ca="1">IF($A137="S",IF(BM!$I137=0,0,CHOOSE(MATCH(RegimeExecucao,{"Global","Unitário"},0),ROUND(ROUND(BM.MEDAcumulado,15-13*BM!$A$9)/100*BM!$I137,15-13*ORÇAMENTO!$AF$11),ROUND(ROUND(BM.MEDAcumulado,15-13*BM!$A$9)*ROUND(BM!$H137,15-13*ORÇAMENTO!$AF$10),15-13*ORÇAMENTO!$AF$11))),IF($A137=0,0,ROUND(SomaAgrupBM,15-13*ORÇAMENTO!$AF$11)))</f>
        <v>0</v>
      </c>
    </row>
    <row r="138" spans="1:41" ht="25.5" x14ac:dyDescent="0.2">
      <c r="A138" t="str">
        <f ca="1">ORÇAMENTO!C138</f>
        <v>S</v>
      </c>
      <c r="B138">
        <f ca="1">ORÇAMENTO!D138</f>
        <v>0</v>
      </c>
      <c r="C138" s="143" t="str">
        <f t="shared" ca="1" si="50"/>
        <v/>
      </c>
      <c r="D138" s="146" t="str">
        <f ca="1">ORÇAMENTO!O138</f>
        <v>-</v>
      </c>
      <c r="E138" s="206" t="str">
        <f t="shared" si="42"/>
        <v xml:space="preserve">TERMINAL METALICO A PRESSAO PARA 1 CABO DE 6 A 10 MM2, COM 1 FURO DE FIXACAO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F138" s="207" t="str">
        <f ca="1">IF(RegimeExecucao="Global","",ORÇAMENTO.Unidade)</f>
        <v/>
      </c>
      <c r="G138" s="151" t="str">
        <f ca="1">IF(RegimeExecucao="Global","",ORÇAMENTO!T138)</f>
        <v/>
      </c>
      <c r="H138" s="151" t="str">
        <f ca="1">IF(RegimeExecucao="Global","",ORÇAMENTO!W138)</f>
        <v/>
      </c>
      <c r="I138" s="154">
        <f ca="1">ORÇAMENTO!X138</f>
        <v>0</v>
      </c>
      <c r="J138" s="427">
        <f ca="1">IF($A138="S",IF(CAIXA.Modo,BM.AFAnterior,BM.MEDAnterior),IF(AND(RegimeExecucao="Global",$I138&gt;0,COUNTIF($AB$13:$AM$13,BM.medicao-1)&gt;0),M138/$I138*100,0))</f>
        <v>0</v>
      </c>
      <c r="K138" s="151">
        <f t="shared" ca="1" si="51"/>
        <v>0</v>
      </c>
      <c r="L138" s="428">
        <f ca="1">IF($A138="S",IF(CAIXA.Modo,BM.AFAcumulado,BM.MEDAcumulado),IF(AND(RegimeExecucao="Global",$I138&gt;0,COUNTIF($AB$13:$AM$13,BM.medicao)&gt;0),O138/$I138*100,0))</f>
        <v>0</v>
      </c>
      <c r="M138" s="429">
        <f ca="1">IF($A138="S",VTOTALBM,IF($A138=0,0,ROUND(SomaAgrupBM,15-13*ORÇAMENTO!$AF$11)))</f>
        <v>0</v>
      </c>
      <c r="N138" s="430">
        <f t="shared" ca="1" si="52"/>
        <v>0</v>
      </c>
      <c r="O138" s="154">
        <f ca="1">IF($A138="S",VTOTALBM,IF($A138=0,0,ROUND(SomaAgrupBM,15-13*ORÇAMENTO!$AF$11)))</f>
        <v>0</v>
      </c>
      <c r="Q138" s="431"/>
      <c r="R138" s="432"/>
      <c r="T138" s="146" t="str">
        <f t="shared" ca="1" si="53"/>
        <v/>
      </c>
      <c r="U138" s="206" t="str">
        <f t="shared" ca="1" si="54"/>
        <v/>
      </c>
      <c r="V138" s="207" t="str">
        <f ca="1">IF(AND($W138&gt;0,RegimeExecucao="Unitário"),$F138,"")</f>
        <v/>
      </c>
      <c r="W138" s="633">
        <f ca="1">IF($Y138&gt;0,CHOOSE(MATCH(RegimeExecucao,{"Unitário","Global"},0),IF($A138="S",$Y138/$X138,""),($Y138/$X138)*100),0)</f>
        <v>0</v>
      </c>
      <c r="X138" s="433" t="str">
        <f ca="1">IF($Y138&gt;0,CHOOSE(MATCH(RegimeExecucao,{"Unitário","Global"},0),IF($A138="S",ROUND($H138,ORÇAMENTO!$AF$10),""),ROUND($I138,ORÇAMENTO!$AF$11)),"")</f>
        <v/>
      </c>
      <c r="Y138" s="433">
        <f t="shared" ca="1" si="55"/>
        <v>0</v>
      </c>
      <c r="Z138" s="660"/>
      <c r="AB138" s="431"/>
      <c r="AC138" s="598"/>
      <c r="AD138" s="598"/>
      <c r="AE138" s="598"/>
      <c r="AF138" s="598"/>
      <c r="AG138" s="598"/>
      <c r="AH138" s="598"/>
      <c r="AI138" s="598"/>
      <c r="AJ138" s="598"/>
      <c r="AK138" s="598"/>
      <c r="AL138" s="598"/>
      <c r="AM138" s="432"/>
      <c r="AO138">
        <f ca="1">IF($A138="S",IF(BM!$I138=0,0,CHOOSE(MATCH(RegimeExecucao,{"Global","Unitário"},0),ROUND(ROUND(BM.MEDAcumulado,15-13*BM!$A$9)/100*BM!$I138,15-13*ORÇAMENTO!$AF$11),ROUND(ROUND(BM.MEDAcumulado,15-13*BM!$A$9)*ROUND(BM!$H138,15-13*ORÇAMENTO!$AF$10),15-13*ORÇAMENTO!$AF$11))),IF($A138=0,0,ROUND(SomaAgrupBM,15-13*ORÇAMENTO!$AF$11)))</f>
        <v>0</v>
      </c>
    </row>
    <row r="139" spans="1:41" ht="25.5" x14ac:dyDescent="0.2">
      <c r="A139" t="str">
        <f ca="1">ORÇAMENTO!C139</f>
        <v>S</v>
      </c>
      <c r="B139">
        <f ca="1">ORÇAMENTO!D139</f>
        <v>0</v>
      </c>
      <c r="C139" s="143" t="str">
        <f t="shared" ca="1" si="50"/>
        <v/>
      </c>
      <c r="D139" s="146" t="str">
        <f ca="1">ORÇAMENTO!O139</f>
        <v>-</v>
      </c>
      <c r="E139" s="206" t="str">
        <f t="shared" si="42"/>
        <v xml:space="preserve">TERMINAL A COMPRESSAO EM COBRE ESTANHADO PARA CABO 2,5 MM2, 1 FURO E 1 COMPRESSAO, PARA PARAFUSO DE FIXACAO M5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F139" s="207" t="str">
        <f ca="1">IF(RegimeExecucao="Global","",ORÇAMENTO.Unidade)</f>
        <v/>
      </c>
      <c r="G139" s="151" t="str">
        <f ca="1">IF(RegimeExecucao="Global","",ORÇAMENTO!T139)</f>
        <v/>
      </c>
      <c r="H139" s="151" t="str">
        <f ca="1">IF(RegimeExecucao="Global","",ORÇAMENTO!W139)</f>
        <v/>
      </c>
      <c r="I139" s="154">
        <f ca="1">ORÇAMENTO!X139</f>
        <v>0</v>
      </c>
      <c r="J139" s="427">
        <f ca="1">IF($A139="S",IF(CAIXA.Modo,BM.AFAnterior,BM.MEDAnterior),IF(AND(RegimeExecucao="Global",$I139&gt;0,COUNTIF($AB$13:$AM$13,BM.medicao-1)&gt;0),M139/$I139*100,0))</f>
        <v>0</v>
      </c>
      <c r="K139" s="151">
        <f t="shared" ca="1" si="51"/>
        <v>0</v>
      </c>
      <c r="L139" s="428">
        <f ca="1">IF($A139="S",IF(CAIXA.Modo,BM.AFAcumulado,BM.MEDAcumulado),IF(AND(RegimeExecucao="Global",$I139&gt;0,COUNTIF($AB$13:$AM$13,BM.medicao)&gt;0),O139/$I139*100,0))</f>
        <v>0</v>
      </c>
      <c r="M139" s="429">
        <f ca="1">IF($A139="S",VTOTALBM,IF($A139=0,0,ROUND(SomaAgrupBM,15-13*ORÇAMENTO!$AF$11)))</f>
        <v>0</v>
      </c>
      <c r="N139" s="430">
        <f t="shared" ca="1" si="52"/>
        <v>0</v>
      </c>
      <c r="O139" s="154">
        <f ca="1">IF($A139="S",VTOTALBM,IF($A139=0,0,ROUND(SomaAgrupBM,15-13*ORÇAMENTO!$AF$11)))</f>
        <v>0</v>
      </c>
      <c r="Q139" s="431"/>
      <c r="R139" s="432"/>
      <c r="T139" s="146" t="str">
        <f t="shared" ca="1" si="53"/>
        <v/>
      </c>
      <c r="U139" s="206" t="str">
        <f t="shared" ca="1" si="54"/>
        <v/>
      </c>
      <c r="V139" s="207" t="str">
        <f ca="1">IF(AND($W139&gt;0,RegimeExecucao="Unitário"),$F139,"")</f>
        <v/>
      </c>
      <c r="W139" s="633">
        <f ca="1">IF($Y139&gt;0,CHOOSE(MATCH(RegimeExecucao,{"Unitário","Global"},0),IF($A139="S",$Y139/$X139,""),($Y139/$X139)*100),0)</f>
        <v>0</v>
      </c>
      <c r="X139" s="433" t="str">
        <f ca="1">IF($Y139&gt;0,CHOOSE(MATCH(RegimeExecucao,{"Unitário","Global"},0),IF($A139="S",ROUND($H139,ORÇAMENTO!$AF$10),""),ROUND($I139,ORÇAMENTO!$AF$11)),"")</f>
        <v/>
      </c>
      <c r="Y139" s="433">
        <f t="shared" ca="1" si="55"/>
        <v>0</v>
      </c>
      <c r="Z139" s="660"/>
      <c r="AB139" s="431"/>
      <c r="AC139" s="598"/>
      <c r="AD139" s="598"/>
      <c r="AE139" s="598"/>
      <c r="AF139" s="598"/>
      <c r="AG139" s="598"/>
      <c r="AH139" s="598"/>
      <c r="AI139" s="598"/>
      <c r="AJ139" s="598"/>
      <c r="AK139" s="598"/>
      <c r="AL139" s="598"/>
      <c r="AM139" s="432"/>
      <c r="AO139">
        <f ca="1">IF($A139="S",IF(BM!$I139=0,0,CHOOSE(MATCH(RegimeExecucao,{"Global","Unitário"},0),ROUND(ROUND(BM.MEDAcumulado,15-13*BM!$A$9)/100*BM!$I139,15-13*ORÇAMENTO!$AF$11),ROUND(ROUND(BM.MEDAcumulado,15-13*BM!$A$9)*ROUND(BM!$H139,15-13*ORÇAMENTO!$AF$10),15-13*ORÇAMENTO!$AF$11))),IF($A139=0,0,ROUND(SomaAgrupBM,15-13*ORÇAMENTO!$AF$11)))</f>
        <v>0</v>
      </c>
    </row>
    <row r="140" spans="1:41" ht="25.5" x14ac:dyDescent="0.2">
      <c r="A140" t="str">
        <f ca="1">ORÇAMENTO!C140</f>
        <v>S</v>
      </c>
      <c r="B140">
        <f ca="1">ORÇAMENTO!D140</f>
        <v>0</v>
      </c>
      <c r="C140" s="143" t="str">
        <f t="shared" ca="1" si="50"/>
        <v/>
      </c>
      <c r="D140" s="146" t="str">
        <f ca="1">ORÇAMENTO!O140</f>
        <v>-</v>
      </c>
      <c r="E140" s="206" t="str">
        <f t="shared" si="42"/>
        <v xml:space="preserve">CAIXA DE CONCRETO ARMADO PRE-MOLDADO, COM FUNDO E SEM TAMPA, DIMENSOES DE 0,80 X 0,80 X 0,50 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F140" s="207" t="str">
        <f ca="1">IF(RegimeExecucao="Global","",ORÇAMENTO.Unidade)</f>
        <v/>
      </c>
      <c r="G140" s="151" t="str">
        <f ca="1">IF(RegimeExecucao="Global","",ORÇAMENTO!T140)</f>
        <v/>
      </c>
      <c r="H140" s="151" t="str">
        <f ca="1">IF(RegimeExecucao="Global","",ORÇAMENTO!W140)</f>
        <v/>
      </c>
      <c r="I140" s="154">
        <f ca="1">ORÇAMENTO!X140</f>
        <v>0</v>
      </c>
      <c r="J140" s="427">
        <f ca="1">IF($A140="S",IF(CAIXA.Modo,BM.AFAnterior,BM.MEDAnterior),IF(AND(RegimeExecucao="Global",$I140&gt;0,COUNTIF($AB$13:$AM$13,BM.medicao-1)&gt;0),M140/$I140*100,0))</f>
        <v>0</v>
      </c>
      <c r="K140" s="151">
        <f t="shared" ca="1" si="51"/>
        <v>0</v>
      </c>
      <c r="L140" s="428">
        <f ca="1">IF($A140="S",IF(CAIXA.Modo,BM.AFAcumulado,BM.MEDAcumulado),IF(AND(RegimeExecucao="Global",$I140&gt;0,COUNTIF($AB$13:$AM$13,BM.medicao)&gt;0),O140/$I140*100,0))</f>
        <v>0</v>
      </c>
      <c r="M140" s="429">
        <f ca="1">IF($A140="S",VTOTALBM,IF($A140=0,0,ROUND(SomaAgrupBM,15-13*ORÇAMENTO!$AF$11)))</f>
        <v>0</v>
      </c>
      <c r="N140" s="430">
        <f t="shared" ca="1" si="52"/>
        <v>0</v>
      </c>
      <c r="O140" s="154">
        <f ca="1">IF($A140="S",VTOTALBM,IF($A140=0,0,ROUND(SomaAgrupBM,15-13*ORÇAMENTO!$AF$11)))</f>
        <v>0</v>
      </c>
      <c r="Q140" s="431"/>
      <c r="R140" s="432"/>
      <c r="T140" s="146" t="str">
        <f t="shared" ca="1" si="53"/>
        <v/>
      </c>
      <c r="U140" s="206" t="str">
        <f t="shared" ca="1" si="54"/>
        <v/>
      </c>
      <c r="V140" s="207" t="str">
        <f ca="1">IF(AND($W140&gt;0,RegimeExecucao="Unitário"),$F140,"")</f>
        <v/>
      </c>
      <c r="W140" s="633">
        <f ca="1">IF($Y140&gt;0,CHOOSE(MATCH(RegimeExecucao,{"Unitário","Global"},0),IF($A140="S",$Y140/$X140,""),($Y140/$X140)*100),0)</f>
        <v>0</v>
      </c>
      <c r="X140" s="433" t="str">
        <f ca="1">IF($Y140&gt;0,CHOOSE(MATCH(RegimeExecucao,{"Unitário","Global"},0),IF($A140="S",ROUND($H140,ORÇAMENTO!$AF$10),""),ROUND($I140,ORÇAMENTO!$AF$11)),"")</f>
        <v/>
      </c>
      <c r="Y140" s="433">
        <f t="shared" ca="1" si="55"/>
        <v>0</v>
      </c>
      <c r="Z140" s="660"/>
      <c r="AB140" s="431"/>
      <c r="AC140" s="598"/>
      <c r="AD140" s="598"/>
      <c r="AE140" s="598"/>
      <c r="AF140" s="598"/>
      <c r="AG140" s="598"/>
      <c r="AH140" s="598"/>
      <c r="AI140" s="598"/>
      <c r="AJ140" s="598"/>
      <c r="AK140" s="598"/>
      <c r="AL140" s="598"/>
      <c r="AM140" s="432"/>
      <c r="AO140">
        <f ca="1">IF($A140="S",IF(BM!$I140=0,0,CHOOSE(MATCH(RegimeExecucao,{"Global","Unitário"},0),ROUND(ROUND(BM.MEDAcumulado,15-13*BM!$A$9)/100*BM!$I140,15-13*ORÇAMENTO!$AF$11),ROUND(ROUND(BM.MEDAcumulado,15-13*BM!$A$9)*ROUND(BM!$H140,15-13*ORÇAMENTO!$AF$10),15-13*ORÇAMENTO!$AF$11))),IF($A140=0,0,ROUND(SomaAgrupBM,15-13*ORÇAMENTO!$AF$11)))</f>
        <v>0</v>
      </c>
    </row>
    <row r="141" spans="1:41" ht="25.5" x14ac:dyDescent="0.2">
      <c r="A141" t="str">
        <f ca="1">ORÇAMENTO!C141</f>
        <v>S</v>
      </c>
      <c r="B141">
        <f ca="1">ORÇAMENTO!D141</f>
        <v>0</v>
      </c>
      <c r="C141" s="143" t="str">
        <f t="shared" ca="1" si="50"/>
        <v/>
      </c>
      <c r="D141" s="146" t="str">
        <f ca="1">ORÇAMENTO!O141</f>
        <v>-</v>
      </c>
      <c r="E141" s="206" t="str">
        <f t="shared" si="42"/>
        <v xml:space="preserve">TERMINAL A COMPRESSAO EM COBRE ESTANHADO PARA CABO 35 MM2, 1 FURO E 1 COMPRESSAO, PARA PARAFUSO DE FIXACAO M8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F141" s="207" t="str">
        <f ca="1">IF(RegimeExecucao="Global","",ORÇAMENTO.Unidade)</f>
        <v/>
      </c>
      <c r="G141" s="151" t="str">
        <f ca="1">IF(RegimeExecucao="Global","",ORÇAMENTO!T141)</f>
        <v/>
      </c>
      <c r="H141" s="151" t="str">
        <f ca="1">IF(RegimeExecucao="Global","",ORÇAMENTO!W141)</f>
        <v/>
      </c>
      <c r="I141" s="154">
        <f ca="1">ORÇAMENTO!X141</f>
        <v>0</v>
      </c>
      <c r="J141" s="427">
        <f ca="1">IF($A141="S",IF(CAIXA.Modo,BM.AFAnterior,BM.MEDAnterior),IF(AND(RegimeExecucao="Global",$I141&gt;0,COUNTIF($AB$13:$AM$13,BM.medicao-1)&gt;0),M141/$I141*100,0))</f>
        <v>0</v>
      </c>
      <c r="K141" s="151">
        <f t="shared" ca="1" si="51"/>
        <v>0</v>
      </c>
      <c r="L141" s="428">
        <f ca="1">IF($A141="S",IF(CAIXA.Modo,BM.AFAcumulado,BM.MEDAcumulado),IF(AND(RegimeExecucao="Global",$I141&gt;0,COUNTIF($AB$13:$AM$13,BM.medicao)&gt;0),O141/$I141*100,0))</f>
        <v>0</v>
      </c>
      <c r="M141" s="429">
        <f ca="1">IF($A141="S",VTOTALBM,IF($A141=0,0,ROUND(SomaAgrupBM,15-13*ORÇAMENTO!$AF$11)))</f>
        <v>0</v>
      </c>
      <c r="N141" s="430">
        <f t="shared" ca="1" si="52"/>
        <v>0</v>
      </c>
      <c r="O141" s="154">
        <f ca="1">IF($A141="S",VTOTALBM,IF($A141=0,0,ROUND(SomaAgrupBM,15-13*ORÇAMENTO!$AF$11)))</f>
        <v>0</v>
      </c>
      <c r="Q141" s="431"/>
      <c r="R141" s="432"/>
      <c r="T141" s="146" t="str">
        <f t="shared" ca="1" si="53"/>
        <v/>
      </c>
      <c r="U141" s="206" t="str">
        <f t="shared" ca="1" si="54"/>
        <v/>
      </c>
      <c r="V141" s="207" t="str">
        <f ca="1">IF(AND($W141&gt;0,RegimeExecucao="Unitário"),$F141,"")</f>
        <v/>
      </c>
      <c r="W141" s="633">
        <f ca="1">IF($Y141&gt;0,CHOOSE(MATCH(RegimeExecucao,{"Unitário","Global"},0),IF($A141="S",$Y141/$X141,""),($Y141/$X141)*100),0)</f>
        <v>0</v>
      </c>
      <c r="X141" s="433" t="str">
        <f ca="1">IF($Y141&gt;0,CHOOSE(MATCH(RegimeExecucao,{"Unitário","Global"},0),IF($A141="S",ROUND($H141,ORÇAMENTO!$AF$10),""),ROUND($I141,ORÇAMENTO!$AF$11)),"")</f>
        <v/>
      </c>
      <c r="Y141" s="433">
        <f t="shared" ca="1" si="55"/>
        <v>0</v>
      </c>
      <c r="Z141" s="660"/>
      <c r="AB141" s="431"/>
      <c r="AC141" s="598"/>
      <c r="AD141" s="598"/>
      <c r="AE141" s="598"/>
      <c r="AF141" s="598"/>
      <c r="AG141" s="598"/>
      <c r="AH141" s="598"/>
      <c r="AI141" s="598"/>
      <c r="AJ141" s="598"/>
      <c r="AK141" s="598"/>
      <c r="AL141" s="598"/>
      <c r="AM141" s="432"/>
      <c r="AO141">
        <f ca="1">IF($A141="S",IF(BM!$I141=0,0,CHOOSE(MATCH(RegimeExecucao,{"Global","Unitário"},0),ROUND(ROUND(BM.MEDAcumulado,15-13*BM!$A$9)/100*BM!$I141,15-13*ORÇAMENTO!$AF$11),ROUND(ROUND(BM.MEDAcumulado,15-13*BM!$A$9)*ROUND(BM!$H141,15-13*ORÇAMENTO!$AF$10),15-13*ORÇAMENTO!$AF$11))),IF($A141=0,0,ROUND(SomaAgrupBM,15-13*ORÇAMENTO!$AF$11)))</f>
        <v>0</v>
      </c>
    </row>
    <row r="142" spans="1:41" ht="25.5" x14ac:dyDescent="0.2">
      <c r="A142" t="str">
        <f ca="1">ORÇAMENTO!C142</f>
        <v>S</v>
      </c>
      <c r="B142">
        <f ca="1">ORÇAMENTO!D142</f>
        <v>0</v>
      </c>
      <c r="C142" s="143" t="str">
        <f t="shared" ca="1" si="50"/>
        <v/>
      </c>
      <c r="D142" s="146" t="str">
        <f ca="1">ORÇAMENTO!O142</f>
        <v>-</v>
      </c>
      <c r="E142" s="206" t="str">
        <f t="shared" si="42"/>
        <v xml:space="preserve">TERMINAL A COMPRESSAO EM COBRE ESTANHADO PARA CABO 16 MM2, 1 FURO E 1 COMPRESSAO, PARA PARAFUSO DE FIXACAO M6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F142" s="207" t="str">
        <f ca="1">IF(RegimeExecucao="Global","",ORÇAMENTO.Unidade)</f>
        <v/>
      </c>
      <c r="G142" s="151" t="str">
        <f ca="1">IF(RegimeExecucao="Global","",ORÇAMENTO!T142)</f>
        <v/>
      </c>
      <c r="H142" s="151" t="str">
        <f ca="1">IF(RegimeExecucao="Global","",ORÇAMENTO!W142)</f>
        <v/>
      </c>
      <c r="I142" s="154">
        <f ca="1">ORÇAMENTO!X142</f>
        <v>0</v>
      </c>
      <c r="J142" s="427">
        <f ca="1">IF($A142="S",IF(CAIXA.Modo,BM.AFAnterior,BM.MEDAnterior),IF(AND(RegimeExecucao="Global",$I142&gt;0,COUNTIF($AB$13:$AM$13,BM.medicao-1)&gt;0),M142/$I142*100,0))</f>
        <v>0</v>
      </c>
      <c r="K142" s="151">
        <f t="shared" ca="1" si="51"/>
        <v>0</v>
      </c>
      <c r="L142" s="428">
        <f ca="1">IF($A142="S",IF(CAIXA.Modo,BM.AFAcumulado,BM.MEDAcumulado),IF(AND(RegimeExecucao="Global",$I142&gt;0,COUNTIF($AB$13:$AM$13,BM.medicao)&gt;0),O142/$I142*100,0))</f>
        <v>0</v>
      </c>
      <c r="M142" s="429">
        <f ca="1">IF($A142="S",VTOTALBM,IF($A142=0,0,ROUND(SomaAgrupBM,15-13*ORÇAMENTO!$AF$11)))</f>
        <v>0</v>
      </c>
      <c r="N142" s="430">
        <f t="shared" ca="1" si="52"/>
        <v>0</v>
      </c>
      <c r="O142" s="154">
        <f ca="1">IF($A142="S",VTOTALBM,IF($A142=0,0,ROUND(SomaAgrupBM,15-13*ORÇAMENTO!$AF$11)))</f>
        <v>0</v>
      </c>
      <c r="Q142" s="431"/>
      <c r="R142" s="432"/>
      <c r="T142" s="146" t="str">
        <f t="shared" ca="1" si="53"/>
        <v/>
      </c>
      <c r="U142" s="206" t="str">
        <f t="shared" ca="1" si="54"/>
        <v/>
      </c>
      <c r="V142" s="207" t="str">
        <f ca="1">IF(AND($W142&gt;0,RegimeExecucao="Unitário"),$F142,"")</f>
        <v/>
      </c>
      <c r="W142" s="633">
        <f ca="1">IF($Y142&gt;0,CHOOSE(MATCH(RegimeExecucao,{"Unitário","Global"},0),IF($A142="S",$Y142/$X142,""),($Y142/$X142)*100),0)</f>
        <v>0</v>
      </c>
      <c r="X142" s="433" t="str">
        <f ca="1">IF($Y142&gt;0,CHOOSE(MATCH(RegimeExecucao,{"Unitário","Global"},0),IF($A142="S",ROUND($H142,ORÇAMENTO!$AF$10),""),ROUND($I142,ORÇAMENTO!$AF$11)),"")</f>
        <v/>
      </c>
      <c r="Y142" s="433">
        <f t="shared" ca="1" si="55"/>
        <v>0</v>
      </c>
      <c r="Z142" s="660"/>
      <c r="AB142" s="431"/>
      <c r="AC142" s="598"/>
      <c r="AD142" s="598"/>
      <c r="AE142" s="598"/>
      <c r="AF142" s="598"/>
      <c r="AG142" s="598"/>
      <c r="AH142" s="598"/>
      <c r="AI142" s="598"/>
      <c r="AJ142" s="598"/>
      <c r="AK142" s="598"/>
      <c r="AL142" s="598"/>
      <c r="AM142" s="432"/>
      <c r="AO142">
        <f ca="1">IF($A142="S",IF(BM!$I142=0,0,CHOOSE(MATCH(RegimeExecucao,{"Global","Unitário"},0),ROUND(ROUND(BM.MEDAcumulado,15-13*BM!$A$9)/100*BM!$I142,15-13*ORÇAMENTO!$AF$11),ROUND(ROUND(BM.MEDAcumulado,15-13*BM!$A$9)*ROUND(BM!$H142,15-13*ORÇAMENTO!$AF$10),15-13*ORÇAMENTO!$AF$11))),IF($A142=0,0,ROUND(SomaAgrupBM,15-13*ORÇAMENTO!$AF$11)))</f>
        <v>0</v>
      </c>
    </row>
    <row r="143" spans="1:41" ht="25.5" x14ac:dyDescent="0.2">
      <c r="A143" t="str">
        <f ca="1">ORÇAMENTO!C143</f>
        <v>S</v>
      </c>
      <c r="B143">
        <f ca="1">ORÇAMENTO!D143</f>
        <v>0</v>
      </c>
      <c r="C143" s="143" t="str">
        <f t="shared" ca="1" si="50"/>
        <v/>
      </c>
      <c r="D143" s="146" t="str">
        <f ca="1">ORÇAMENTO!O143</f>
        <v>-</v>
      </c>
      <c r="E143" s="206" t="str">
        <f t="shared" si="42"/>
        <v xml:space="preserve">TERMINAL A COMPRESSAO EM COBRE ESTANHADO PARA CABO 6 MM2, 1 FURO E 1 COMPRESSAO, PARA PARAFUSO DE FIXACAO M6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F143" s="207" t="str">
        <f ca="1">IF(RegimeExecucao="Global","",ORÇAMENTO.Unidade)</f>
        <v/>
      </c>
      <c r="G143" s="151" t="str">
        <f ca="1">IF(RegimeExecucao="Global","",ORÇAMENTO!T143)</f>
        <v/>
      </c>
      <c r="H143" s="151" t="str">
        <f ca="1">IF(RegimeExecucao="Global","",ORÇAMENTO!W143)</f>
        <v/>
      </c>
      <c r="I143" s="154">
        <f ca="1">ORÇAMENTO!X143</f>
        <v>0</v>
      </c>
      <c r="J143" s="427">
        <f ca="1">IF($A143="S",IF(CAIXA.Modo,BM.AFAnterior,BM.MEDAnterior),IF(AND(RegimeExecucao="Global",$I143&gt;0,COUNTIF($AB$13:$AM$13,BM.medicao-1)&gt;0),M143/$I143*100,0))</f>
        <v>0</v>
      </c>
      <c r="K143" s="151">
        <f t="shared" ca="1" si="51"/>
        <v>0</v>
      </c>
      <c r="L143" s="428">
        <f ca="1">IF($A143="S",IF(CAIXA.Modo,BM.AFAcumulado,BM.MEDAcumulado),IF(AND(RegimeExecucao="Global",$I143&gt;0,COUNTIF($AB$13:$AM$13,BM.medicao)&gt;0),O143/$I143*100,0))</f>
        <v>0</v>
      </c>
      <c r="M143" s="429">
        <f ca="1">IF($A143="S",VTOTALBM,IF($A143=0,0,ROUND(SomaAgrupBM,15-13*ORÇAMENTO!$AF$11)))</f>
        <v>0</v>
      </c>
      <c r="N143" s="430">
        <f t="shared" ca="1" si="52"/>
        <v>0</v>
      </c>
      <c r="O143" s="154">
        <f ca="1">IF($A143="S",VTOTALBM,IF($A143=0,0,ROUND(SomaAgrupBM,15-13*ORÇAMENTO!$AF$11)))</f>
        <v>0</v>
      </c>
      <c r="Q143" s="431"/>
      <c r="R143" s="432"/>
      <c r="T143" s="146" t="str">
        <f t="shared" ca="1" si="53"/>
        <v/>
      </c>
      <c r="U143" s="206" t="str">
        <f t="shared" ca="1" si="54"/>
        <v/>
      </c>
      <c r="V143" s="207" t="str">
        <f ca="1">IF(AND($W143&gt;0,RegimeExecucao="Unitário"),$F143,"")</f>
        <v/>
      </c>
      <c r="W143" s="633">
        <f ca="1">IF($Y143&gt;0,CHOOSE(MATCH(RegimeExecucao,{"Unitário","Global"},0),IF($A143="S",$Y143/$X143,""),($Y143/$X143)*100),0)</f>
        <v>0</v>
      </c>
      <c r="X143" s="433" t="str">
        <f ca="1">IF($Y143&gt;0,CHOOSE(MATCH(RegimeExecucao,{"Unitário","Global"},0),IF($A143="S",ROUND($H143,ORÇAMENTO!$AF$10),""),ROUND($I143,ORÇAMENTO!$AF$11)),"")</f>
        <v/>
      </c>
      <c r="Y143" s="433">
        <f t="shared" ca="1" si="55"/>
        <v>0</v>
      </c>
      <c r="Z143" s="660"/>
      <c r="AB143" s="431"/>
      <c r="AC143" s="598"/>
      <c r="AD143" s="598"/>
      <c r="AE143" s="598"/>
      <c r="AF143" s="598"/>
      <c r="AG143" s="598"/>
      <c r="AH143" s="598"/>
      <c r="AI143" s="598"/>
      <c r="AJ143" s="598"/>
      <c r="AK143" s="598"/>
      <c r="AL143" s="598"/>
      <c r="AM143" s="432"/>
      <c r="AO143">
        <f ca="1">IF($A143="S",IF(BM!$I143=0,0,CHOOSE(MATCH(RegimeExecucao,{"Global","Unitário"},0),ROUND(ROUND(BM.MEDAcumulado,15-13*BM!$A$9)/100*BM!$I143,15-13*ORÇAMENTO!$AF$11),ROUND(ROUND(BM.MEDAcumulado,15-13*BM!$A$9)*ROUND(BM!$H143,15-13*ORÇAMENTO!$AF$10),15-13*ORÇAMENTO!$AF$11))),IF($A143=0,0,ROUND(SomaAgrupBM,15-13*ORÇAMENTO!$AF$11)))</f>
        <v>0</v>
      </c>
    </row>
    <row r="144" spans="1:41" ht="25.5" x14ac:dyDescent="0.2">
      <c r="A144" t="str">
        <f ca="1">ORÇAMENTO!C144</f>
        <v>S</v>
      </c>
      <c r="B144">
        <f ca="1">ORÇAMENTO!D144</f>
        <v>0</v>
      </c>
      <c r="C144" s="143" t="str">
        <f t="shared" ca="1" si="50"/>
        <v/>
      </c>
      <c r="D144" s="146" t="str">
        <f ca="1">ORÇAMENTO!O144</f>
        <v>-</v>
      </c>
      <c r="E144" s="206" t="str">
        <f t="shared" si="42"/>
        <v xml:space="preserve">TERMINAL A COMPRESSAO EM COBRE ESTANHADO PARA CABO 2,5 MM2, 1 FURO E 1 COMPRESSAO, PARA PARAFUSO DE FIXACAO M5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F144" s="207" t="str">
        <f ca="1">IF(RegimeExecucao="Global","",ORÇAMENTO.Unidade)</f>
        <v/>
      </c>
      <c r="G144" s="151" t="str">
        <f ca="1">IF(RegimeExecucao="Global","",ORÇAMENTO!T144)</f>
        <v/>
      </c>
      <c r="H144" s="151" t="str">
        <f ca="1">IF(RegimeExecucao="Global","",ORÇAMENTO!W144)</f>
        <v/>
      </c>
      <c r="I144" s="154">
        <f ca="1">ORÇAMENTO!X144</f>
        <v>0</v>
      </c>
      <c r="J144" s="427">
        <f ca="1">IF($A144="S",IF(CAIXA.Modo,BM.AFAnterior,BM.MEDAnterior),IF(AND(RegimeExecucao="Global",$I144&gt;0,COUNTIF($AB$13:$AM$13,BM.medicao-1)&gt;0),M144/$I144*100,0))</f>
        <v>0</v>
      </c>
      <c r="K144" s="151">
        <f t="shared" ca="1" si="51"/>
        <v>0</v>
      </c>
      <c r="L144" s="428">
        <f ca="1">IF($A144="S",IF(CAIXA.Modo,BM.AFAcumulado,BM.MEDAcumulado),IF(AND(RegimeExecucao="Global",$I144&gt;0,COUNTIF($AB$13:$AM$13,BM.medicao)&gt;0),O144/$I144*100,0))</f>
        <v>0</v>
      </c>
      <c r="M144" s="429">
        <f ca="1">IF($A144="S",VTOTALBM,IF($A144=0,0,ROUND(SomaAgrupBM,15-13*ORÇAMENTO!$AF$11)))</f>
        <v>0</v>
      </c>
      <c r="N144" s="430">
        <f t="shared" ca="1" si="52"/>
        <v>0</v>
      </c>
      <c r="O144" s="154">
        <f ca="1">IF($A144="S",VTOTALBM,IF($A144=0,0,ROUND(SomaAgrupBM,15-13*ORÇAMENTO!$AF$11)))</f>
        <v>0</v>
      </c>
      <c r="Q144" s="431"/>
      <c r="R144" s="432"/>
      <c r="T144" s="146" t="str">
        <f t="shared" ca="1" si="53"/>
        <v/>
      </c>
      <c r="U144" s="206" t="str">
        <f t="shared" ca="1" si="54"/>
        <v/>
      </c>
      <c r="V144" s="207" t="str">
        <f ca="1">IF(AND($W144&gt;0,RegimeExecucao="Unitário"),$F144,"")</f>
        <v/>
      </c>
      <c r="W144" s="633">
        <f ca="1">IF($Y144&gt;0,CHOOSE(MATCH(RegimeExecucao,{"Unitário","Global"},0),IF($A144="S",$Y144/$X144,""),($Y144/$X144)*100),0)</f>
        <v>0</v>
      </c>
      <c r="X144" s="433" t="str">
        <f ca="1">IF($Y144&gt;0,CHOOSE(MATCH(RegimeExecucao,{"Unitário","Global"},0),IF($A144="S",ROUND($H144,ORÇAMENTO!$AF$10),""),ROUND($I144,ORÇAMENTO!$AF$11)),"")</f>
        <v/>
      </c>
      <c r="Y144" s="433">
        <f t="shared" ca="1" si="55"/>
        <v>0</v>
      </c>
      <c r="Z144" s="660"/>
      <c r="AB144" s="431"/>
      <c r="AC144" s="598"/>
      <c r="AD144" s="598"/>
      <c r="AE144" s="598"/>
      <c r="AF144" s="598"/>
      <c r="AG144" s="598"/>
      <c r="AH144" s="598"/>
      <c r="AI144" s="598"/>
      <c r="AJ144" s="598"/>
      <c r="AK144" s="598"/>
      <c r="AL144" s="598"/>
      <c r="AM144" s="432"/>
      <c r="AO144">
        <f ca="1">IF($A144="S",IF(BM!$I144=0,0,CHOOSE(MATCH(RegimeExecucao,{"Global","Unitário"},0),ROUND(ROUND(BM.MEDAcumulado,15-13*BM!$A$9)/100*BM!$I144,15-13*ORÇAMENTO!$AF$11),ROUND(ROUND(BM.MEDAcumulado,15-13*BM!$A$9)*ROUND(BM!$H144,15-13*ORÇAMENTO!$AF$10),15-13*ORÇAMENTO!$AF$11))),IF($A144=0,0,ROUND(SomaAgrupBM,15-13*ORÇAMENTO!$AF$11)))</f>
        <v>0</v>
      </c>
    </row>
    <row r="145" spans="1:41" ht="25.5" x14ac:dyDescent="0.2">
      <c r="A145" t="str">
        <f ca="1">ORÇAMENTO!C145</f>
        <v>S</v>
      </c>
      <c r="B145">
        <f ca="1">ORÇAMENTO!D145</f>
        <v>0</v>
      </c>
      <c r="C145" s="143" t="str">
        <f ca="1">IF(OR($I145&gt;0,$A145=1,$A145=2,$A145=3,$A145=4),"F","")</f>
        <v/>
      </c>
      <c r="D145" s="146" t="str">
        <f ca="1">ORÇAMENTO!O145</f>
        <v>-</v>
      </c>
      <c r="E145" s="206" t="str">
        <f>ORÇAMENTO.Descricao</f>
        <v xml:space="preserve">TERMINAL A COMPRESSAO EM COBRE ESTANHADO PARA CABO 2,5 MM2, 1 FURO E 1 COMPRESSAO, PARA PARAFUSO DE FIXACAO M5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F145" s="207" t="str">
        <f ca="1">IF(RegimeExecucao="Global","",ORÇAMENTO.Unidade)</f>
        <v/>
      </c>
      <c r="G145" s="151" t="str">
        <f ca="1">IF(RegimeExecucao="Global","",ORÇAMENTO!T145)</f>
        <v/>
      </c>
      <c r="H145" s="151" t="str">
        <f ca="1">IF(RegimeExecucao="Global","",ORÇAMENTO!W145)</f>
        <v/>
      </c>
      <c r="I145" s="154">
        <f ca="1">ORÇAMENTO!X145</f>
        <v>0</v>
      </c>
      <c r="J145" s="427">
        <f ca="1">IF($A145="S",IF(CAIXA.Modo,BM.AFAnterior,BM.MEDAnterior),IF(AND(RegimeExecucao="Global",$I145&gt;0,COUNTIF($AB$13:$AM$13,BM.medicao-1)&gt;0),M145/$I145*100,0))</f>
        <v>0</v>
      </c>
      <c r="K145" s="151">
        <f t="shared" ca="1" si="51"/>
        <v>0</v>
      </c>
      <c r="L145" s="428">
        <f ca="1">IF($A145="S",IF(CAIXA.Modo,BM.AFAcumulado,BM.MEDAcumulado),IF(AND(RegimeExecucao="Global",$I145&gt;0,COUNTIF($AB$13:$AM$13,BM.medicao)&gt;0),O145/$I145*100,0))</f>
        <v>0</v>
      </c>
      <c r="M145" s="429">
        <f ca="1">IF($A145="S",VTOTALBM,IF($A145=0,0,ROUND(SomaAgrupBM,15-13*ORÇAMENTO!$AF$11)))</f>
        <v>0</v>
      </c>
      <c r="N145" s="430">
        <f t="shared" ca="1" si="52"/>
        <v>0</v>
      </c>
      <c r="O145" s="154">
        <f ca="1">IF($A145="S",VTOTALBM,IF($A145=0,0,ROUND(SomaAgrupBM,15-13*ORÇAMENTO!$AF$11)))</f>
        <v>0</v>
      </c>
      <c r="Q145" s="431"/>
      <c r="R145" s="432"/>
      <c r="T145" s="146" t="str">
        <f ca="1">IF($W145&gt;0,$D145,"")</f>
        <v/>
      </c>
      <c r="U145" s="206" t="str">
        <f ca="1">IF($W145&gt;0,$E145,"")</f>
        <v/>
      </c>
      <c r="V145" s="207" t="str">
        <f ca="1">IF(AND($W145&gt;0,RegimeExecucao="Unitário"),$F145,"")</f>
        <v/>
      </c>
      <c r="W145" s="633">
        <f ca="1">IF($Y145&gt;0,CHOOSE(MATCH(RegimeExecucao,{"Unitário","Global"},0),IF($A145="S",$Y145/$X145,""),($Y145/$X145)*100),0)</f>
        <v>0</v>
      </c>
      <c r="X145" s="433" t="str">
        <f ca="1">IF($Y145&gt;0,CHOOSE(MATCH(RegimeExecucao,{"Unitário","Global"},0),IF($A145="S",ROUND($H145,ORÇAMENTO!$AF$10),""),ROUND($I145,ORÇAMENTO!$AF$11)),"")</f>
        <v/>
      </c>
      <c r="Y145" s="433">
        <f ca="1">AO145-O145</f>
        <v>0</v>
      </c>
      <c r="Z145" s="660"/>
      <c r="AB145" s="431"/>
      <c r="AC145" s="598"/>
      <c r="AD145" s="598"/>
      <c r="AE145" s="598"/>
      <c r="AF145" s="598"/>
      <c r="AG145" s="598"/>
      <c r="AH145" s="598"/>
      <c r="AI145" s="598"/>
      <c r="AJ145" s="598"/>
      <c r="AK145" s="598"/>
      <c r="AL145" s="598"/>
      <c r="AM145" s="432"/>
      <c r="AO145">
        <f ca="1">IF($A145="S",IF(BM!$I145=0,0,CHOOSE(MATCH(RegimeExecucao,{"Global","Unitário"},0),ROUND(ROUND(BM.MEDAcumulado,15-13*BM!$A$9)/100*BM!$I145,15-13*ORÇAMENTO!$AF$11),ROUND(ROUND(BM.MEDAcumulado,15-13*BM!$A$9)*ROUND(BM!$H145,15-13*ORÇAMENTO!$AF$10),15-13*ORÇAMENTO!$AF$11))),IF($A145=0,0,ROUND(SomaAgrupBM,15-13*ORÇAMENTO!$AF$11)))</f>
        <v>0</v>
      </c>
    </row>
    <row r="146" spans="1:41" ht="25.5" x14ac:dyDescent="0.2">
      <c r="A146" t="str">
        <f ca="1">ORÇAMENTO!C146</f>
        <v>S</v>
      </c>
      <c r="B146">
        <f ca="1">ORÇAMENTO!D146</f>
        <v>0</v>
      </c>
      <c r="C146" s="143" t="str">
        <f t="shared" ref="C146:C147" ca="1" si="56">IF(OR($I146&gt;0,$A146=1,$A146=2,$A146=3,$A146=4),"F","")</f>
        <v/>
      </c>
      <c r="D146" s="146" t="str">
        <f ca="1">ORÇAMENTO!O146</f>
        <v>-</v>
      </c>
      <c r="E146" s="206" t="str">
        <f>ORÇAMENTO.Descricao</f>
        <v xml:space="preserve">CAIXA DE CONCRETO ARMADO PRE-MOLDADO, SEM FUNDO, QUADRADA, DIMENSOES DE 0,80 X 0,80 X 0,50 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F146" s="207" t="str">
        <f ca="1">IF(RegimeExecucao="Global","",ORÇAMENTO.Unidade)</f>
        <v/>
      </c>
      <c r="G146" s="151" t="str">
        <f ca="1">IF(RegimeExecucao="Global","",ORÇAMENTO!T146)</f>
        <v/>
      </c>
      <c r="H146" s="151" t="str">
        <f ca="1">IF(RegimeExecucao="Global","",ORÇAMENTO!W146)</f>
        <v/>
      </c>
      <c r="I146" s="154">
        <f ca="1">ORÇAMENTO!X146</f>
        <v>0</v>
      </c>
      <c r="J146" s="427">
        <f ca="1">IF($A146="S",IF(CAIXA.Modo,BM.AFAnterior,BM.MEDAnterior),IF(AND(RegimeExecucao="Global",$I146&gt;0,COUNTIF($AB$13:$AM$13,BM.medicao-1)&gt;0),M146/$I146*100,0))</f>
        <v>0</v>
      </c>
      <c r="K146" s="151">
        <f t="shared" ca="1" si="51"/>
        <v>0</v>
      </c>
      <c r="L146" s="428">
        <f ca="1">IF($A146="S",IF(CAIXA.Modo,BM.AFAcumulado,BM.MEDAcumulado),IF(AND(RegimeExecucao="Global",$I146&gt;0,COUNTIF($AB$13:$AM$13,BM.medicao)&gt;0),O146/$I146*100,0))</f>
        <v>0</v>
      </c>
      <c r="M146" s="429">
        <f ca="1">IF($A146="S",VTOTALBM,IF($A146=0,0,ROUND(SomaAgrupBM,15-13*ORÇAMENTO!$AF$11)))</f>
        <v>0</v>
      </c>
      <c r="N146" s="430">
        <f t="shared" ca="1" si="52"/>
        <v>0</v>
      </c>
      <c r="O146" s="154">
        <f ca="1">IF($A146="S",VTOTALBM,IF($A146=0,0,ROUND(SomaAgrupBM,15-13*ORÇAMENTO!$AF$11)))</f>
        <v>0</v>
      </c>
      <c r="Q146" s="431"/>
      <c r="R146" s="432"/>
      <c r="T146" s="146" t="str">
        <f t="shared" ref="T146:T147" ca="1" si="57">IF($W146&gt;0,$D146,"")</f>
        <v/>
      </c>
      <c r="U146" s="206" t="str">
        <f t="shared" ref="U146:U147" ca="1" si="58">IF($W146&gt;0,$E146,"")</f>
        <v/>
      </c>
      <c r="V146" s="207" t="str">
        <f ca="1">IF(AND($W146&gt;0,RegimeExecucao="Unitário"),$F146,"")</f>
        <v/>
      </c>
      <c r="W146" s="633">
        <f ca="1">IF($Y146&gt;0,CHOOSE(MATCH(RegimeExecucao,{"Unitário","Global"},0),IF($A146="S",$Y146/$X146,""),($Y146/$X146)*100),0)</f>
        <v>0</v>
      </c>
      <c r="X146" s="433" t="str">
        <f ca="1">IF($Y146&gt;0,CHOOSE(MATCH(RegimeExecucao,{"Unitário","Global"},0),IF($A146="S",ROUND($H146,ORÇAMENTO!$AF$10),""),ROUND($I146,ORÇAMENTO!$AF$11)),"")</f>
        <v/>
      </c>
      <c r="Y146" s="433">
        <f t="shared" ref="Y146:Y147" ca="1" si="59">AO146-O146</f>
        <v>0</v>
      </c>
      <c r="Z146" s="660"/>
      <c r="AB146" s="431"/>
      <c r="AC146" s="598"/>
      <c r="AD146" s="598"/>
      <c r="AE146" s="598"/>
      <c r="AF146" s="598"/>
      <c r="AG146" s="598"/>
      <c r="AH146" s="598"/>
      <c r="AI146" s="598"/>
      <c r="AJ146" s="598"/>
      <c r="AK146" s="598"/>
      <c r="AL146" s="598"/>
      <c r="AM146" s="432"/>
      <c r="AO146">
        <f ca="1">IF($A146="S",IF(BM!$I146=0,0,CHOOSE(MATCH(RegimeExecucao,{"Global","Unitário"},0),ROUND(ROUND(BM.MEDAcumulado,15-13*BM!$A$9)/100*BM!$I146,15-13*ORÇAMENTO!$AF$11),ROUND(ROUND(BM.MEDAcumulado,15-13*BM!$A$9)*ROUND(BM!$H146,15-13*ORÇAMENTO!$AF$10),15-13*ORÇAMENTO!$AF$11))),IF($A146=0,0,ROUND(SomaAgrupBM,15-13*ORÇAMENTO!$AF$11)))</f>
        <v>0</v>
      </c>
    </row>
    <row r="147" spans="1:41" ht="38.25" x14ac:dyDescent="0.2">
      <c r="A147" t="str">
        <f ca="1">ORÇAMENTO!C147</f>
        <v>S</v>
      </c>
      <c r="B147">
        <f ca="1">ORÇAMENTO!D147</f>
        <v>0</v>
      </c>
      <c r="C147" s="143" t="str">
        <f t="shared" ca="1" si="56"/>
        <v/>
      </c>
      <c r="D147" s="146" t="str">
        <f ca="1">ORÇAMENTO!O147</f>
        <v>-</v>
      </c>
      <c r="E147" s="206" t="str">
        <f>ORÇAMENTO.Descricao</f>
        <v>TAMPA PARA CAIXA TIPO R2 E R3, EM FERRO FUNDIDO, DIMENSÕES INTERNAS: 0,55 X 1,10 M - FORNECIMENTO E INSTALAÇÃO. AF_12/2020</v>
      </c>
      <c r="F147" s="207" t="str">
        <f ca="1">IF(RegimeExecucao="Global","",ORÇAMENTO.Unidade)</f>
        <v/>
      </c>
      <c r="G147" s="151" t="str">
        <f ca="1">IF(RegimeExecucao="Global","",ORÇAMENTO!T147)</f>
        <v/>
      </c>
      <c r="H147" s="151" t="str">
        <f ca="1">IF(RegimeExecucao="Global","",ORÇAMENTO!W147)</f>
        <v/>
      </c>
      <c r="I147" s="154">
        <f ca="1">ORÇAMENTO!X147</f>
        <v>0</v>
      </c>
      <c r="J147" s="427">
        <f ca="1">IF($A147="S",IF(CAIXA.Modo,BM.AFAnterior,BM.MEDAnterior),IF(AND(RegimeExecucao="Global",$I147&gt;0,COUNTIF($AB$13:$AM$13,BM.medicao-1)&gt;0),M147/$I147*100,0))</f>
        <v>0</v>
      </c>
      <c r="K147" s="151">
        <f t="shared" ca="1" si="51"/>
        <v>0</v>
      </c>
      <c r="L147" s="428">
        <f ca="1">IF($A147="S",IF(CAIXA.Modo,BM.AFAcumulado,BM.MEDAcumulado),IF(AND(RegimeExecucao="Global",$I147&gt;0,COUNTIF($AB$13:$AM$13,BM.medicao)&gt;0),O147/$I147*100,0))</f>
        <v>0</v>
      </c>
      <c r="M147" s="429">
        <f ca="1">IF($A147="S",VTOTALBM,IF($A147=0,0,ROUND(SomaAgrupBM,15-13*ORÇAMENTO!$AF$11)))</f>
        <v>0</v>
      </c>
      <c r="N147" s="430">
        <f t="shared" ca="1" si="52"/>
        <v>0</v>
      </c>
      <c r="O147" s="154">
        <f ca="1">IF($A147="S",VTOTALBM,IF($A147=0,0,ROUND(SomaAgrupBM,15-13*ORÇAMENTO!$AF$11)))</f>
        <v>0</v>
      </c>
      <c r="Q147" s="431"/>
      <c r="R147" s="432"/>
      <c r="T147" s="146" t="str">
        <f t="shared" ca="1" si="57"/>
        <v/>
      </c>
      <c r="U147" s="206" t="str">
        <f t="shared" ca="1" si="58"/>
        <v/>
      </c>
      <c r="V147" s="207" t="str">
        <f ca="1">IF(AND($W147&gt;0,RegimeExecucao="Unitário"),$F147,"")</f>
        <v/>
      </c>
      <c r="W147" s="633">
        <f ca="1">IF($Y147&gt;0,CHOOSE(MATCH(RegimeExecucao,{"Unitário","Global"},0),IF($A147="S",$Y147/$X147,""),($Y147/$X147)*100),0)</f>
        <v>0</v>
      </c>
      <c r="X147" s="433" t="str">
        <f ca="1">IF($Y147&gt;0,CHOOSE(MATCH(RegimeExecucao,{"Unitário","Global"},0),IF($A147="S",ROUND($H147,ORÇAMENTO!$AF$10),""),ROUND($I147,ORÇAMENTO!$AF$11)),"")</f>
        <v/>
      </c>
      <c r="Y147" s="433">
        <f t="shared" ca="1" si="59"/>
        <v>0</v>
      </c>
      <c r="Z147" s="660"/>
      <c r="AB147" s="431"/>
      <c r="AC147" s="598"/>
      <c r="AD147" s="598"/>
      <c r="AE147" s="598"/>
      <c r="AF147" s="598"/>
      <c r="AG147" s="598"/>
      <c r="AH147" s="598"/>
      <c r="AI147" s="598"/>
      <c r="AJ147" s="598"/>
      <c r="AK147" s="598"/>
      <c r="AL147" s="598"/>
      <c r="AM147" s="432"/>
      <c r="AO147">
        <f ca="1">IF($A147="S",IF(BM!$I147=0,0,CHOOSE(MATCH(RegimeExecucao,{"Global","Unitário"},0),ROUND(ROUND(BM.MEDAcumulado,15-13*BM!$A$9)/100*BM!$I147,15-13*ORÇAMENTO!$AF$11),ROUND(ROUND(BM.MEDAcumulado,15-13*BM!$A$9)*ROUND(BM!$H147,15-13*ORÇAMENTO!$AF$10),15-13*ORÇAMENTO!$AF$11))),IF($A147=0,0,ROUND(SomaAgrupBM,15-13*ORÇAMENTO!$AF$11)))</f>
        <v>0</v>
      </c>
    </row>
    <row r="148" spans="1:41" ht="38.25" x14ac:dyDescent="0.2">
      <c r="A148" t="str">
        <f ca="1">ORÇAMENTO!C148</f>
        <v>S</v>
      </c>
      <c r="B148">
        <f ca="1">ORÇAMENTO!D148</f>
        <v>0</v>
      </c>
      <c r="C148" s="143" t="str">
        <f ca="1">IF(OR($I148&gt;0,$A148=1,$A148=2,$A148=3,$A148=4),"F","")</f>
        <v/>
      </c>
      <c r="D148" s="146" t="str">
        <f ca="1">ORÇAMENTO!O148</f>
        <v>-</v>
      </c>
      <c r="E148" s="206" t="str">
        <f>ORÇAMENTO.Descricao</f>
        <v>ELETRODUTO FLEXÍVEL CORRUGADO, PEAD, DN 90 (3"), PARA REDE ENTERRADA DE DISTRIBUIÇÃO DE ENERGIA ELÉTRICA - FORNECIMENTO E INSTALAÇÃO. AF_12/2021</v>
      </c>
      <c r="F148" s="207" t="str">
        <f ca="1">IF(RegimeExecucao="Global","",ORÇAMENTO.Unidade)</f>
        <v/>
      </c>
      <c r="G148" s="151" t="str">
        <f ca="1">IF(RegimeExecucao="Global","",ORÇAMENTO!T148)</f>
        <v/>
      </c>
      <c r="H148" s="151" t="str">
        <f ca="1">IF(RegimeExecucao="Global","",ORÇAMENTO!W148)</f>
        <v/>
      </c>
      <c r="I148" s="154">
        <f ca="1">ORÇAMENTO!X148</f>
        <v>0</v>
      </c>
      <c r="J148" s="427">
        <f ca="1">IF($A148="S",IF(CAIXA.Modo,BM.AFAnterior,BM.MEDAnterior),IF(AND(RegimeExecucao="Global",$I148&gt;0,COUNTIF($AB$13:$AM$13,BM.medicao-1)&gt;0),M148/$I148*100,0))</f>
        <v>0</v>
      </c>
      <c r="K148" s="151">
        <f t="shared" ca="1" si="51"/>
        <v>0</v>
      </c>
      <c r="L148" s="428">
        <f ca="1">IF($A148="S",IF(CAIXA.Modo,BM.AFAcumulado,BM.MEDAcumulado),IF(AND(RegimeExecucao="Global",$I148&gt;0,COUNTIF($AB$13:$AM$13,BM.medicao)&gt;0),O148/$I148*100,0))</f>
        <v>0</v>
      </c>
      <c r="M148" s="429">
        <f ca="1">IF($A148="S",VTOTALBM,IF($A148=0,0,ROUND(SomaAgrupBM,15-13*ORÇAMENTO!$AF$11)))</f>
        <v>0</v>
      </c>
      <c r="N148" s="430">
        <f t="shared" ca="1" si="52"/>
        <v>0</v>
      </c>
      <c r="O148" s="154">
        <f ca="1">IF($A148="S",VTOTALBM,IF($A148=0,0,ROUND(SomaAgrupBM,15-13*ORÇAMENTO!$AF$11)))</f>
        <v>0</v>
      </c>
      <c r="Q148" s="431"/>
      <c r="R148" s="432"/>
      <c r="T148" s="146" t="str">
        <f ca="1">IF($W148&gt;0,$D148,"")</f>
        <v/>
      </c>
      <c r="U148" s="206" t="str">
        <f ca="1">IF($W148&gt;0,$E148,"")</f>
        <v/>
      </c>
      <c r="V148" s="207" t="str">
        <f ca="1">IF(AND($W148&gt;0,RegimeExecucao="Unitário"),$F148,"")</f>
        <v/>
      </c>
      <c r="W148" s="633">
        <f ca="1">IF($Y148&gt;0,CHOOSE(MATCH(RegimeExecucao,{"Unitário","Global"},0),IF($A148="S",$Y148/$X148,""),($Y148/$X148)*100),0)</f>
        <v>0</v>
      </c>
      <c r="X148" s="433" t="str">
        <f ca="1">IF($Y148&gt;0,CHOOSE(MATCH(RegimeExecucao,{"Unitário","Global"},0),IF($A148="S",ROUND($H148,ORÇAMENTO!$AF$10),""),ROUND($I148,ORÇAMENTO!$AF$11)),"")</f>
        <v/>
      </c>
      <c r="Y148" s="433">
        <f ca="1">AO148-O148</f>
        <v>0</v>
      </c>
      <c r="Z148" s="660"/>
      <c r="AB148" s="431"/>
      <c r="AC148" s="598"/>
      <c r="AD148" s="598"/>
      <c r="AE148" s="598"/>
      <c r="AF148" s="598"/>
      <c r="AG148" s="598"/>
      <c r="AH148" s="598"/>
      <c r="AI148" s="598"/>
      <c r="AJ148" s="598"/>
      <c r="AK148" s="598"/>
      <c r="AL148" s="598"/>
      <c r="AM148" s="432"/>
      <c r="AO148">
        <f ca="1">IF($A148="S",IF(BM!$I148=0,0,CHOOSE(MATCH(RegimeExecucao,{"Global","Unitário"},0),ROUND(ROUND(BM.MEDAcumulado,15-13*BM!$A$9)/100*BM!$I148,15-13*ORÇAMENTO!$AF$11),ROUND(ROUND(BM.MEDAcumulado,15-13*BM!$A$9)*ROUND(BM!$H148,15-13*ORÇAMENTO!$AF$10),15-13*ORÇAMENTO!$AF$11))),IF($A148=0,0,ROUND(SomaAgrupBM,15-13*ORÇAMENTO!$AF$11)))</f>
        <v>0</v>
      </c>
    </row>
    <row r="149" spans="1:41" x14ac:dyDescent="0.2">
      <c r="A149">
        <f ca="1">ORÇAMENTO!C149</f>
        <v>2</v>
      </c>
      <c r="B149">
        <f ca="1">ORÇAMENTO!D149</f>
        <v>10</v>
      </c>
      <c r="C149" s="143" t="str">
        <f t="shared" ca="1" si="50"/>
        <v>F</v>
      </c>
      <c r="D149" s="146" t="str">
        <f ca="1">ORÇAMENTO!O149</f>
        <v>1.19.</v>
      </c>
      <c r="E149" s="206" t="str">
        <f t="shared" si="42"/>
        <v>HIDRAULICO</v>
      </c>
      <c r="F149" s="207" t="str">
        <f ca="1">IF(RegimeExecucao="Global","",ORÇAMENTO.Unidade)</f>
        <v/>
      </c>
      <c r="G149" s="151" t="str">
        <f ca="1">IF(RegimeExecucao="Global","",ORÇAMENTO!T149)</f>
        <v/>
      </c>
      <c r="H149" s="151" t="str">
        <f ca="1">IF(RegimeExecucao="Global","",ORÇAMENTO!W149)</f>
        <v/>
      </c>
      <c r="I149" s="154">
        <f ca="1">ORÇAMENTO!X149</f>
        <v>0</v>
      </c>
      <c r="J149" s="427">
        <f ca="1">IF($A149="S",IF(CAIXA.Modo,BM.AFAnterior,BM.MEDAnterior),IF(AND(RegimeExecucao="Global",$I149&gt;0,COUNTIF($AB$13:$AM$13,BM.medicao-1)&gt;0),M149/$I149*100,0))</f>
        <v>0</v>
      </c>
      <c r="K149" s="151">
        <f t="shared" ca="1" si="51"/>
        <v>0</v>
      </c>
      <c r="L149" s="428">
        <f ca="1">IF($A149="S",IF(CAIXA.Modo,BM.AFAcumulado,BM.MEDAcumulado),IF(AND(RegimeExecucao="Global",$I149&gt;0,COUNTIF($AB$13:$AM$13,BM.medicao)&gt;0),O149/$I149*100,0))</f>
        <v>0</v>
      </c>
      <c r="M149" s="429">
        <f ca="1">IF($A149="S",VTOTALBM,IF($A149=0,0,ROUND(SomaAgrupBM,15-13*ORÇAMENTO!$AF$11)))</f>
        <v>0</v>
      </c>
      <c r="N149" s="430">
        <f t="shared" ca="1" si="52"/>
        <v>0</v>
      </c>
      <c r="O149" s="154">
        <f ca="1">IF($A149="S",VTOTALBM,IF($A149=0,0,ROUND(SomaAgrupBM,15-13*ORÇAMENTO!$AF$11)))</f>
        <v>0</v>
      </c>
      <c r="Q149" s="431"/>
      <c r="R149" s="432"/>
      <c r="T149" s="146" t="str">
        <f t="shared" ca="1" si="53"/>
        <v/>
      </c>
      <c r="U149" s="206" t="str">
        <f t="shared" ca="1" si="54"/>
        <v/>
      </c>
      <c r="V149" s="207" t="str">
        <f ca="1">IF(AND($W149&gt;0,RegimeExecucao="Unitário"),$F149,"")</f>
        <v/>
      </c>
      <c r="W149" s="633">
        <f ca="1">IF($Y149&gt;0,CHOOSE(MATCH(RegimeExecucao,{"Unitário","Global"},0),IF($A149="S",$Y149/$X149,""),($Y149/$X149)*100),0)</f>
        <v>0</v>
      </c>
      <c r="X149" s="433" t="str">
        <f ca="1">IF($Y149&gt;0,CHOOSE(MATCH(RegimeExecucao,{"Unitário","Global"},0),IF($A149="S",ROUND($H149,ORÇAMENTO!$AF$10),""),ROUND($I149,ORÇAMENTO!$AF$11)),"")</f>
        <v/>
      </c>
      <c r="Y149" s="433">
        <f t="shared" ca="1" si="55"/>
        <v>0</v>
      </c>
      <c r="Z149" s="660"/>
      <c r="AB149" s="431"/>
      <c r="AC149" s="598"/>
      <c r="AD149" s="598"/>
      <c r="AE149" s="598"/>
      <c r="AF149" s="598"/>
      <c r="AG149" s="598"/>
      <c r="AH149" s="598"/>
      <c r="AI149" s="598"/>
      <c r="AJ149" s="598"/>
      <c r="AK149" s="598"/>
      <c r="AL149" s="598"/>
      <c r="AM149" s="432"/>
      <c r="AO149">
        <f ca="1">IF($A149="S",IF(BM!$I149=0,0,CHOOSE(MATCH(RegimeExecucao,{"Global","Unitário"},0),ROUND(ROUND(BM.MEDAcumulado,15-13*BM!$A$9)/100*BM!$I149,15-13*ORÇAMENTO!$AF$11),ROUND(ROUND(BM.MEDAcumulado,15-13*BM!$A$9)*ROUND(BM!$H149,15-13*ORÇAMENTO!$AF$10),15-13*ORÇAMENTO!$AF$11))),IF($A149=0,0,ROUND(SomaAgrupBM,15-13*ORÇAMENTO!$AF$11)))</f>
        <v>0</v>
      </c>
    </row>
    <row r="150" spans="1:41" ht="25.5" x14ac:dyDescent="0.2">
      <c r="A150" t="str">
        <f ca="1">ORÇAMENTO!C150</f>
        <v>S</v>
      </c>
      <c r="B150">
        <f ca="1">ORÇAMENTO!D150</f>
        <v>0</v>
      </c>
      <c r="C150" s="143" t="str">
        <f ca="1">IF(OR($I150&gt;0,$A150=1,$A150=2,$A150=3,$A150=4),"F","")</f>
        <v/>
      </c>
      <c r="D150" s="146" t="str">
        <f ca="1">ORÇAMENTO!O150</f>
        <v>-</v>
      </c>
      <c r="E150" s="206" t="str">
        <f t="shared" ref="E150:E191" si="60">ORÇAMENTO.Descricao</f>
        <v>TUBO, PVC, SOLDÁVEL, DE 25MM, INSTALADO EM RAMAL OU SUB-RAMAL DE ÁGUA - FORNECIMENTO E INSTALAÇÃO. AF_06/2022</v>
      </c>
      <c r="F150" s="207" t="str">
        <f ca="1">IF(RegimeExecucao="Global","",ORÇAMENTO.Unidade)</f>
        <v/>
      </c>
      <c r="G150" s="151" t="str">
        <f ca="1">IF(RegimeExecucao="Global","",ORÇAMENTO!T150)</f>
        <v/>
      </c>
      <c r="H150" s="151" t="str">
        <f ca="1">IF(RegimeExecucao="Global","",ORÇAMENTO!W150)</f>
        <v/>
      </c>
      <c r="I150" s="154">
        <f ca="1">ORÇAMENTO!X150</f>
        <v>0</v>
      </c>
      <c r="J150" s="427">
        <f ca="1">IF($A150="S",IF(CAIXA.Modo,BM.AFAnterior,BM.MEDAnterior),IF(AND(RegimeExecucao="Global",$I150&gt;0,COUNTIF($AB$13:$AM$13,BM.medicao-1)&gt;0),M150/$I150*100,0))</f>
        <v>0</v>
      </c>
      <c r="K150" s="151">
        <f t="shared" ca="1" si="51"/>
        <v>0</v>
      </c>
      <c r="L150" s="428">
        <f ca="1">IF($A150="S",IF(CAIXA.Modo,BM.AFAcumulado,BM.MEDAcumulado),IF(AND(RegimeExecucao="Global",$I150&gt;0,COUNTIF($AB$13:$AM$13,BM.medicao)&gt;0),O150/$I150*100,0))</f>
        <v>0</v>
      </c>
      <c r="M150" s="429">
        <f ca="1">IF($A150="S",VTOTALBM,IF($A150=0,0,ROUND(SomaAgrupBM,15-13*ORÇAMENTO!$AF$11)))</f>
        <v>0</v>
      </c>
      <c r="N150" s="430">
        <f t="shared" ca="1" si="52"/>
        <v>0</v>
      </c>
      <c r="O150" s="154">
        <f ca="1">IF($A150="S",VTOTALBM,IF($A150=0,0,ROUND(SomaAgrupBM,15-13*ORÇAMENTO!$AF$11)))</f>
        <v>0</v>
      </c>
      <c r="Q150" s="431"/>
      <c r="R150" s="432"/>
      <c r="T150" s="146" t="str">
        <f ca="1">IF($W150&gt;0,$D150,"")</f>
        <v/>
      </c>
      <c r="U150" s="206" t="str">
        <f ca="1">IF($W150&gt;0,$E150,"")</f>
        <v/>
      </c>
      <c r="V150" s="207" t="str">
        <f ca="1">IF(AND($W150&gt;0,RegimeExecucao="Unitário"),$F150,"")</f>
        <v/>
      </c>
      <c r="W150" s="633">
        <f ca="1">IF($Y150&gt;0,CHOOSE(MATCH(RegimeExecucao,{"Unitário","Global"},0),IF($A150="S",$Y150/$X150,""),($Y150/$X150)*100),0)</f>
        <v>0</v>
      </c>
      <c r="X150" s="433" t="str">
        <f ca="1">IF($Y150&gt;0,CHOOSE(MATCH(RegimeExecucao,{"Unitário","Global"},0),IF($A150="S",ROUND($H150,ORÇAMENTO!$AF$10),""),ROUND($I150,ORÇAMENTO!$AF$11)),"")</f>
        <v/>
      </c>
      <c r="Y150" s="433">
        <f ca="1">AO150-O150</f>
        <v>0</v>
      </c>
      <c r="Z150" s="660"/>
      <c r="AB150" s="431"/>
      <c r="AC150" s="598"/>
      <c r="AD150" s="598"/>
      <c r="AE150" s="598"/>
      <c r="AF150" s="598"/>
      <c r="AG150" s="598"/>
      <c r="AH150" s="598"/>
      <c r="AI150" s="598"/>
      <c r="AJ150" s="598"/>
      <c r="AK150" s="598"/>
      <c r="AL150" s="598"/>
      <c r="AM150" s="432"/>
      <c r="AO150">
        <f ca="1">IF($A150="S",IF(BM!$I150=0,0,CHOOSE(MATCH(RegimeExecucao,{"Global","Unitário"},0),ROUND(ROUND(BM.MEDAcumulado,15-13*BM!$A$9)/100*BM!$I150,15-13*ORÇAMENTO!$AF$11),ROUND(ROUND(BM.MEDAcumulado,15-13*BM!$A$9)*ROUND(BM!$H150,15-13*ORÇAMENTO!$AF$10),15-13*ORÇAMENTO!$AF$11))),IF($A150=0,0,ROUND(SomaAgrupBM,15-13*ORÇAMENTO!$AF$11)))</f>
        <v>0</v>
      </c>
    </row>
    <row r="151" spans="1:41" ht="25.5" x14ac:dyDescent="0.2">
      <c r="A151" t="str">
        <f ca="1">ORÇAMENTO!C151</f>
        <v>S</v>
      </c>
      <c r="B151">
        <f ca="1">ORÇAMENTO!D151</f>
        <v>0</v>
      </c>
      <c r="C151" s="143" t="str">
        <f t="shared" ref="C151:C191" ca="1" si="61">IF(OR($I151&gt;0,$A151=1,$A151=2,$A151=3,$A151=4),"F","")</f>
        <v/>
      </c>
      <c r="D151" s="146" t="str">
        <f ca="1">ORÇAMENTO!O151</f>
        <v>-</v>
      </c>
      <c r="E151" s="206" t="str">
        <f t="shared" si="60"/>
        <v>REGISTRO DE GAVETA BRUTO, LATÃO, ROSCÁVEL, 3/4" - FORNECIMENTO E INSTALAÇÃO. AF_08/2021</v>
      </c>
      <c r="F151" s="207" t="str">
        <f ca="1">IF(RegimeExecucao="Global","",ORÇAMENTO.Unidade)</f>
        <v/>
      </c>
      <c r="G151" s="151" t="str">
        <f ca="1">IF(RegimeExecucao="Global","",ORÇAMENTO!T151)</f>
        <v/>
      </c>
      <c r="H151" s="151" t="str">
        <f ca="1">IF(RegimeExecucao="Global","",ORÇAMENTO!W151)</f>
        <v/>
      </c>
      <c r="I151" s="154">
        <f ca="1">ORÇAMENTO!X151</f>
        <v>0</v>
      </c>
      <c r="J151" s="427">
        <f ca="1">IF($A151="S",IF(CAIXA.Modo,BM.AFAnterior,BM.MEDAnterior),IF(AND(RegimeExecucao="Global",$I151&gt;0,COUNTIF($AB$13:$AM$13,BM.medicao-1)&gt;0),M151/$I151*100,0))</f>
        <v>0</v>
      </c>
      <c r="K151" s="151">
        <f t="shared" ca="1" si="51"/>
        <v>0</v>
      </c>
      <c r="L151" s="428">
        <f ca="1">IF($A151="S",IF(CAIXA.Modo,BM.AFAcumulado,BM.MEDAcumulado),IF(AND(RegimeExecucao="Global",$I151&gt;0,COUNTIF($AB$13:$AM$13,BM.medicao)&gt;0),O151/$I151*100,0))</f>
        <v>0</v>
      </c>
      <c r="M151" s="429">
        <f ca="1">IF($A151="S",VTOTALBM,IF($A151=0,0,ROUND(SomaAgrupBM,15-13*ORÇAMENTO!$AF$11)))</f>
        <v>0</v>
      </c>
      <c r="N151" s="430">
        <f t="shared" ca="1" si="52"/>
        <v>0</v>
      </c>
      <c r="O151" s="154">
        <f ca="1">IF($A151="S",VTOTALBM,IF($A151=0,0,ROUND(SomaAgrupBM,15-13*ORÇAMENTO!$AF$11)))</f>
        <v>0</v>
      </c>
      <c r="Q151" s="431"/>
      <c r="R151" s="432"/>
      <c r="T151" s="146" t="str">
        <f t="shared" ref="T151:T191" ca="1" si="62">IF($W151&gt;0,$D151,"")</f>
        <v/>
      </c>
      <c r="U151" s="206" t="str">
        <f t="shared" ref="U151:U191" ca="1" si="63">IF($W151&gt;0,$E151,"")</f>
        <v/>
      </c>
      <c r="V151" s="207" t="str">
        <f ca="1">IF(AND($W151&gt;0,RegimeExecucao="Unitário"),$F151,"")</f>
        <v/>
      </c>
      <c r="W151" s="633">
        <f ca="1">IF($Y151&gt;0,CHOOSE(MATCH(RegimeExecucao,{"Unitário","Global"},0),IF($A151="S",$Y151/$X151,""),($Y151/$X151)*100),0)</f>
        <v>0</v>
      </c>
      <c r="X151" s="433" t="str">
        <f ca="1">IF($Y151&gt;0,CHOOSE(MATCH(RegimeExecucao,{"Unitário","Global"},0),IF($A151="S",ROUND($H151,ORÇAMENTO!$AF$10),""),ROUND($I151,ORÇAMENTO!$AF$11)),"")</f>
        <v/>
      </c>
      <c r="Y151" s="433">
        <f t="shared" ref="Y151:Y191" ca="1" si="64">AO151-O151</f>
        <v>0</v>
      </c>
      <c r="Z151" s="660"/>
      <c r="AB151" s="431"/>
      <c r="AC151" s="598"/>
      <c r="AD151" s="598"/>
      <c r="AE151" s="598"/>
      <c r="AF151" s="598"/>
      <c r="AG151" s="598"/>
      <c r="AH151" s="598"/>
      <c r="AI151" s="598"/>
      <c r="AJ151" s="598"/>
      <c r="AK151" s="598"/>
      <c r="AL151" s="598"/>
      <c r="AM151" s="432"/>
      <c r="AO151">
        <f ca="1">IF($A151="S",IF(BM!$I151=0,0,CHOOSE(MATCH(RegimeExecucao,{"Global","Unitário"},0),ROUND(ROUND(BM.MEDAcumulado,15-13*BM!$A$9)/100*BM!$I151,15-13*ORÇAMENTO!$AF$11),ROUND(ROUND(BM.MEDAcumulado,15-13*BM!$A$9)*ROUND(BM!$H151,15-13*ORÇAMENTO!$AF$10),15-13*ORÇAMENTO!$AF$11))),IF($A151=0,0,ROUND(SomaAgrupBM,15-13*ORÇAMENTO!$AF$11)))</f>
        <v>0</v>
      </c>
    </row>
    <row r="152" spans="1:41" ht="38.25" x14ac:dyDescent="0.2">
      <c r="A152" t="str">
        <f ca="1">ORÇAMENTO!C152</f>
        <v>S</v>
      </c>
      <c r="B152">
        <f ca="1">ORÇAMENTO!D152</f>
        <v>0</v>
      </c>
      <c r="C152" s="143" t="str">
        <f t="shared" ca="1" si="61"/>
        <v/>
      </c>
      <c r="D152" s="146" t="str">
        <f ca="1">ORÇAMENTO!O152</f>
        <v>-</v>
      </c>
      <c r="E152" s="206" t="str">
        <f t="shared" si="60"/>
        <v>CURVA 90 GRAUS, PVC, SOLDÁVEL, DN 25MM, INSTALADO EM RAMAL DE DISTRIBUIÇÃO DE ÁGUA - FORNECIMENTO E INSTALAÇÃO. AF_06/2022</v>
      </c>
      <c r="F152" s="207" t="str">
        <f ca="1">IF(RegimeExecucao="Global","",ORÇAMENTO.Unidade)</f>
        <v/>
      </c>
      <c r="G152" s="151" t="str">
        <f ca="1">IF(RegimeExecucao="Global","",ORÇAMENTO!T152)</f>
        <v/>
      </c>
      <c r="H152" s="151" t="str">
        <f ca="1">IF(RegimeExecucao="Global","",ORÇAMENTO!W152)</f>
        <v/>
      </c>
      <c r="I152" s="154">
        <f ca="1">ORÇAMENTO!X152</f>
        <v>0</v>
      </c>
      <c r="J152" s="427">
        <f ca="1">IF($A152="S",IF(CAIXA.Modo,BM.AFAnterior,BM.MEDAnterior),IF(AND(RegimeExecucao="Global",$I152&gt;0,COUNTIF($AB$13:$AM$13,BM.medicao-1)&gt;0),M152/$I152*100,0))</f>
        <v>0</v>
      </c>
      <c r="K152" s="151">
        <f t="shared" ca="1" si="51"/>
        <v>0</v>
      </c>
      <c r="L152" s="428">
        <f ca="1">IF($A152="S",IF(CAIXA.Modo,BM.AFAcumulado,BM.MEDAcumulado),IF(AND(RegimeExecucao="Global",$I152&gt;0,COUNTIF($AB$13:$AM$13,BM.medicao)&gt;0),O152/$I152*100,0))</f>
        <v>0</v>
      </c>
      <c r="M152" s="429">
        <f ca="1">IF($A152="S",VTOTALBM,IF($A152=0,0,ROUND(SomaAgrupBM,15-13*ORÇAMENTO!$AF$11)))</f>
        <v>0</v>
      </c>
      <c r="N152" s="430">
        <f t="shared" ca="1" si="52"/>
        <v>0</v>
      </c>
      <c r="O152" s="154">
        <f ca="1">IF($A152="S",VTOTALBM,IF($A152=0,0,ROUND(SomaAgrupBM,15-13*ORÇAMENTO!$AF$11)))</f>
        <v>0</v>
      </c>
      <c r="Q152" s="431"/>
      <c r="R152" s="432"/>
      <c r="T152" s="146" t="str">
        <f t="shared" ca="1" si="62"/>
        <v/>
      </c>
      <c r="U152" s="206" t="str">
        <f t="shared" ca="1" si="63"/>
        <v/>
      </c>
      <c r="V152" s="207" t="str">
        <f ca="1">IF(AND($W152&gt;0,RegimeExecucao="Unitário"),$F152,"")</f>
        <v/>
      </c>
      <c r="W152" s="633">
        <f ca="1">IF($Y152&gt;0,CHOOSE(MATCH(RegimeExecucao,{"Unitário","Global"},0),IF($A152="S",$Y152/$X152,""),($Y152/$X152)*100),0)</f>
        <v>0</v>
      </c>
      <c r="X152" s="433" t="str">
        <f ca="1">IF($Y152&gt;0,CHOOSE(MATCH(RegimeExecucao,{"Unitário","Global"},0),IF($A152="S",ROUND($H152,ORÇAMENTO!$AF$10),""),ROUND($I152,ORÇAMENTO!$AF$11)),"")</f>
        <v/>
      </c>
      <c r="Y152" s="433">
        <f t="shared" ca="1" si="64"/>
        <v>0</v>
      </c>
      <c r="Z152" s="660"/>
      <c r="AB152" s="431"/>
      <c r="AC152" s="598"/>
      <c r="AD152" s="598"/>
      <c r="AE152" s="598"/>
      <c r="AF152" s="598"/>
      <c r="AG152" s="598"/>
      <c r="AH152" s="598"/>
      <c r="AI152" s="598"/>
      <c r="AJ152" s="598"/>
      <c r="AK152" s="598"/>
      <c r="AL152" s="598"/>
      <c r="AM152" s="432"/>
      <c r="AO152">
        <f ca="1">IF($A152="S",IF(BM!$I152=0,0,CHOOSE(MATCH(RegimeExecucao,{"Global","Unitário"},0),ROUND(ROUND(BM.MEDAcumulado,15-13*BM!$A$9)/100*BM!$I152,15-13*ORÇAMENTO!$AF$11),ROUND(ROUND(BM.MEDAcumulado,15-13*BM!$A$9)*ROUND(BM!$H152,15-13*ORÇAMENTO!$AF$10),15-13*ORÇAMENTO!$AF$11))),IF($A152=0,0,ROUND(SomaAgrupBM,15-13*ORÇAMENTO!$AF$11)))</f>
        <v>0</v>
      </c>
    </row>
    <row r="153" spans="1:41" ht="38.25" x14ac:dyDescent="0.2">
      <c r="A153" t="str">
        <f ca="1">ORÇAMENTO!C153</f>
        <v>S</v>
      </c>
      <c r="B153">
        <f ca="1">ORÇAMENTO!D153</f>
        <v>0</v>
      </c>
      <c r="C153" s="143" t="str">
        <f t="shared" ca="1" si="61"/>
        <v/>
      </c>
      <c r="D153" s="146" t="str">
        <f ca="1">ORÇAMENTO!O153</f>
        <v>-</v>
      </c>
      <c r="E153" s="206" t="str">
        <f t="shared" si="60"/>
        <v>CURVA 90 GRAUS PARA ELETRODUTO, PVC, ROSCÁVEL, DN 25 MM (3/4"), PARA CIRCUITOS TERMINAIS, INSTALADA EM PAREDE - FORNECIMENTO E INSTALAÇÃO. AF_03/2023</v>
      </c>
      <c r="F153" s="207" t="str">
        <f ca="1">IF(RegimeExecucao="Global","",ORÇAMENTO.Unidade)</f>
        <v/>
      </c>
      <c r="G153" s="151" t="str">
        <f ca="1">IF(RegimeExecucao="Global","",ORÇAMENTO!T153)</f>
        <v/>
      </c>
      <c r="H153" s="151" t="str">
        <f ca="1">IF(RegimeExecucao="Global","",ORÇAMENTO!W153)</f>
        <v/>
      </c>
      <c r="I153" s="154">
        <f ca="1">ORÇAMENTO!X153</f>
        <v>0</v>
      </c>
      <c r="J153" s="427">
        <f ca="1">IF($A153="S",IF(CAIXA.Modo,BM.AFAnterior,BM.MEDAnterior),IF(AND(RegimeExecucao="Global",$I153&gt;0,COUNTIF($AB$13:$AM$13,BM.medicao-1)&gt;0),M153/$I153*100,0))</f>
        <v>0</v>
      </c>
      <c r="K153" s="151">
        <f t="shared" ca="1" si="51"/>
        <v>0</v>
      </c>
      <c r="L153" s="428">
        <f ca="1">IF($A153="S",IF(CAIXA.Modo,BM.AFAcumulado,BM.MEDAcumulado),IF(AND(RegimeExecucao="Global",$I153&gt;0,COUNTIF($AB$13:$AM$13,BM.medicao)&gt;0),O153/$I153*100,0))</f>
        <v>0</v>
      </c>
      <c r="M153" s="429">
        <f ca="1">IF($A153="S",VTOTALBM,IF($A153=0,0,ROUND(SomaAgrupBM,15-13*ORÇAMENTO!$AF$11)))</f>
        <v>0</v>
      </c>
      <c r="N153" s="430">
        <f t="shared" ca="1" si="52"/>
        <v>0</v>
      </c>
      <c r="O153" s="154">
        <f ca="1">IF($A153="S",VTOTALBM,IF($A153=0,0,ROUND(SomaAgrupBM,15-13*ORÇAMENTO!$AF$11)))</f>
        <v>0</v>
      </c>
      <c r="Q153" s="431"/>
      <c r="R153" s="432"/>
      <c r="T153" s="146" t="str">
        <f t="shared" ca="1" si="62"/>
        <v/>
      </c>
      <c r="U153" s="206" t="str">
        <f t="shared" ca="1" si="63"/>
        <v/>
      </c>
      <c r="V153" s="207" t="str">
        <f ca="1">IF(AND($W153&gt;0,RegimeExecucao="Unitário"),$F153,"")</f>
        <v/>
      </c>
      <c r="W153" s="633">
        <f ca="1">IF($Y153&gt;0,CHOOSE(MATCH(RegimeExecucao,{"Unitário","Global"},0),IF($A153="S",$Y153/$X153,""),($Y153/$X153)*100),0)</f>
        <v>0</v>
      </c>
      <c r="X153" s="433" t="str">
        <f ca="1">IF($Y153&gt;0,CHOOSE(MATCH(RegimeExecucao,{"Unitário","Global"},0),IF($A153="S",ROUND($H153,ORÇAMENTO!$AF$10),""),ROUND($I153,ORÇAMENTO!$AF$11)),"")</f>
        <v/>
      </c>
      <c r="Y153" s="433">
        <f t="shared" ca="1" si="64"/>
        <v>0</v>
      </c>
      <c r="Z153" s="660"/>
      <c r="AB153" s="431"/>
      <c r="AC153" s="598"/>
      <c r="AD153" s="598"/>
      <c r="AE153" s="598"/>
      <c r="AF153" s="598"/>
      <c r="AG153" s="598"/>
      <c r="AH153" s="598"/>
      <c r="AI153" s="598"/>
      <c r="AJ153" s="598"/>
      <c r="AK153" s="598"/>
      <c r="AL153" s="598"/>
      <c r="AM153" s="432"/>
      <c r="AO153">
        <f ca="1">IF($A153="S",IF(BM!$I153=0,0,CHOOSE(MATCH(RegimeExecucao,{"Global","Unitário"},0),ROUND(ROUND(BM.MEDAcumulado,15-13*BM!$A$9)/100*BM!$I153,15-13*ORÇAMENTO!$AF$11),ROUND(ROUND(BM.MEDAcumulado,15-13*BM!$A$9)*ROUND(BM!$H153,15-13*ORÇAMENTO!$AF$10),15-13*ORÇAMENTO!$AF$11))),IF($A153=0,0,ROUND(SomaAgrupBM,15-13*ORÇAMENTO!$AF$11)))</f>
        <v>0</v>
      </c>
    </row>
    <row r="154" spans="1:41" ht="25.5" x14ac:dyDescent="0.2">
      <c r="A154" t="str">
        <f ca="1">ORÇAMENTO!C154</f>
        <v>S</v>
      </c>
      <c r="B154">
        <f ca="1">ORÇAMENTO!D154</f>
        <v>0</v>
      </c>
      <c r="C154" s="143" t="str">
        <f t="shared" ca="1" si="61"/>
        <v/>
      </c>
      <c r="D154" s="146" t="str">
        <f ca="1">ORÇAMENTO!O154</f>
        <v>-</v>
      </c>
      <c r="E154" s="206" t="str">
        <f t="shared" si="60"/>
        <v>TE, PVC, SOLDÁVEL, DN 25MM, INSTALADO EM RAMAL OU SUB-RAMAL DE ÁGUA - FORNECIMENTO E INSTALAÇÃO. AF_06/2022</v>
      </c>
      <c r="F154" s="207" t="str">
        <f ca="1">IF(RegimeExecucao="Global","",ORÇAMENTO.Unidade)</f>
        <v/>
      </c>
      <c r="G154" s="151" t="str">
        <f ca="1">IF(RegimeExecucao="Global","",ORÇAMENTO!T154)</f>
        <v/>
      </c>
      <c r="H154" s="151" t="str">
        <f ca="1">IF(RegimeExecucao="Global","",ORÇAMENTO!W154)</f>
        <v/>
      </c>
      <c r="I154" s="154">
        <f ca="1">ORÇAMENTO!X154</f>
        <v>0</v>
      </c>
      <c r="J154" s="427">
        <f ca="1">IF($A154="S",IF(CAIXA.Modo,BM.AFAnterior,BM.MEDAnterior),IF(AND(RegimeExecucao="Global",$I154&gt;0,COUNTIF($AB$13:$AM$13,BM.medicao-1)&gt;0),M154/$I154*100,0))</f>
        <v>0</v>
      </c>
      <c r="K154" s="151">
        <f t="shared" ca="1" si="51"/>
        <v>0</v>
      </c>
      <c r="L154" s="428">
        <f ca="1">IF($A154="S",IF(CAIXA.Modo,BM.AFAcumulado,BM.MEDAcumulado),IF(AND(RegimeExecucao="Global",$I154&gt;0,COUNTIF($AB$13:$AM$13,BM.medicao)&gt;0),O154/$I154*100,0))</f>
        <v>0</v>
      </c>
      <c r="M154" s="429">
        <f ca="1">IF($A154="S",VTOTALBM,IF($A154=0,0,ROUND(SomaAgrupBM,15-13*ORÇAMENTO!$AF$11)))</f>
        <v>0</v>
      </c>
      <c r="N154" s="430">
        <f t="shared" ca="1" si="52"/>
        <v>0</v>
      </c>
      <c r="O154" s="154">
        <f ca="1">IF($A154="S",VTOTALBM,IF($A154=0,0,ROUND(SomaAgrupBM,15-13*ORÇAMENTO!$AF$11)))</f>
        <v>0</v>
      </c>
      <c r="Q154" s="431"/>
      <c r="R154" s="432"/>
      <c r="T154" s="146" t="str">
        <f t="shared" ca="1" si="62"/>
        <v/>
      </c>
      <c r="U154" s="206" t="str">
        <f t="shared" ca="1" si="63"/>
        <v/>
      </c>
      <c r="V154" s="207" t="str">
        <f ca="1">IF(AND($W154&gt;0,RegimeExecucao="Unitário"),$F154,"")</f>
        <v/>
      </c>
      <c r="W154" s="633">
        <f ca="1">IF($Y154&gt;0,CHOOSE(MATCH(RegimeExecucao,{"Unitário","Global"},0),IF($A154="S",$Y154/$X154,""),($Y154/$X154)*100),0)</f>
        <v>0</v>
      </c>
      <c r="X154" s="433" t="str">
        <f ca="1">IF($Y154&gt;0,CHOOSE(MATCH(RegimeExecucao,{"Unitário","Global"},0),IF($A154="S",ROUND($H154,ORÇAMENTO!$AF$10),""),ROUND($I154,ORÇAMENTO!$AF$11)),"")</f>
        <v/>
      </c>
      <c r="Y154" s="433">
        <f t="shared" ca="1" si="64"/>
        <v>0</v>
      </c>
      <c r="Z154" s="660"/>
      <c r="AB154" s="431"/>
      <c r="AC154" s="598"/>
      <c r="AD154" s="598"/>
      <c r="AE154" s="598"/>
      <c r="AF154" s="598"/>
      <c r="AG154" s="598"/>
      <c r="AH154" s="598"/>
      <c r="AI154" s="598"/>
      <c r="AJ154" s="598"/>
      <c r="AK154" s="598"/>
      <c r="AL154" s="598"/>
      <c r="AM154" s="432"/>
      <c r="AO154">
        <f ca="1">IF($A154="S",IF(BM!$I154=0,0,CHOOSE(MATCH(RegimeExecucao,{"Global","Unitário"},0),ROUND(ROUND(BM.MEDAcumulado,15-13*BM!$A$9)/100*BM!$I154,15-13*ORÇAMENTO!$AF$11),ROUND(ROUND(BM.MEDAcumulado,15-13*BM!$A$9)*ROUND(BM!$H154,15-13*ORÇAMENTO!$AF$10),15-13*ORÇAMENTO!$AF$11))),IF($A154=0,0,ROUND(SomaAgrupBM,15-13*ORÇAMENTO!$AF$11)))</f>
        <v>0</v>
      </c>
    </row>
    <row r="155" spans="1:41" ht="38.25" x14ac:dyDescent="0.2">
      <c r="A155" t="str">
        <f ca="1">ORÇAMENTO!C155</f>
        <v>S</v>
      </c>
      <c r="B155">
        <f ca="1">ORÇAMENTO!D155</f>
        <v>0</v>
      </c>
      <c r="C155" s="143" t="str">
        <f t="shared" ca="1" si="61"/>
        <v/>
      </c>
      <c r="D155" s="146" t="str">
        <f ca="1">ORÇAMENTO!O155</f>
        <v>-</v>
      </c>
      <c r="E155" s="206" t="str">
        <f t="shared" si="60"/>
        <v>LUVA DE TRANSIÇÃO, CPVC, SOLDÁVEL, DN 22MM X 25MM, INSTALADO EM RAMAL DE DISTRIBUIÇÃO DE ÁGUA   FORNECIMENTO E INSTALAÇÃO. AF_06/2022</v>
      </c>
      <c r="F155" s="207" t="str">
        <f ca="1">IF(RegimeExecucao="Global","",ORÇAMENTO.Unidade)</f>
        <v/>
      </c>
      <c r="G155" s="151" t="str">
        <f ca="1">IF(RegimeExecucao="Global","",ORÇAMENTO!T155)</f>
        <v/>
      </c>
      <c r="H155" s="151" t="str">
        <f ca="1">IF(RegimeExecucao="Global","",ORÇAMENTO!W155)</f>
        <v/>
      </c>
      <c r="I155" s="154">
        <f ca="1">ORÇAMENTO!X155</f>
        <v>0</v>
      </c>
      <c r="J155" s="427">
        <f ca="1">IF($A155="S",IF(CAIXA.Modo,BM.AFAnterior,BM.MEDAnterior),IF(AND(RegimeExecucao="Global",$I155&gt;0,COUNTIF($AB$13:$AM$13,BM.medicao-1)&gt;0),M155/$I155*100,0))</f>
        <v>0</v>
      </c>
      <c r="K155" s="151">
        <f t="shared" ca="1" si="51"/>
        <v>0</v>
      </c>
      <c r="L155" s="428">
        <f ca="1">IF($A155="S",IF(CAIXA.Modo,BM.AFAcumulado,BM.MEDAcumulado),IF(AND(RegimeExecucao="Global",$I155&gt;0,COUNTIF($AB$13:$AM$13,BM.medicao)&gt;0),O155/$I155*100,0))</f>
        <v>0</v>
      </c>
      <c r="M155" s="429">
        <f ca="1">IF($A155="S",VTOTALBM,IF($A155=0,0,ROUND(SomaAgrupBM,15-13*ORÇAMENTO!$AF$11)))</f>
        <v>0</v>
      </c>
      <c r="N155" s="430">
        <f t="shared" ca="1" si="52"/>
        <v>0</v>
      </c>
      <c r="O155" s="154">
        <f ca="1">IF($A155="S",VTOTALBM,IF($A155=0,0,ROUND(SomaAgrupBM,15-13*ORÇAMENTO!$AF$11)))</f>
        <v>0</v>
      </c>
      <c r="Q155" s="431"/>
      <c r="R155" s="432"/>
      <c r="T155" s="146" t="str">
        <f t="shared" ca="1" si="62"/>
        <v/>
      </c>
      <c r="U155" s="206" t="str">
        <f t="shared" ca="1" si="63"/>
        <v/>
      </c>
      <c r="V155" s="207" t="str">
        <f ca="1">IF(AND($W155&gt;0,RegimeExecucao="Unitário"),$F155,"")</f>
        <v/>
      </c>
      <c r="W155" s="633">
        <f ca="1">IF($Y155&gt;0,CHOOSE(MATCH(RegimeExecucao,{"Unitário","Global"},0),IF($A155="S",$Y155/$X155,""),($Y155/$X155)*100),0)</f>
        <v>0</v>
      </c>
      <c r="X155" s="433" t="str">
        <f ca="1">IF($Y155&gt;0,CHOOSE(MATCH(RegimeExecucao,{"Unitário","Global"},0),IF($A155="S",ROUND($H155,ORÇAMENTO!$AF$10),""),ROUND($I155,ORÇAMENTO!$AF$11)),"")</f>
        <v/>
      </c>
      <c r="Y155" s="433">
        <f t="shared" ca="1" si="64"/>
        <v>0</v>
      </c>
      <c r="Z155" s="660"/>
      <c r="AB155" s="431"/>
      <c r="AC155" s="598"/>
      <c r="AD155" s="598"/>
      <c r="AE155" s="598"/>
      <c r="AF155" s="598"/>
      <c r="AG155" s="598"/>
      <c r="AH155" s="598"/>
      <c r="AI155" s="598"/>
      <c r="AJ155" s="598"/>
      <c r="AK155" s="598"/>
      <c r="AL155" s="598"/>
      <c r="AM155" s="432"/>
      <c r="AO155">
        <f ca="1">IF($A155="S",IF(BM!$I155=0,0,CHOOSE(MATCH(RegimeExecucao,{"Global","Unitário"},0),ROUND(ROUND(BM.MEDAcumulado,15-13*BM!$A$9)/100*BM!$I155,15-13*ORÇAMENTO!$AF$11),ROUND(ROUND(BM.MEDAcumulado,15-13*BM!$A$9)*ROUND(BM!$H155,15-13*ORÇAMENTO!$AF$10),15-13*ORÇAMENTO!$AF$11))),IF($A155=0,0,ROUND(SomaAgrupBM,15-13*ORÇAMENTO!$AF$11)))</f>
        <v>0</v>
      </c>
    </row>
    <row r="156" spans="1:41" ht="38.25" x14ac:dyDescent="0.2">
      <c r="A156" t="str">
        <f ca="1">ORÇAMENTO!C156</f>
        <v>S</v>
      </c>
      <c r="B156">
        <f ca="1">ORÇAMENTO!D156</f>
        <v>0</v>
      </c>
      <c r="C156" s="143" t="str">
        <f t="shared" ca="1" si="61"/>
        <v/>
      </c>
      <c r="D156" s="146" t="str">
        <f ca="1">ORÇAMENTO!O156</f>
        <v>-</v>
      </c>
      <c r="E156" s="206" t="str">
        <f t="shared" si="60"/>
        <v>TUBO, PVC, SOLDÁVEL, DE 32MM, INSTALADO EM RAMAL DE DISTRIBUIÇÃO DE ÁGUA - FORNECIMENTO E INSTALAÇÃO. AF_06/2022</v>
      </c>
      <c r="F156" s="207" t="str">
        <f ca="1">IF(RegimeExecucao="Global","",ORÇAMENTO.Unidade)</f>
        <v/>
      </c>
      <c r="G156" s="151" t="str">
        <f ca="1">IF(RegimeExecucao="Global","",ORÇAMENTO!T156)</f>
        <v/>
      </c>
      <c r="H156" s="151" t="str">
        <f ca="1">IF(RegimeExecucao="Global","",ORÇAMENTO!W156)</f>
        <v/>
      </c>
      <c r="I156" s="154">
        <f ca="1">ORÇAMENTO!X156</f>
        <v>0</v>
      </c>
      <c r="J156" s="427">
        <f ca="1">IF($A156="S",IF(CAIXA.Modo,BM.AFAnterior,BM.MEDAnterior),IF(AND(RegimeExecucao="Global",$I156&gt;0,COUNTIF($AB$13:$AM$13,BM.medicao-1)&gt;0),M156/$I156*100,0))</f>
        <v>0</v>
      </c>
      <c r="K156" s="151">
        <f t="shared" ca="1" si="51"/>
        <v>0</v>
      </c>
      <c r="L156" s="428">
        <f ca="1">IF($A156="S",IF(CAIXA.Modo,BM.AFAcumulado,BM.MEDAcumulado),IF(AND(RegimeExecucao="Global",$I156&gt;0,COUNTIF($AB$13:$AM$13,BM.medicao)&gt;0),O156/$I156*100,0))</f>
        <v>0</v>
      </c>
      <c r="M156" s="429">
        <f ca="1">IF($A156="S",VTOTALBM,IF($A156=0,0,ROUND(SomaAgrupBM,15-13*ORÇAMENTO!$AF$11)))</f>
        <v>0</v>
      </c>
      <c r="N156" s="430">
        <f t="shared" ca="1" si="52"/>
        <v>0</v>
      </c>
      <c r="O156" s="154">
        <f ca="1">IF($A156="S",VTOTALBM,IF($A156=0,0,ROUND(SomaAgrupBM,15-13*ORÇAMENTO!$AF$11)))</f>
        <v>0</v>
      </c>
      <c r="Q156" s="431"/>
      <c r="R156" s="432"/>
      <c r="T156" s="146" t="str">
        <f t="shared" ca="1" si="62"/>
        <v/>
      </c>
      <c r="U156" s="206" t="str">
        <f t="shared" ca="1" si="63"/>
        <v/>
      </c>
      <c r="V156" s="207" t="str">
        <f ca="1">IF(AND($W156&gt;0,RegimeExecucao="Unitário"),$F156,"")</f>
        <v/>
      </c>
      <c r="W156" s="633">
        <f ca="1">IF($Y156&gt;0,CHOOSE(MATCH(RegimeExecucao,{"Unitário","Global"},0),IF($A156="S",$Y156/$X156,""),($Y156/$X156)*100),0)</f>
        <v>0</v>
      </c>
      <c r="X156" s="433" t="str">
        <f ca="1">IF($Y156&gt;0,CHOOSE(MATCH(RegimeExecucao,{"Unitário","Global"},0),IF($A156="S",ROUND($H156,ORÇAMENTO!$AF$10),""),ROUND($I156,ORÇAMENTO!$AF$11)),"")</f>
        <v/>
      </c>
      <c r="Y156" s="433">
        <f t="shared" ca="1" si="64"/>
        <v>0</v>
      </c>
      <c r="Z156" s="660"/>
      <c r="AB156" s="431"/>
      <c r="AC156" s="598"/>
      <c r="AD156" s="598"/>
      <c r="AE156" s="598"/>
      <c r="AF156" s="598"/>
      <c r="AG156" s="598"/>
      <c r="AH156" s="598"/>
      <c r="AI156" s="598"/>
      <c r="AJ156" s="598"/>
      <c r="AK156" s="598"/>
      <c r="AL156" s="598"/>
      <c r="AM156" s="432"/>
      <c r="AO156">
        <f ca="1">IF($A156="S",IF(BM!$I156=0,0,CHOOSE(MATCH(RegimeExecucao,{"Global","Unitário"},0),ROUND(ROUND(BM.MEDAcumulado,15-13*BM!$A$9)/100*BM!$I156,15-13*ORÇAMENTO!$AF$11),ROUND(ROUND(BM.MEDAcumulado,15-13*BM!$A$9)*ROUND(BM!$H156,15-13*ORÇAMENTO!$AF$10),15-13*ORÇAMENTO!$AF$11))),IF($A156=0,0,ROUND(SomaAgrupBM,15-13*ORÇAMENTO!$AF$11)))</f>
        <v>0</v>
      </c>
    </row>
    <row r="157" spans="1:41" ht="25.5" x14ac:dyDescent="0.2">
      <c r="A157" t="str">
        <f ca="1">ORÇAMENTO!C157</f>
        <v>S</v>
      </c>
      <c r="B157">
        <f ca="1">ORÇAMENTO!D157</f>
        <v>0</v>
      </c>
      <c r="C157" s="143" t="str">
        <f t="shared" ca="1" si="61"/>
        <v/>
      </c>
      <c r="D157" s="146" t="str">
        <f ca="1">ORÇAMENTO!O157</f>
        <v>-</v>
      </c>
      <c r="E157" s="206" t="str">
        <f t="shared" si="60"/>
        <v>LUVA, PVC, SOLDÁVEL, DN 32MM, INSTALADO EM RAMAL OU SUB-RAMAL DE ÁGUA - FORNECIMENTO E INSTALAÇÃO. AF_06/2022</v>
      </c>
      <c r="F157" s="207" t="str">
        <f ca="1">IF(RegimeExecucao="Global","",ORÇAMENTO.Unidade)</f>
        <v/>
      </c>
      <c r="G157" s="151" t="str">
        <f ca="1">IF(RegimeExecucao="Global","",ORÇAMENTO!T157)</f>
        <v/>
      </c>
      <c r="H157" s="151" t="str">
        <f ca="1">IF(RegimeExecucao="Global","",ORÇAMENTO!W157)</f>
        <v/>
      </c>
      <c r="I157" s="154">
        <f ca="1">ORÇAMENTO!X157</f>
        <v>0</v>
      </c>
      <c r="J157" s="427">
        <f ca="1">IF($A157="S",IF(CAIXA.Modo,BM.AFAnterior,BM.MEDAnterior),IF(AND(RegimeExecucao="Global",$I157&gt;0,COUNTIF($AB$13:$AM$13,BM.medicao-1)&gt;0),M157/$I157*100,0))</f>
        <v>0</v>
      </c>
      <c r="K157" s="151">
        <f t="shared" ca="1" si="51"/>
        <v>0</v>
      </c>
      <c r="L157" s="428">
        <f ca="1">IF($A157="S",IF(CAIXA.Modo,BM.AFAcumulado,BM.MEDAcumulado),IF(AND(RegimeExecucao="Global",$I157&gt;0,COUNTIF($AB$13:$AM$13,BM.medicao)&gt;0),O157/$I157*100,0))</f>
        <v>0</v>
      </c>
      <c r="M157" s="429">
        <f ca="1">IF($A157="S",VTOTALBM,IF($A157=0,0,ROUND(SomaAgrupBM,15-13*ORÇAMENTO!$AF$11)))</f>
        <v>0</v>
      </c>
      <c r="N157" s="430">
        <f t="shared" ca="1" si="52"/>
        <v>0</v>
      </c>
      <c r="O157" s="154">
        <f ca="1">IF($A157="S",VTOTALBM,IF($A157=0,0,ROUND(SomaAgrupBM,15-13*ORÇAMENTO!$AF$11)))</f>
        <v>0</v>
      </c>
      <c r="Q157" s="431"/>
      <c r="R157" s="432"/>
      <c r="T157" s="146" t="str">
        <f t="shared" ca="1" si="62"/>
        <v/>
      </c>
      <c r="U157" s="206" t="str">
        <f t="shared" ca="1" si="63"/>
        <v/>
      </c>
      <c r="V157" s="207" t="str">
        <f ca="1">IF(AND($W157&gt;0,RegimeExecucao="Unitário"),$F157,"")</f>
        <v/>
      </c>
      <c r="W157" s="633">
        <f ca="1">IF($Y157&gt;0,CHOOSE(MATCH(RegimeExecucao,{"Unitário","Global"},0),IF($A157="S",$Y157/$X157,""),($Y157/$X157)*100),0)</f>
        <v>0</v>
      </c>
      <c r="X157" s="433" t="str">
        <f ca="1">IF($Y157&gt;0,CHOOSE(MATCH(RegimeExecucao,{"Unitário","Global"},0),IF($A157="S",ROUND($H157,ORÇAMENTO!$AF$10),""),ROUND($I157,ORÇAMENTO!$AF$11)),"")</f>
        <v/>
      </c>
      <c r="Y157" s="433">
        <f t="shared" ca="1" si="64"/>
        <v>0</v>
      </c>
      <c r="Z157" s="660"/>
      <c r="AB157" s="431"/>
      <c r="AC157" s="598"/>
      <c r="AD157" s="598"/>
      <c r="AE157" s="598"/>
      <c r="AF157" s="598"/>
      <c r="AG157" s="598"/>
      <c r="AH157" s="598"/>
      <c r="AI157" s="598"/>
      <c r="AJ157" s="598"/>
      <c r="AK157" s="598"/>
      <c r="AL157" s="598"/>
      <c r="AM157" s="432"/>
      <c r="AO157">
        <f ca="1">IF($A157="S",IF(BM!$I157=0,0,CHOOSE(MATCH(RegimeExecucao,{"Global","Unitário"},0),ROUND(ROUND(BM.MEDAcumulado,15-13*BM!$A$9)/100*BM!$I157,15-13*ORÇAMENTO!$AF$11),ROUND(ROUND(BM.MEDAcumulado,15-13*BM!$A$9)*ROUND(BM!$H157,15-13*ORÇAMENTO!$AF$10),15-13*ORÇAMENTO!$AF$11))),IF($A157=0,0,ROUND(SomaAgrupBM,15-13*ORÇAMENTO!$AF$11)))</f>
        <v>0</v>
      </c>
    </row>
    <row r="158" spans="1:41" ht="38.25" x14ac:dyDescent="0.2">
      <c r="A158" t="str">
        <f ca="1">ORÇAMENTO!C158</f>
        <v>S</v>
      </c>
      <c r="B158">
        <f ca="1">ORÇAMENTO!D158</f>
        <v>0</v>
      </c>
      <c r="C158" s="143" t="str">
        <f t="shared" ca="1" si="61"/>
        <v/>
      </c>
      <c r="D158" s="146" t="str">
        <f ca="1">ORÇAMENTO!O158</f>
        <v>-</v>
      </c>
      <c r="E158" s="206" t="str">
        <f t="shared" si="60"/>
        <v>LUVA DE REDUÇÃO, PVC, SOLDÁVEL, DN 32MM X 25MM, INSTALADO EM RAMAL DE DISTRIBUIÇÃO DE ÁGUA - FORNECIMENTO E INSTALAÇÃO. AF_06/2022</v>
      </c>
      <c r="F158" s="207" t="str">
        <f ca="1">IF(RegimeExecucao="Global","",ORÇAMENTO.Unidade)</f>
        <v/>
      </c>
      <c r="G158" s="151" t="str">
        <f ca="1">IF(RegimeExecucao="Global","",ORÇAMENTO!T158)</f>
        <v/>
      </c>
      <c r="H158" s="151" t="str">
        <f ca="1">IF(RegimeExecucao="Global","",ORÇAMENTO!W158)</f>
        <v/>
      </c>
      <c r="I158" s="154">
        <f ca="1">ORÇAMENTO!X158</f>
        <v>0</v>
      </c>
      <c r="J158" s="427">
        <f ca="1">IF($A158="S",IF(CAIXA.Modo,BM.AFAnterior,BM.MEDAnterior),IF(AND(RegimeExecucao="Global",$I158&gt;0,COUNTIF($AB$13:$AM$13,BM.medicao-1)&gt;0),M158/$I158*100,0))</f>
        <v>0</v>
      </c>
      <c r="K158" s="151">
        <f t="shared" ca="1" si="51"/>
        <v>0</v>
      </c>
      <c r="L158" s="428">
        <f ca="1">IF($A158="S",IF(CAIXA.Modo,BM.AFAcumulado,BM.MEDAcumulado),IF(AND(RegimeExecucao="Global",$I158&gt;0,COUNTIF($AB$13:$AM$13,BM.medicao)&gt;0),O158/$I158*100,0))</f>
        <v>0</v>
      </c>
      <c r="M158" s="429">
        <f ca="1">IF($A158="S",VTOTALBM,IF($A158=0,0,ROUND(SomaAgrupBM,15-13*ORÇAMENTO!$AF$11)))</f>
        <v>0</v>
      </c>
      <c r="N158" s="430">
        <f t="shared" ca="1" si="52"/>
        <v>0</v>
      </c>
      <c r="O158" s="154">
        <f ca="1">IF($A158="S",VTOTALBM,IF($A158=0,0,ROUND(SomaAgrupBM,15-13*ORÇAMENTO!$AF$11)))</f>
        <v>0</v>
      </c>
      <c r="Q158" s="431"/>
      <c r="R158" s="432"/>
      <c r="T158" s="146" t="str">
        <f t="shared" ca="1" si="62"/>
        <v/>
      </c>
      <c r="U158" s="206" t="str">
        <f t="shared" ca="1" si="63"/>
        <v/>
      </c>
      <c r="V158" s="207" t="str">
        <f ca="1">IF(AND($W158&gt;0,RegimeExecucao="Unitário"),$F158,"")</f>
        <v/>
      </c>
      <c r="W158" s="633">
        <f ca="1">IF($Y158&gt;0,CHOOSE(MATCH(RegimeExecucao,{"Unitário","Global"},0),IF($A158="S",$Y158/$X158,""),($Y158/$X158)*100),0)</f>
        <v>0</v>
      </c>
      <c r="X158" s="433" t="str">
        <f ca="1">IF($Y158&gt;0,CHOOSE(MATCH(RegimeExecucao,{"Unitário","Global"},0),IF($A158="S",ROUND($H158,ORÇAMENTO!$AF$10),""),ROUND($I158,ORÇAMENTO!$AF$11)),"")</f>
        <v/>
      </c>
      <c r="Y158" s="433">
        <f t="shared" ca="1" si="64"/>
        <v>0</v>
      </c>
      <c r="Z158" s="660"/>
      <c r="AB158" s="431"/>
      <c r="AC158" s="598"/>
      <c r="AD158" s="598"/>
      <c r="AE158" s="598"/>
      <c r="AF158" s="598"/>
      <c r="AG158" s="598"/>
      <c r="AH158" s="598"/>
      <c r="AI158" s="598"/>
      <c r="AJ158" s="598"/>
      <c r="AK158" s="598"/>
      <c r="AL158" s="598"/>
      <c r="AM158" s="432"/>
      <c r="AO158">
        <f ca="1">IF($A158="S",IF(BM!$I158=0,0,CHOOSE(MATCH(RegimeExecucao,{"Global","Unitário"},0),ROUND(ROUND(BM.MEDAcumulado,15-13*BM!$A$9)/100*BM!$I158,15-13*ORÇAMENTO!$AF$11),ROUND(ROUND(BM.MEDAcumulado,15-13*BM!$A$9)*ROUND(BM!$H158,15-13*ORÇAMENTO!$AF$10),15-13*ORÇAMENTO!$AF$11))),IF($A158=0,0,ROUND(SomaAgrupBM,15-13*ORÇAMENTO!$AF$11)))</f>
        <v>0</v>
      </c>
    </row>
    <row r="159" spans="1:41" x14ac:dyDescent="0.2">
      <c r="A159">
        <f ca="1">ORÇAMENTO!C159</f>
        <v>2</v>
      </c>
      <c r="B159">
        <f ca="1">ORÇAMENTO!D159</f>
        <v>12</v>
      </c>
      <c r="C159" s="143" t="str">
        <f t="shared" ca="1" si="61"/>
        <v>F</v>
      </c>
      <c r="D159" s="146" t="str">
        <f ca="1">ORÇAMENTO!O159</f>
        <v>1.20.</v>
      </c>
      <c r="E159" s="206" t="str">
        <f t="shared" si="60"/>
        <v>SANITÁRIO</v>
      </c>
      <c r="F159" s="207" t="str">
        <f ca="1">IF(RegimeExecucao="Global","",ORÇAMENTO.Unidade)</f>
        <v/>
      </c>
      <c r="G159" s="151" t="str">
        <f ca="1">IF(RegimeExecucao="Global","",ORÇAMENTO!T159)</f>
        <v/>
      </c>
      <c r="H159" s="151" t="str">
        <f ca="1">IF(RegimeExecucao="Global","",ORÇAMENTO!W159)</f>
        <v/>
      </c>
      <c r="I159" s="154">
        <f ca="1">ORÇAMENTO!X159</f>
        <v>0</v>
      </c>
      <c r="J159" s="427">
        <f ca="1">IF($A159="S",IF(CAIXA.Modo,BM.AFAnterior,BM.MEDAnterior),IF(AND(RegimeExecucao="Global",$I159&gt;0,COUNTIF($AB$13:$AM$13,BM.medicao-1)&gt;0),M159/$I159*100,0))</f>
        <v>0</v>
      </c>
      <c r="K159" s="151">
        <f t="shared" ca="1" si="51"/>
        <v>0</v>
      </c>
      <c r="L159" s="428">
        <f ca="1">IF($A159="S",IF(CAIXA.Modo,BM.AFAcumulado,BM.MEDAcumulado),IF(AND(RegimeExecucao="Global",$I159&gt;0,COUNTIF($AB$13:$AM$13,BM.medicao)&gt;0),O159/$I159*100,0))</f>
        <v>0</v>
      </c>
      <c r="M159" s="429">
        <f ca="1">IF($A159="S",VTOTALBM,IF($A159=0,0,ROUND(SomaAgrupBM,15-13*ORÇAMENTO!$AF$11)))</f>
        <v>0</v>
      </c>
      <c r="N159" s="430">
        <f t="shared" ca="1" si="52"/>
        <v>0</v>
      </c>
      <c r="O159" s="154">
        <f ca="1">IF($A159="S",VTOTALBM,IF($A159=0,0,ROUND(SomaAgrupBM,15-13*ORÇAMENTO!$AF$11)))</f>
        <v>0</v>
      </c>
      <c r="Q159" s="431"/>
      <c r="R159" s="432"/>
      <c r="T159" s="146" t="str">
        <f t="shared" ca="1" si="62"/>
        <v/>
      </c>
      <c r="U159" s="206" t="str">
        <f t="shared" ca="1" si="63"/>
        <v/>
      </c>
      <c r="V159" s="207" t="str">
        <f ca="1">IF(AND($W159&gt;0,RegimeExecucao="Unitário"),$F159,"")</f>
        <v/>
      </c>
      <c r="W159" s="633">
        <f ca="1">IF($Y159&gt;0,CHOOSE(MATCH(RegimeExecucao,{"Unitário","Global"},0),IF($A159="S",$Y159/$X159,""),($Y159/$X159)*100),0)</f>
        <v>0</v>
      </c>
      <c r="X159" s="433" t="str">
        <f ca="1">IF($Y159&gt;0,CHOOSE(MATCH(RegimeExecucao,{"Unitário","Global"},0),IF($A159="S",ROUND($H159,ORÇAMENTO!$AF$10),""),ROUND($I159,ORÇAMENTO!$AF$11)),"")</f>
        <v/>
      </c>
      <c r="Y159" s="433">
        <f t="shared" ca="1" si="64"/>
        <v>0</v>
      </c>
      <c r="Z159" s="660"/>
      <c r="AB159" s="431"/>
      <c r="AC159" s="598"/>
      <c r="AD159" s="598"/>
      <c r="AE159" s="598"/>
      <c r="AF159" s="598"/>
      <c r="AG159" s="598"/>
      <c r="AH159" s="598"/>
      <c r="AI159" s="598"/>
      <c r="AJ159" s="598"/>
      <c r="AK159" s="598"/>
      <c r="AL159" s="598"/>
      <c r="AM159" s="432"/>
      <c r="AO159">
        <f ca="1">IF($A159="S",IF(BM!$I159=0,0,CHOOSE(MATCH(RegimeExecucao,{"Global","Unitário"},0),ROUND(ROUND(BM.MEDAcumulado,15-13*BM!$A$9)/100*BM!$I159,15-13*ORÇAMENTO!$AF$11),ROUND(ROUND(BM.MEDAcumulado,15-13*BM!$A$9)*ROUND(BM!$H159,15-13*ORÇAMENTO!$AF$10),15-13*ORÇAMENTO!$AF$11))),IF($A159=0,0,ROUND(SomaAgrupBM,15-13*ORÇAMENTO!$AF$11)))</f>
        <v>0</v>
      </c>
    </row>
    <row r="160" spans="1:41" ht="38.25" x14ac:dyDescent="0.2">
      <c r="A160" t="str">
        <f ca="1">ORÇAMENTO!C160</f>
        <v>S</v>
      </c>
      <c r="B160">
        <f ca="1">ORÇAMENTO!D160</f>
        <v>0</v>
      </c>
      <c r="C160" s="143" t="str">
        <f t="shared" ca="1" si="61"/>
        <v/>
      </c>
      <c r="D160" s="146" t="str">
        <f ca="1">ORÇAMENTO!O160</f>
        <v>-</v>
      </c>
      <c r="E160" s="206" t="str">
        <f t="shared" si="60"/>
        <v>TUBO PVC, SERIE NORMAL, ESGOTO PREDIAL, DN 50 MM, FORNECIDO E INSTALADO EM RAMAL DE DESCARGA OU RAMAL DE ESGOTO SANITÁRIO. AF_08/2022</v>
      </c>
      <c r="F160" s="207" t="str">
        <f ca="1">IF(RegimeExecucao="Global","",ORÇAMENTO.Unidade)</f>
        <v/>
      </c>
      <c r="G160" s="151" t="str">
        <f ca="1">IF(RegimeExecucao="Global","",ORÇAMENTO!T160)</f>
        <v/>
      </c>
      <c r="H160" s="151" t="str">
        <f ca="1">IF(RegimeExecucao="Global","",ORÇAMENTO!W160)</f>
        <v/>
      </c>
      <c r="I160" s="154">
        <f ca="1">ORÇAMENTO!X160</f>
        <v>0</v>
      </c>
      <c r="J160" s="427">
        <f ca="1">IF($A160="S",IF(CAIXA.Modo,BM.AFAnterior,BM.MEDAnterior),IF(AND(RegimeExecucao="Global",$I160&gt;0,COUNTIF($AB$13:$AM$13,BM.medicao-1)&gt;0),M160/$I160*100,0))</f>
        <v>0</v>
      </c>
      <c r="K160" s="151">
        <f t="shared" ca="1" si="51"/>
        <v>0</v>
      </c>
      <c r="L160" s="428">
        <f ca="1">IF($A160="S",IF(CAIXA.Modo,BM.AFAcumulado,BM.MEDAcumulado),IF(AND(RegimeExecucao="Global",$I160&gt;0,COUNTIF($AB$13:$AM$13,BM.medicao)&gt;0),O160/$I160*100,0))</f>
        <v>0</v>
      </c>
      <c r="M160" s="429">
        <f ca="1">IF($A160="S",VTOTALBM,IF($A160=0,0,ROUND(SomaAgrupBM,15-13*ORÇAMENTO!$AF$11)))</f>
        <v>0</v>
      </c>
      <c r="N160" s="430">
        <f t="shared" ca="1" si="52"/>
        <v>0</v>
      </c>
      <c r="O160" s="154">
        <f ca="1">IF($A160="S",VTOTALBM,IF($A160=0,0,ROUND(SomaAgrupBM,15-13*ORÇAMENTO!$AF$11)))</f>
        <v>0</v>
      </c>
      <c r="Q160" s="431"/>
      <c r="R160" s="432"/>
      <c r="T160" s="146" t="str">
        <f t="shared" ca="1" si="62"/>
        <v/>
      </c>
      <c r="U160" s="206" t="str">
        <f t="shared" ca="1" si="63"/>
        <v/>
      </c>
      <c r="V160" s="207" t="str">
        <f ca="1">IF(AND($W160&gt;0,RegimeExecucao="Unitário"),$F160,"")</f>
        <v/>
      </c>
      <c r="W160" s="633">
        <f ca="1">IF($Y160&gt;0,CHOOSE(MATCH(RegimeExecucao,{"Unitário","Global"},0),IF($A160="S",$Y160/$X160,""),($Y160/$X160)*100),0)</f>
        <v>0</v>
      </c>
      <c r="X160" s="433" t="str">
        <f ca="1">IF($Y160&gt;0,CHOOSE(MATCH(RegimeExecucao,{"Unitário","Global"},0),IF($A160="S",ROUND($H160,ORÇAMENTO!$AF$10),""),ROUND($I160,ORÇAMENTO!$AF$11)),"")</f>
        <v/>
      </c>
      <c r="Y160" s="433">
        <f t="shared" ca="1" si="64"/>
        <v>0</v>
      </c>
      <c r="Z160" s="660"/>
      <c r="AB160" s="431"/>
      <c r="AC160" s="598"/>
      <c r="AD160" s="598"/>
      <c r="AE160" s="598"/>
      <c r="AF160" s="598"/>
      <c r="AG160" s="598"/>
      <c r="AH160" s="598"/>
      <c r="AI160" s="598"/>
      <c r="AJ160" s="598"/>
      <c r="AK160" s="598"/>
      <c r="AL160" s="598"/>
      <c r="AM160" s="432"/>
      <c r="AO160">
        <f ca="1">IF($A160="S",IF(BM!$I160=0,0,CHOOSE(MATCH(RegimeExecucao,{"Global","Unitário"},0),ROUND(ROUND(BM.MEDAcumulado,15-13*BM!$A$9)/100*BM!$I160,15-13*ORÇAMENTO!$AF$11),ROUND(ROUND(BM.MEDAcumulado,15-13*BM!$A$9)*ROUND(BM!$H160,15-13*ORÇAMENTO!$AF$10),15-13*ORÇAMENTO!$AF$11))),IF($A160=0,0,ROUND(SomaAgrupBM,15-13*ORÇAMENTO!$AF$11)))</f>
        <v>0</v>
      </c>
    </row>
    <row r="161" spans="1:41" ht="38.25" x14ac:dyDescent="0.2">
      <c r="A161" t="str">
        <f ca="1">ORÇAMENTO!C161</f>
        <v>S</v>
      </c>
      <c r="B161">
        <f ca="1">ORÇAMENTO!D161</f>
        <v>0</v>
      </c>
      <c r="C161" s="143" t="str">
        <f t="shared" ca="1" si="61"/>
        <v/>
      </c>
      <c r="D161" s="146" t="str">
        <f ca="1">ORÇAMENTO!O161</f>
        <v>-</v>
      </c>
      <c r="E161" s="206" t="str">
        <f t="shared" si="60"/>
        <v>TUBO PVC, SERIE NORMAL, ESGOTO PREDIAL, DN 75 MM, FORNECIDO E INSTALADO EM RAMAL DE DESCARGA OU RAMAL DE ESGOTO SANITÁRIO. AF_08/2022</v>
      </c>
      <c r="F161" s="207" t="str">
        <f ca="1">IF(RegimeExecucao="Global","",ORÇAMENTO.Unidade)</f>
        <v/>
      </c>
      <c r="G161" s="151" t="str">
        <f ca="1">IF(RegimeExecucao="Global","",ORÇAMENTO!T161)</f>
        <v/>
      </c>
      <c r="H161" s="151" t="str">
        <f ca="1">IF(RegimeExecucao="Global","",ORÇAMENTO!W161)</f>
        <v/>
      </c>
      <c r="I161" s="154">
        <f ca="1">ORÇAMENTO!X161</f>
        <v>0</v>
      </c>
      <c r="J161" s="427">
        <f ca="1">IF($A161="S",IF(CAIXA.Modo,BM.AFAnterior,BM.MEDAnterior),IF(AND(RegimeExecucao="Global",$I161&gt;0,COUNTIF($AB$13:$AM$13,BM.medicao-1)&gt;0),M161/$I161*100,0))</f>
        <v>0</v>
      </c>
      <c r="K161" s="151">
        <f t="shared" ca="1" si="51"/>
        <v>0</v>
      </c>
      <c r="L161" s="428">
        <f ca="1">IF($A161="S",IF(CAIXA.Modo,BM.AFAcumulado,BM.MEDAcumulado),IF(AND(RegimeExecucao="Global",$I161&gt;0,COUNTIF($AB$13:$AM$13,BM.medicao)&gt;0),O161/$I161*100,0))</f>
        <v>0</v>
      </c>
      <c r="M161" s="429">
        <f ca="1">IF($A161="S",VTOTALBM,IF($A161=0,0,ROUND(SomaAgrupBM,15-13*ORÇAMENTO!$AF$11)))</f>
        <v>0</v>
      </c>
      <c r="N161" s="430">
        <f t="shared" ca="1" si="52"/>
        <v>0</v>
      </c>
      <c r="O161" s="154">
        <f ca="1">IF($A161="S",VTOTALBM,IF($A161=0,0,ROUND(SomaAgrupBM,15-13*ORÇAMENTO!$AF$11)))</f>
        <v>0</v>
      </c>
      <c r="Q161" s="431"/>
      <c r="R161" s="432"/>
      <c r="T161" s="146" t="str">
        <f t="shared" ca="1" si="62"/>
        <v/>
      </c>
      <c r="U161" s="206" t="str">
        <f t="shared" ca="1" si="63"/>
        <v/>
      </c>
      <c r="V161" s="207" t="str">
        <f ca="1">IF(AND($W161&gt;0,RegimeExecucao="Unitário"),$F161,"")</f>
        <v/>
      </c>
      <c r="W161" s="633">
        <f ca="1">IF($Y161&gt;0,CHOOSE(MATCH(RegimeExecucao,{"Unitário","Global"},0),IF($A161="S",$Y161/$X161,""),($Y161/$X161)*100),0)</f>
        <v>0</v>
      </c>
      <c r="X161" s="433" t="str">
        <f ca="1">IF($Y161&gt;0,CHOOSE(MATCH(RegimeExecucao,{"Unitário","Global"},0),IF($A161="S",ROUND($H161,ORÇAMENTO!$AF$10),""),ROUND($I161,ORÇAMENTO!$AF$11)),"")</f>
        <v/>
      </c>
      <c r="Y161" s="433">
        <f t="shared" ca="1" si="64"/>
        <v>0</v>
      </c>
      <c r="Z161" s="660"/>
      <c r="AB161" s="431"/>
      <c r="AC161" s="598"/>
      <c r="AD161" s="598"/>
      <c r="AE161" s="598"/>
      <c r="AF161" s="598"/>
      <c r="AG161" s="598"/>
      <c r="AH161" s="598"/>
      <c r="AI161" s="598"/>
      <c r="AJ161" s="598"/>
      <c r="AK161" s="598"/>
      <c r="AL161" s="598"/>
      <c r="AM161" s="432"/>
      <c r="AO161">
        <f ca="1">IF($A161="S",IF(BM!$I161=0,0,CHOOSE(MATCH(RegimeExecucao,{"Global","Unitário"},0),ROUND(ROUND(BM.MEDAcumulado,15-13*BM!$A$9)/100*BM!$I161,15-13*ORÇAMENTO!$AF$11),ROUND(ROUND(BM.MEDAcumulado,15-13*BM!$A$9)*ROUND(BM!$H161,15-13*ORÇAMENTO!$AF$10),15-13*ORÇAMENTO!$AF$11))),IF($A161=0,0,ROUND(SomaAgrupBM,15-13*ORÇAMENTO!$AF$11)))</f>
        <v>0</v>
      </c>
    </row>
    <row r="162" spans="1:41" ht="38.25" x14ac:dyDescent="0.2">
      <c r="A162" t="str">
        <f ca="1">ORÇAMENTO!C162</f>
        <v>S</v>
      </c>
      <c r="B162">
        <f ca="1">ORÇAMENTO!D162</f>
        <v>0</v>
      </c>
      <c r="C162" s="143" t="str">
        <f t="shared" ca="1" si="61"/>
        <v/>
      </c>
      <c r="D162" s="146" t="str">
        <f ca="1">ORÇAMENTO!O162</f>
        <v>-</v>
      </c>
      <c r="E162" s="206" t="str">
        <f t="shared" si="60"/>
        <v>TUBO PVC, SERIE NORMAL, ESGOTO PREDIAL, DN 100 MM, FORNECIDO E INSTALADO EM RAMAL DE DESCARGA OU RAMAL DE ESGOTO SANITÁRIO. AF_08/2022</v>
      </c>
      <c r="F162" s="207" t="str">
        <f ca="1">IF(RegimeExecucao="Global","",ORÇAMENTO.Unidade)</f>
        <v/>
      </c>
      <c r="G162" s="151" t="str">
        <f ca="1">IF(RegimeExecucao="Global","",ORÇAMENTO!T162)</f>
        <v/>
      </c>
      <c r="H162" s="151" t="str">
        <f ca="1">IF(RegimeExecucao="Global","",ORÇAMENTO!W162)</f>
        <v/>
      </c>
      <c r="I162" s="154">
        <f ca="1">ORÇAMENTO!X162</f>
        <v>0</v>
      </c>
      <c r="J162" s="427">
        <f ca="1">IF($A162="S",IF(CAIXA.Modo,BM.AFAnterior,BM.MEDAnterior),IF(AND(RegimeExecucao="Global",$I162&gt;0,COUNTIF($AB$13:$AM$13,BM.medicao-1)&gt;0),M162/$I162*100,0))</f>
        <v>0</v>
      </c>
      <c r="K162" s="151">
        <f t="shared" ca="1" si="51"/>
        <v>0</v>
      </c>
      <c r="L162" s="428">
        <f ca="1">IF($A162="S",IF(CAIXA.Modo,BM.AFAcumulado,BM.MEDAcumulado),IF(AND(RegimeExecucao="Global",$I162&gt;0,COUNTIF($AB$13:$AM$13,BM.medicao)&gt;0),O162/$I162*100,0))</f>
        <v>0</v>
      </c>
      <c r="M162" s="429">
        <f ca="1">IF($A162="S",VTOTALBM,IF($A162=0,0,ROUND(SomaAgrupBM,15-13*ORÇAMENTO!$AF$11)))</f>
        <v>0</v>
      </c>
      <c r="N162" s="430">
        <f t="shared" ca="1" si="52"/>
        <v>0</v>
      </c>
      <c r="O162" s="154">
        <f ca="1">IF($A162="S",VTOTALBM,IF($A162=0,0,ROUND(SomaAgrupBM,15-13*ORÇAMENTO!$AF$11)))</f>
        <v>0</v>
      </c>
      <c r="Q162" s="431"/>
      <c r="R162" s="432"/>
      <c r="T162" s="146" t="str">
        <f t="shared" ca="1" si="62"/>
        <v/>
      </c>
      <c r="U162" s="206" t="str">
        <f t="shared" ca="1" si="63"/>
        <v/>
      </c>
      <c r="V162" s="207" t="str">
        <f ca="1">IF(AND($W162&gt;0,RegimeExecucao="Unitário"),$F162,"")</f>
        <v/>
      </c>
      <c r="W162" s="633">
        <f ca="1">IF($Y162&gt;0,CHOOSE(MATCH(RegimeExecucao,{"Unitário","Global"},0),IF($A162="S",$Y162/$X162,""),($Y162/$X162)*100),0)</f>
        <v>0</v>
      </c>
      <c r="X162" s="433" t="str">
        <f ca="1">IF($Y162&gt;0,CHOOSE(MATCH(RegimeExecucao,{"Unitário","Global"},0),IF($A162="S",ROUND($H162,ORÇAMENTO!$AF$10),""),ROUND($I162,ORÇAMENTO!$AF$11)),"")</f>
        <v/>
      </c>
      <c r="Y162" s="433">
        <f t="shared" ca="1" si="64"/>
        <v>0</v>
      </c>
      <c r="Z162" s="660"/>
      <c r="AB162" s="431"/>
      <c r="AC162" s="598"/>
      <c r="AD162" s="598"/>
      <c r="AE162" s="598"/>
      <c r="AF162" s="598"/>
      <c r="AG162" s="598"/>
      <c r="AH162" s="598"/>
      <c r="AI162" s="598"/>
      <c r="AJ162" s="598"/>
      <c r="AK162" s="598"/>
      <c r="AL162" s="598"/>
      <c r="AM162" s="432"/>
      <c r="AO162">
        <f ca="1">IF($A162="S",IF(BM!$I162=0,0,CHOOSE(MATCH(RegimeExecucao,{"Global","Unitário"},0),ROUND(ROUND(BM.MEDAcumulado,15-13*BM!$A$9)/100*BM!$I162,15-13*ORÇAMENTO!$AF$11),ROUND(ROUND(BM.MEDAcumulado,15-13*BM!$A$9)*ROUND(BM!$H162,15-13*ORÇAMENTO!$AF$10),15-13*ORÇAMENTO!$AF$11))),IF($A162=0,0,ROUND(SomaAgrupBM,15-13*ORÇAMENTO!$AF$11)))</f>
        <v>0</v>
      </c>
    </row>
    <row r="163" spans="1:41" ht="25.5" x14ac:dyDescent="0.2">
      <c r="A163" t="str">
        <f ca="1">ORÇAMENTO!C163</f>
        <v>S</v>
      </c>
      <c r="B163">
        <f ca="1">ORÇAMENTO!D163</f>
        <v>0</v>
      </c>
      <c r="C163" s="143" t="str">
        <f t="shared" ca="1" si="61"/>
        <v/>
      </c>
      <c r="D163" s="146" t="str">
        <f ca="1">ORÇAMENTO!O163</f>
        <v>-</v>
      </c>
      <c r="E163" s="206" t="str">
        <f t="shared" si="60"/>
        <v>CAIXA DE GORDURA PEQUENA (CAPACIDADE: 19 L), CIRCULAR, EM PVC, DIÂMETRO INTERNO= 0,3 M. AF_12/2020</v>
      </c>
      <c r="F163" s="207" t="str">
        <f ca="1">IF(RegimeExecucao="Global","",ORÇAMENTO.Unidade)</f>
        <v/>
      </c>
      <c r="G163" s="151" t="str">
        <f ca="1">IF(RegimeExecucao="Global","",ORÇAMENTO!T163)</f>
        <v/>
      </c>
      <c r="H163" s="151" t="str">
        <f ca="1">IF(RegimeExecucao="Global","",ORÇAMENTO!W163)</f>
        <v/>
      </c>
      <c r="I163" s="154">
        <f ca="1">ORÇAMENTO!X163</f>
        <v>0</v>
      </c>
      <c r="J163" s="427">
        <f ca="1">IF($A163="S",IF(CAIXA.Modo,BM.AFAnterior,BM.MEDAnterior),IF(AND(RegimeExecucao="Global",$I163&gt;0,COUNTIF($AB$13:$AM$13,BM.medicao-1)&gt;0),M163/$I163*100,0))</f>
        <v>0</v>
      </c>
      <c r="K163" s="151">
        <f t="shared" ca="1" si="51"/>
        <v>0</v>
      </c>
      <c r="L163" s="428">
        <f ca="1">IF($A163="S",IF(CAIXA.Modo,BM.AFAcumulado,BM.MEDAcumulado),IF(AND(RegimeExecucao="Global",$I163&gt;0,COUNTIF($AB$13:$AM$13,BM.medicao)&gt;0),O163/$I163*100,0))</f>
        <v>0</v>
      </c>
      <c r="M163" s="429">
        <f ca="1">IF($A163="S",VTOTALBM,IF($A163=0,0,ROUND(SomaAgrupBM,15-13*ORÇAMENTO!$AF$11)))</f>
        <v>0</v>
      </c>
      <c r="N163" s="430">
        <f t="shared" ca="1" si="52"/>
        <v>0</v>
      </c>
      <c r="O163" s="154">
        <f ca="1">IF($A163="S",VTOTALBM,IF($A163=0,0,ROUND(SomaAgrupBM,15-13*ORÇAMENTO!$AF$11)))</f>
        <v>0</v>
      </c>
      <c r="Q163" s="431"/>
      <c r="R163" s="432"/>
      <c r="T163" s="146" t="str">
        <f t="shared" ca="1" si="62"/>
        <v/>
      </c>
      <c r="U163" s="206" t="str">
        <f t="shared" ca="1" si="63"/>
        <v/>
      </c>
      <c r="V163" s="207" t="str">
        <f ca="1">IF(AND($W163&gt;0,RegimeExecucao="Unitário"),$F163,"")</f>
        <v/>
      </c>
      <c r="W163" s="633">
        <f ca="1">IF($Y163&gt;0,CHOOSE(MATCH(RegimeExecucao,{"Unitário","Global"},0),IF($A163="S",$Y163/$X163,""),($Y163/$X163)*100),0)</f>
        <v>0</v>
      </c>
      <c r="X163" s="433" t="str">
        <f ca="1">IF($Y163&gt;0,CHOOSE(MATCH(RegimeExecucao,{"Unitário","Global"},0),IF($A163="S",ROUND($H163,ORÇAMENTO!$AF$10),""),ROUND($I163,ORÇAMENTO!$AF$11)),"")</f>
        <v/>
      </c>
      <c r="Y163" s="433">
        <f t="shared" ca="1" si="64"/>
        <v>0</v>
      </c>
      <c r="Z163" s="660"/>
      <c r="AB163" s="431"/>
      <c r="AC163" s="598"/>
      <c r="AD163" s="598"/>
      <c r="AE163" s="598"/>
      <c r="AF163" s="598"/>
      <c r="AG163" s="598"/>
      <c r="AH163" s="598"/>
      <c r="AI163" s="598"/>
      <c r="AJ163" s="598"/>
      <c r="AK163" s="598"/>
      <c r="AL163" s="598"/>
      <c r="AM163" s="432"/>
      <c r="AO163">
        <f ca="1">IF($A163="S",IF(BM!$I163=0,0,CHOOSE(MATCH(RegimeExecucao,{"Global","Unitário"},0),ROUND(ROUND(BM.MEDAcumulado,15-13*BM!$A$9)/100*BM!$I163,15-13*ORÇAMENTO!$AF$11),ROUND(ROUND(BM.MEDAcumulado,15-13*BM!$A$9)*ROUND(BM!$H163,15-13*ORÇAMENTO!$AF$10),15-13*ORÇAMENTO!$AF$11))),IF($A163=0,0,ROUND(SomaAgrupBM,15-13*ORÇAMENTO!$AF$11)))</f>
        <v>0</v>
      </c>
    </row>
    <row r="164" spans="1:41" ht="38.25" x14ac:dyDescent="0.2">
      <c r="A164" t="str">
        <f ca="1">ORÇAMENTO!C164</f>
        <v>S</v>
      </c>
      <c r="B164">
        <f ca="1">ORÇAMENTO!D164</f>
        <v>0</v>
      </c>
      <c r="C164" s="143" t="str">
        <f t="shared" ca="1" si="61"/>
        <v/>
      </c>
      <c r="D164" s="146" t="str">
        <f ca="1">ORÇAMENTO!O164</f>
        <v>-</v>
      </c>
      <c r="E164" s="206" t="str">
        <f t="shared" si="60"/>
        <v>CAIXA ENTERRADA HIDRÁULICA RETANGULAR, EM ALVENARIA COM BLOCOS DE CONCRETO, DIMENSÕES INTERNAS: 0,6X0,6X0,6 M PARA REDE DE ESGOTO. AF_12/2020</v>
      </c>
      <c r="F164" s="207" t="str">
        <f ca="1">IF(RegimeExecucao="Global","",ORÇAMENTO.Unidade)</f>
        <v/>
      </c>
      <c r="G164" s="151" t="str">
        <f ca="1">IF(RegimeExecucao="Global","",ORÇAMENTO!T164)</f>
        <v/>
      </c>
      <c r="H164" s="151" t="str">
        <f ca="1">IF(RegimeExecucao="Global","",ORÇAMENTO!W164)</f>
        <v/>
      </c>
      <c r="I164" s="154">
        <f ca="1">ORÇAMENTO!X164</f>
        <v>0</v>
      </c>
      <c r="J164" s="427">
        <f ca="1">IF($A164="S",IF(CAIXA.Modo,BM.AFAnterior,BM.MEDAnterior),IF(AND(RegimeExecucao="Global",$I164&gt;0,COUNTIF($AB$13:$AM$13,BM.medicao-1)&gt;0),M164/$I164*100,0))</f>
        <v>0</v>
      </c>
      <c r="K164" s="151">
        <f t="shared" ca="1" si="51"/>
        <v>0</v>
      </c>
      <c r="L164" s="428">
        <f ca="1">IF($A164="S",IF(CAIXA.Modo,BM.AFAcumulado,BM.MEDAcumulado),IF(AND(RegimeExecucao="Global",$I164&gt;0,COUNTIF($AB$13:$AM$13,BM.medicao)&gt;0),O164/$I164*100,0))</f>
        <v>0</v>
      </c>
      <c r="M164" s="429">
        <f ca="1">IF($A164="S",VTOTALBM,IF($A164=0,0,ROUND(SomaAgrupBM,15-13*ORÇAMENTO!$AF$11)))</f>
        <v>0</v>
      </c>
      <c r="N164" s="430">
        <f t="shared" ca="1" si="52"/>
        <v>0</v>
      </c>
      <c r="O164" s="154">
        <f ca="1">IF($A164="S",VTOTALBM,IF($A164=0,0,ROUND(SomaAgrupBM,15-13*ORÇAMENTO!$AF$11)))</f>
        <v>0</v>
      </c>
      <c r="Q164" s="431"/>
      <c r="R164" s="432"/>
      <c r="T164" s="146" t="str">
        <f t="shared" ca="1" si="62"/>
        <v/>
      </c>
      <c r="U164" s="206" t="str">
        <f t="shared" ca="1" si="63"/>
        <v/>
      </c>
      <c r="V164" s="207" t="str">
        <f ca="1">IF(AND($W164&gt;0,RegimeExecucao="Unitário"),$F164,"")</f>
        <v/>
      </c>
      <c r="W164" s="633">
        <f ca="1">IF($Y164&gt;0,CHOOSE(MATCH(RegimeExecucao,{"Unitário","Global"},0),IF($A164="S",$Y164/$X164,""),($Y164/$X164)*100),0)</f>
        <v>0</v>
      </c>
      <c r="X164" s="433" t="str">
        <f ca="1">IF($Y164&gt;0,CHOOSE(MATCH(RegimeExecucao,{"Unitário","Global"},0),IF($A164="S",ROUND($H164,ORÇAMENTO!$AF$10),""),ROUND($I164,ORÇAMENTO!$AF$11)),"")</f>
        <v/>
      </c>
      <c r="Y164" s="433">
        <f t="shared" ca="1" si="64"/>
        <v>0</v>
      </c>
      <c r="Z164" s="660"/>
      <c r="AB164" s="431"/>
      <c r="AC164" s="598"/>
      <c r="AD164" s="598"/>
      <c r="AE164" s="598"/>
      <c r="AF164" s="598"/>
      <c r="AG164" s="598"/>
      <c r="AH164" s="598"/>
      <c r="AI164" s="598"/>
      <c r="AJ164" s="598"/>
      <c r="AK164" s="598"/>
      <c r="AL164" s="598"/>
      <c r="AM164" s="432"/>
      <c r="AO164">
        <f ca="1">IF($A164="S",IF(BM!$I164=0,0,CHOOSE(MATCH(RegimeExecucao,{"Global","Unitário"},0),ROUND(ROUND(BM.MEDAcumulado,15-13*BM!$A$9)/100*BM!$I164,15-13*ORÇAMENTO!$AF$11),ROUND(ROUND(BM.MEDAcumulado,15-13*BM!$A$9)*ROUND(BM!$H164,15-13*ORÇAMENTO!$AF$10),15-13*ORÇAMENTO!$AF$11))),IF($A164=0,0,ROUND(SomaAgrupBM,15-13*ORÇAMENTO!$AF$11)))</f>
        <v>0</v>
      </c>
    </row>
    <row r="165" spans="1:41" ht="38.25" x14ac:dyDescent="0.2">
      <c r="A165" t="str">
        <f ca="1">ORÇAMENTO!C165</f>
        <v>S</v>
      </c>
      <c r="B165">
        <f ca="1">ORÇAMENTO!D165</f>
        <v>0</v>
      </c>
      <c r="C165" s="143" t="str">
        <f t="shared" ca="1" si="61"/>
        <v/>
      </c>
      <c r="D165" s="146" t="str">
        <f ca="1">ORÇAMENTO!O165</f>
        <v>-</v>
      </c>
      <c r="E165" s="206" t="str">
        <f t="shared" si="60"/>
        <v>CURVA CURTA 90 GRAUS, PVC, SERIE NORMAL, ESGOTO PREDIAL, DN 100 MM, JUNTA ELÁSTICA, FORNECIDO E INSTALADO EM PRUMADA DE ESGOTO SANITÁRIO OU VENTILAÇÃO. AF_08/2022</v>
      </c>
      <c r="F165" s="207" t="str">
        <f ca="1">IF(RegimeExecucao="Global","",ORÇAMENTO.Unidade)</f>
        <v/>
      </c>
      <c r="G165" s="151" t="str">
        <f ca="1">IF(RegimeExecucao="Global","",ORÇAMENTO!T165)</f>
        <v/>
      </c>
      <c r="H165" s="151" t="str">
        <f ca="1">IF(RegimeExecucao="Global","",ORÇAMENTO!W165)</f>
        <v/>
      </c>
      <c r="I165" s="154">
        <f ca="1">ORÇAMENTO!X165</f>
        <v>0</v>
      </c>
      <c r="J165" s="427">
        <f ca="1">IF($A165="S",IF(CAIXA.Modo,BM.AFAnterior,BM.MEDAnterior),IF(AND(RegimeExecucao="Global",$I165&gt;0,COUNTIF($AB$13:$AM$13,BM.medicao-1)&gt;0),M165/$I165*100,0))</f>
        <v>0</v>
      </c>
      <c r="K165" s="151">
        <f t="shared" ca="1" si="51"/>
        <v>0</v>
      </c>
      <c r="L165" s="428">
        <f ca="1">IF($A165="S",IF(CAIXA.Modo,BM.AFAcumulado,BM.MEDAcumulado),IF(AND(RegimeExecucao="Global",$I165&gt;0,COUNTIF($AB$13:$AM$13,BM.medicao)&gt;0),O165/$I165*100,0))</f>
        <v>0</v>
      </c>
      <c r="M165" s="429">
        <f ca="1">IF($A165="S",VTOTALBM,IF($A165=0,0,ROUND(SomaAgrupBM,15-13*ORÇAMENTO!$AF$11)))</f>
        <v>0</v>
      </c>
      <c r="N165" s="430">
        <f t="shared" ca="1" si="52"/>
        <v>0</v>
      </c>
      <c r="O165" s="154">
        <f ca="1">IF($A165="S",VTOTALBM,IF($A165=0,0,ROUND(SomaAgrupBM,15-13*ORÇAMENTO!$AF$11)))</f>
        <v>0</v>
      </c>
      <c r="Q165" s="431"/>
      <c r="R165" s="432"/>
      <c r="T165" s="146" t="str">
        <f t="shared" ca="1" si="62"/>
        <v/>
      </c>
      <c r="U165" s="206" t="str">
        <f t="shared" ca="1" si="63"/>
        <v/>
      </c>
      <c r="V165" s="207" t="str">
        <f ca="1">IF(AND($W165&gt;0,RegimeExecucao="Unitário"),$F165,"")</f>
        <v/>
      </c>
      <c r="W165" s="633">
        <f ca="1">IF($Y165&gt;0,CHOOSE(MATCH(RegimeExecucao,{"Unitário","Global"},0),IF($A165="S",$Y165/$X165,""),($Y165/$X165)*100),0)</f>
        <v>0</v>
      </c>
      <c r="X165" s="433" t="str">
        <f ca="1">IF($Y165&gt;0,CHOOSE(MATCH(RegimeExecucao,{"Unitário","Global"},0),IF($A165="S",ROUND($H165,ORÇAMENTO!$AF$10),""),ROUND($I165,ORÇAMENTO!$AF$11)),"")</f>
        <v/>
      </c>
      <c r="Y165" s="433">
        <f t="shared" ca="1" si="64"/>
        <v>0</v>
      </c>
      <c r="Z165" s="660"/>
      <c r="AB165" s="431"/>
      <c r="AC165" s="598"/>
      <c r="AD165" s="598"/>
      <c r="AE165" s="598"/>
      <c r="AF165" s="598"/>
      <c r="AG165" s="598"/>
      <c r="AH165" s="598"/>
      <c r="AI165" s="598"/>
      <c r="AJ165" s="598"/>
      <c r="AK165" s="598"/>
      <c r="AL165" s="598"/>
      <c r="AM165" s="432"/>
      <c r="AO165">
        <f ca="1">IF($A165="S",IF(BM!$I165=0,0,CHOOSE(MATCH(RegimeExecucao,{"Global","Unitário"},0),ROUND(ROUND(BM.MEDAcumulado,15-13*BM!$A$9)/100*BM!$I165,15-13*ORÇAMENTO!$AF$11),ROUND(ROUND(BM.MEDAcumulado,15-13*BM!$A$9)*ROUND(BM!$H165,15-13*ORÇAMENTO!$AF$10),15-13*ORÇAMENTO!$AF$11))),IF($A165=0,0,ROUND(SomaAgrupBM,15-13*ORÇAMENTO!$AF$11)))</f>
        <v>0</v>
      </c>
    </row>
    <row r="166" spans="1:41" ht="38.25" x14ac:dyDescent="0.2">
      <c r="A166" t="str">
        <f ca="1">ORÇAMENTO!C166</f>
        <v>S</v>
      </c>
      <c r="B166">
        <f ca="1">ORÇAMENTO!D166</f>
        <v>0</v>
      </c>
      <c r="C166" s="143" t="str">
        <f t="shared" ca="1" si="61"/>
        <v/>
      </c>
      <c r="D166" s="146" t="str">
        <f ca="1">ORÇAMENTO!O166</f>
        <v>-</v>
      </c>
      <c r="E166" s="206" t="str">
        <f t="shared" si="60"/>
        <v>TE, PVC, SÉRIE NORMAL, ESGOTO PREDIAL, DN 100 X 50 MM, JUNTA ELÁSTICA, FORNECIDO E INSTALADO EM RAMAL DE DESCARGA OU RAMAL DE ESGOTO SANITÁRIO. AF_08/2022</v>
      </c>
      <c r="F166" s="207" t="str">
        <f ca="1">IF(RegimeExecucao="Global","",ORÇAMENTO.Unidade)</f>
        <v/>
      </c>
      <c r="G166" s="151" t="str">
        <f ca="1">IF(RegimeExecucao="Global","",ORÇAMENTO!T166)</f>
        <v/>
      </c>
      <c r="H166" s="151" t="str">
        <f ca="1">IF(RegimeExecucao="Global","",ORÇAMENTO!W166)</f>
        <v/>
      </c>
      <c r="I166" s="154">
        <f ca="1">ORÇAMENTO!X166</f>
        <v>0</v>
      </c>
      <c r="J166" s="427">
        <f ca="1">IF($A166="S",IF(CAIXA.Modo,BM.AFAnterior,BM.MEDAnterior),IF(AND(RegimeExecucao="Global",$I166&gt;0,COUNTIF($AB$13:$AM$13,BM.medicao-1)&gt;0),M166/$I166*100,0))</f>
        <v>0</v>
      </c>
      <c r="K166" s="151">
        <f t="shared" ca="1" si="51"/>
        <v>0</v>
      </c>
      <c r="L166" s="428">
        <f ca="1">IF($A166="S",IF(CAIXA.Modo,BM.AFAcumulado,BM.MEDAcumulado),IF(AND(RegimeExecucao="Global",$I166&gt;0,COUNTIF($AB$13:$AM$13,BM.medicao)&gt;0),O166/$I166*100,0))</f>
        <v>0</v>
      </c>
      <c r="M166" s="429">
        <f ca="1">IF($A166="S",VTOTALBM,IF($A166=0,0,ROUND(SomaAgrupBM,15-13*ORÇAMENTO!$AF$11)))</f>
        <v>0</v>
      </c>
      <c r="N166" s="430">
        <f t="shared" ca="1" si="52"/>
        <v>0</v>
      </c>
      <c r="O166" s="154">
        <f ca="1">IF($A166="S",VTOTALBM,IF($A166=0,0,ROUND(SomaAgrupBM,15-13*ORÇAMENTO!$AF$11)))</f>
        <v>0</v>
      </c>
      <c r="Q166" s="431"/>
      <c r="R166" s="432"/>
      <c r="T166" s="146" t="str">
        <f t="shared" ca="1" si="62"/>
        <v/>
      </c>
      <c r="U166" s="206" t="str">
        <f t="shared" ca="1" si="63"/>
        <v/>
      </c>
      <c r="V166" s="207" t="str">
        <f ca="1">IF(AND($W166&gt;0,RegimeExecucao="Unitário"),$F166,"")</f>
        <v/>
      </c>
      <c r="W166" s="633">
        <f ca="1">IF($Y166&gt;0,CHOOSE(MATCH(RegimeExecucao,{"Unitário","Global"},0),IF($A166="S",$Y166/$X166,""),($Y166/$X166)*100),0)</f>
        <v>0</v>
      </c>
      <c r="X166" s="433" t="str">
        <f ca="1">IF($Y166&gt;0,CHOOSE(MATCH(RegimeExecucao,{"Unitário","Global"},0),IF($A166="S",ROUND($H166,ORÇAMENTO!$AF$10),""),ROUND($I166,ORÇAMENTO!$AF$11)),"")</f>
        <v/>
      </c>
      <c r="Y166" s="433">
        <f t="shared" ca="1" si="64"/>
        <v>0</v>
      </c>
      <c r="Z166" s="660"/>
      <c r="AB166" s="431"/>
      <c r="AC166" s="598"/>
      <c r="AD166" s="598"/>
      <c r="AE166" s="598"/>
      <c r="AF166" s="598"/>
      <c r="AG166" s="598"/>
      <c r="AH166" s="598"/>
      <c r="AI166" s="598"/>
      <c r="AJ166" s="598"/>
      <c r="AK166" s="598"/>
      <c r="AL166" s="598"/>
      <c r="AM166" s="432"/>
      <c r="AO166">
        <f ca="1">IF($A166="S",IF(BM!$I166=0,0,CHOOSE(MATCH(RegimeExecucao,{"Global","Unitário"},0),ROUND(ROUND(BM.MEDAcumulado,15-13*BM!$A$9)/100*BM!$I166,15-13*ORÇAMENTO!$AF$11),ROUND(ROUND(BM.MEDAcumulado,15-13*BM!$A$9)*ROUND(BM!$H166,15-13*ORÇAMENTO!$AF$10),15-13*ORÇAMENTO!$AF$11))),IF($A166=0,0,ROUND(SomaAgrupBM,15-13*ORÇAMENTO!$AF$11)))</f>
        <v>0</v>
      </c>
    </row>
    <row r="167" spans="1:41" ht="38.25" x14ac:dyDescent="0.2">
      <c r="A167" t="str">
        <f ca="1">ORÇAMENTO!C167</f>
        <v>S</v>
      </c>
      <c r="B167">
        <f ca="1">ORÇAMENTO!D167</f>
        <v>0</v>
      </c>
      <c r="C167" s="143" t="str">
        <f t="shared" ca="1" si="61"/>
        <v/>
      </c>
      <c r="D167" s="146" t="str">
        <f ca="1">ORÇAMENTO!O167</f>
        <v>-</v>
      </c>
      <c r="E167" s="206" t="str">
        <f t="shared" si="60"/>
        <v>TE, PVC, SERIE NORMAL, ESGOTO PREDIAL, DN 100 X 100 MM, JUNTA ELÁSTICA, FORNECIDO E INSTALADO EM PRUMADA DE ESGOTO SANITÁRIO OU VENTILAÇÃO. AF_08/2022</v>
      </c>
      <c r="F167" s="207" t="str">
        <f ca="1">IF(RegimeExecucao="Global","",ORÇAMENTO.Unidade)</f>
        <v/>
      </c>
      <c r="G167" s="151" t="str">
        <f ca="1">IF(RegimeExecucao="Global","",ORÇAMENTO!T167)</f>
        <v/>
      </c>
      <c r="H167" s="151" t="str">
        <f ca="1">IF(RegimeExecucao="Global","",ORÇAMENTO!W167)</f>
        <v/>
      </c>
      <c r="I167" s="154">
        <f ca="1">ORÇAMENTO!X167</f>
        <v>0</v>
      </c>
      <c r="J167" s="427">
        <f ca="1">IF($A167="S",IF(CAIXA.Modo,BM.AFAnterior,BM.MEDAnterior),IF(AND(RegimeExecucao="Global",$I167&gt;0,COUNTIF($AB$13:$AM$13,BM.medicao-1)&gt;0),M167/$I167*100,0))</f>
        <v>0</v>
      </c>
      <c r="K167" s="151">
        <f t="shared" ca="1" si="51"/>
        <v>0</v>
      </c>
      <c r="L167" s="428">
        <f ca="1">IF($A167="S",IF(CAIXA.Modo,BM.AFAcumulado,BM.MEDAcumulado),IF(AND(RegimeExecucao="Global",$I167&gt;0,COUNTIF($AB$13:$AM$13,BM.medicao)&gt;0),O167/$I167*100,0))</f>
        <v>0</v>
      </c>
      <c r="M167" s="429">
        <f ca="1">IF($A167="S",VTOTALBM,IF($A167=0,0,ROUND(SomaAgrupBM,15-13*ORÇAMENTO!$AF$11)))</f>
        <v>0</v>
      </c>
      <c r="N167" s="430">
        <f t="shared" ca="1" si="52"/>
        <v>0</v>
      </c>
      <c r="O167" s="154">
        <f ca="1">IF($A167="S",VTOTALBM,IF($A167=0,0,ROUND(SomaAgrupBM,15-13*ORÇAMENTO!$AF$11)))</f>
        <v>0</v>
      </c>
      <c r="Q167" s="431"/>
      <c r="R167" s="432"/>
      <c r="T167" s="146" t="str">
        <f t="shared" ca="1" si="62"/>
        <v/>
      </c>
      <c r="U167" s="206" t="str">
        <f t="shared" ca="1" si="63"/>
        <v/>
      </c>
      <c r="V167" s="207" t="str">
        <f ca="1">IF(AND($W167&gt;0,RegimeExecucao="Unitário"),$F167,"")</f>
        <v/>
      </c>
      <c r="W167" s="633">
        <f ca="1">IF($Y167&gt;0,CHOOSE(MATCH(RegimeExecucao,{"Unitário","Global"},0),IF($A167="S",$Y167/$X167,""),($Y167/$X167)*100),0)</f>
        <v>0</v>
      </c>
      <c r="X167" s="433" t="str">
        <f ca="1">IF($Y167&gt;0,CHOOSE(MATCH(RegimeExecucao,{"Unitário","Global"},0),IF($A167="S",ROUND($H167,ORÇAMENTO!$AF$10),""),ROUND($I167,ORÇAMENTO!$AF$11)),"")</f>
        <v/>
      </c>
      <c r="Y167" s="433">
        <f t="shared" ca="1" si="64"/>
        <v>0</v>
      </c>
      <c r="Z167" s="660"/>
      <c r="AB167" s="431"/>
      <c r="AC167" s="598"/>
      <c r="AD167" s="598"/>
      <c r="AE167" s="598"/>
      <c r="AF167" s="598"/>
      <c r="AG167" s="598"/>
      <c r="AH167" s="598"/>
      <c r="AI167" s="598"/>
      <c r="AJ167" s="598"/>
      <c r="AK167" s="598"/>
      <c r="AL167" s="598"/>
      <c r="AM167" s="432"/>
      <c r="AO167">
        <f ca="1">IF($A167="S",IF(BM!$I167=0,0,CHOOSE(MATCH(RegimeExecucao,{"Global","Unitário"},0),ROUND(ROUND(BM.MEDAcumulado,15-13*BM!$A$9)/100*BM!$I167,15-13*ORÇAMENTO!$AF$11),ROUND(ROUND(BM.MEDAcumulado,15-13*BM!$A$9)*ROUND(BM!$H167,15-13*ORÇAMENTO!$AF$10),15-13*ORÇAMENTO!$AF$11))),IF($A167=0,0,ROUND(SomaAgrupBM,15-13*ORÇAMENTO!$AF$11)))</f>
        <v>0</v>
      </c>
    </row>
    <row r="168" spans="1:41" ht="25.5" x14ac:dyDescent="0.2">
      <c r="A168" t="str">
        <f ca="1">ORÇAMENTO!C168</f>
        <v>S</v>
      </c>
      <c r="B168">
        <f ca="1">ORÇAMENTO!D168</f>
        <v>0</v>
      </c>
      <c r="C168" s="143" t="str">
        <f t="shared" ca="1" si="61"/>
        <v/>
      </c>
      <c r="D168" s="146" t="str">
        <f ca="1">ORÇAMENTO!O168</f>
        <v>-</v>
      </c>
      <c r="E168" s="206" t="str">
        <f t="shared" si="60"/>
        <v>CURVA LONGA, 45 GRAUS, PVC OCRE, JUNTA ELÁSTICA, DN 100 MM, PARA COLETOR PREDIAL DE ESGOTO. AF_06/2022</v>
      </c>
      <c r="F168" s="207" t="str">
        <f ca="1">IF(RegimeExecucao="Global","",ORÇAMENTO.Unidade)</f>
        <v/>
      </c>
      <c r="G168" s="151" t="str">
        <f ca="1">IF(RegimeExecucao="Global","",ORÇAMENTO!T168)</f>
        <v/>
      </c>
      <c r="H168" s="151" t="str">
        <f ca="1">IF(RegimeExecucao="Global","",ORÇAMENTO!W168)</f>
        <v/>
      </c>
      <c r="I168" s="154">
        <f ca="1">ORÇAMENTO!X168</f>
        <v>0</v>
      </c>
      <c r="J168" s="427">
        <f ca="1">IF($A168="S",IF(CAIXA.Modo,BM.AFAnterior,BM.MEDAnterior),IF(AND(RegimeExecucao="Global",$I168&gt;0,COUNTIF($AB$13:$AM$13,BM.medicao-1)&gt;0),M168/$I168*100,0))</f>
        <v>0</v>
      </c>
      <c r="K168" s="151">
        <f t="shared" ca="1" si="51"/>
        <v>0</v>
      </c>
      <c r="L168" s="428">
        <f ca="1">IF($A168="S",IF(CAIXA.Modo,BM.AFAcumulado,BM.MEDAcumulado),IF(AND(RegimeExecucao="Global",$I168&gt;0,COUNTIF($AB$13:$AM$13,BM.medicao)&gt;0),O168/$I168*100,0))</f>
        <v>0</v>
      </c>
      <c r="M168" s="429">
        <f ca="1">IF($A168="S",VTOTALBM,IF($A168=0,0,ROUND(SomaAgrupBM,15-13*ORÇAMENTO!$AF$11)))</f>
        <v>0</v>
      </c>
      <c r="N168" s="430">
        <f t="shared" ca="1" si="52"/>
        <v>0</v>
      </c>
      <c r="O168" s="154">
        <f ca="1">IF($A168="S",VTOTALBM,IF($A168=0,0,ROUND(SomaAgrupBM,15-13*ORÇAMENTO!$AF$11)))</f>
        <v>0</v>
      </c>
      <c r="Q168" s="431"/>
      <c r="R168" s="432"/>
      <c r="T168" s="146" t="str">
        <f t="shared" ca="1" si="62"/>
        <v/>
      </c>
      <c r="U168" s="206" t="str">
        <f t="shared" ca="1" si="63"/>
        <v/>
      </c>
      <c r="V168" s="207" t="str">
        <f ca="1">IF(AND($W168&gt;0,RegimeExecucao="Unitário"),$F168,"")</f>
        <v/>
      </c>
      <c r="W168" s="633">
        <f ca="1">IF($Y168&gt;0,CHOOSE(MATCH(RegimeExecucao,{"Unitário","Global"},0),IF($A168="S",$Y168/$X168,""),($Y168/$X168)*100),0)</f>
        <v>0</v>
      </c>
      <c r="X168" s="433" t="str">
        <f ca="1">IF($Y168&gt;0,CHOOSE(MATCH(RegimeExecucao,{"Unitário","Global"},0),IF($A168="S",ROUND($H168,ORÇAMENTO!$AF$10),""),ROUND($I168,ORÇAMENTO!$AF$11)),"")</f>
        <v/>
      </c>
      <c r="Y168" s="433">
        <f t="shared" ca="1" si="64"/>
        <v>0</v>
      </c>
      <c r="Z168" s="660"/>
      <c r="AB168" s="431"/>
      <c r="AC168" s="598"/>
      <c r="AD168" s="598"/>
      <c r="AE168" s="598"/>
      <c r="AF168" s="598"/>
      <c r="AG168" s="598"/>
      <c r="AH168" s="598"/>
      <c r="AI168" s="598"/>
      <c r="AJ168" s="598"/>
      <c r="AK168" s="598"/>
      <c r="AL168" s="598"/>
      <c r="AM168" s="432"/>
      <c r="AO168">
        <f ca="1">IF($A168="S",IF(BM!$I168=0,0,CHOOSE(MATCH(RegimeExecucao,{"Global","Unitário"},0),ROUND(ROUND(BM.MEDAcumulado,15-13*BM!$A$9)/100*BM!$I168,15-13*ORÇAMENTO!$AF$11),ROUND(ROUND(BM.MEDAcumulado,15-13*BM!$A$9)*ROUND(BM!$H168,15-13*ORÇAMENTO!$AF$10),15-13*ORÇAMENTO!$AF$11))),IF($A168=0,0,ROUND(SomaAgrupBM,15-13*ORÇAMENTO!$AF$11)))</f>
        <v>0</v>
      </c>
    </row>
    <row r="169" spans="1:41" ht="38.25" x14ac:dyDescent="0.2">
      <c r="A169" t="str">
        <f ca="1">ORÇAMENTO!C169</f>
        <v>S</v>
      </c>
      <c r="B169">
        <f ca="1">ORÇAMENTO!D169</f>
        <v>0</v>
      </c>
      <c r="C169" s="143" t="str">
        <f t="shared" ca="1" si="61"/>
        <v/>
      </c>
      <c r="D169" s="146" t="str">
        <f ca="1">ORÇAMENTO!O169</f>
        <v>-</v>
      </c>
      <c r="E169" s="206" t="str">
        <f t="shared" si="60"/>
        <v>CURVA CURTA 90 GRAUS, PVC, SERIE NORMAL, ESGOTO PREDIAL, DN 50 MM, JUNTA ELÁSTICA, FORNECIDO E INSTALADO EM RAMAL DE DESCARGA OU RAMAL DE ESGOTO SANITÁRIO. AF_08/2022</v>
      </c>
      <c r="F169" s="207" t="str">
        <f ca="1">IF(RegimeExecucao="Global","",ORÇAMENTO.Unidade)</f>
        <v/>
      </c>
      <c r="G169" s="151" t="str">
        <f ca="1">IF(RegimeExecucao="Global","",ORÇAMENTO!T169)</f>
        <v/>
      </c>
      <c r="H169" s="151" t="str">
        <f ca="1">IF(RegimeExecucao="Global","",ORÇAMENTO!W169)</f>
        <v/>
      </c>
      <c r="I169" s="154">
        <f ca="1">ORÇAMENTO!X169</f>
        <v>0</v>
      </c>
      <c r="J169" s="427">
        <f ca="1">IF($A169="S",IF(CAIXA.Modo,BM.AFAnterior,BM.MEDAnterior),IF(AND(RegimeExecucao="Global",$I169&gt;0,COUNTIF($AB$13:$AM$13,BM.medicao-1)&gt;0),M169/$I169*100,0))</f>
        <v>0</v>
      </c>
      <c r="K169" s="151">
        <f t="shared" ca="1" si="51"/>
        <v>0</v>
      </c>
      <c r="L169" s="428">
        <f ca="1">IF($A169="S",IF(CAIXA.Modo,BM.AFAcumulado,BM.MEDAcumulado),IF(AND(RegimeExecucao="Global",$I169&gt;0,COUNTIF($AB$13:$AM$13,BM.medicao)&gt;0),O169/$I169*100,0))</f>
        <v>0</v>
      </c>
      <c r="M169" s="429">
        <f ca="1">IF($A169="S",VTOTALBM,IF($A169=0,0,ROUND(SomaAgrupBM,15-13*ORÇAMENTO!$AF$11)))</f>
        <v>0</v>
      </c>
      <c r="N169" s="430">
        <f t="shared" ca="1" si="52"/>
        <v>0</v>
      </c>
      <c r="O169" s="154">
        <f ca="1">IF($A169="S",VTOTALBM,IF($A169=0,0,ROUND(SomaAgrupBM,15-13*ORÇAMENTO!$AF$11)))</f>
        <v>0</v>
      </c>
      <c r="Q169" s="431"/>
      <c r="R169" s="432"/>
      <c r="T169" s="146" t="str">
        <f t="shared" ca="1" si="62"/>
        <v/>
      </c>
      <c r="U169" s="206" t="str">
        <f t="shared" ca="1" si="63"/>
        <v/>
      </c>
      <c r="V169" s="207" t="str">
        <f ca="1">IF(AND($W169&gt;0,RegimeExecucao="Unitário"),$F169,"")</f>
        <v/>
      </c>
      <c r="W169" s="633">
        <f ca="1">IF($Y169&gt;0,CHOOSE(MATCH(RegimeExecucao,{"Unitário","Global"},0),IF($A169="S",$Y169/$X169,""),($Y169/$X169)*100),0)</f>
        <v>0</v>
      </c>
      <c r="X169" s="433" t="str">
        <f ca="1">IF($Y169&gt;0,CHOOSE(MATCH(RegimeExecucao,{"Unitário","Global"},0),IF($A169="S",ROUND($H169,ORÇAMENTO!$AF$10),""),ROUND($I169,ORÇAMENTO!$AF$11)),"")</f>
        <v/>
      </c>
      <c r="Y169" s="433">
        <f t="shared" ca="1" si="64"/>
        <v>0</v>
      </c>
      <c r="Z169" s="660"/>
      <c r="AB169" s="431"/>
      <c r="AC169" s="598"/>
      <c r="AD169" s="598"/>
      <c r="AE169" s="598"/>
      <c r="AF169" s="598"/>
      <c r="AG169" s="598"/>
      <c r="AH169" s="598"/>
      <c r="AI169" s="598"/>
      <c r="AJ169" s="598"/>
      <c r="AK169" s="598"/>
      <c r="AL169" s="598"/>
      <c r="AM169" s="432"/>
      <c r="AO169">
        <f ca="1">IF($A169="S",IF(BM!$I169=0,0,CHOOSE(MATCH(RegimeExecucao,{"Global","Unitário"},0),ROUND(ROUND(BM.MEDAcumulado,15-13*BM!$A$9)/100*BM!$I169,15-13*ORÇAMENTO!$AF$11),ROUND(ROUND(BM.MEDAcumulado,15-13*BM!$A$9)*ROUND(BM!$H169,15-13*ORÇAMENTO!$AF$10),15-13*ORÇAMENTO!$AF$11))),IF($A169=0,0,ROUND(SomaAgrupBM,15-13*ORÇAMENTO!$AF$11)))</f>
        <v>0</v>
      </c>
    </row>
    <row r="170" spans="1:41" ht="38.25" x14ac:dyDescent="0.2">
      <c r="A170" t="str">
        <f ca="1">ORÇAMENTO!C170</f>
        <v>S</v>
      </c>
      <c r="B170">
        <f ca="1">ORÇAMENTO!D170</f>
        <v>0</v>
      </c>
      <c r="C170" s="143" t="str">
        <f t="shared" ca="1" si="61"/>
        <v/>
      </c>
      <c r="D170" s="146" t="str">
        <f ca="1">ORÇAMENTO!O170</f>
        <v>-</v>
      </c>
      <c r="E170" s="206" t="str">
        <f t="shared" si="60"/>
        <v>CAIXA SIFONADA, COM GRELHA REDONDA, PVC, DN 150 X 150 X 50 MM, JUNTA SOLDÁVEL, FORNECIDA E INSTALADA EM RAMAL DE DESCARGA OU EM RAMAL DE ESGOTO SANITÁRIO. AF_08/2022</v>
      </c>
      <c r="F170" s="207" t="str">
        <f ca="1">IF(RegimeExecucao="Global","",ORÇAMENTO.Unidade)</f>
        <v/>
      </c>
      <c r="G170" s="151" t="str">
        <f ca="1">IF(RegimeExecucao="Global","",ORÇAMENTO!T170)</f>
        <v/>
      </c>
      <c r="H170" s="151" t="str">
        <f ca="1">IF(RegimeExecucao="Global","",ORÇAMENTO!W170)</f>
        <v/>
      </c>
      <c r="I170" s="154">
        <f ca="1">ORÇAMENTO!X170</f>
        <v>0</v>
      </c>
      <c r="J170" s="427">
        <f ca="1">IF($A170="S",IF(CAIXA.Modo,BM.AFAnterior,BM.MEDAnterior),IF(AND(RegimeExecucao="Global",$I170&gt;0,COUNTIF($AB$13:$AM$13,BM.medicao-1)&gt;0),M170/$I170*100,0))</f>
        <v>0</v>
      </c>
      <c r="K170" s="151">
        <f t="shared" ca="1" si="51"/>
        <v>0</v>
      </c>
      <c r="L170" s="428">
        <f ca="1">IF($A170="S",IF(CAIXA.Modo,BM.AFAcumulado,BM.MEDAcumulado),IF(AND(RegimeExecucao="Global",$I170&gt;0,COUNTIF($AB$13:$AM$13,BM.medicao)&gt;0),O170/$I170*100,0))</f>
        <v>0</v>
      </c>
      <c r="M170" s="429">
        <f ca="1">IF($A170="S",VTOTALBM,IF($A170=0,0,ROUND(SomaAgrupBM,15-13*ORÇAMENTO!$AF$11)))</f>
        <v>0</v>
      </c>
      <c r="N170" s="430">
        <f t="shared" ca="1" si="52"/>
        <v>0</v>
      </c>
      <c r="O170" s="154">
        <f ca="1">IF($A170="S",VTOTALBM,IF($A170=0,0,ROUND(SomaAgrupBM,15-13*ORÇAMENTO!$AF$11)))</f>
        <v>0</v>
      </c>
      <c r="Q170" s="431"/>
      <c r="R170" s="432"/>
      <c r="T170" s="146" t="str">
        <f t="shared" ca="1" si="62"/>
        <v/>
      </c>
      <c r="U170" s="206" t="str">
        <f t="shared" ca="1" si="63"/>
        <v/>
      </c>
      <c r="V170" s="207" t="str">
        <f ca="1">IF(AND($W170&gt;0,RegimeExecucao="Unitário"),$F170,"")</f>
        <v/>
      </c>
      <c r="W170" s="633">
        <f ca="1">IF($Y170&gt;0,CHOOSE(MATCH(RegimeExecucao,{"Unitário","Global"},0),IF($A170="S",$Y170/$X170,""),($Y170/$X170)*100),0)</f>
        <v>0</v>
      </c>
      <c r="X170" s="433" t="str">
        <f ca="1">IF($Y170&gt;0,CHOOSE(MATCH(RegimeExecucao,{"Unitário","Global"},0),IF($A170="S",ROUND($H170,ORÇAMENTO!$AF$10),""),ROUND($I170,ORÇAMENTO!$AF$11)),"")</f>
        <v/>
      </c>
      <c r="Y170" s="433">
        <f t="shared" ca="1" si="64"/>
        <v>0</v>
      </c>
      <c r="Z170" s="660"/>
      <c r="AB170" s="431"/>
      <c r="AC170" s="598"/>
      <c r="AD170" s="598"/>
      <c r="AE170" s="598"/>
      <c r="AF170" s="598"/>
      <c r="AG170" s="598"/>
      <c r="AH170" s="598"/>
      <c r="AI170" s="598"/>
      <c r="AJ170" s="598"/>
      <c r="AK170" s="598"/>
      <c r="AL170" s="598"/>
      <c r="AM170" s="432"/>
      <c r="AO170">
        <f ca="1">IF($A170="S",IF(BM!$I170=0,0,CHOOSE(MATCH(RegimeExecucao,{"Global","Unitário"},0),ROUND(ROUND(BM.MEDAcumulado,15-13*BM!$A$9)/100*BM!$I170,15-13*ORÇAMENTO!$AF$11),ROUND(ROUND(BM.MEDAcumulado,15-13*BM!$A$9)*ROUND(BM!$H170,15-13*ORÇAMENTO!$AF$10),15-13*ORÇAMENTO!$AF$11))),IF($A170=0,0,ROUND(SomaAgrupBM,15-13*ORÇAMENTO!$AF$11)))</f>
        <v>0</v>
      </c>
    </row>
    <row r="171" spans="1:41" x14ac:dyDescent="0.2">
      <c r="A171">
        <f ca="1">ORÇAMENTO!C171</f>
        <v>2</v>
      </c>
      <c r="B171">
        <f ca="1">ORÇAMENTO!D171</f>
        <v>4</v>
      </c>
      <c r="C171" s="143" t="str">
        <f t="shared" ca="1" si="61"/>
        <v>F</v>
      </c>
      <c r="D171" s="146" t="str">
        <f ca="1">ORÇAMENTO!O171</f>
        <v>1.21.</v>
      </c>
      <c r="E171" s="206" t="str">
        <f t="shared" si="60"/>
        <v>ACESSORIOS</v>
      </c>
      <c r="F171" s="207" t="str">
        <f ca="1">IF(RegimeExecucao="Global","",ORÇAMENTO.Unidade)</f>
        <v/>
      </c>
      <c r="G171" s="151" t="str">
        <f ca="1">IF(RegimeExecucao="Global","",ORÇAMENTO!T171)</f>
        <v/>
      </c>
      <c r="H171" s="151" t="str">
        <f ca="1">IF(RegimeExecucao="Global","",ORÇAMENTO!W171)</f>
        <v/>
      </c>
      <c r="I171" s="154">
        <f ca="1">ORÇAMENTO!X171</f>
        <v>0</v>
      </c>
      <c r="J171" s="427">
        <f ca="1">IF($A171="S",IF(CAIXA.Modo,BM.AFAnterior,BM.MEDAnterior),IF(AND(RegimeExecucao="Global",$I171&gt;0,COUNTIF($AB$13:$AM$13,BM.medicao-1)&gt;0),M171/$I171*100,0))</f>
        <v>0</v>
      </c>
      <c r="K171" s="151">
        <f t="shared" ca="1" si="51"/>
        <v>0</v>
      </c>
      <c r="L171" s="428">
        <f ca="1">IF($A171="S",IF(CAIXA.Modo,BM.AFAcumulado,BM.MEDAcumulado),IF(AND(RegimeExecucao="Global",$I171&gt;0,COUNTIF($AB$13:$AM$13,BM.medicao)&gt;0),O171/$I171*100,0))</f>
        <v>0</v>
      </c>
      <c r="M171" s="429">
        <f ca="1">IF($A171="S",VTOTALBM,IF($A171=0,0,ROUND(SomaAgrupBM,15-13*ORÇAMENTO!$AF$11)))</f>
        <v>0</v>
      </c>
      <c r="N171" s="430">
        <f t="shared" ca="1" si="52"/>
        <v>0</v>
      </c>
      <c r="O171" s="154">
        <f ca="1">IF($A171="S",VTOTALBM,IF($A171=0,0,ROUND(SomaAgrupBM,15-13*ORÇAMENTO!$AF$11)))</f>
        <v>0</v>
      </c>
      <c r="Q171" s="431"/>
      <c r="R171" s="432"/>
      <c r="T171" s="146" t="str">
        <f t="shared" ca="1" si="62"/>
        <v/>
      </c>
      <c r="U171" s="206" t="str">
        <f t="shared" ca="1" si="63"/>
        <v/>
      </c>
      <c r="V171" s="207" t="str">
        <f ca="1">IF(AND($W171&gt;0,RegimeExecucao="Unitário"),$F171,"")</f>
        <v/>
      </c>
      <c r="W171" s="633">
        <f ca="1">IF($Y171&gt;0,CHOOSE(MATCH(RegimeExecucao,{"Unitário","Global"},0),IF($A171="S",$Y171/$X171,""),($Y171/$X171)*100),0)</f>
        <v>0</v>
      </c>
      <c r="X171" s="433" t="str">
        <f ca="1">IF($Y171&gt;0,CHOOSE(MATCH(RegimeExecucao,{"Unitário","Global"},0),IF($A171="S",ROUND($H171,ORÇAMENTO!$AF$10),""),ROUND($I171,ORÇAMENTO!$AF$11)),"")</f>
        <v/>
      </c>
      <c r="Y171" s="433">
        <f t="shared" ca="1" si="64"/>
        <v>0</v>
      </c>
      <c r="Z171" s="660"/>
      <c r="AB171" s="431"/>
      <c r="AC171" s="598"/>
      <c r="AD171" s="598"/>
      <c r="AE171" s="598"/>
      <c r="AF171" s="598"/>
      <c r="AG171" s="598"/>
      <c r="AH171" s="598"/>
      <c r="AI171" s="598"/>
      <c r="AJ171" s="598"/>
      <c r="AK171" s="598"/>
      <c r="AL171" s="598"/>
      <c r="AM171" s="432"/>
      <c r="AO171">
        <f ca="1">IF($A171="S",IF(BM!$I171=0,0,CHOOSE(MATCH(RegimeExecucao,{"Global","Unitário"},0),ROUND(ROUND(BM.MEDAcumulado,15-13*BM!$A$9)/100*BM!$I171,15-13*ORÇAMENTO!$AF$11),ROUND(ROUND(BM.MEDAcumulado,15-13*BM!$A$9)*ROUND(BM!$H171,15-13*ORÇAMENTO!$AF$10),15-13*ORÇAMENTO!$AF$11))),IF($A171=0,0,ROUND(SomaAgrupBM,15-13*ORÇAMENTO!$AF$11)))</f>
        <v>0</v>
      </c>
    </row>
    <row r="172" spans="1:41" ht="51" x14ac:dyDescent="0.2">
      <c r="A172" t="str">
        <f ca="1">ORÇAMENTO!C172</f>
        <v>S</v>
      </c>
      <c r="B172">
        <f ca="1">ORÇAMENTO!D172</f>
        <v>0</v>
      </c>
      <c r="C172" s="143" t="str">
        <f t="shared" ca="1" si="61"/>
        <v/>
      </c>
      <c r="D172" s="146" t="str">
        <f ca="1">ORÇAMENTO!O172</f>
        <v>-</v>
      </c>
      <c r="E172" s="206" t="str">
        <f t="shared" si="60"/>
        <v>VASO SANITÁRIO SIFONADO COM CAIXA ACOPLADA LOUÇA BRANCA - PADRÃO MÉDIO, INCLUSO ENGATE FLEXÍVEL EM METAL CROMADO, 1/2  X 40CM - FORNECIMENTO E INSTALAÇÃO. AF_01/2020</v>
      </c>
      <c r="F172" s="207" t="str">
        <f ca="1">IF(RegimeExecucao="Global","",ORÇAMENTO.Unidade)</f>
        <v/>
      </c>
      <c r="G172" s="151" t="str">
        <f ca="1">IF(RegimeExecucao="Global","",ORÇAMENTO!T172)</f>
        <v/>
      </c>
      <c r="H172" s="151" t="str">
        <f ca="1">IF(RegimeExecucao="Global","",ORÇAMENTO!W172)</f>
        <v/>
      </c>
      <c r="I172" s="154">
        <f ca="1">ORÇAMENTO!X172</f>
        <v>0</v>
      </c>
      <c r="J172" s="427">
        <f ca="1">IF($A172="S",IF(CAIXA.Modo,BM.AFAnterior,BM.MEDAnterior),IF(AND(RegimeExecucao="Global",$I172&gt;0,COUNTIF($AB$13:$AM$13,BM.medicao-1)&gt;0),M172/$I172*100,0))</f>
        <v>0</v>
      </c>
      <c r="K172" s="151">
        <f t="shared" ca="1" si="51"/>
        <v>0</v>
      </c>
      <c r="L172" s="428">
        <f ca="1">IF($A172="S",IF(CAIXA.Modo,BM.AFAcumulado,BM.MEDAcumulado),IF(AND(RegimeExecucao="Global",$I172&gt;0,COUNTIF($AB$13:$AM$13,BM.medicao)&gt;0),O172/$I172*100,0))</f>
        <v>0</v>
      </c>
      <c r="M172" s="429">
        <f ca="1">IF($A172="S",VTOTALBM,IF($A172=0,0,ROUND(SomaAgrupBM,15-13*ORÇAMENTO!$AF$11)))</f>
        <v>0</v>
      </c>
      <c r="N172" s="430">
        <f t="shared" ca="1" si="52"/>
        <v>0</v>
      </c>
      <c r="O172" s="154">
        <f ca="1">IF($A172="S",VTOTALBM,IF($A172=0,0,ROUND(SomaAgrupBM,15-13*ORÇAMENTO!$AF$11)))</f>
        <v>0</v>
      </c>
      <c r="Q172" s="431"/>
      <c r="R172" s="432"/>
      <c r="T172" s="146" t="str">
        <f t="shared" ca="1" si="62"/>
        <v/>
      </c>
      <c r="U172" s="206" t="str">
        <f t="shared" ca="1" si="63"/>
        <v/>
      </c>
      <c r="V172" s="207" t="str">
        <f ca="1">IF(AND($W172&gt;0,RegimeExecucao="Unitário"),$F172,"")</f>
        <v/>
      </c>
      <c r="W172" s="633">
        <f ca="1">IF($Y172&gt;0,CHOOSE(MATCH(RegimeExecucao,{"Unitário","Global"},0),IF($A172="S",$Y172/$X172,""),($Y172/$X172)*100),0)</f>
        <v>0</v>
      </c>
      <c r="X172" s="433" t="str">
        <f ca="1">IF($Y172&gt;0,CHOOSE(MATCH(RegimeExecucao,{"Unitário","Global"},0),IF($A172="S",ROUND($H172,ORÇAMENTO!$AF$10),""),ROUND($I172,ORÇAMENTO!$AF$11)),"")</f>
        <v/>
      </c>
      <c r="Y172" s="433">
        <f t="shared" ca="1" si="64"/>
        <v>0</v>
      </c>
      <c r="Z172" s="660"/>
      <c r="AB172" s="431"/>
      <c r="AC172" s="598"/>
      <c r="AD172" s="598"/>
      <c r="AE172" s="598"/>
      <c r="AF172" s="598"/>
      <c r="AG172" s="598"/>
      <c r="AH172" s="598"/>
      <c r="AI172" s="598"/>
      <c r="AJ172" s="598"/>
      <c r="AK172" s="598"/>
      <c r="AL172" s="598"/>
      <c r="AM172" s="432"/>
      <c r="AO172">
        <f ca="1">IF($A172="S",IF(BM!$I172=0,0,CHOOSE(MATCH(RegimeExecucao,{"Global","Unitário"},0),ROUND(ROUND(BM.MEDAcumulado,15-13*BM!$A$9)/100*BM!$I172,15-13*ORÇAMENTO!$AF$11),ROUND(ROUND(BM.MEDAcumulado,15-13*BM!$A$9)*ROUND(BM!$H172,15-13*ORÇAMENTO!$AF$10),15-13*ORÇAMENTO!$AF$11))),IF($A172=0,0,ROUND(SomaAgrupBM,15-13*ORÇAMENTO!$AF$11)))</f>
        <v>0</v>
      </c>
    </row>
    <row r="173" spans="1:41" ht="63.75" x14ac:dyDescent="0.2">
      <c r="A173" t="str">
        <f ca="1">ORÇAMENTO!C173</f>
        <v>S</v>
      </c>
      <c r="B173">
        <f ca="1">ORÇAMENTO!D173</f>
        <v>0</v>
      </c>
      <c r="C173" s="143" t="str">
        <f t="shared" ca="1" si="61"/>
        <v/>
      </c>
      <c r="D173" s="146" t="str">
        <f ca="1">ORÇAMENTO!O173</f>
        <v>-</v>
      </c>
      <c r="E173" s="206" t="str">
        <f t="shared" si="60"/>
        <v>BANCADA GRANITO CINZA  150 X 60 CM, COM CUBA DE EMBUTIR DE AÇO, VÁLVULA AMERICANA EM METAL, SIFÃO FLEXÍVEL EM PVC, ENGATE FLEXÍVEL 30 CM, TORNEIRA CROMADA LONGA, DE PAREDE, 1/2" OU 3/4", P/ COZINHA, PADRÃO POPULAR - FORNEC. E INSTALAÇÃO. AF_01/2020</v>
      </c>
      <c r="F173" s="207" t="str">
        <f ca="1">IF(RegimeExecucao="Global","",ORÇAMENTO.Unidade)</f>
        <v/>
      </c>
      <c r="G173" s="151" t="str">
        <f ca="1">IF(RegimeExecucao="Global","",ORÇAMENTO!T173)</f>
        <v/>
      </c>
      <c r="H173" s="151" t="str">
        <f ca="1">IF(RegimeExecucao="Global","",ORÇAMENTO!W173)</f>
        <v/>
      </c>
      <c r="I173" s="154">
        <f ca="1">ORÇAMENTO!X173</f>
        <v>0</v>
      </c>
      <c r="J173" s="427">
        <f ca="1">IF($A173="S",IF(CAIXA.Modo,BM.AFAnterior,BM.MEDAnterior),IF(AND(RegimeExecucao="Global",$I173&gt;0,COUNTIF($AB$13:$AM$13,BM.medicao-1)&gt;0),M173/$I173*100,0))</f>
        <v>0</v>
      </c>
      <c r="K173" s="151">
        <f t="shared" ca="1" si="51"/>
        <v>0</v>
      </c>
      <c r="L173" s="428">
        <f ca="1">IF($A173="S",IF(CAIXA.Modo,BM.AFAcumulado,BM.MEDAcumulado),IF(AND(RegimeExecucao="Global",$I173&gt;0,COUNTIF($AB$13:$AM$13,BM.medicao)&gt;0),O173/$I173*100,0))</f>
        <v>0</v>
      </c>
      <c r="M173" s="429">
        <f ca="1">IF($A173="S",VTOTALBM,IF($A173=0,0,ROUND(SomaAgrupBM,15-13*ORÇAMENTO!$AF$11)))</f>
        <v>0</v>
      </c>
      <c r="N173" s="430">
        <f t="shared" ca="1" si="52"/>
        <v>0</v>
      </c>
      <c r="O173" s="154">
        <f ca="1">IF($A173="S",VTOTALBM,IF($A173=0,0,ROUND(SomaAgrupBM,15-13*ORÇAMENTO!$AF$11)))</f>
        <v>0</v>
      </c>
      <c r="Q173" s="431"/>
      <c r="R173" s="432"/>
      <c r="T173" s="146" t="str">
        <f t="shared" ca="1" si="62"/>
        <v/>
      </c>
      <c r="U173" s="206" t="str">
        <f t="shared" ca="1" si="63"/>
        <v/>
      </c>
      <c r="V173" s="207" t="str">
        <f ca="1">IF(AND($W173&gt;0,RegimeExecucao="Unitário"),$F173,"")</f>
        <v/>
      </c>
      <c r="W173" s="633">
        <f ca="1">IF($Y173&gt;0,CHOOSE(MATCH(RegimeExecucao,{"Unitário","Global"},0),IF($A173="S",$Y173/$X173,""),($Y173/$X173)*100),0)</f>
        <v>0</v>
      </c>
      <c r="X173" s="433" t="str">
        <f ca="1">IF($Y173&gt;0,CHOOSE(MATCH(RegimeExecucao,{"Unitário","Global"},0),IF($A173="S",ROUND($H173,ORÇAMENTO!$AF$10),""),ROUND($I173,ORÇAMENTO!$AF$11)),"")</f>
        <v/>
      </c>
      <c r="Y173" s="433">
        <f t="shared" ca="1" si="64"/>
        <v>0</v>
      </c>
      <c r="Z173" s="660"/>
      <c r="AB173" s="431"/>
      <c r="AC173" s="598"/>
      <c r="AD173" s="598"/>
      <c r="AE173" s="598"/>
      <c r="AF173" s="598"/>
      <c r="AG173" s="598"/>
      <c r="AH173" s="598"/>
      <c r="AI173" s="598"/>
      <c r="AJ173" s="598"/>
      <c r="AK173" s="598"/>
      <c r="AL173" s="598"/>
      <c r="AM173" s="432"/>
      <c r="AO173">
        <f ca="1">IF($A173="S",IF(BM!$I173=0,0,CHOOSE(MATCH(RegimeExecucao,{"Global","Unitário"},0),ROUND(ROUND(BM.MEDAcumulado,15-13*BM!$A$9)/100*BM!$I173,15-13*ORÇAMENTO!$AF$11),ROUND(ROUND(BM.MEDAcumulado,15-13*BM!$A$9)*ROUND(BM!$H173,15-13*ORÇAMENTO!$AF$10),15-13*ORÇAMENTO!$AF$11))),IF($A173=0,0,ROUND(SomaAgrupBM,15-13*ORÇAMENTO!$AF$11)))</f>
        <v>0</v>
      </c>
    </row>
    <row r="174" spans="1:41" ht="63.75" x14ac:dyDescent="0.2">
      <c r="A174" t="str">
        <f ca="1">ORÇAMENTO!C174</f>
        <v>S</v>
      </c>
      <c r="B174">
        <f ca="1">ORÇAMENTO!D174</f>
        <v>0</v>
      </c>
      <c r="C174" s="143" t="str">
        <f t="shared" ca="1" si="61"/>
        <v/>
      </c>
      <c r="D174" s="146" t="str">
        <f ca="1">ORÇAMENTO!O174</f>
        <v>-</v>
      </c>
      <c r="E174" s="206" t="str">
        <f t="shared" si="60"/>
        <v>LAVATÓRIO LOUÇA BRANCA SUSPENSO, 29,5 X 39CM OU EQUIVALENTE, PADRÃO POPULAR, INCLUSO SIFÃO TIPO GARRAFA EM PVC, VÁLVULA E ENGATE FLEXÍVEL 30CM EM PLÁSTICO E TORNEIRA CROMADA DE MESA, PADRÃO POPULAR - FORNECIMENTO E INSTALAÇÃO. AF_01/2020</v>
      </c>
      <c r="F174" s="207" t="str">
        <f ca="1">IF(RegimeExecucao="Global","",ORÇAMENTO.Unidade)</f>
        <v/>
      </c>
      <c r="G174" s="151" t="str">
        <f ca="1">IF(RegimeExecucao="Global","",ORÇAMENTO!T174)</f>
        <v/>
      </c>
      <c r="H174" s="151" t="str">
        <f ca="1">IF(RegimeExecucao="Global","",ORÇAMENTO!W174)</f>
        <v/>
      </c>
      <c r="I174" s="154">
        <f ca="1">ORÇAMENTO!X174</f>
        <v>0</v>
      </c>
      <c r="J174" s="427">
        <f ca="1">IF($A174="S",IF(CAIXA.Modo,BM.AFAnterior,BM.MEDAnterior),IF(AND(RegimeExecucao="Global",$I174&gt;0,COUNTIF($AB$13:$AM$13,BM.medicao-1)&gt;0),M174/$I174*100,0))</f>
        <v>0</v>
      </c>
      <c r="K174" s="151">
        <f t="shared" ca="1" si="51"/>
        <v>0</v>
      </c>
      <c r="L174" s="428">
        <f ca="1">IF($A174="S",IF(CAIXA.Modo,BM.AFAcumulado,BM.MEDAcumulado),IF(AND(RegimeExecucao="Global",$I174&gt;0,COUNTIF($AB$13:$AM$13,BM.medicao)&gt;0),O174/$I174*100,0))</f>
        <v>0</v>
      </c>
      <c r="M174" s="429">
        <f ca="1">IF($A174="S",VTOTALBM,IF($A174=0,0,ROUND(SomaAgrupBM,15-13*ORÇAMENTO!$AF$11)))</f>
        <v>0</v>
      </c>
      <c r="N174" s="430">
        <f t="shared" ca="1" si="52"/>
        <v>0</v>
      </c>
      <c r="O174" s="154">
        <f ca="1">IF($A174="S",VTOTALBM,IF($A174=0,0,ROUND(SomaAgrupBM,15-13*ORÇAMENTO!$AF$11)))</f>
        <v>0</v>
      </c>
      <c r="Q174" s="431"/>
      <c r="R174" s="432"/>
      <c r="T174" s="146" t="str">
        <f t="shared" ca="1" si="62"/>
        <v/>
      </c>
      <c r="U174" s="206" t="str">
        <f t="shared" ca="1" si="63"/>
        <v/>
      </c>
      <c r="V174" s="207" t="str">
        <f ca="1">IF(AND($W174&gt;0,RegimeExecucao="Unitário"),$F174,"")</f>
        <v/>
      </c>
      <c r="W174" s="633">
        <f ca="1">IF($Y174&gt;0,CHOOSE(MATCH(RegimeExecucao,{"Unitário","Global"},0),IF($A174="S",$Y174/$X174,""),($Y174/$X174)*100),0)</f>
        <v>0</v>
      </c>
      <c r="X174" s="433" t="str">
        <f ca="1">IF($Y174&gt;0,CHOOSE(MATCH(RegimeExecucao,{"Unitário","Global"},0),IF($A174="S",ROUND($H174,ORÇAMENTO!$AF$10),""),ROUND($I174,ORÇAMENTO!$AF$11)),"")</f>
        <v/>
      </c>
      <c r="Y174" s="433">
        <f t="shared" ca="1" si="64"/>
        <v>0</v>
      </c>
      <c r="Z174" s="660"/>
      <c r="AB174" s="431"/>
      <c r="AC174" s="598"/>
      <c r="AD174" s="598"/>
      <c r="AE174" s="598"/>
      <c r="AF174" s="598"/>
      <c r="AG174" s="598"/>
      <c r="AH174" s="598"/>
      <c r="AI174" s="598"/>
      <c r="AJ174" s="598"/>
      <c r="AK174" s="598"/>
      <c r="AL174" s="598"/>
      <c r="AM174" s="432"/>
      <c r="AO174">
        <f ca="1">IF($A174="S",IF(BM!$I174=0,0,CHOOSE(MATCH(RegimeExecucao,{"Global","Unitário"},0),ROUND(ROUND(BM.MEDAcumulado,15-13*BM!$A$9)/100*BM!$I174,15-13*ORÇAMENTO!$AF$11),ROUND(ROUND(BM.MEDAcumulado,15-13*BM!$A$9)*ROUND(BM!$H174,15-13*ORÇAMENTO!$AF$10),15-13*ORÇAMENTO!$AF$11))),IF($A174=0,0,ROUND(SomaAgrupBM,15-13*ORÇAMENTO!$AF$11)))</f>
        <v>0</v>
      </c>
    </row>
    <row r="175" spans="1:41" x14ac:dyDescent="0.2">
      <c r="A175">
        <f ca="1">ORÇAMENTO!C175</f>
        <v>2</v>
      </c>
      <c r="B175">
        <f ca="1">ORÇAMENTO!D175</f>
        <v>4</v>
      </c>
      <c r="C175" s="143" t="str">
        <f t="shared" ca="1" si="61"/>
        <v>F</v>
      </c>
      <c r="D175" s="146" t="str">
        <f ca="1">ORÇAMENTO!O175</f>
        <v>1.22.</v>
      </c>
      <c r="E175" s="206" t="str">
        <f t="shared" si="60"/>
        <v>CLIMATIZADORES</v>
      </c>
      <c r="F175" s="207" t="str">
        <f ca="1">IF(RegimeExecucao="Global","",ORÇAMENTO.Unidade)</f>
        <v/>
      </c>
      <c r="G175" s="151" t="str">
        <f ca="1">IF(RegimeExecucao="Global","",ORÇAMENTO!T175)</f>
        <v/>
      </c>
      <c r="H175" s="151" t="str">
        <f ca="1">IF(RegimeExecucao="Global","",ORÇAMENTO!W175)</f>
        <v/>
      </c>
      <c r="I175" s="154">
        <f ca="1">ORÇAMENTO!X175</f>
        <v>0</v>
      </c>
      <c r="J175" s="427">
        <f ca="1">IF($A175="S",IF(CAIXA.Modo,BM.AFAnterior,BM.MEDAnterior),IF(AND(RegimeExecucao="Global",$I175&gt;0,COUNTIF($AB$13:$AM$13,BM.medicao-1)&gt;0),M175/$I175*100,0))</f>
        <v>0</v>
      </c>
      <c r="K175" s="151">
        <f t="shared" ca="1" si="51"/>
        <v>0</v>
      </c>
      <c r="L175" s="428">
        <f ca="1">IF($A175="S",IF(CAIXA.Modo,BM.AFAcumulado,BM.MEDAcumulado),IF(AND(RegimeExecucao="Global",$I175&gt;0,COUNTIF($AB$13:$AM$13,BM.medicao)&gt;0),O175/$I175*100,0))</f>
        <v>0</v>
      </c>
      <c r="M175" s="429">
        <f ca="1">IF($A175="S",VTOTALBM,IF($A175=0,0,ROUND(SomaAgrupBM,15-13*ORÇAMENTO!$AF$11)))</f>
        <v>0</v>
      </c>
      <c r="N175" s="430">
        <f t="shared" ca="1" si="52"/>
        <v>0</v>
      </c>
      <c r="O175" s="154">
        <f ca="1">IF($A175="S",VTOTALBM,IF($A175=0,0,ROUND(SomaAgrupBM,15-13*ORÇAMENTO!$AF$11)))</f>
        <v>0</v>
      </c>
      <c r="Q175" s="431"/>
      <c r="R175" s="432"/>
      <c r="T175" s="146" t="str">
        <f t="shared" ca="1" si="62"/>
        <v/>
      </c>
      <c r="U175" s="206" t="str">
        <f t="shared" ca="1" si="63"/>
        <v/>
      </c>
      <c r="V175" s="207" t="str">
        <f ca="1">IF(AND($W175&gt;0,RegimeExecucao="Unitário"),$F175,"")</f>
        <v/>
      </c>
      <c r="W175" s="633">
        <f ca="1">IF($Y175&gt;0,CHOOSE(MATCH(RegimeExecucao,{"Unitário","Global"},0),IF($A175="S",$Y175/$X175,""),($Y175/$X175)*100),0)</f>
        <v>0</v>
      </c>
      <c r="X175" s="433" t="str">
        <f ca="1">IF($Y175&gt;0,CHOOSE(MATCH(RegimeExecucao,{"Unitário","Global"},0),IF($A175="S",ROUND($H175,ORÇAMENTO!$AF$10),""),ROUND($I175,ORÇAMENTO!$AF$11)),"")</f>
        <v/>
      </c>
      <c r="Y175" s="433">
        <f t="shared" ca="1" si="64"/>
        <v>0</v>
      </c>
      <c r="Z175" s="660"/>
      <c r="AB175" s="431"/>
      <c r="AC175" s="598"/>
      <c r="AD175" s="598"/>
      <c r="AE175" s="598"/>
      <c r="AF175" s="598"/>
      <c r="AG175" s="598"/>
      <c r="AH175" s="598"/>
      <c r="AI175" s="598"/>
      <c r="AJ175" s="598"/>
      <c r="AK175" s="598"/>
      <c r="AL175" s="598"/>
      <c r="AM175" s="432"/>
      <c r="AO175">
        <f ca="1">IF($A175="S",IF(BM!$I175=0,0,CHOOSE(MATCH(RegimeExecucao,{"Global","Unitário"},0),ROUND(ROUND(BM.MEDAcumulado,15-13*BM!$A$9)/100*BM!$I175,15-13*ORÇAMENTO!$AF$11),ROUND(ROUND(BM.MEDAcumulado,15-13*BM!$A$9)*ROUND(BM!$H175,15-13*ORÇAMENTO!$AF$10),15-13*ORÇAMENTO!$AF$11))),IF($A175=0,0,ROUND(SomaAgrupBM,15-13*ORÇAMENTO!$AF$11)))</f>
        <v>0</v>
      </c>
    </row>
    <row r="176" spans="1:41" ht="38.25" x14ac:dyDescent="0.2">
      <c r="A176" t="str">
        <f ca="1">ORÇAMENTO!C176</f>
        <v>S</v>
      </c>
      <c r="B176">
        <f ca="1">ORÇAMENTO!D176</f>
        <v>0</v>
      </c>
      <c r="C176" s="143" t="str">
        <f t="shared" ca="1" si="61"/>
        <v/>
      </c>
      <c r="D176" s="146" t="str">
        <f ca="1">ORÇAMENTO!O176</f>
        <v>-</v>
      </c>
      <c r="E176" s="206" t="str">
        <f t="shared" si="60"/>
        <v>AR CONDICIONADO SPLIT ON/OFF, HI-WALL (PAREDE), 24000 BTUS/H, CICLO QUENTE/FRIO - FORNECIMENTO E INSTALAÇÃO. AF_11/2021_PE</v>
      </c>
      <c r="F176" s="207" t="str">
        <f ca="1">IF(RegimeExecucao="Global","",ORÇAMENTO.Unidade)</f>
        <v/>
      </c>
      <c r="G176" s="151" t="str">
        <f ca="1">IF(RegimeExecucao="Global","",ORÇAMENTO!T176)</f>
        <v/>
      </c>
      <c r="H176" s="151" t="str">
        <f ca="1">IF(RegimeExecucao="Global","",ORÇAMENTO!W176)</f>
        <v/>
      </c>
      <c r="I176" s="154">
        <f ca="1">ORÇAMENTO!X176</f>
        <v>0</v>
      </c>
      <c r="J176" s="427">
        <f ca="1">IF($A176="S",IF(CAIXA.Modo,BM.AFAnterior,BM.MEDAnterior),IF(AND(RegimeExecucao="Global",$I176&gt;0,COUNTIF($AB$13:$AM$13,BM.medicao-1)&gt;0),M176/$I176*100,0))</f>
        <v>0</v>
      </c>
      <c r="K176" s="151">
        <f t="shared" ca="1" si="51"/>
        <v>0</v>
      </c>
      <c r="L176" s="428">
        <f ca="1">IF($A176="S",IF(CAIXA.Modo,BM.AFAcumulado,BM.MEDAcumulado),IF(AND(RegimeExecucao="Global",$I176&gt;0,COUNTIF($AB$13:$AM$13,BM.medicao)&gt;0),O176/$I176*100,0))</f>
        <v>0</v>
      </c>
      <c r="M176" s="429">
        <f ca="1">IF($A176="S",VTOTALBM,IF($A176=0,0,ROUND(SomaAgrupBM,15-13*ORÇAMENTO!$AF$11)))</f>
        <v>0</v>
      </c>
      <c r="N176" s="430">
        <f t="shared" ca="1" si="52"/>
        <v>0</v>
      </c>
      <c r="O176" s="154">
        <f ca="1">IF($A176="S",VTOTALBM,IF($A176=0,0,ROUND(SomaAgrupBM,15-13*ORÇAMENTO!$AF$11)))</f>
        <v>0</v>
      </c>
      <c r="Q176" s="431"/>
      <c r="R176" s="432"/>
      <c r="T176" s="146" t="str">
        <f t="shared" ca="1" si="62"/>
        <v/>
      </c>
      <c r="U176" s="206" t="str">
        <f t="shared" ca="1" si="63"/>
        <v/>
      </c>
      <c r="V176" s="207" t="str">
        <f ca="1">IF(AND($W176&gt;0,RegimeExecucao="Unitário"),$F176,"")</f>
        <v/>
      </c>
      <c r="W176" s="633">
        <f ca="1">IF($Y176&gt;0,CHOOSE(MATCH(RegimeExecucao,{"Unitário","Global"},0),IF($A176="S",$Y176/$X176,""),($Y176/$X176)*100),0)</f>
        <v>0</v>
      </c>
      <c r="X176" s="433" t="str">
        <f ca="1">IF($Y176&gt;0,CHOOSE(MATCH(RegimeExecucao,{"Unitário","Global"},0),IF($A176="S",ROUND($H176,ORÇAMENTO!$AF$10),""),ROUND($I176,ORÇAMENTO!$AF$11)),"")</f>
        <v/>
      </c>
      <c r="Y176" s="433">
        <f t="shared" ca="1" si="64"/>
        <v>0</v>
      </c>
      <c r="Z176" s="660"/>
      <c r="AB176" s="431"/>
      <c r="AC176" s="598"/>
      <c r="AD176" s="598"/>
      <c r="AE176" s="598"/>
      <c r="AF176" s="598"/>
      <c r="AG176" s="598"/>
      <c r="AH176" s="598"/>
      <c r="AI176" s="598"/>
      <c r="AJ176" s="598"/>
      <c r="AK176" s="598"/>
      <c r="AL176" s="598"/>
      <c r="AM176" s="432"/>
      <c r="AO176">
        <f ca="1">IF($A176="S",IF(BM!$I176=0,0,CHOOSE(MATCH(RegimeExecucao,{"Global","Unitário"},0),ROUND(ROUND(BM.MEDAcumulado,15-13*BM!$A$9)/100*BM!$I176,15-13*ORÇAMENTO!$AF$11),ROUND(ROUND(BM.MEDAcumulado,15-13*BM!$A$9)*ROUND(BM!$H176,15-13*ORÇAMENTO!$AF$10),15-13*ORÇAMENTO!$AF$11))),IF($A176=0,0,ROUND(SomaAgrupBM,15-13*ORÇAMENTO!$AF$11)))</f>
        <v>0</v>
      </c>
    </row>
    <row r="177" spans="1:41" ht="51" x14ac:dyDescent="0.2">
      <c r="A177" t="str">
        <f ca="1">ORÇAMENTO!C177</f>
        <v>S</v>
      </c>
      <c r="B177">
        <f ca="1">ORÇAMENTO!D177</f>
        <v>0</v>
      </c>
      <c r="C177" s="143" t="str">
        <f t="shared" ca="1" si="61"/>
        <v/>
      </c>
      <c r="D177" s="146" t="str">
        <f ca="1">ORÇAMENTO!O177</f>
        <v>-</v>
      </c>
      <c r="E177" s="206" t="str">
        <f t="shared" si="60"/>
        <v>TUBO EM COBRE FLEXÍVEL, DN 3/8", COM ISOLAMENTO, INSTALADO EM RAMAL DE ALIMENTAÇÃO DE AR CONDICIONADO COM CONDENSADORA INDIVIDUAL - FORNECIMENTO E INSTALAÇÃO. AF_12/2015</v>
      </c>
      <c r="F177" s="207" t="str">
        <f ca="1">IF(RegimeExecucao="Global","",ORÇAMENTO.Unidade)</f>
        <v/>
      </c>
      <c r="G177" s="151" t="str">
        <f ca="1">IF(RegimeExecucao="Global","",ORÇAMENTO!T177)</f>
        <v/>
      </c>
      <c r="H177" s="151" t="str">
        <f ca="1">IF(RegimeExecucao="Global","",ORÇAMENTO!W177)</f>
        <v/>
      </c>
      <c r="I177" s="154">
        <f ca="1">ORÇAMENTO!X177</f>
        <v>0</v>
      </c>
      <c r="J177" s="427">
        <f ca="1">IF($A177="S",IF(CAIXA.Modo,BM.AFAnterior,BM.MEDAnterior),IF(AND(RegimeExecucao="Global",$I177&gt;0,COUNTIF($AB$13:$AM$13,BM.medicao-1)&gt;0),M177/$I177*100,0))</f>
        <v>0</v>
      </c>
      <c r="K177" s="151">
        <f t="shared" ca="1" si="51"/>
        <v>0</v>
      </c>
      <c r="L177" s="428">
        <f ca="1">IF($A177="S",IF(CAIXA.Modo,BM.AFAcumulado,BM.MEDAcumulado),IF(AND(RegimeExecucao="Global",$I177&gt;0,COUNTIF($AB$13:$AM$13,BM.medicao)&gt;0),O177/$I177*100,0))</f>
        <v>0</v>
      </c>
      <c r="M177" s="429">
        <f ca="1">IF($A177="S",VTOTALBM,IF($A177=0,0,ROUND(SomaAgrupBM,15-13*ORÇAMENTO!$AF$11)))</f>
        <v>0</v>
      </c>
      <c r="N177" s="430">
        <f t="shared" ca="1" si="52"/>
        <v>0</v>
      </c>
      <c r="O177" s="154">
        <f ca="1">IF($A177="S",VTOTALBM,IF($A177=0,0,ROUND(SomaAgrupBM,15-13*ORÇAMENTO!$AF$11)))</f>
        <v>0</v>
      </c>
      <c r="Q177" s="431"/>
      <c r="R177" s="432"/>
      <c r="T177" s="146" t="str">
        <f t="shared" ca="1" si="62"/>
        <v/>
      </c>
      <c r="U177" s="206" t="str">
        <f t="shared" ca="1" si="63"/>
        <v/>
      </c>
      <c r="V177" s="207" t="str">
        <f ca="1">IF(AND($W177&gt;0,RegimeExecucao="Unitário"),$F177,"")</f>
        <v/>
      </c>
      <c r="W177" s="633">
        <f ca="1">IF($Y177&gt;0,CHOOSE(MATCH(RegimeExecucao,{"Unitário","Global"},0),IF($A177="S",$Y177/$X177,""),($Y177/$X177)*100),0)</f>
        <v>0</v>
      </c>
      <c r="X177" s="433" t="str">
        <f ca="1">IF($Y177&gt;0,CHOOSE(MATCH(RegimeExecucao,{"Unitário","Global"},0),IF($A177="S",ROUND($H177,ORÇAMENTO!$AF$10),""),ROUND($I177,ORÇAMENTO!$AF$11)),"")</f>
        <v/>
      </c>
      <c r="Y177" s="433">
        <f t="shared" ca="1" si="64"/>
        <v>0</v>
      </c>
      <c r="Z177" s="660"/>
      <c r="AB177" s="431"/>
      <c r="AC177" s="598"/>
      <c r="AD177" s="598"/>
      <c r="AE177" s="598"/>
      <c r="AF177" s="598"/>
      <c r="AG177" s="598"/>
      <c r="AH177" s="598"/>
      <c r="AI177" s="598"/>
      <c r="AJ177" s="598"/>
      <c r="AK177" s="598"/>
      <c r="AL177" s="598"/>
      <c r="AM177" s="432"/>
      <c r="AO177">
        <f ca="1">IF($A177="S",IF(BM!$I177=0,0,CHOOSE(MATCH(RegimeExecucao,{"Global","Unitário"},0),ROUND(ROUND(BM.MEDAcumulado,15-13*BM!$A$9)/100*BM!$I177,15-13*ORÇAMENTO!$AF$11),ROUND(ROUND(BM.MEDAcumulado,15-13*BM!$A$9)*ROUND(BM!$H177,15-13*ORÇAMENTO!$AF$10),15-13*ORÇAMENTO!$AF$11))),IF($A177=0,0,ROUND(SomaAgrupBM,15-13*ORÇAMENTO!$AF$11)))</f>
        <v>0</v>
      </c>
    </row>
    <row r="178" spans="1:41" ht="25.5" x14ac:dyDescent="0.2">
      <c r="A178" t="str">
        <f ca="1">ORÇAMENTO!C178</f>
        <v>S</v>
      </c>
      <c r="B178">
        <f ca="1">ORÇAMENTO!D178</f>
        <v>0</v>
      </c>
      <c r="C178" s="143" t="str">
        <f t="shared" ca="1" si="61"/>
        <v/>
      </c>
      <c r="D178" s="146" t="str">
        <f ca="1">ORÇAMENTO!O178</f>
        <v>-</v>
      </c>
      <c r="E178" s="206" t="str">
        <f t="shared" si="60"/>
        <v>TUBO, PVC, SOLDÁVEL, DE 25MM, INSTALADO EM DRENO DE AR-CONDICIONADO - FORNECIMENTO E INSTALAÇÃO. AF_08/2022</v>
      </c>
      <c r="F178" s="207" t="str">
        <f ca="1">IF(RegimeExecucao="Global","",ORÇAMENTO.Unidade)</f>
        <v/>
      </c>
      <c r="G178" s="151" t="str">
        <f ca="1">IF(RegimeExecucao="Global","",ORÇAMENTO!T178)</f>
        <v/>
      </c>
      <c r="H178" s="151" t="str">
        <f ca="1">IF(RegimeExecucao="Global","",ORÇAMENTO!W178)</f>
        <v/>
      </c>
      <c r="I178" s="154">
        <f ca="1">ORÇAMENTO!X178</f>
        <v>0</v>
      </c>
      <c r="J178" s="427">
        <f ca="1">IF($A178="S",IF(CAIXA.Modo,BM.AFAnterior,BM.MEDAnterior),IF(AND(RegimeExecucao="Global",$I178&gt;0,COUNTIF($AB$13:$AM$13,BM.medicao-1)&gt;0),M178/$I178*100,0))</f>
        <v>0</v>
      </c>
      <c r="K178" s="151">
        <f t="shared" ca="1" si="51"/>
        <v>0</v>
      </c>
      <c r="L178" s="428">
        <f ca="1">IF($A178="S",IF(CAIXA.Modo,BM.AFAcumulado,BM.MEDAcumulado),IF(AND(RegimeExecucao="Global",$I178&gt;0,COUNTIF($AB$13:$AM$13,BM.medicao)&gt;0),O178/$I178*100,0))</f>
        <v>0</v>
      </c>
      <c r="M178" s="429">
        <f ca="1">IF($A178="S",VTOTALBM,IF($A178=0,0,ROUND(SomaAgrupBM,15-13*ORÇAMENTO!$AF$11)))</f>
        <v>0</v>
      </c>
      <c r="N178" s="430">
        <f t="shared" ca="1" si="52"/>
        <v>0</v>
      </c>
      <c r="O178" s="154">
        <f ca="1">IF($A178="S",VTOTALBM,IF($A178=0,0,ROUND(SomaAgrupBM,15-13*ORÇAMENTO!$AF$11)))</f>
        <v>0</v>
      </c>
      <c r="Q178" s="431"/>
      <c r="R178" s="432"/>
      <c r="T178" s="146" t="str">
        <f t="shared" ca="1" si="62"/>
        <v/>
      </c>
      <c r="U178" s="206" t="str">
        <f t="shared" ca="1" si="63"/>
        <v/>
      </c>
      <c r="V178" s="207" t="str">
        <f ca="1">IF(AND($W178&gt;0,RegimeExecucao="Unitário"),$F178,"")</f>
        <v/>
      </c>
      <c r="W178" s="633">
        <f ca="1">IF($Y178&gt;0,CHOOSE(MATCH(RegimeExecucao,{"Unitário","Global"},0),IF($A178="S",$Y178/$X178,""),($Y178/$X178)*100),0)</f>
        <v>0</v>
      </c>
      <c r="X178" s="433" t="str">
        <f ca="1">IF($Y178&gt;0,CHOOSE(MATCH(RegimeExecucao,{"Unitário","Global"},0),IF($A178="S",ROUND($H178,ORÇAMENTO!$AF$10),""),ROUND($I178,ORÇAMENTO!$AF$11)),"")</f>
        <v/>
      </c>
      <c r="Y178" s="433">
        <f t="shared" ca="1" si="64"/>
        <v>0</v>
      </c>
      <c r="Z178" s="660"/>
      <c r="AB178" s="431"/>
      <c r="AC178" s="598"/>
      <c r="AD178" s="598"/>
      <c r="AE178" s="598"/>
      <c r="AF178" s="598"/>
      <c r="AG178" s="598"/>
      <c r="AH178" s="598"/>
      <c r="AI178" s="598"/>
      <c r="AJ178" s="598"/>
      <c r="AK178" s="598"/>
      <c r="AL178" s="598"/>
      <c r="AM178" s="432"/>
      <c r="AO178">
        <f ca="1">IF($A178="S",IF(BM!$I178=0,0,CHOOSE(MATCH(RegimeExecucao,{"Global","Unitário"},0),ROUND(ROUND(BM.MEDAcumulado,15-13*BM!$A$9)/100*BM!$I178,15-13*ORÇAMENTO!$AF$11),ROUND(ROUND(BM.MEDAcumulado,15-13*BM!$A$9)*ROUND(BM!$H178,15-13*ORÇAMENTO!$AF$10),15-13*ORÇAMENTO!$AF$11))),IF($A178=0,0,ROUND(SomaAgrupBM,15-13*ORÇAMENTO!$AF$11)))</f>
        <v>0</v>
      </c>
    </row>
    <row r="179" spans="1:41" x14ac:dyDescent="0.2">
      <c r="A179">
        <f ca="1">ORÇAMENTO!C179</f>
        <v>2</v>
      </c>
      <c r="B179">
        <f ca="1">ORÇAMENTO!D179</f>
        <v>5</v>
      </c>
      <c r="C179" s="143" t="str">
        <f t="shared" ca="1" si="61"/>
        <v>F</v>
      </c>
      <c r="D179" s="146" t="str">
        <f ca="1">ORÇAMENTO!O179</f>
        <v>1.23.</v>
      </c>
      <c r="E179" s="206" t="str">
        <f t="shared" si="60"/>
        <v>ACESSIBILIDADE</v>
      </c>
      <c r="F179" s="207" t="str">
        <f ca="1">IF(RegimeExecucao="Global","",ORÇAMENTO.Unidade)</f>
        <v/>
      </c>
      <c r="G179" s="151" t="str">
        <f ca="1">IF(RegimeExecucao="Global","",ORÇAMENTO!T179)</f>
        <v/>
      </c>
      <c r="H179" s="151" t="str">
        <f ca="1">IF(RegimeExecucao="Global","",ORÇAMENTO!W179)</f>
        <v/>
      </c>
      <c r="I179" s="154">
        <f ca="1">ORÇAMENTO!X179</f>
        <v>0</v>
      </c>
      <c r="J179" s="427">
        <f ca="1">IF($A179="S",IF(CAIXA.Modo,BM.AFAnterior,BM.MEDAnterior),IF(AND(RegimeExecucao="Global",$I179&gt;0,COUNTIF($AB$13:$AM$13,BM.medicao-1)&gt;0),M179/$I179*100,0))</f>
        <v>0</v>
      </c>
      <c r="K179" s="151">
        <f t="shared" ca="1" si="51"/>
        <v>0</v>
      </c>
      <c r="L179" s="428">
        <f ca="1">IF($A179="S",IF(CAIXA.Modo,BM.AFAcumulado,BM.MEDAcumulado),IF(AND(RegimeExecucao="Global",$I179&gt;0,COUNTIF($AB$13:$AM$13,BM.medicao)&gt;0),O179/$I179*100,0))</f>
        <v>0</v>
      </c>
      <c r="M179" s="429">
        <f ca="1">IF($A179="S",VTOTALBM,IF($A179=0,0,ROUND(SomaAgrupBM,15-13*ORÇAMENTO!$AF$11)))</f>
        <v>0</v>
      </c>
      <c r="N179" s="430">
        <f t="shared" ca="1" si="52"/>
        <v>0</v>
      </c>
      <c r="O179" s="154">
        <f ca="1">IF($A179="S",VTOTALBM,IF($A179=0,0,ROUND(SomaAgrupBM,15-13*ORÇAMENTO!$AF$11)))</f>
        <v>0</v>
      </c>
      <c r="Q179" s="431"/>
      <c r="R179" s="432"/>
      <c r="T179" s="146" t="str">
        <f t="shared" ca="1" si="62"/>
        <v/>
      </c>
      <c r="U179" s="206" t="str">
        <f t="shared" ca="1" si="63"/>
        <v/>
      </c>
      <c r="V179" s="207" t="str">
        <f ca="1">IF(AND($W179&gt;0,RegimeExecucao="Unitário"),$F179,"")</f>
        <v/>
      </c>
      <c r="W179" s="633">
        <f ca="1">IF($Y179&gt;0,CHOOSE(MATCH(RegimeExecucao,{"Unitário","Global"},0),IF($A179="S",$Y179/$X179,""),($Y179/$X179)*100),0)</f>
        <v>0</v>
      </c>
      <c r="X179" s="433" t="str">
        <f ca="1">IF($Y179&gt;0,CHOOSE(MATCH(RegimeExecucao,{"Unitário","Global"},0),IF($A179="S",ROUND($H179,ORÇAMENTO!$AF$10),""),ROUND($I179,ORÇAMENTO!$AF$11)),"")</f>
        <v/>
      </c>
      <c r="Y179" s="433">
        <f t="shared" ca="1" si="64"/>
        <v>0</v>
      </c>
      <c r="Z179" s="660"/>
      <c r="AB179" s="431"/>
      <c r="AC179" s="598"/>
      <c r="AD179" s="598"/>
      <c r="AE179" s="598"/>
      <c r="AF179" s="598"/>
      <c r="AG179" s="598"/>
      <c r="AH179" s="598"/>
      <c r="AI179" s="598"/>
      <c r="AJ179" s="598"/>
      <c r="AK179" s="598"/>
      <c r="AL179" s="598"/>
      <c r="AM179" s="432"/>
      <c r="AO179">
        <f ca="1">IF($A179="S",IF(BM!$I179=0,0,CHOOSE(MATCH(RegimeExecucao,{"Global","Unitário"},0),ROUND(ROUND(BM.MEDAcumulado,15-13*BM!$A$9)/100*BM!$I179,15-13*ORÇAMENTO!$AF$11),ROUND(ROUND(BM.MEDAcumulado,15-13*BM!$A$9)*ROUND(BM!$H179,15-13*ORÇAMENTO!$AF$10),15-13*ORÇAMENTO!$AF$11))),IF($A179=0,0,ROUND(SomaAgrupBM,15-13*ORÇAMENTO!$AF$11)))</f>
        <v>0</v>
      </c>
    </row>
    <row r="180" spans="1:41" ht="25.5" x14ac:dyDescent="0.2">
      <c r="A180" t="str">
        <f ca="1">ORÇAMENTO!C180</f>
        <v>S</v>
      </c>
      <c r="B180">
        <f ca="1">ORÇAMENTO!D180</f>
        <v>0</v>
      </c>
      <c r="C180" s="143" t="str">
        <f t="shared" ca="1" si="61"/>
        <v/>
      </c>
      <c r="D180" s="146" t="str">
        <f ca="1">ORÇAMENTO!O180</f>
        <v>-</v>
      </c>
      <c r="E180" s="206" t="str">
        <f t="shared" si="60"/>
        <v>PISO PODOTÁTIL DE ALERTA OU DIRECIONAL, DE BORRACHA, ASSENTADO SOBRE ARGAMASSA. AF_05/2020</v>
      </c>
      <c r="F180" s="207" t="str">
        <f ca="1">IF(RegimeExecucao="Global","",ORÇAMENTO.Unidade)</f>
        <v/>
      </c>
      <c r="G180" s="151" t="str">
        <f ca="1">IF(RegimeExecucao="Global","",ORÇAMENTO!T180)</f>
        <v/>
      </c>
      <c r="H180" s="151" t="str">
        <f ca="1">IF(RegimeExecucao="Global","",ORÇAMENTO!W180)</f>
        <v/>
      </c>
      <c r="I180" s="154">
        <f ca="1">ORÇAMENTO!X180</f>
        <v>0</v>
      </c>
      <c r="J180" s="427">
        <f ca="1">IF($A180="S",IF(CAIXA.Modo,BM.AFAnterior,BM.MEDAnterior),IF(AND(RegimeExecucao="Global",$I180&gt;0,COUNTIF($AB$13:$AM$13,BM.medicao-1)&gt;0),M180/$I180*100,0))</f>
        <v>0</v>
      </c>
      <c r="K180" s="151">
        <f t="shared" ca="1" si="51"/>
        <v>0</v>
      </c>
      <c r="L180" s="428">
        <f ca="1">IF($A180="S",IF(CAIXA.Modo,BM.AFAcumulado,BM.MEDAcumulado),IF(AND(RegimeExecucao="Global",$I180&gt;0,COUNTIF($AB$13:$AM$13,BM.medicao)&gt;0),O180/$I180*100,0))</f>
        <v>0</v>
      </c>
      <c r="M180" s="429">
        <f ca="1">IF($A180="S",VTOTALBM,IF($A180=0,0,ROUND(SomaAgrupBM,15-13*ORÇAMENTO!$AF$11)))</f>
        <v>0</v>
      </c>
      <c r="N180" s="430">
        <f t="shared" ca="1" si="52"/>
        <v>0</v>
      </c>
      <c r="O180" s="154">
        <f ca="1">IF($A180="S",VTOTALBM,IF($A180=0,0,ROUND(SomaAgrupBM,15-13*ORÇAMENTO!$AF$11)))</f>
        <v>0</v>
      </c>
      <c r="Q180" s="431"/>
      <c r="R180" s="432"/>
      <c r="T180" s="146" t="str">
        <f t="shared" ca="1" si="62"/>
        <v/>
      </c>
      <c r="U180" s="206" t="str">
        <f t="shared" ca="1" si="63"/>
        <v/>
      </c>
      <c r="V180" s="207" t="str">
        <f ca="1">IF(AND($W180&gt;0,RegimeExecucao="Unitário"),$F180,"")</f>
        <v/>
      </c>
      <c r="W180" s="633">
        <f ca="1">IF($Y180&gt;0,CHOOSE(MATCH(RegimeExecucao,{"Unitário","Global"},0),IF($A180="S",$Y180/$X180,""),($Y180/$X180)*100),0)</f>
        <v>0</v>
      </c>
      <c r="X180" s="433" t="str">
        <f ca="1">IF($Y180&gt;0,CHOOSE(MATCH(RegimeExecucao,{"Unitário","Global"},0),IF($A180="S",ROUND($H180,ORÇAMENTO!$AF$10),""),ROUND($I180,ORÇAMENTO!$AF$11)),"")</f>
        <v/>
      </c>
      <c r="Y180" s="433">
        <f t="shared" ca="1" si="64"/>
        <v>0</v>
      </c>
      <c r="Z180" s="660"/>
      <c r="AB180" s="431"/>
      <c r="AC180" s="598"/>
      <c r="AD180" s="598"/>
      <c r="AE180" s="598"/>
      <c r="AF180" s="598"/>
      <c r="AG180" s="598"/>
      <c r="AH180" s="598"/>
      <c r="AI180" s="598"/>
      <c r="AJ180" s="598"/>
      <c r="AK180" s="598"/>
      <c r="AL180" s="598"/>
      <c r="AM180" s="432"/>
      <c r="AO180">
        <f ca="1">IF($A180="S",IF(BM!$I180=0,0,CHOOSE(MATCH(RegimeExecucao,{"Global","Unitário"},0),ROUND(ROUND(BM.MEDAcumulado,15-13*BM!$A$9)/100*BM!$I180,15-13*ORÇAMENTO!$AF$11),ROUND(ROUND(BM.MEDAcumulado,15-13*BM!$A$9)*ROUND(BM!$H180,15-13*ORÇAMENTO!$AF$10),15-13*ORÇAMENTO!$AF$11))),IF($A180=0,0,ROUND(SomaAgrupBM,15-13*ORÇAMENTO!$AF$11)))</f>
        <v>0</v>
      </c>
    </row>
    <row r="181" spans="1:41" ht="38.25" x14ac:dyDescent="0.2">
      <c r="A181" t="str">
        <f ca="1">ORÇAMENTO!C181</f>
        <v>S</v>
      </c>
      <c r="B181">
        <f ca="1">ORÇAMENTO!D181</f>
        <v>0</v>
      </c>
      <c r="C181" s="143" t="str">
        <f t="shared" ca="1" si="61"/>
        <v/>
      </c>
      <c r="D181" s="146" t="str">
        <f ca="1">ORÇAMENTO!O181</f>
        <v>-</v>
      </c>
      <c r="E181" s="206" t="str">
        <f t="shared" si="60"/>
        <v>BARRA DE APOIO RETA, EM ACO INOX POLIDO, COMPRIMENTO 70 CM,  FIXADA NA PAREDE - FORNECIMENTO E INSTALAÇÃO. AF_01/2020</v>
      </c>
      <c r="F181" s="207" t="str">
        <f ca="1">IF(RegimeExecucao="Global","",ORÇAMENTO.Unidade)</f>
        <v/>
      </c>
      <c r="G181" s="151" t="str">
        <f ca="1">IF(RegimeExecucao="Global","",ORÇAMENTO!T181)</f>
        <v/>
      </c>
      <c r="H181" s="151" t="str">
        <f ca="1">IF(RegimeExecucao="Global","",ORÇAMENTO!W181)</f>
        <v/>
      </c>
      <c r="I181" s="154">
        <f ca="1">ORÇAMENTO!X181</f>
        <v>0</v>
      </c>
      <c r="J181" s="427">
        <f ca="1">IF($A181="S",IF(CAIXA.Modo,BM.AFAnterior,BM.MEDAnterior),IF(AND(RegimeExecucao="Global",$I181&gt;0,COUNTIF($AB$13:$AM$13,BM.medicao-1)&gt;0),M181/$I181*100,0))</f>
        <v>0</v>
      </c>
      <c r="K181" s="151">
        <f t="shared" ca="1" si="51"/>
        <v>0</v>
      </c>
      <c r="L181" s="428">
        <f ca="1">IF($A181="S",IF(CAIXA.Modo,BM.AFAcumulado,BM.MEDAcumulado),IF(AND(RegimeExecucao="Global",$I181&gt;0,COUNTIF($AB$13:$AM$13,BM.medicao)&gt;0),O181/$I181*100,0))</f>
        <v>0</v>
      </c>
      <c r="M181" s="429">
        <f ca="1">IF($A181="S",VTOTALBM,IF($A181=0,0,ROUND(SomaAgrupBM,15-13*ORÇAMENTO!$AF$11)))</f>
        <v>0</v>
      </c>
      <c r="N181" s="430">
        <f t="shared" ca="1" si="52"/>
        <v>0</v>
      </c>
      <c r="O181" s="154">
        <f ca="1">IF($A181="S",VTOTALBM,IF($A181=0,0,ROUND(SomaAgrupBM,15-13*ORÇAMENTO!$AF$11)))</f>
        <v>0</v>
      </c>
      <c r="Q181" s="431"/>
      <c r="R181" s="432"/>
      <c r="T181" s="146" t="str">
        <f t="shared" ca="1" si="62"/>
        <v/>
      </c>
      <c r="U181" s="206" t="str">
        <f t="shared" ca="1" si="63"/>
        <v/>
      </c>
      <c r="V181" s="207" t="str">
        <f ca="1">IF(AND($W181&gt;0,RegimeExecucao="Unitário"),$F181,"")</f>
        <v/>
      </c>
      <c r="W181" s="633">
        <f ca="1">IF($Y181&gt;0,CHOOSE(MATCH(RegimeExecucao,{"Unitário","Global"},0),IF($A181="S",$Y181/$X181,""),($Y181/$X181)*100),0)</f>
        <v>0</v>
      </c>
      <c r="X181" s="433" t="str">
        <f ca="1">IF($Y181&gt;0,CHOOSE(MATCH(RegimeExecucao,{"Unitário","Global"},0),IF($A181="S",ROUND($H181,ORÇAMENTO!$AF$10),""),ROUND($I181,ORÇAMENTO!$AF$11)),"")</f>
        <v/>
      </c>
      <c r="Y181" s="433">
        <f t="shared" ca="1" si="64"/>
        <v>0</v>
      </c>
      <c r="Z181" s="660"/>
      <c r="AB181" s="431"/>
      <c r="AC181" s="598"/>
      <c r="AD181" s="598"/>
      <c r="AE181" s="598"/>
      <c r="AF181" s="598"/>
      <c r="AG181" s="598"/>
      <c r="AH181" s="598"/>
      <c r="AI181" s="598"/>
      <c r="AJ181" s="598"/>
      <c r="AK181" s="598"/>
      <c r="AL181" s="598"/>
      <c r="AM181" s="432"/>
      <c r="AO181">
        <f ca="1">IF($A181="S",IF(BM!$I181=0,0,CHOOSE(MATCH(RegimeExecucao,{"Global","Unitário"},0),ROUND(ROUND(BM.MEDAcumulado,15-13*BM!$A$9)/100*BM!$I181,15-13*ORÇAMENTO!$AF$11),ROUND(ROUND(BM.MEDAcumulado,15-13*BM!$A$9)*ROUND(BM!$H181,15-13*ORÇAMENTO!$AF$10),15-13*ORÇAMENTO!$AF$11))),IF($A181=0,0,ROUND(SomaAgrupBM,15-13*ORÇAMENTO!$AF$11)))</f>
        <v>0</v>
      </c>
    </row>
    <row r="182" spans="1:41" ht="25.5" x14ac:dyDescent="0.2">
      <c r="A182" t="str">
        <f ca="1">ORÇAMENTO!C182</f>
        <v>S</v>
      </c>
      <c r="B182">
        <f ca="1">ORÇAMENTO!D182</f>
        <v>0</v>
      </c>
      <c r="C182" s="143" t="str">
        <f t="shared" ca="1" si="61"/>
        <v/>
      </c>
      <c r="D182" s="146" t="str">
        <f ca="1">ORÇAMENTO!O182</f>
        <v>-</v>
      </c>
      <c r="E182" s="206" t="str">
        <f t="shared" si="60"/>
        <v>TORNEIRA CROMADA DE MESA PARA LAVATORIO, TIPO MONOCOMANDO. AF_01/2020</v>
      </c>
      <c r="F182" s="207" t="str">
        <f ca="1">IF(RegimeExecucao="Global","",ORÇAMENTO.Unidade)</f>
        <v/>
      </c>
      <c r="G182" s="151" t="str">
        <f ca="1">IF(RegimeExecucao="Global","",ORÇAMENTO!T182)</f>
        <v/>
      </c>
      <c r="H182" s="151" t="str">
        <f ca="1">IF(RegimeExecucao="Global","",ORÇAMENTO!W182)</f>
        <v/>
      </c>
      <c r="I182" s="154">
        <f ca="1">ORÇAMENTO!X182</f>
        <v>0</v>
      </c>
      <c r="J182" s="427">
        <f ca="1">IF($A182="S",IF(CAIXA.Modo,BM.AFAnterior,BM.MEDAnterior),IF(AND(RegimeExecucao="Global",$I182&gt;0,COUNTIF($AB$13:$AM$13,BM.medicao-1)&gt;0),M182/$I182*100,0))</f>
        <v>0</v>
      </c>
      <c r="K182" s="151">
        <f t="shared" ca="1" si="51"/>
        <v>0</v>
      </c>
      <c r="L182" s="428">
        <f ca="1">IF($A182="S",IF(CAIXA.Modo,BM.AFAcumulado,BM.MEDAcumulado),IF(AND(RegimeExecucao="Global",$I182&gt;0,COUNTIF($AB$13:$AM$13,BM.medicao)&gt;0),O182/$I182*100,0))</f>
        <v>0</v>
      </c>
      <c r="M182" s="429">
        <f ca="1">IF($A182="S",VTOTALBM,IF($A182=0,0,ROUND(SomaAgrupBM,15-13*ORÇAMENTO!$AF$11)))</f>
        <v>0</v>
      </c>
      <c r="N182" s="430">
        <f t="shared" ca="1" si="52"/>
        <v>0</v>
      </c>
      <c r="O182" s="154">
        <f ca="1">IF($A182="S",VTOTALBM,IF($A182=0,0,ROUND(SomaAgrupBM,15-13*ORÇAMENTO!$AF$11)))</f>
        <v>0</v>
      </c>
      <c r="Q182" s="431"/>
      <c r="R182" s="432"/>
      <c r="T182" s="146" t="str">
        <f t="shared" ca="1" si="62"/>
        <v/>
      </c>
      <c r="U182" s="206" t="str">
        <f t="shared" ca="1" si="63"/>
        <v/>
      </c>
      <c r="V182" s="207" t="str">
        <f ca="1">IF(AND($W182&gt;0,RegimeExecucao="Unitário"),$F182,"")</f>
        <v/>
      </c>
      <c r="W182" s="633">
        <f ca="1">IF($Y182&gt;0,CHOOSE(MATCH(RegimeExecucao,{"Unitário","Global"},0),IF($A182="S",$Y182/$X182,""),($Y182/$X182)*100),0)</f>
        <v>0</v>
      </c>
      <c r="X182" s="433" t="str">
        <f ca="1">IF($Y182&gt;0,CHOOSE(MATCH(RegimeExecucao,{"Unitário","Global"},0),IF($A182="S",ROUND($H182,ORÇAMENTO!$AF$10),""),ROUND($I182,ORÇAMENTO!$AF$11)),"")</f>
        <v/>
      </c>
      <c r="Y182" s="433">
        <f t="shared" ca="1" si="64"/>
        <v>0</v>
      </c>
      <c r="Z182" s="660"/>
      <c r="AB182" s="431"/>
      <c r="AC182" s="598"/>
      <c r="AD182" s="598"/>
      <c r="AE182" s="598"/>
      <c r="AF182" s="598"/>
      <c r="AG182" s="598"/>
      <c r="AH182" s="598"/>
      <c r="AI182" s="598"/>
      <c r="AJ182" s="598"/>
      <c r="AK182" s="598"/>
      <c r="AL182" s="598"/>
      <c r="AM182" s="432"/>
      <c r="AO182">
        <f ca="1">IF($A182="S",IF(BM!$I182=0,0,CHOOSE(MATCH(RegimeExecucao,{"Global","Unitário"},0),ROUND(ROUND(BM.MEDAcumulado,15-13*BM!$A$9)/100*BM!$I182,15-13*ORÇAMENTO!$AF$11),ROUND(ROUND(BM.MEDAcumulado,15-13*BM!$A$9)*ROUND(BM!$H182,15-13*ORÇAMENTO!$AF$10),15-13*ORÇAMENTO!$AF$11))),IF($A182=0,0,ROUND(SomaAgrupBM,15-13*ORÇAMENTO!$AF$11)))</f>
        <v>0</v>
      </c>
    </row>
    <row r="183" spans="1:41" ht="25.5" x14ac:dyDescent="0.2">
      <c r="A183" t="str">
        <f ca="1">ORÇAMENTO!C183</f>
        <v>S</v>
      </c>
      <c r="B183">
        <f ca="1">ORÇAMENTO!D183</f>
        <v>0</v>
      </c>
      <c r="C183" s="143" t="str">
        <f ca="1">IF(OR($I183&gt;0,$A183=1,$A183=2,$A183=3,$A183=4),"F","")</f>
        <v/>
      </c>
      <c r="D183" s="146" t="str">
        <f ca="1">ORÇAMENTO!O183</f>
        <v>-</v>
      </c>
      <c r="E183" s="206" t="str">
        <f>ORÇAMENTO.Descricao</f>
        <v>Alarme Banheiro Pne Deficiente Físico Conforme Nbr 9050 com acionador</v>
      </c>
      <c r="F183" s="207" t="str">
        <f ca="1">IF(RegimeExecucao="Global","",ORÇAMENTO.Unidade)</f>
        <v/>
      </c>
      <c r="G183" s="151" t="str">
        <f ca="1">IF(RegimeExecucao="Global","",ORÇAMENTO!T183)</f>
        <v/>
      </c>
      <c r="H183" s="151" t="str">
        <f ca="1">IF(RegimeExecucao="Global","",ORÇAMENTO!W183)</f>
        <v/>
      </c>
      <c r="I183" s="154">
        <f ca="1">ORÇAMENTO!X183</f>
        <v>0</v>
      </c>
      <c r="J183" s="427">
        <f ca="1">IF($A183="S",IF(CAIXA.Modo,BM.AFAnterior,BM.MEDAnterior),IF(AND(RegimeExecucao="Global",$I183&gt;0,COUNTIF($AB$13:$AM$13,BM.medicao-1)&gt;0),M183/$I183*100,0))</f>
        <v>0</v>
      </c>
      <c r="K183" s="151">
        <f t="shared" ca="1" si="51"/>
        <v>0</v>
      </c>
      <c r="L183" s="428">
        <f ca="1">IF($A183="S",IF(CAIXA.Modo,BM.AFAcumulado,BM.MEDAcumulado),IF(AND(RegimeExecucao="Global",$I183&gt;0,COUNTIF($AB$13:$AM$13,BM.medicao)&gt;0),O183/$I183*100,0))</f>
        <v>0</v>
      </c>
      <c r="M183" s="429">
        <f ca="1">IF($A183="S",VTOTALBM,IF($A183=0,0,ROUND(SomaAgrupBM,15-13*ORÇAMENTO!$AF$11)))</f>
        <v>0</v>
      </c>
      <c r="N183" s="430">
        <f t="shared" ca="1" si="52"/>
        <v>0</v>
      </c>
      <c r="O183" s="154">
        <f ca="1">IF($A183="S",VTOTALBM,IF($A183=0,0,ROUND(SomaAgrupBM,15-13*ORÇAMENTO!$AF$11)))</f>
        <v>0</v>
      </c>
      <c r="Q183" s="431"/>
      <c r="R183" s="432"/>
      <c r="T183" s="146" t="str">
        <f ca="1">IF($W183&gt;0,$D183,"")</f>
        <v/>
      </c>
      <c r="U183" s="206" t="str">
        <f ca="1">IF($W183&gt;0,$E183,"")</f>
        <v/>
      </c>
      <c r="V183" s="207" t="str">
        <f ca="1">IF(AND($W183&gt;0,RegimeExecucao="Unitário"),$F183,"")</f>
        <v/>
      </c>
      <c r="W183" s="633">
        <f ca="1">IF($Y183&gt;0,CHOOSE(MATCH(RegimeExecucao,{"Unitário","Global"},0),IF($A183="S",$Y183/$X183,""),($Y183/$X183)*100),0)</f>
        <v>0</v>
      </c>
      <c r="X183" s="433" t="str">
        <f ca="1">IF($Y183&gt;0,CHOOSE(MATCH(RegimeExecucao,{"Unitário","Global"},0),IF($A183="S",ROUND($H183,ORÇAMENTO!$AF$10),""),ROUND($I183,ORÇAMENTO!$AF$11)),"")</f>
        <v/>
      </c>
      <c r="Y183" s="433">
        <f ca="1">AO183-O183</f>
        <v>0</v>
      </c>
      <c r="Z183" s="660"/>
      <c r="AB183" s="431"/>
      <c r="AC183" s="598"/>
      <c r="AD183" s="598"/>
      <c r="AE183" s="598"/>
      <c r="AF183" s="598"/>
      <c r="AG183" s="598"/>
      <c r="AH183" s="598"/>
      <c r="AI183" s="598"/>
      <c r="AJ183" s="598"/>
      <c r="AK183" s="598"/>
      <c r="AL183" s="598"/>
      <c r="AM183" s="432"/>
      <c r="AO183">
        <f ca="1">IF($A183="S",IF(BM!$I183=0,0,CHOOSE(MATCH(RegimeExecucao,{"Global","Unitário"},0),ROUND(ROUND(BM.MEDAcumulado,15-13*BM!$A$9)/100*BM!$I183,15-13*ORÇAMENTO!$AF$11),ROUND(ROUND(BM.MEDAcumulado,15-13*BM!$A$9)*ROUND(BM!$H183,15-13*ORÇAMENTO!$AF$10),15-13*ORÇAMENTO!$AF$11))),IF($A183=0,0,ROUND(SomaAgrupBM,15-13*ORÇAMENTO!$AF$11)))</f>
        <v>0</v>
      </c>
    </row>
    <row r="184" spans="1:41" x14ac:dyDescent="0.2">
      <c r="A184">
        <f ca="1">ORÇAMENTO!C184</f>
        <v>2</v>
      </c>
      <c r="B184">
        <f ca="1">ORÇAMENTO!D184</f>
        <v>4</v>
      </c>
      <c r="C184" s="143" t="str">
        <f t="shared" ca="1" si="61"/>
        <v>F</v>
      </c>
      <c r="D184" s="146" t="str">
        <f ca="1">ORÇAMENTO!O184</f>
        <v>1.24.</v>
      </c>
      <c r="E184" s="206" t="str">
        <f t="shared" si="60"/>
        <v xml:space="preserve">CALÇADA EXTERNA </v>
      </c>
      <c r="F184" s="207" t="str">
        <f ca="1">IF(RegimeExecucao="Global","",ORÇAMENTO.Unidade)</f>
        <v/>
      </c>
      <c r="G184" s="151" t="str">
        <f ca="1">IF(RegimeExecucao="Global","",ORÇAMENTO!T184)</f>
        <v/>
      </c>
      <c r="H184" s="151" t="str">
        <f ca="1">IF(RegimeExecucao="Global","",ORÇAMENTO!W184)</f>
        <v/>
      </c>
      <c r="I184" s="154">
        <f ca="1">ORÇAMENTO!X184</f>
        <v>0</v>
      </c>
      <c r="J184" s="427">
        <f ca="1">IF($A184="S",IF(CAIXA.Modo,BM.AFAnterior,BM.MEDAnterior),IF(AND(RegimeExecucao="Global",$I184&gt;0,COUNTIF($AB$13:$AM$13,BM.medicao-1)&gt;0),M184/$I184*100,0))</f>
        <v>0</v>
      </c>
      <c r="K184" s="151">
        <f t="shared" ca="1" si="51"/>
        <v>0</v>
      </c>
      <c r="L184" s="428">
        <f ca="1">IF($A184="S",IF(CAIXA.Modo,BM.AFAcumulado,BM.MEDAcumulado),IF(AND(RegimeExecucao="Global",$I184&gt;0,COUNTIF($AB$13:$AM$13,BM.medicao)&gt;0),O184/$I184*100,0))</f>
        <v>0</v>
      </c>
      <c r="M184" s="429">
        <f ca="1">IF($A184="S",VTOTALBM,IF($A184=0,0,ROUND(SomaAgrupBM,15-13*ORÇAMENTO!$AF$11)))</f>
        <v>0</v>
      </c>
      <c r="N184" s="430">
        <f t="shared" ca="1" si="52"/>
        <v>0</v>
      </c>
      <c r="O184" s="154">
        <f ca="1">IF($A184="S",VTOTALBM,IF($A184=0,0,ROUND(SomaAgrupBM,15-13*ORÇAMENTO!$AF$11)))</f>
        <v>0</v>
      </c>
      <c r="Q184" s="431"/>
      <c r="R184" s="432"/>
      <c r="T184" s="146" t="str">
        <f t="shared" ca="1" si="62"/>
        <v/>
      </c>
      <c r="U184" s="206" t="str">
        <f t="shared" ca="1" si="63"/>
        <v/>
      </c>
      <c r="V184" s="207" t="str">
        <f ca="1">IF(AND($W184&gt;0,RegimeExecucao="Unitário"),$F184,"")</f>
        <v/>
      </c>
      <c r="W184" s="633">
        <f ca="1">IF($Y184&gt;0,CHOOSE(MATCH(RegimeExecucao,{"Unitário","Global"},0),IF($A184="S",$Y184/$X184,""),($Y184/$X184)*100),0)</f>
        <v>0</v>
      </c>
      <c r="X184" s="433" t="str">
        <f ca="1">IF($Y184&gt;0,CHOOSE(MATCH(RegimeExecucao,{"Unitário","Global"},0),IF($A184="S",ROUND($H184,ORÇAMENTO!$AF$10),""),ROUND($I184,ORÇAMENTO!$AF$11)),"")</f>
        <v/>
      </c>
      <c r="Y184" s="433">
        <f t="shared" ca="1" si="64"/>
        <v>0</v>
      </c>
      <c r="Z184" s="660"/>
      <c r="AB184" s="431"/>
      <c r="AC184" s="598"/>
      <c r="AD184" s="598"/>
      <c r="AE184" s="598"/>
      <c r="AF184" s="598"/>
      <c r="AG184" s="598"/>
      <c r="AH184" s="598"/>
      <c r="AI184" s="598"/>
      <c r="AJ184" s="598"/>
      <c r="AK184" s="598"/>
      <c r="AL184" s="598"/>
      <c r="AM184" s="432"/>
      <c r="AO184">
        <f ca="1">IF($A184="S",IF(BM!$I184=0,0,CHOOSE(MATCH(RegimeExecucao,{"Global","Unitário"},0),ROUND(ROUND(BM.MEDAcumulado,15-13*BM!$A$9)/100*BM!$I184,15-13*ORÇAMENTO!$AF$11),ROUND(ROUND(BM.MEDAcumulado,15-13*BM!$A$9)*ROUND(BM!$H184,15-13*ORÇAMENTO!$AF$10),15-13*ORÇAMENTO!$AF$11))),IF($A184=0,0,ROUND(SomaAgrupBM,15-13*ORÇAMENTO!$AF$11)))</f>
        <v>0</v>
      </c>
    </row>
    <row r="185" spans="1:41" ht="38.25" x14ac:dyDescent="0.2">
      <c r="A185" t="str">
        <f ca="1">ORÇAMENTO!C185</f>
        <v>S</v>
      </c>
      <c r="B185">
        <f ca="1">ORÇAMENTO!D185</f>
        <v>0</v>
      </c>
      <c r="C185" s="143" t="str">
        <f t="shared" ca="1" si="61"/>
        <v/>
      </c>
      <c r="D185" s="146" t="str">
        <f ca="1">ORÇAMENTO!O185</f>
        <v>-</v>
      </c>
      <c r="E185" s="206" t="str">
        <f t="shared" si="60"/>
        <v>COMPACTAÇÃO MECÂNICA DE SOLO PARA EXECUÇÃO DE RADIER, PISO DE CONCRETO OU LAJE SOBRE SOLO, COM COMPACTADOR DE SOLOS TIPO PLACA VIBRATÓRIA. AF_09/2021</v>
      </c>
      <c r="F185" s="207" t="str">
        <f ca="1">IF(RegimeExecucao="Global","",ORÇAMENTO.Unidade)</f>
        <v/>
      </c>
      <c r="G185" s="151" t="str">
        <f ca="1">IF(RegimeExecucao="Global","",ORÇAMENTO!T185)</f>
        <v/>
      </c>
      <c r="H185" s="151" t="str">
        <f ca="1">IF(RegimeExecucao="Global","",ORÇAMENTO!W185)</f>
        <v/>
      </c>
      <c r="I185" s="154">
        <f ca="1">ORÇAMENTO!X185</f>
        <v>0</v>
      </c>
      <c r="J185" s="427">
        <f ca="1">IF($A185="S",IF(CAIXA.Modo,BM.AFAnterior,BM.MEDAnterior),IF(AND(RegimeExecucao="Global",$I185&gt;0,COUNTIF($AB$13:$AM$13,BM.medicao-1)&gt;0),M185/$I185*100,0))</f>
        <v>0</v>
      </c>
      <c r="K185" s="151">
        <f t="shared" ca="1" si="51"/>
        <v>0</v>
      </c>
      <c r="L185" s="428">
        <f ca="1">IF($A185="S",IF(CAIXA.Modo,BM.AFAcumulado,BM.MEDAcumulado),IF(AND(RegimeExecucao="Global",$I185&gt;0,COUNTIF($AB$13:$AM$13,BM.medicao)&gt;0),O185/$I185*100,0))</f>
        <v>0</v>
      </c>
      <c r="M185" s="429">
        <f ca="1">IF($A185="S",VTOTALBM,IF($A185=0,0,ROUND(SomaAgrupBM,15-13*ORÇAMENTO!$AF$11)))</f>
        <v>0</v>
      </c>
      <c r="N185" s="430">
        <f t="shared" ca="1" si="52"/>
        <v>0</v>
      </c>
      <c r="O185" s="154">
        <f ca="1">IF($A185="S",VTOTALBM,IF($A185=0,0,ROUND(SomaAgrupBM,15-13*ORÇAMENTO!$AF$11)))</f>
        <v>0</v>
      </c>
      <c r="Q185" s="431"/>
      <c r="R185" s="432"/>
      <c r="T185" s="146" t="str">
        <f t="shared" ca="1" si="62"/>
        <v/>
      </c>
      <c r="U185" s="206" t="str">
        <f t="shared" ca="1" si="63"/>
        <v/>
      </c>
      <c r="V185" s="207" t="str">
        <f ca="1">IF(AND($W185&gt;0,RegimeExecucao="Unitário"),$F185,"")</f>
        <v/>
      </c>
      <c r="W185" s="633">
        <f ca="1">IF($Y185&gt;0,CHOOSE(MATCH(RegimeExecucao,{"Unitário","Global"},0),IF($A185="S",$Y185/$X185,""),($Y185/$X185)*100),0)</f>
        <v>0</v>
      </c>
      <c r="X185" s="433" t="str">
        <f ca="1">IF($Y185&gt;0,CHOOSE(MATCH(RegimeExecucao,{"Unitário","Global"},0),IF($A185="S",ROUND($H185,ORÇAMENTO!$AF$10),""),ROUND($I185,ORÇAMENTO!$AF$11)),"")</f>
        <v/>
      </c>
      <c r="Y185" s="433">
        <f t="shared" ca="1" si="64"/>
        <v>0</v>
      </c>
      <c r="Z185" s="660"/>
      <c r="AB185" s="431"/>
      <c r="AC185" s="598"/>
      <c r="AD185" s="598"/>
      <c r="AE185" s="598"/>
      <c r="AF185" s="598"/>
      <c r="AG185" s="598"/>
      <c r="AH185" s="598"/>
      <c r="AI185" s="598"/>
      <c r="AJ185" s="598"/>
      <c r="AK185" s="598"/>
      <c r="AL185" s="598"/>
      <c r="AM185" s="432"/>
      <c r="AO185">
        <f ca="1">IF($A185="S",IF(BM!$I185=0,0,CHOOSE(MATCH(RegimeExecucao,{"Global","Unitário"},0),ROUND(ROUND(BM.MEDAcumulado,15-13*BM!$A$9)/100*BM!$I185,15-13*ORÇAMENTO!$AF$11),ROUND(ROUND(BM.MEDAcumulado,15-13*BM!$A$9)*ROUND(BM!$H185,15-13*ORÇAMENTO!$AF$10),15-13*ORÇAMENTO!$AF$11))),IF($A185=0,0,ROUND(SomaAgrupBM,15-13*ORÇAMENTO!$AF$11)))</f>
        <v>0</v>
      </c>
    </row>
    <row r="186" spans="1:41" ht="25.5" x14ac:dyDescent="0.2">
      <c r="A186" t="str">
        <f ca="1">ORÇAMENTO!C186</f>
        <v>S</v>
      </c>
      <c r="B186">
        <f ca="1">ORÇAMENTO!D186</f>
        <v>0</v>
      </c>
      <c r="C186" s="143" t="str">
        <f t="shared" ca="1" si="61"/>
        <v/>
      </c>
      <c r="D186" s="146" t="str">
        <f ca="1">ORÇAMENTO!O186</f>
        <v>-</v>
      </c>
      <c r="E186" s="206" t="str">
        <f t="shared" si="60"/>
        <v>LASTRO COM MATERIAL GRANULAR, APLICADO EM PISOS OU LAJES SOBRE SOLO, ESPESSURA DE *5 CM*. AF_01/2024</v>
      </c>
      <c r="F186" s="207" t="str">
        <f ca="1">IF(RegimeExecucao="Global","",ORÇAMENTO.Unidade)</f>
        <v/>
      </c>
      <c r="G186" s="151" t="str">
        <f ca="1">IF(RegimeExecucao="Global","",ORÇAMENTO!T186)</f>
        <v/>
      </c>
      <c r="H186" s="151" t="str">
        <f ca="1">IF(RegimeExecucao="Global","",ORÇAMENTO!W186)</f>
        <v/>
      </c>
      <c r="I186" s="154">
        <f ca="1">ORÇAMENTO!X186</f>
        <v>0</v>
      </c>
      <c r="J186" s="427">
        <f ca="1">IF($A186="S",IF(CAIXA.Modo,BM.AFAnterior,BM.MEDAnterior),IF(AND(RegimeExecucao="Global",$I186&gt;0,COUNTIF($AB$13:$AM$13,BM.medicao-1)&gt;0),M186/$I186*100,0))</f>
        <v>0</v>
      </c>
      <c r="K186" s="151">
        <f t="shared" ca="1" si="51"/>
        <v>0</v>
      </c>
      <c r="L186" s="428">
        <f ca="1">IF($A186="S",IF(CAIXA.Modo,BM.AFAcumulado,BM.MEDAcumulado),IF(AND(RegimeExecucao="Global",$I186&gt;0,COUNTIF($AB$13:$AM$13,BM.medicao)&gt;0),O186/$I186*100,0))</f>
        <v>0</v>
      </c>
      <c r="M186" s="429">
        <f ca="1">IF($A186="S",VTOTALBM,IF($A186=0,0,ROUND(SomaAgrupBM,15-13*ORÇAMENTO!$AF$11)))</f>
        <v>0</v>
      </c>
      <c r="N186" s="430">
        <f t="shared" ca="1" si="52"/>
        <v>0</v>
      </c>
      <c r="O186" s="154">
        <f ca="1">IF($A186="S",VTOTALBM,IF($A186=0,0,ROUND(SomaAgrupBM,15-13*ORÇAMENTO!$AF$11)))</f>
        <v>0</v>
      </c>
      <c r="Q186" s="431"/>
      <c r="R186" s="432"/>
      <c r="T186" s="146" t="str">
        <f t="shared" ca="1" si="62"/>
        <v/>
      </c>
      <c r="U186" s="206" t="str">
        <f t="shared" ca="1" si="63"/>
        <v/>
      </c>
      <c r="V186" s="207" t="str">
        <f ca="1">IF(AND($W186&gt;0,RegimeExecucao="Unitário"),$F186,"")</f>
        <v/>
      </c>
      <c r="W186" s="633">
        <f ca="1">IF($Y186&gt;0,CHOOSE(MATCH(RegimeExecucao,{"Unitário","Global"},0),IF($A186="S",$Y186/$X186,""),($Y186/$X186)*100),0)</f>
        <v>0</v>
      </c>
      <c r="X186" s="433" t="str">
        <f ca="1">IF($Y186&gt;0,CHOOSE(MATCH(RegimeExecucao,{"Unitário","Global"},0),IF($A186="S",ROUND($H186,ORÇAMENTO!$AF$10),""),ROUND($I186,ORÇAMENTO!$AF$11)),"")</f>
        <v/>
      </c>
      <c r="Y186" s="433">
        <f t="shared" ca="1" si="64"/>
        <v>0</v>
      </c>
      <c r="Z186" s="660"/>
      <c r="AB186" s="431"/>
      <c r="AC186" s="598"/>
      <c r="AD186" s="598"/>
      <c r="AE186" s="598"/>
      <c r="AF186" s="598"/>
      <c r="AG186" s="598"/>
      <c r="AH186" s="598"/>
      <c r="AI186" s="598"/>
      <c r="AJ186" s="598"/>
      <c r="AK186" s="598"/>
      <c r="AL186" s="598"/>
      <c r="AM186" s="432"/>
      <c r="AO186">
        <f ca="1">IF($A186="S",IF(BM!$I186=0,0,CHOOSE(MATCH(RegimeExecucao,{"Global","Unitário"},0),ROUND(ROUND(BM.MEDAcumulado,15-13*BM!$A$9)/100*BM!$I186,15-13*ORÇAMENTO!$AF$11),ROUND(ROUND(BM.MEDAcumulado,15-13*BM!$A$9)*ROUND(BM!$H186,15-13*ORÇAMENTO!$AF$10),15-13*ORÇAMENTO!$AF$11))),IF($A186=0,0,ROUND(SomaAgrupBM,15-13*ORÇAMENTO!$AF$11)))</f>
        <v>0</v>
      </c>
    </row>
    <row r="187" spans="1:41" ht="38.25" x14ac:dyDescent="0.2">
      <c r="A187" t="str">
        <f ca="1">ORÇAMENTO!C187</f>
        <v>S</v>
      </c>
      <c r="B187">
        <f ca="1">ORÇAMENTO!D187</f>
        <v>0</v>
      </c>
      <c r="C187" s="143" t="str">
        <f t="shared" ca="1" si="61"/>
        <v/>
      </c>
      <c r="D187" s="146" t="str">
        <f ca="1">ORÇAMENTO!O187</f>
        <v>-</v>
      </c>
      <c r="E187" s="206" t="str">
        <f t="shared" si="60"/>
        <v>EXECUÇÃO DE PASSEIO (CALÇADA) OU PISO DE CONCRETO COM CONCRETO MOLDADO IN LOCO, USINADO, ACABAMENTO CONVENCIONAL, ESPESSURA 6 CM, ARMADO. AF_08/2022</v>
      </c>
      <c r="F187" s="207" t="str">
        <f ca="1">IF(RegimeExecucao="Global","",ORÇAMENTO.Unidade)</f>
        <v/>
      </c>
      <c r="G187" s="151" t="str">
        <f ca="1">IF(RegimeExecucao="Global","",ORÇAMENTO!T187)</f>
        <v/>
      </c>
      <c r="H187" s="151" t="str">
        <f ca="1">IF(RegimeExecucao="Global","",ORÇAMENTO!W187)</f>
        <v/>
      </c>
      <c r="I187" s="154">
        <f ca="1">ORÇAMENTO!X187</f>
        <v>0</v>
      </c>
      <c r="J187" s="427">
        <f ca="1">IF($A187="S",IF(CAIXA.Modo,BM.AFAnterior,BM.MEDAnterior),IF(AND(RegimeExecucao="Global",$I187&gt;0,COUNTIF($AB$13:$AM$13,BM.medicao-1)&gt;0),M187/$I187*100,0))</f>
        <v>0</v>
      </c>
      <c r="K187" s="151">
        <f t="shared" ca="1" si="51"/>
        <v>0</v>
      </c>
      <c r="L187" s="428">
        <f ca="1">IF($A187="S",IF(CAIXA.Modo,BM.AFAcumulado,BM.MEDAcumulado),IF(AND(RegimeExecucao="Global",$I187&gt;0,COUNTIF($AB$13:$AM$13,BM.medicao)&gt;0),O187/$I187*100,0))</f>
        <v>0</v>
      </c>
      <c r="M187" s="429">
        <f ca="1">IF($A187="S",VTOTALBM,IF($A187=0,0,ROUND(SomaAgrupBM,15-13*ORÇAMENTO!$AF$11)))</f>
        <v>0</v>
      </c>
      <c r="N187" s="430">
        <f t="shared" ca="1" si="52"/>
        <v>0</v>
      </c>
      <c r="O187" s="154">
        <f ca="1">IF($A187="S",VTOTALBM,IF($A187=0,0,ROUND(SomaAgrupBM,15-13*ORÇAMENTO!$AF$11)))</f>
        <v>0</v>
      </c>
      <c r="Q187" s="431"/>
      <c r="R187" s="432"/>
      <c r="T187" s="146" t="str">
        <f t="shared" ca="1" si="62"/>
        <v/>
      </c>
      <c r="U187" s="206" t="str">
        <f t="shared" ca="1" si="63"/>
        <v/>
      </c>
      <c r="V187" s="207" t="str">
        <f ca="1">IF(AND($W187&gt;0,RegimeExecucao="Unitário"),$F187,"")</f>
        <v/>
      </c>
      <c r="W187" s="633">
        <f ca="1">IF($Y187&gt;0,CHOOSE(MATCH(RegimeExecucao,{"Unitário","Global"},0),IF($A187="S",$Y187/$X187,""),($Y187/$X187)*100),0)</f>
        <v>0</v>
      </c>
      <c r="X187" s="433" t="str">
        <f ca="1">IF($Y187&gt;0,CHOOSE(MATCH(RegimeExecucao,{"Unitário","Global"},0),IF($A187="S",ROUND($H187,ORÇAMENTO!$AF$10),""),ROUND($I187,ORÇAMENTO!$AF$11)),"")</f>
        <v/>
      </c>
      <c r="Y187" s="433">
        <f t="shared" ca="1" si="64"/>
        <v>0</v>
      </c>
      <c r="Z187" s="660"/>
      <c r="AB187" s="431"/>
      <c r="AC187" s="598"/>
      <c r="AD187" s="598"/>
      <c r="AE187" s="598"/>
      <c r="AF187" s="598"/>
      <c r="AG187" s="598"/>
      <c r="AH187" s="598"/>
      <c r="AI187" s="598"/>
      <c r="AJ187" s="598"/>
      <c r="AK187" s="598"/>
      <c r="AL187" s="598"/>
      <c r="AM187" s="432"/>
      <c r="AO187">
        <f ca="1">IF($A187="S",IF(BM!$I187=0,0,CHOOSE(MATCH(RegimeExecucao,{"Global","Unitário"},0),ROUND(ROUND(BM.MEDAcumulado,15-13*BM!$A$9)/100*BM!$I187,15-13*ORÇAMENTO!$AF$11),ROUND(ROUND(BM.MEDAcumulado,15-13*BM!$A$9)*ROUND(BM!$H187,15-13*ORÇAMENTO!$AF$10),15-13*ORÇAMENTO!$AF$11))),IF($A187=0,0,ROUND(SomaAgrupBM,15-13*ORÇAMENTO!$AF$11)))</f>
        <v>0</v>
      </c>
    </row>
    <row r="188" spans="1:41" x14ac:dyDescent="0.2">
      <c r="A188">
        <f ca="1">ORÇAMENTO!C188</f>
        <v>2</v>
      </c>
      <c r="B188">
        <f ca="1">ORÇAMENTO!D188</f>
        <v>4</v>
      </c>
      <c r="C188" s="143" t="str">
        <f t="shared" ca="1" si="61"/>
        <v>F</v>
      </c>
      <c r="D188" s="146" t="str">
        <f ca="1">ORÇAMENTO!O188</f>
        <v>1.25.</v>
      </c>
      <c r="E188" s="206" t="str">
        <f t="shared" si="60"/>
        <v>COMPLEMENTARES</v>
      </c>
      <c r="F188" s="207" t="str">
        <f ca="1">IF(RegimeExecucao="Global","",ORÇAMENTO.Unidade)</f>
        <v/>
      </c>
      <c r="G188" s="151" t="str">
        <f ca="1">IF(RegimeExecucao="Global","",ORÇAMENTO!T188)</f>
        <v/>
      </c>
      <c r="H188" s="151" t="str">
        <f ca="1">IF(RegimeExecucao="Global","",ORÇAMENTO!W188)</f>
        <v/>
      </c>
      <c r="I188" s="154">
        <f ca="1">ORÇAMENTO!X188</f>
        <v>0</v>
      </c>
      <c r="J188" s="427">
        <f ca="1">IF($A188="S",IF(CAIXA.Modo,BM.AFAnterior,BM.MEDAnterior),IF(AND(RegimeExecucao="Global",$I188&gt;0,COUNTIF($AB$13:$AM$13,BM.medicao-1)&gt;0),M188/$I188*100,0))</f>
        <v>0</v>
      </c>
      <c r="K188" s="151">
        <f t="shared" ca="1" si="51"/>
        <v>0</v>
      </c>
      <c r="L188" s="428">
        <f ca="1">IF($A188="S",IF(CAIXA.Modo,BM.AFAcumulado,BM.MEDAcumulado),IF(AND(RegimeExecucao="Global",$I188&gt;0,COUNTIF($AB$13:$AM$13,BM.medicao)&gt;0),O188/$I188*100,0))</f>
        <v>0</v>
      </c>
      <c r="M188" s="429">
        <f ca="1">IF($A188="S",VTOTALBM,IF($A188=0,0,ROUND(SomaAgrupBM,15-13*ORÇAMENTO!$AF$11)))</f>
        <v>0</v>
      </c>
      <c r="N188" s="430">
        <f t="shared" ca="1" si="52"/>
        <v>0</v>
      </c>
      <c r="O188" s="154">
        <f ca="1">IF($A188="S",VTOTALBM,IF($A188=0,0,ROUND(SomaAgrupBM,15-13*ORÇAMENTO!$AF$11)))</f>
        <v>0</v>
      </c>
      <c r="Q188" s="431"/>
      <c r="R188" s="432"/>
      <c r="T188" s="146" t="str">
        <f t="shared" ca="1" si="62"/>
        <v/>
      </c>
      <c r="U188" s="206" t="str">
        <f t="shared" ca="1" si="63"/>
        <v/>
      </c>
      <c r="V188" s="207" t="str">
        <f ca="1">IF(AND($W188&gt;0,RegimeExecucao="Unitário"),$F188,"")</f>
        <v/>
      </c>
      <c r="W188" s="633">
        <f ca="1">IF($Y188&gt;0,CHOOSE(MATCH(RegimeExecucao,{"Unitário","Global"},0),IF($A188="S",$Y188/$X188,""),($Y188/$X188)*100),0)</f>
        <v>0</v>
      </c>
      <c r="X188" s="433" t="str">
        <f ca="1">IF($Y188&gt;0,CHOOSE(MATCH(RegimeExecucao,{"Unitário","Global"},0),IF($A188="S",ROUND($H188,ORÇAMENTO!$AF$10),""),ROUND($I188,ORÇAMENTO!$AF$11)),"")</f>
        <v/>
      </c>
      <c r="Y188" s="433">
        <f t="shared" ca="1" si="64"/>
        <v>0</v>
      </c>
      <c r="Z188" s="660"/>
      <c r="AB188" s="431"/>
      <c r="AC188" s="598"/>
      <c r="AD188" s="598"/>
      <c r="AE188" s="598"/>
      <c r="AF188" s="598"/>
      <c r="AG188" s="598"/>
      <c r="AH188" s="598"/>
      <c r="AI188" s="598"/>
      <c r="AJ188" s="598"/>
      <c r="AK188" s="598"/>
      <c r="AL188" s="598"/>
      <c r="AM188" s="432"/>
      <c r="AO188">
        <f ca="1">IF($A188="S",IF(BM!$I188=0,0,CHOOSE(MATCH(RegimeExecucao,{"Global","Unitário"},0),ROUND(ROUND(BM.MEDAcumulado,15-13*BM!$A$9)/100*BM!$I188,15-13*ORÇAMENTO!$AF$11),ROUND(ROUND(BM.MEDAcumulado,15-13*BM!$A$9)*ROUND(BM!$H188,15-13*ORÇAMENTO!$AF$10),15-13*ORÇAMENTO!$AF$11))),IF($A188=0,0,ROUND(SomaAgrupBM,15-13*ORÇAMENTO!$AF$11)))</f>
        <v>0</v>
      </c>
    </row>
    <row r="189" spans="1:41" ht="25.5" x14ac:dyDescent="0.2">
      <c r="A189" t="str">
        <f ca="1">ORÇAMENTO!C189</f>
        <v>S</v>
      </c>
      <c r="B189">
        <f ca="1">ORÇAMENTO!D189</f>
        <v>0</v>
      </c>
      <c r="C189" s="143" t="str">
        <f t="shared" ca="1" si="61"/>
        <v/>
      </c>
      <c r="D189" s="146" t="str">
        <f ca="1">ORÇAMENTO!O189</f>
        <v>-</v>
      </c>
      <c r="E189" s="206" t="str">
        <f t="shared" si="60"/>
        <v>LIMPEZA DE PISO CERÂMICO OU PORCELANATO UTILIZANDO DETERGENTE NEUTRO E ESCOVAÇÃO MANUAL. AF_04/2019</v>
      </c>
      <c r="F189" s="207" t="str">
        <f ca="1">IF(RegimeExecucao="Global","",ORÇAMENTO.Unidade)</f>
        <v/>
      </c>
      <c r="G189" s="151" t="str">
        <f ca="1">IF(RegimeExecucao="Global","",ORÇAMENTO!T189)</f>
        <v/>
      </c>
      <c r="H189" s="151" t="str">
        <f ca="1">IF(RegimeExecucao="Global","",ORÇAMENTO!W189)</f>
        <v/>
      </c>
      <c r="I189" s="154">
        <f ca="1">ORÇAMENTO!X189</f>
        <v>0</v>
      </c>
      <c r="J189" s="427">
        <f ca="1">IF($A189="S",IF(CAIXA.Modo,BM.AFAnterior,BM.MEDAnterior),IF(AND(RegimeExecucao="Global",$I189&gt;0,COUNTIF($AB$13:$AM$13,BM.medicao-1)&gt;0),M189/$I189*100,0))</f>
        <v>0</v>
      </c>
      <c r="K189" s="151">
        <f t="shared" ca="1" si="51"/>
        <v>0</v>
      </c>
      <c r="L189" s="428">
        <f ca="1">IF($A189="S",IF(CAIXA.Modo,BM.AFAcumulado,BM.MEDAcumulado),IF(AND(RegimeExecucao="Global",$I189&gt;0,COUNTIF($AB$13:$AM$13,BM.medicao)&gt;0),O189/$I189*100,0))</f>
        <v>0</v>
      </c>
      <c r="M189" s="429">
        <f ca="1">IF($A189="S",VTOTALBM,IF($A189=0,0,ROUND(SomaAgrupBM,15-13*ORÇAMENTO!$AF$11)))</f>
        <v>0</v>
      </c>
      <c r="N189" s="430">
        <f t="shared" ca="1" si="52"/>
        <v>0</v>
      </c>
      <c r="O189" s="154">
        <f ca="1">IF($A189="S",VTOTALBM,IF($A189=0,0,ROUND(SomaAgrupBM,15-13*ORÇAMENTO!$AF$11)))</f>
        <v>0</v>
      </c>
      <c r="Q189" s="431"/>
      <c r="R189" s="432"/>
      <c r="T189" s="146" t="str">
        <f t="shared" ca="1" si="62"/>
        <v/>
      </c>
      <c r="U189" s="206" t="str">
        <f t="shared" ca="1" si="63"/>
        <v/>
      </c>
      <c r="V189" s="207" t="str">
        <f ca="1">IF(AND($W189&gt;0,RegimeExecucao="Unitário"),$F189,"")</f>
        <v/>
      </c>
      <c r="W189" s="633">
        <f ca="1">IF($Y189&gt;0,CHOOSE(MATCH(RegimeExecucao,{"Unitário","Global"},0),IF($A189="S",$Y189/$X189,""),($Y189/$X189)*100),0)</f>
        <v>0</v>
      </c>
      <c r="X189" s="433" t="str">
        <f ca="1">IF($Y189&gt;0,CHOOSE(MATCH(RegimeExecucao,{"Unitário","Global"},0),IF($A189="S",ROUND($H189,ORÇAMENTO!$AF$10),""),ROUND($I189,ORÇAMENTO!$AF$11)),"")</f>
        <v/>
      </c>
      <c r="Y189" s="433">
        <f t="shared" ca="1" si="64"/>
        <v>0</v>
      </c>
      <c r="Z189" s="660"/>
      <c r="AB189" s="431"/>
      <c r="AC189" s="598"/>
      <c r="AD189" s="598"/>
      <c r="AE189" s="598"/>
      <c r="AF189" s="598"/>
      <c r="AG189" s="598"/>
      <c r="AH189" s="598"/>
      <c r="AI189" s="598"/>
      <c r="AJ189" s="598"/>
      <c r="AK189" s="598"/>
      <c r="AL189" s="598"/>
      <c r="AM189" s="432"/>
      <c r="AO189">
        <f ca="1">IF($A189="S",IF(BM!$I189=0,0,CHOOSE(MATCH(RegimeExecucao,{"Global","Unitário"},0),ROUND(ROUND(BM.MEDAcumulado,15-13*BM!$A$9)/100*BM!$I189,15-13*ORÇAMENTO!$AF$11),ROUND(ROUND(BM.MEDAcumulado,15-13*BM!$A$9)*ROUND(BM!$H189,15-13*ORÇAMENTO!$AF$10),15-13*ORÇAMENTO!$AF$11))),IF($A189=0,0,ROUND(SomaAgrupBM,15-13*ORÇAMENTO!$AF$11)))</f>
        <v>0</v>
      </c>
    </row>
    <row r="190" spans="1:41" x14ac:dyDescent="0.2">
      <c r="A190" t="str">
        <f ca="1">ORÇAMENTO!C190</f>
        <v>S</v>
      </c>
      <c r="B190">
        <f ca="1">ORÇAMENTO!D190</f>
        <v>0</v>
      </c>
      <c r="C190" s="143" t="str">
        <f ca="1">IF(OR($I190&gt;0,$A190=1,$A190=2,$A190=3,$A190=4),"F","")</f>
        <v/>
      </c>
      <c r="D190" s="146" t="str">
        <f ca="1">ORÇAMENTO!O190</f>
        <v>-</v>
      </c>
      <c r="E190" s="206" t="str">
        <f>ORÇAMENTO.Descricao</f>
        <v xml:space="preserve">PLACA DE INAUGURACAO METALICA, *40* CM X *60* CM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F190" s="207" t="str">
        <f ca="1">IF(RegimeExecucao="Global","",ORÇAMENTO.Unidade)</f>
        <v/>
      </c>
      <c r="G190" s="151" t="str">
        <f ca="1">IF(RegimeExecucao="Global","",ORÇAMENTO!T190)</f>
        <v/>
      </c>
      <c r="H190" s="151" t="str">
        <f ca="1">IF(RegimeExecucao="Global","",ORÇAMENTO!W190)</f>
        <v/>
      </c>
      <c r="I190" s="154">
        <f ca="1">ORÇAMENTO!X190</f>
        <v>0</v>
      </c>
      <c r="J190" s="427">
        <f ca="1">IF($A190="S",IF(CAIXA.Modo,BM.AFAnterior,BM.MEDAnterior),IF(AND(RegimeExecucao="Global",$I190&gt;0,COUNTIF($AB$13:$AM$13,BM.medicao-1)&gt;0),M190/$I190*100,0))</f>
        <v>0</v>
      </c>
      <c r="K190" s="151">
        <f t="shared" ca="1" si="51"/>
        <v>0</v>
      </c>
      <c r="L190" s="428">
        <f ca="1">IF($A190="S",IF(CAIXA.Modo,BM.AFAcumulado,BM.MEDAcumulado),IF(AND(RegimeExecucao="Global",$I190&gt;0,COUNTIF($AB$13:$AM$13,BM.medicao)&gt;0),O190/$I190*100,0))</f>
        <v>0</v>
      </c>
      <c r="M190" s="429">
        <f ca="1">IF($A190="S",VTOTALBM,IF($A190=0,0,ROUND(SomaAgrupBM,15-13*ORÇAMENTO!$AF$11)))</f>
        <v>0</v>
      </c>
      <c r="N190" s="430">
        <f t="shared" ca="1" si="52"/>
        <v>0</v>
      </c>
      <c r="O190" s="154">
        <f ca="1">IF($A190="S",VTOTALBM,IF($A190=0,0,ROUND(SomaAgrupBM,15-13*ORÇAMENTO!$AF$11)))</f>
        <v>0</v>
      </c>
      <c r="Q190" s="431"/>
      <c r="R190" s="432"/>
      <c r="T190" s="146" t="str">
        <f ca="1">IF($W190&gt;0,$D190,"")</f>
        <v/>
      </c>
      <c r="U190" s="206" t="str">
        <f ca="1">IF($W190&gt;0,$E190,"")</f>
        <v/>
      </c>
      <c r="V190" s="207" t="str">
        <f ca="1">IF(AND($W190&gt;0,RegimeExecucao="Unitário"),$F190,"")</f>
        <v/>
      </c>
      <c r="W190" s="633">
        <f ca="1">IF($Y190&gt;0,CHOOSE(MATCH(RegimeExecucao,{"Unitário","Global"},0),IF($A190="S",$Y190/$X190,""),($Y190/$X190)*100),0)</f>
        <v>0</v>
      </c>
      <c r="X190" s="433" t="str">
        <f ca="1">IF($Y190&gt;0,CHOOSE(MATCH(RegimeExecucao,{"Unitário","Global"},0),IF($A190="S",ROUND($H190,ORÇAMENTO!$AF$10),""),ROUND($I190,ORÇAMENTO!$AF$11)),"")</f>
        <v/>
      </c>
      <c r="Y190" s="433">
        <f ca="1">AO190-O190</f>
        <v>0</v>
      </c>
      <c r="Z190" s="660"/>
      <c r="AB190" s="431"/>
      <c r="AC190" s="598"/>
      <c r="AD190" s="598"/>
      <c r="AE190" s="598"/>
      <c r="AF190" s="598"/>
      <c r="AG190" s="598"/>
      <c r="AH190" s="598"/>
      <c r="AI190" s="598"/>
      <c r="AJ190" s="598"/>
      <c r="AK190" s="598"/>
      <c r="AL190" s="598"/>
      <c r="AM190" s="432"/>
      <c r="AO190">
        <f ca="1">IF($A190="S",IF(BM!$I190=0,0,CHOOSE(MATCH(RegimeExecucao,{"Global","Unitário"},0),ROUND(ROUND(BM.MEDAcumulado,15-13*BM!$A$9)/100*BM!$I190,15-13*ORÇAMENTO!$AF$11),ROUND(ROUND(BM.MEDAcumulado,15-13*BM!$A$9)*ROUND(BM!$H190,15-13*ORÇAMENTO!$AF$10),15-13*ORÇAMENTO!$AF$11))),IF($A190=0,0,ROUND(SomaAgrupBM,15-13*ORÇAMENTO!$AF$11)))</f>
        <v>0</v>
      </c>
    </row>
    <row r="191" spans="1:41" ht="25.5" x14ac:dyDescent="0.2">
      <c r="A191" t="str">
        <f ca="1">ORÇAMENTO!C191</f>
        <v>S</v>
      </c>
      <c r="B191">
        <f ca="1">ORÇAMENTO!D191</f>
        <v>0</v>
      </c>
      <c r="C191" s="143" t="str">
        <f t="shared" ca="1" si="61"/>
        <v/>
      </c>
      <c r="D191" s="146" t="str">
        <f ca="1">ORÇAMENTO!O191</f>
        <v>-</v>
      </c>
      <c r="E191" s="206" t="str">
        <f t="shared" si="60"/>
        <v>LIMPEZA DE JANELA DE VIDRO COM CAIXILHO EM AÇO/ALUMÍNIO/PVC. AF_04/2019</v>
      </c>
      <c r="F191" s="207" t="str">
        <f ca="1">IF(RegimeExecucao="Global","",ORÇAMENTO.Unidade)</f>
        <v/>
      </c>
      <c r="G191" s="151" t="str">
        <f ca="1">IF(RegimeExecucao="Global","",ORÇAMENTO!T191)</f>
        <v/>
      </c>
      <c r="H191" s="151" t="str">
        <f ca="1">IF(RegimeExecucao="Global","",ORÇAMENTO!W191)</f>
        <v/>
      </c>
      <c r="I191" s="154">
        <f ca="1">ORÇAMENTO!X191</f>
        <v>0</v>
      </c>
      <c r="J191" s="427">
        <f ca="1">IF($A191="S",IF(CAIXA.Modo,BM.AFAnterior,BM.MEDAnterior),IF(AND(RegimeExecucao="Global",$I191&gt;0,COUNTIF($AB$13:$AM$13,BM.medicao-1)&gt;0),M191/$I191*100,0))</f>
        <v>0</v>
      </c>
      <c r="K191" s="151">
        <f t="shared" ca="1" si="51"/>
        <v>0</v>
      </c>
      <c r="L191" s="428">
        <f ca="1">IF($A191="S",IF(CAIXA.Modo,BM.AFAcumulado,BM.MEDAcumulado),IF(AND(RegimeExecucao="Global",$I191&gt;0,COUNTIF($AB$13:$AM$13,BM.medicao)&gt;0),O191/$I191*100,0))</f>
        <v>0</v>
      </c>
      <c r="M191" s="429">
        <f ca="1">IF($A191="S",VTOTALBM,IF($A191=0,0,ROUND(SomaAgrupBM,15-13*ORÇAMENTO!$AF$11)))</f>
        <v>0</v>
      </c>
      <c r="N191" s="430">
        <f t="shared" ca="1" si="52"/>
        <v>0</v>
      </c>
      <c r="O191" s="154">
        <f ca="1">IF($A191="S",VTOTALBM,IF($A191=0,0,ROUND(SomaAgrupBM,15-13*ORÇAMENTO!$AF$11)))</f>
        <v>0</v>
      </c>
      <c r="Q191" s="431"/>
      <c r="R191" s="432"/>
      <c r="T191" s="146" t="str">
        <f t="shared" ca="1" si="62"/>
        <v/>
      </c>
      <c r="U191" s="206" t="str">
        <f t="shared" ca="1" si="63"/>
        <v/>
      </c>
      <c r="V191" s="207" t="str">
        <f ca="1">IF(AND($W191&gt;0,RegimeExecucao="Unitário"),$F191,"")</f>
        <v/>
      </c>
      <c r="W191" s="633">
        <f ca="1">IF($Y191&gt;0,CHOOSE(MATCH(RegimeExecucao,{"Unitário","Global"},0),IF($A191="S",$Y191/$X191,""),($Y191/$X191)*100),0)</f>
        <v>0</v>
      </c>
      <c r="X191" s="433" t="str">
        <f ca="1">IF($Y191&gt;0,CHOOSE(MATCH(RegimeExecucao,{"Unitário","Global"},0),IF($A191="S",ROUND($H191,ORÇAMENTO!$AF$10),""),ROUND($I191,ORÇAMENTO!$AF$11)),"")</f>
        <v/>
      </c>
      <c r="Y191" s="433">
        <f t="shared" ca="1" si="64"/>
        <v>0</v>
      </c>
      <c r="Z191" s="660"/>
      <c r="AB191" s="431"/>
      <c r="AC191" s="598"/>
      <c r="AD191" s="598"/>
      <c r="AE191" s="598"/>
      <c r="AF191" s="598"/>
      <c r="AG191" s="598"/>
      <c r="AH191" s="598"/>
      <c r="AI191" s="598"/>
      <c r="AJ191" s="598"/>
      <c r="AK191" s="598"/>
      <c r="AL191" s="598"/>
      <c r="AM191" s="432"/>
      <c r="AO191">
        <f ca="1">IF($A191="S",IF(BM!$I191=0,0,CHOOSE(MATCH(RegimeExecucao,{"Global","Unitário"},0),ROUND(ROUND(BM.MEDAcumulado,15-13*BM!$A$9)/100*BM!$I191,15-13*ORÇAMENTO!$AF$11),ROUND(ROUND(BM.MEDAcumulado,15-13*BM!$A$9)*ROUND(BM!$H191,15-13*ORÇAMENTO!$AF$10),15-13*ORÇAMENTO!$AF$11))),IF($A191=0,0,ROUND(SomaAgrupBM,15-13*ORÇAMENTO!$AF$11)))</f>
        <v>0</v>
      </c>
    </row>
    <row r="192" spans="1:41" ht="5.0999999999999996" customHeight="1" x14ac:dyDescent="0.2">
      <c r="C192" s="143" t="s">
        <v>246</v>
      </c>
      <c r="D192" s="566"/>
      <c r="E192" s="563"/>
      <c r="F192" s="563"/>
      <c r="G192" s="563"/>
      <c r="H192" s="563"/>
      <c r="I192" s="564"/>
      <c r="J192" s="566"/>
      <c r="K192" s="563"/>
      <c r="L192" s="564"/>
      <c r="M192" s="595"/>
      <c r="N192" s="596"/>
      <c r="O192" s="597"/>
      <c r="Q192" s="566"/>
      <c r="R192" s="564"/>
      <c r="T192" s="566"/>
      <c r="U192" s="563"/>
      <c r="V192" s="563"/>
      <c r="W192" s="563"/>
      <c r="X192" s="563"/>
      <c r="Y192" s="563"/>
      <c r="Z192" s="564"/>
      <c r="AB192" s="566"/>
      <c r="AC192" s="563"/>
      <c r="AD192" s="563"/>
      <c r="AE192" s="563"/>
      <c r="AF192" s="563"/>
      <c r="AG192" s="563"/>
      <c r="AH192" s="563"/>
      <c r="AI192" s="563"/>
      <c r="AJ192" s="563"/>
      <c r="AK192" s="563"/>
      <c r="AL192" s="563"/>
      <c r="AM192" s="564"/>
    </row>
    <row r="193" spans="3:26" x14ac:dyDescent="0.2">
      <c r="D193" s="105"/>
      <c r="E193" s="105"/>
      <c r="F193" s="105"/>
      <c r="G193" s="105"/>
      <c r="H193" s="105"/>
      <c r="I193" s="105"/>
      <c r="J193" s="105"/>
      <c r="K193" s="105"/>
      <c r="L193" s="105"/>
      <c r="M193" s="105"/>
      <c r="N193" s="105"/>
      <c r="O193" s="105"/>
    </row>
    <row r="194" spans="3:26" ht="14.25" x14ac:dyDescent="0.2">
      <c r="C194" s="104"/>
      <c r="D194" s="801" t="s">
        <v>187</v>
      </c>
      <c r="E194" s="801"/>
      <c r="F194" s="801"/>
      <c r="G194" s="801"/>
      <c r="H194" s="801"/>
      <c r="I194" s="801"/>
      <c r="J194" s="801"/>
      <c r="K194" s="801"/>
      <c r="L194" s="801"/>
      <c r="M194" s="801"/>
      <c r="N194" s="801"/>
      <c r="O194" s="801"/>
      <c r="T194" s="802" t="s">
        <v>353</v>
      </c>
      <c r="U194" s="802"/>
      <c r="V194" s="802"/>
      <c r="W194" s="802"/>
      <c r="X194" s="802"/>
      <c r="Y194" s="802"/>
      <c r="Z194" s="802"/>
    </row>
    <row r="195" spans="3:26" ht="12.75" customHeight="1" x14ac:dyDescent="0.2">
      <c r="C195" s="104"/>
      <c r="D195" s="740"/>
      <c r="E195" s="740"/>
      <c r="F195" s="740"/>
      <c r="G195" s="740"/>
      <c r="H195" s="740"/>
      <c r="I195" s="740"/>
      <c r="J195" s="740"/>
      <c r="K195" s="740"/>
      <c r="L195" s="740"/>
      <c r="M195" s="740"/>
      <c r="N195" s="740"/>
      <c r="O195" s="740"/>
      <c r="T195" s="803"/>
      <c r="U195" s="803"/>
      <c r="V195" s="803"/>
      <c r="W195" s="803"/>
      <c r="X195" s="803"/>
      <c r="Y195" s="803"/>
      <c r="Z195" s="803"/>
    </row>
    <row r="196" spans="3:26" ht="12.75" customHeight="1" x14ac:dyDescent="0.2">
      <c r="C196" s="104"/>
      <c r="D196" s="740"/>
      <c r="E196" s="740"/>
      <c r="F196" s="740"/>
      <c r="G196" s="740"/>
      <c r="H196" s="740"/>
      <c r="I196" s="740"/>
      <c r="J196" s="740"/>
      <c r="K196" s="740"/>
      <c r="L196" s="740"/>
      <c r="M196" s="740"/>
      <c r="N196" s="740"/>
      <c r="O196" s="740"/>
      <c r="T196" s="803"/>
      <c r="U196" s="803"/>
      <c r="V196" s="803"/>
      <c r="W196" s="803"/>
      <c r="X196" s="803"/>
      <c r="Y196" s="803"/>
      <c r="Z196" s="803"/>
    </row>
    <row r="197" spans="3:26" ht="12.75" customHeight="1" x14ac:dyDescent="0.2">
      <c r="C197" s="104"/>
      <c r="D197" s="740"/>
      <c r="E197" s="740"/>
      <c r="F197" s="740"/>
      <c r="G197" s="740"/>
      <c r="H197" s="740"/>
      <c r="I197" s="740"/>
      <c r="J197" s="740"/>
      <c r="K197" s="740"/>
      <c r="L197" s="740"/>
      <c r="M197" s="740"/>
      <c r="N197" s="740"/>
      <c r="O197" s="740"/>
      <c r="T197" s="803"/>
      <c r="U197" s="803"/>
      <c r="V197" s="803"/>
      <c r="W197" s="803"/>
      <c r="X197" s="803"/>
      <c r="Y197" s="803"/>
      <c r="Z197" s="803"/>
    </row>
    <row r="198" spans="3:26" ht="14.25" x14ac:dyDescent="0.2">
      <c r="C198" s="104"/>
      <c r="D198" s="618"/>
      <c r="E198" s="618"/>
      <c r="F198" s="618"/>
      <c r="G198" s="618"/>
      <c r="H198" s="618"/>
      <c r="I198" s="618"/>
      <c r="J198" s="618"/>
      <c r="K198" s="618"/>
      <c r="L198" s="618"/>
      <c r="M198" s="618"/>
      <c r="N198" s="618"/>
      <c r="O198" s="618"/>
    </row>
    <row r="199" spans="3:26" ht="15" customHeight="1" x14ac:dyDescent="0.25">
      <c r="C199" s="104"/>
      <c r="D199" s="741" t="str">
        <f ca="1">IF(OR(AND(ORÇAMENTO!$AF$7=FALSE,ORÇAMENTO!$AF$10=FALSE,RegimeExecucao="Global"),AND(ORÇAMENTO!$AF$7=FALSE,ORÇAMENTO!$AF$10=FALSE,ORÇAMENTO!$AF$11=FALSE,BM!$A$9=FALSE)),"Não foi considerado arredondamento nos valores da planilha.",CONCATENATE("Foi considerado arredondamento de duas casas decimais para ",IF(AND(RegimeExecucao="Unitário",ORÇAMENTO!$AF$7=TRUE),"Quantidade; ",""),IF(AND(RegimeExecucao="Unitário",ORÇAMENTO!$AF$10=TRUE),"Preço unitário; ",""),IF(ORÇAMENTO!$AF$11=TRUE,"Preço total; ",""),,IF(BM!$A$9=TRUE,"Medição.","")))</f>
        <v>Foi considerado arredondamento de duas casas decimais para Preço total; Medição.</v>
      </c>
      <c r="E199" s="741"/>
      <c r="F199" s="741"/>
      <c r="G199" s="741"/>
      <c r="H199" s="741"/>
      <c r="I199" s="741"/>
      <c r="J199" s="741"/>
      <c r="K199" s="741"/>
      <c r="L199" s="741"/>
    </row>
    <row r="200" spans="3:26" x14ac:dyDescent="0.2">
      <c r="C200" s="104"/>
      <c r="D200" s="799"/>
      <c r="E200" s="799"/>
      <c r="F200" s="799"/>
      <c r="G200" s="799"/>
      <c r="H200" s="799"/>
      <c r="I200" s="799"/>
    </row>
    <row r="201" spans="3:26" x14ac:dyDescent="0.2">
      <c r="C201" s="104"/>
      <c r="D201" s="797" t="str">
        <f>IF(CAIXA.Modo,"","Os serviços medidos informados neste BM encontram-se concluídos, estão em conformidade com os projetos e especificações aceitos pela CAIXA e foram executados de acordo com as normas técnicas.")</f>
        <v>Os serviços medidos informados neste BM encontram-se concluídos, estão em conformidade com os projetos e especificações aceitos pela CAIXA e foram executados de acordo com as normas técnicas.</v>
      </c>
      <c r="E201" s="797"/>
      <c r="F201" s="797"/>
      <c r="G201" s="797"/>
      <c r="H201" s="797"/>
      <c r="I201" s="797"/>
      <c r="J201" s="797"/>
      <c r="K201" s="797"/>
      <c r="L201" s="797"/>
      <c r="M201" s="797"/>
      <c r="N201" s="797"/>
      <c r="O201" s="797"/>
    </row>
    <row r="202" spans="3:26" ht="39.950000000000003" customHeight="1" x14ac:dyDescent="0.2">
      <c r="C202" s="104"/>
      <c r="E202" s="174" t="str">
        <f>Import.Município</f>
        <v>SANTO ÂNGELO - RS</v>
      </c>
      <c r="J202" s="798"/>
      <c r="K202" s="798"/>
      <c r="L202" s="798"/>
      <c r="M202" s="798"/>
      <c r="N202" s="104"/>
      <c r="O202" s="104"/>
      <c r="W202" s="798"/>
      <c r="X202" s="798"/>
      <c r="Y202" s="798"/>
      <c r="Z202" s="798"/>
    </row>
    <row r="203" spans="3:26" x14ac:dyDescent="0.2">
      <c r="C203" s="104"/>
      <c r="E203" s="12" t="s">
        <v>188</v>
      </c>
      <c r="J203" s="229" t="s">
        <v>302</v>
      </c>
      <c r="K203" s="104"/>
      <c r="L203" s="104"/>
      <c r="M203" s="104"/>
      <c r="N203" s="104"/>
      <c r="O203" s="104"/>
      <c r="W203" s="229" t="s">
        <v>354</v>
      </c>
      <c r="X203" s="104"/>
      <c r="Y203" s="104"/>
      <c r="Z203" s="104"/>
    </row>
    <row r="204" spans="3:26" x14ac:dyDescent="0.2">
      <c r="C204" s="104"/>
      <c r="E204" s="104"/>
      <c r="J204" s="94" t="s">
        <v>108</v>
      </c>
      <c r="K204" s="353">
        <f t="array" ref="K204:K207">Import.RespFiscalização</f>
        <v>0</v>
      </c>
      <c r="L204" s="95"/>
      <c r="M204" s="104"/>
      <c r="N204" s="104"/>
      <c r="O204" s="104"/>
      <c r="W204" s="94" t="s">
        <v>108</v>
      </c>
      <c r="X204" s="796"/>
      <c r="Y204" s="796"/>
      <c r="Z204" s="796"/>
    </row>
    <row r="205" spans="3:26" x14ac:dyDescent="0.2">
      <c r="C205" s="104"/>
      <c r="E205" s="638">
        <f ca="1">DADOS!$F$48</f>
        <v>45573</v>
      </c>
      <c r="J205" s="94" t="s">
        <v>127</v>
      </c>
      <c r="K205" s="353">
        <v>0</v>
      </c>
      <c r="L205" s="95"/>
      <c r="M205" s="104"/>
      <c r="N205" s="104"/>
      <c r="O205" s="104"/>
      <c r="W205" s="94" t="s">
        <v>355</v>
      </c>
      <c r="X205" s="796"/>
      <c r="Y205" s="796"/>
      <c r="Z205" s="796"/>
    </row>
    <row r="206" spans="3:26" x14ac:dyDescent="0.2">
      <c r="C206" s="104"/>
      <c r="E206" s="177" t="s">
        <v>189</v>
      </c>
      <c r="J206" s="94" t="s">
        <v>109</v>
      </c>
      <c r="K206" s="353">
        <v>0</v>
      </c>
      <c r="L206" s="95"/>
      <c r="M206" s="104"/>
      <c r="N206" s="104"/>
      <c r="O206" s="104"/>
      <c r="W206" s="94" t="s">
        <v>109</v>
      </c>
      <c r="X206" s="796"/>
      <c r="Y206" s="796"/>
      <c r="Z206" s="796"/>
    </row>
    <row r="207" spans="3:26" x14ac:dyDescent="0.2">
      <c r="J207" s="94" t="s">
        <v>110</v>
      </c>
      <c r="K207" s="354">
        <v>0</v>
      </c>
      <c r="W207" s="94"/>
      <c r="X207" s="354"/>
    </row>
  </sheetData>
  <sheetProtection password="BD1F" sheet="1" objects="1" scenarios="1" autoFilter="0"/>
  <autoFilter ref="C15:C192"/>
  <mergeCells count="35">
    <mergeCell ref="D5:E5"/>
    <mergeCell ref="F5:H5"/>
    <mergeCell ref="J5:N5"/>
    <mergeCell ref="A3:B3"/>
    <mergeCell ref="D4:E4"/>
    <mergeCell ref="F4:H4"/>
    <mergeCell ref="J4:N4"/>
    <mergeCell ref="C8:C12"/>
    <mergeCell ref="F8:H8"/>
    <mergeCell ref="I8:L8"/>
    <mergeCell ref="M8:N8"/>
    <mergeCell ref="E10:I11"/>
    <mergeCell ref="N10:O11"/>
    <mergeCell ref="AB11:AM11"/>
    <mergeCell ref="J12:L12"/>
    <mergeCell ref="M12:O12"/>
    <mergeCell ref="Q12:R12"/>
    <mergeCell ref="F7:H7"/>
    <mergeCell ref="I7:L7"/>
    <mergeCell ref="M7:N7"/>
    <mergeCell ref="T11:U11"/>
    <mergeCell ref="D199:L199"/>
    <mergeCell ref="D200:I200"/>
    <mergeCell ref="AB15:AM15"/>
    <mergeCell ref="D194:O194"/>
    <mergeCell ref="T194:Z194"/>
    <mergeCell ref="D195:O197"/>
    <mergeCell ref="T195:Z197"/>
    <mergeCell ref="D15:E15"/>
    <mergeCell ref="X206:Z206"/>
    <mergeCell ref="D201:O201"/>
    <mergeCell ref="J202:M202"/>
    <mergeCell ref="W202:Z202"/>
    <mergeCell ref="X204:Z204"/>
    <mergeCell ref="X205:Z205"/>
  </mergeCells>
  <phoneticPr fontId="38" type="noConversion"/>
  <conditionalFormatting sqref="D14:O14 T14:Z14 T68:Z84 D68:O84 D42:O46 T42:Z46 D152:O158 T152:Z158 D96:O97 T96:Z97 D187:O189 T187:Z189 D38:O38 T38:Z38 D17:O23 T17:Z23 D26:O36 T26:Z36 D129:O130 T129:Z130 D138:O139 T138:Z139 D167:O174 T167:Z174 T179:Z182 D179:O182 D87:O88 T87:Z88 T90:Z93 D90:O93 T191:Z191 D191:O191 T132:Z133 D132:O133 D126:O127 T126:Z127 D122:O123 T122:Z123">
    <cfRule type="expression" dxfId="271" priority="3163" stopIfTrue="1">
      <formula>OR(ACOMPANHAMENTO="PLE",TIPOORCAMENTO="Proposto",$L14&lt;0,AND($L14&gt;100,RegimeExecucao="Global"),$O14&gt;$I14,$O14&lt;0)</formula>
    </cfRule>
    <cfRule type="expression" dxfId="270" priority="3164" stopIfTrue="1">
      <formula>$A14=1</formula>
    </cfRule>
    <cfRule type="expression" dxfId="269" priority="3165" stopIfTrue="1">
      <formula>$A14&lt;&gt;"S"</formula>
    </cfRule>
  </conditionalFormatting>
  <conditionalFormatting sqref="Q14:R14 AB14:AM14 AB68:AM84 Q68:R84 Q42:R46 AB42:AM46 Q152:R158 AB152:AM158 Q96:R97 AB96:AM97 Q187:R189 AB187:AM189 Q38:R38 AB38:AM38 Q17:R23 AB17:AM23 Q26:R36 AB26:AM36 Q129:R130 AB129:AM130 Q138:R139 AB138:AM139 Q167:R174 AB167:AM174 AB179:AM182 Q179:R182 Q87:R88 AB87:AM88 AB90:AM93 Q90:R93 AB191:AM191 Q191:R191 AB132:AM133 Q132:R133 Q126:R127 AB126:AM127 Q122:R123 AB122:AM123">
    <cfRule type="expression" dxfId="268" priority="3166" stopIfTrue="1">
      <formula>$A14=1</formula>
    </cfRule>
    <cfRule type="expression" dxfId="267" priority="3167" stopIfTrue="1">
      <formula>$A14&lt;&gt;"S"</formula>
    </cfRule>
  </conditionalFormatting>
  <conditionalFormatting sqref="E2">
    <cfRule type="expression" dxfId="266" priority="3168" stopIfTrue="1">
      <formula>Import.RegimeExecução="(SELECIONAR)"</formula>
    </cfRule>
  </conditionalFormatting>
  <conditionalFormatting sqref="F13:H13">
    <cfRule type="expression" dxfId="265" priority="3169" stopIfTrue="1">
      <formula>RegimeExecucao="Global"</formula>
    </cfRule>
  </conditionalFormatting>
  <conditionalFormatting sqref="D15:O15">
    <cfRule type="expression" dxfId="264" priority="3170" stopIfTrue="1">
      <formula>OR(ACOMPANHAMENTO="PLE",TIPOORCAMENTO="Proposto")</formula>
    </cfRule>
  </conditionalFormatting>
  <conditionalFormatting sqref="AB13">
    <cfRule type="cellIs" dxfId="263" priority="3171" stopIfTrue="1" operator="notEqual">
      <formula>1</formula>
    </cfRule>
  </conditionalFormatting>
  <conditionalFormatting sqref="D16:O16 T16:Z16">
    <cfRule type="expression" dxfId="262" priority="871" stopIfTrue="1">
      <formula>OR(ACOMPANHAMENTO="PLE",TIPOORCAMENTO="Proposto",$L16&lt;0,AND($L16&gt;100,RegimeExecucao="Global"),$O16&gt;$I16,$O16&lt;0)</formula>
    </cfRule>
    <cfRule type="expression" dxfId="261" priority="872" stopIfTrue="1">
      <formula>$A16=1</formula>
    </cfRule>
    <cfRule type="expression" dxfId="260" priority="873" stopIfTrue="1">
      <formula>$A16&lt;&gt;"S"</formula>
    </cfRule>
  </conditionalFormatting>
  <conditionalFormatting sqref="Q16:R16 AB16:AM16">
    <cfRule type="expression" dxfId="259" priority="874" stopIfTrue="1">
      <formula>$A16=1</formula>
    </cfRule>
    <cfRule type="expression" dxfId="258" priority="875" stopIfTrue="1">
      <formula>$A16&lt;&gt;"S"</formula>
    </cfRule>
  </conditionalFormatting>
  <conditionalFormatting sqref="D60:O60 T60:Z60">
    <cfRule type="expression" dxfId="257" priority="641" stopIfTrue="1">
      <formula>OR(ACOMPANHAMENTO="PLE",TIPOORCAMENTO="Proposto",$L60&lt;0,AND($L60&gt;100,RegimeExecucao="Global"),$O60&gt;$I60,$O60&lt;0)</formula>
    </cfRule>
    <cfRule type="expression" dxfId="256" priority="642" stopIfTrue="1">
      <formula>$A60=1</formula>
    </cfRule>
    <cfRule type="expression" dxfId="255" priority="643" stopIfTrue="1">
      <formula>$A60&lt;&gt;"S"</formula>
    </cfRule>
  </conditionalFormatting>
  <conditionalFormatting sqref="Q60:R60 AB60:AM60">
    <cfRule type="expression" dxfId="254" priority="644" stopIfTrue="1">
      <formula>$A60=1</formula>
    </cfRule>
    <cfRule type="expression" dxfId="253" priority="645" stopIfTrue="1">
      <formula>$A60&lt;&gt;"S"</formula>
    </cfRule>
  </conditionalFormatting>
  <conditionalFormatting sqref="D61:O61 T61:Z61">
    <cfRule type="expression" dxfId="252" priority="561" stopIfTrue="1">
      <formula>OR(ACOMPANHAMENTO="PLE",TIPOORCAMENTO="Proposto",$L61&lt;0,AND($L61&gt;100,RegimeExecucao="Global"),$O61&gt;$I61,$O61&lt;0)</formula>
    </cfRule>
    <cfRule type="expression" dxfId="251" priority="562" stopIfTrue="1">
      <formula>$A61=1</formula>
    </cfRule>
    <cfRule type="expression" dxfId="250" priority="563" stopIfTrue="1">
      <formula>$A61&lt;&gt;"S"</formula>
    </cfRule>
  </conditionalFormatting>
  <conditionalFormatting sqref="Q61:R61 AB61:AM61">
    <cfRule type="expression" dxfId="249" priority="564" stopIfTrue="1">
      <formula>$A61=1</formula>
    </cfRule>
    <cfRule type="expression" dxfId="248" priority="565" stopIfTrue="1">
      <formula>$A61&lt;&gt;"S"</formula>
    </cfRule>
  </conditionalFormatting>
  <conditionalFormatting sqref="D62:O64 T62:Z64">
    <cfRule type="expression" dxfId="247" priority="486" stopIfTrue="1">
      <formula>OR(ACOMPANHAMENTO="PLE",TIPOORCAMENTO="Proposto",$L62&lt;0,AND($L62&gt;100,RegimeExecucao="Global"),$O62&gt;$I62,$O62&lt;0)</formula>
    </cfRule>
    <cfRule type="expression" dxfId="246" priority="487" stopIfTrue="1">
      <formula>$A62=1</formula>
    </cfRule>
    <cfRule type="expression" dxfId="245" priority="488" stopIfTrue="1">
      <formula>$A62&lt;&gt;"S"</formula>
    </cfRule>
  </conditionalFormatting>
  <conditionalFormatting sqref="Q62:R64 AB62:AM64">
    <cfRule type="expression" dxfId="244" priority="489" stopIfTrue="1">
      <formula>$A62=1</formula>
    </cfRule>
    <cfRule type="expression" dxfId="243" priority="490" stopIfTrue="1">
      <formula>$A62&lt;&gt;"S"</formula>
    </cfRule>
  </conditionalFormatting>
  <conditionalFormatting sqref="D94:O94 T94:Z94">
    <cfRule type="expression" dxfId="242" priority="481" stopIfTrue="1">
      <formula>OR(ACOMPANHAMENTO="PLE",TIPOORCAMENTO="Proposto",$L94&lt;0,AND($L94&gt;100,RegimeExecucao="Global"),$O94&gt;$I94,$O94&lt;0)</formula>
    </cfRule>
    <cfRule type="expression" dxfId="241" priority="482" stopIfTrue="1">
      <formula>$A94=1</formula>
    </cfRule>
    <cfRule type="expression" dxfId="240" priority="483" stopIfTrue="1">
      <formula>$A94&lt;&gt;"S"</formula>
    </cfRule>
  </conditionalFormatting>
  <conditionalFormatting sqref="Q94:R94 AB94:AM94">
    <cfRule type="expression" dxfId="239" priority="484" stopIfTrue="1">
      <formula>$A94=1</formula>
    </cfRule>
    <cfRule type="expression" dxfId="238" priority="485" stopIfTrue="1">
      <formula>$A94&lt;&gt;"S"</formula>
    </cfRule>
  </conditionalFormatting>
  <conditionalFormatting sqref="D95:O95 T95:Z95 T100:Z100 D100:O100">
    <cfRule type="expression" dxfId="237" priority="476" stopIfTrue="1">
      <formula>OR(ACOMPANHAMENTO="PLE",TIPOORCAMENTO="Proposto",$L95&lt;0,AND($L95&gt;100,RegimeExecucao="Global"),$O95&gt;$I95,$O95&lt;0)</formula>
    </cfRule>
    <cfRule type="expression" dxfId="236" priority="477" stopIfTrue="1">
      <formula>$A95=1</formula>
    </cfRule>
    <cfRule type="expression" dxfId="235" priority="478" stopIfTrue="1">
      <formula>$A95&lt;&gt;"S"</formula>
    </cfRule>
  </conditionalFormatting>
  <conditionalFormatting sqref="Q95:R95 AB95:AM95 AB100:AM100 Q100:R100">
    <cfRule type="expression" dxfId="234" priority="479" stopIfTrue="1">
      <formula>$A95=1</formula>
    </cfRule>
    <cfRule type="expression" dxfId="233" priority="480" stopIfTrue="1">
      <formula>$A95&lt;&gt;"S"</formula>
    </cfRule>
  </conditionalFormatting>
  <conditionalFormatting sqref="D40:O40 T40:Z40">
    <cfRule type="expression" dxfId="232" priority="466" stopIfTrue="1">
      <formula>OR(ACOMPANHAMENTO="PLE",TIPOORCAMENTO="Proposto",$L40&lt;0,AND($L40&gt;100,RegimeExecucao="Global"),$O40&gt;$I40,$O40&lt;0)</formula>
    </cfRule>
    <cfRule type="expression" dxfId="231" priority="467" stopIfTrue="1">
      <formula>$A40=1</formula>
    </cfRule>
    <cfRule type="expression" dxfId="230" priority="468" stopIfTrue="1">
      <formula>$A40&lt;&gt;"S"</formula>
    </cfRule>
  </conditionalFormatting>
  <conditionalFormatting sqref="Q40:R40 AB40:AM40">
    <cfRule type="expression" dxfId="229" priority="469" stopIfTrue="1">
      <formula>$A40=1</formula>
    </cfRule>
    <cfRule type="expression" dxfId="228" priority="470" stopIfTrue="1">
      <formula>$A40&lt;&gt;"S"</formula>
    </cfRule>
  </conditionalFormatting>
  <conditionalFormatting sqref="D39:O39 T39:Z39">
    <cfRule type="expression" dxfId="227" priority="456" stopIfTrue="1">
      <formula>OR(ACOMPANHAMENTO="PLE",TIPOORCAMENTO="Proposto",$L39&lt;0,AND($L39&gt;100,RegimeExecucao="Global"),$O39&gt;$I39,$O39&lt;0)</formula>
    </cfRule>
    <cfRule type="expression" dxfId="226" priority="457" stopIfTrue="1">
      <formula>$A39=1</formula>
    </cfRule>
    <cfRule type="expression" dxfId="225" priority="458" stopIfTrue="1">
      <formula>$A39&lt;&gt;"S"</formula>
    </cfRule>
  </conditionalFormatting>
  <conditionalFormatting sqref="Q39:R39 AB39:AM39">
    <cfRule type="expression" dxfId="224" priority="459" stopIfTrue="1">
      <formula>$A39=1</formula>
    </cfRule>
    <cfRule type="expression" dxfId="223" priority="460" stopIfTrue="1">
      <formula>$A39&lt;&gt;"S"</formula>
    </cfRule>
  </conditionalFormatting>
  <conditionalFormatting sqref="D47:O49 T47:Z49 T51:Z54 D51:O54 D56:O57 T56:Z57">
    <cfRule type="expression" dxfId="222" priority="441" stopIfTrue="1">
      <formula>OR(ACOMPANHAMENTO="PLE",TIPOORCAMENTO="Proposto",$L47&lt;0,AND($L47&gt;100,RegimeExecucao="Global"),$O47&gt;$I47,$O47&lt;0)</formula>
    </cfRule>
    <cfRule type="expression" dxfId="221" priority="442" stopIfTrue="1">
      <formula>$A47=1</formula>
    </cfRule>
    <cfRule type="expression" dxfId="220" priority="443" stopIfTrue="1">
      <formula>$A47&lt;&gt;"S"</formula>
    </cfRule>
  </conditionalFormatting>
  <conditionalFormatting sqref="Q47:R49 AB47:AM49 AB51:AM54 Q51:R54 Q56:R57 AB56:AM57">
    <cfRule type="expression" dxfId="219" priority="444" stopIfTrue="1">
      <formula>$A47=1</formula>
    </cfRule>
    <cfRule type="expression" dxfId="218" priority="445" stopIfTrue="1">
      <formula>$A47&lt;&gt;"S"</formula>
    </cfRule>
  </conditionalFormatting>
  <conditionalFormatting sqref="D98:O98 T98:Z98">
    <cfRule type="expression" dxfId="217" priority="416" stopIfTrue="1">
      <formula>OR(ACOMPANHAMENTO="PLE",TIPOORCAMENTO="Proposto",$L98&lt;0,AND($L98&gt;100,RegimeExecucao="Global"),$O98&gt;$I98,$O98&lt;0)</formula>
    </cfRule>
    <cfRule type="expression" dxfId="216" priority="417" stopIfTrue="1">
      <formula>$A98=1</formula>
    </cfRule>
    <cfRule type="expression" dxfId="215" priority="418" stopIfTrue="1">
      <formula>$A98&lt;&gt;"S"</formula>
    </cfRule>
  </conditionalFormatting>
  <conditionalFormatting sqref="Q98:R98 AB98:AM98">
    <cfRule type="expression" dxfId="214" priority="419" stopIfTrue="1">
      <formula>$A98=1</formula>
    </cfRule>
    <cfRule type="expression" dxfId="213" priority="420" stopIfTrue="1">
      <formula>$A98&lt;&gt;"S"</formula>
    </cfRule>
  </conditionalFormatting>
  <conditionalFormatting sqref="D101:O102 T101:Z102 T104:Z110 D104:O110">
    <cfRule type="expression" dxfId="212" priority="401" stopIfTrue="1">
      <formula>OR(ACOMPANHAMENTO="PLE",TIPOORCAMENTO="Proposto",$L101&lt;0,AND($L101&gt;100,RegimeExecucao="Global"),$O101&gt;$I101,$O101&lt;0)</formula>
    </cfRule>
    <cfRule type="expression" dxfId="211" priority="402" stopIfTrue="1">
      <formula>$A101=1</formula>
    </cfRule>
    <cfRule type="expression" dxfId="210" priority="403" stopIfTrue="1">
      <formula>$A101&lt;&gt;"S"</formula>
    </cfRule>
  </conditionalFormatting>
  <conditionalFormatting sqref="Q101:R102 AB101:AM102 AB104:AM110 Q104:R110">
    <cfRule type="expression" dxfId="209" priority="404" stopIfTrue="1">
      <formula>$A101=1</formula>
    </cfRule>
    <cfRule type="expression" dxfId="208" priority="405" stopIfTrue="1">
      <formula>$A101&lt;&gt;"S"</formula>
    </cfRule>
  </conditionalFormatting>
  <conditionalFormatting sqref="D50:O50 T50:Z50">
    <cfRule type="expression" dxfId="207" priority="361" stopIfTrue="1">
      <formula>OR(ACOMPANHAMENTO="PLE",TIPOORCAMENTO="Proposto",$L50&lt;0,AND($L50&gt;100,RegimeExecucao="Global"),$O50&gt;$I50,$O50&lt;0)</formula>
    </cfRule>
    <cfRule type="expression" dxfId="206" priority="362" stopIfTrue="1">
      <formula>$A50=1</formula>
    </cfRule>
    <cfRule type="expression" dxfId="205" priority="363" stopIfTrue="1">
      <formula>$A50&lt;&gt;"S"</formula>
    </cfRule>
  </conditionalFormatting>
  <conditionalFormatting sqref="Q50:R50 AB50:AM50">
    <cfRule type="expression" dxfId="204" priority="364" stopIfTrue="1">
      <formula>$A50=1</formula>
    </cfRule>
    <cfRule type="expression" dxfId="203" priority="365" stopIfTrue="1">
      <formula>$A50&lt;&gt;"S"</formula>
    </cfRule>
  </conditionalFormatting>
  <conditionalFormatting sqref="D58:O59 T58:Z59">
    <cfRule type="expression" dxfId="202" priority="356" stopIfTrue="1">
      <formula>OR(ACOMPANHAMENTO="PLE",TIPOORCAMENTO="Proposto",$L58&lt;0,AND($L58&gt;100,RegimeExecucao="Global"),$O58&gt;$I58,$O58&lt;0)</formula>
    </cfRule>
    <cfRule type="expression" dxfId="201" priority="357" stopIfTrue="1">
      <formula>$A58=1</formula>
    </cfRule>
    <cfRule type="expression" dxfId="200" priority="358" stopIfTrue="1">
      <formula>$A58&lt;&gt;"S"</formula>
    </cfRule>
  </conditionalFormatting>
  <conditionalFormatting sqref="Q58:R59 AB58:AM59">
    <cfRule type="expression" dxfId="199" priority="359" stopIfTrue="1">
      <formula>$A58=1</formula>
    </cfRule>
    <cfRule type="expression" dxfId="198" priority="360" stopIfTrue="1">
      <formula>$A58&lt;&gt;"S"</formula>
    </cfRule>
  </conditionalFormatting>
  <conditionalFormatting sqref="D103:O103 T103:Z103">
    <cfRule type="expression" dxfId="197" priority="341" stopIfTrue="1">
      <formula>OR(ACOMPANHAMENTO="PLE",TIPOORCAMENTO="Proposto",$L103&lt;0,AND($L103&gt;100,RegimeExecucao="Global"),$O103&gt;$I103,$O103&lt;0)</formula>
    </cfRule>
    <cfRule type="expression" dxfId="196" priority="342" stopIfTrue="1">
      <formula>$A103=1</formula>
    </cfRule>
    <cfRule type="expression" dxfId="195" priority="343" stopIfTrue="1">
      <formula>$A103&lt;&gt;"S"</formula>
    </cfRule>
  </conditionalFormatting>
  <conditionalFormatting sqref="Q103:R103 AB103:AM103">
    <cfRule type="expression" dxfId="194" priority="344" stopIfTrue="1">
      <formula>$A103=1</formula>
    </cfRule>
    <cfRule type="expression" dxfId="193" priority="345" stopIfTrue="1">
      <formula>$A103&lt;&gt;"S"</formula>
    </cfRule>
  </conditionalFormatting>
  <conditionalFormatting sqref="D55:O55 T55:Z55">
    <cfRule type="expression" dxfId="192" priority="331" stopIfTrue="1">
      <formula>OR(ACOMPANHAMENTO="PLE",TIPOORCAMENTO="Proposto",$L55&lt;0,AND($L55&gt;100,RegimeExecucao="Global"),$O55&gt;$I55,$O55&lt;0)</formula>
    </cfRule>
    <cfRule type="expression" dxfId="191" priority="332" stopIfTrue="1">
      <formula>$A55=1</formula>
    </cfRule>
    <cfRule type="expression" dxfId="190" priority="333" stopIfTrue="1">
      <formula>$A55&lt;&gt;"S"</formula>
    </cfRule>
  </conditionalFormatting>
  <conditionalFormatting sqref="Q55:R55 AB55:AM55">
    <cfRule type="expression" dxfId="189" priority="334" stopIfTrue="1">
      <formula>$A55=1</formula>
    </cfRule>
    <cfRule type="expression" dxfId="188" priority="335" stopIfTrue="1">
      <formula>$A55&lt;&gt;"S"</formula>
    </cfRule>
  </conditionalFormatting>
  <conditionalFormatting sqref="D37:O37 T37:Z37">
    <cfRule type="expression" dxfId="187" priority="326" stopIfTrue="1">
      <formula>OR(ACOMPANHAMENTO="PLE",TIPOORCAMENTO="Proposto",$L37&lt;0,AND($L37&gt;100,RegimeExecucao="Global"),$O37&gt;$I37,$O37&lt;0)</formula>
    </cfRule>
    <cfRule type="expression" dxfId="186" priority="327" stopIfTrue="1">
      <formula>$A37=1</formula>
    </cfRule>
    <cfRule type="expression" dxfId="185" priority="328" stopIfTrue="1">
      <formula>$A37&lt;&gt;"S"</formula>
    </cfRule>
  </conditionalFormatting>
  <conditionalFormatting sqref="Q37:R37 AB37:AM37">
    <cfRule type="expression" dxfId="184" priority="329" stopIfTrue="1">
      <formula>$A37=1</formula>
    </cfRule>
    <cfRule type="expression" dxfId="183" priority="330" stopIfTrue="1">
      <formula>$A37&lt;&gt;"S"</formula>
    </cfRule>
  </conditionalFormatting>
  <conditionalFormatting sqref="D111:O117 T111:Z117">
    <cfRule type="expression" dxfId="182" priority="296" stopIfTrue="1">
      <formula>OR(ACOMPANHAMENTO="PLE",TIPOORCAMENTO="Proposto",$L111&lt;0,AND($L111&gt;100,RegimeExecucao="Global"),$O111&gt;$I111,$O111&lt;0)</formula>
    </cfRule>
    <cfRule type="expression" dxfId="181" priority="297" stopIfTrue="1">
      <formula>$A111=1</formula>
    </cfRule>
    <cfRule type="expression" dxfId="180" priority="298" stopIfTrue="1">
      <formula>$A111&lt;&gt;"S"</formula>
    </cfRule>
  </conditionalFormatting>
  <conditionalFormatting sqref="Q111:R117 AB111:AM117">
    <cfRule type="expression" dxfId="179" priority="299" stopIfTrue="1">
      <formula>$A111=1</formula>
    </cfRule>
    <cfRule type="expression" dxfId="178" priority="300" stopIfTrue="1">
      <formula>$A111&lt;&gt;"S"</formula>
    </cfRule>
  </conditionalFormatting>
  <conditionalFormatting sqref="D120:O120 T120:Z120">
    <cfRule type="expression" dxfId="177" priority="291" stopIfTrue="1">
      <formula>OR(ACOMPANHAMENTO="PLE",TIPOORCAMENTO="Proposto",$L120&lt;0,AND($L120&gt;100,RegimeExecucao="Global"),$O120&gt;$I120,$O120&lt;0)</formula>
    </cfRule>
    <cfRule type="expression" dxfId="176" priority="292" stopIfTrue="1">
      <formula>$A120=1</formula>
    </cfRule>
    <cfRule type="expression" dxfId="175" priority="293" stopIfTrue="1">
      <formula>$A120&lt;&gt;"S"</formula>
    </cfRule>
  </conditionalFormatting>
  <conditionalFormatting sqref="Q120:R120 AB120:AM120">
    <cfRule type="expression" dxfId="174" priority="294" stopIfTrue="1">
      <formula>$A120=1</formula>
    </cfRule>
    <cfRule type="expression" dxfId="173" priority="295" stopIfTrue="1">
      <formula>$A120&lt;&gt;"S"</formula>
    </cfRule>
  </conditionalFormatting>
  <conditionalFormatting sqref="D149:O149 T149:Z149">
    <cfRule type="expression" dxfId="172" priority="286" stopIfTrue="1">
      <formula>OR(ACOMPANHAMENTO="PLE",TIPOORCAMENTO="Proposto",$L149&lt;0,AND($L149&gt;100,RegimeExecucao="Global"),$O149&gt;$I149,$O149&lt;0)</formula>
    </cfRule>
    <cfRule type="expression" dxfId="171" priority="287" stopIfTrue="1">
      <formula>$A149=1</formula>
    </cfRule>
    <cfRule type="expression" dxfId="170" priority="288" stopIfTrue="1">
      <formula>$A149&lt;&gt;"S"</formula>
    </cfRule>
  </conditionalFormatting>
  <conditionalFormatting sqref="Q149:R149 AB149:AM149">
    <cfRule type="expression" dxfId="169" priority="289" stopIfTrue="1">
      <formula>$A149=1</formula>
    </cfRule>
    <cfRule type="expression" dxfId="168" priority="290" stopIfTrue="1">
      <formula>$A149&lt;&gt;"S"</formula>
    </cfRule>
  </conditionalFormatting>
  <conditionalFormatting sqref="D150:O150 T150:Z150">
    <cfRule type="expression" dxfId="167" priority="281" stopIfTrue="1">
      <formula>OR(ACOMPANHAMENTO="PLE",TIPOORCAMENTO="Proposto",$L150&lt;0,AND($L150&gt;100,RegimeExecucao="Global"),$O150&gt;$I150,$O150&lt;0)</formula>
    </cfRule>
    <cfRule type="expression" dxfId="166" priority="282" stopIfTrue="1">
      <formula>$A150=1</formula>
    </cfRule>
    <cfRule type="expression" dxfId="165" priority="283" stopIfTrue="1">
      <formula>$A150&lt;&gt;"S"</formula>
    </cfRule>
  </conditionalFormatting>
  <conditionalFormatting sqref="Q150:R150 AB150:AM150">
    <cfRule type="expression" dxfId="164" priority="284" stopIfTrue="1">
      <formula>$A150=1</formula>
    </cfRule>
    <cfRule type="expression" dxfId="163" priority="285" stopIfTrue="1">
      <formula>$A150&lt;&gt;"S"</formula>
    </cfRule>
  </conditionalFormatting>
  <conditionalFormatting sqref="D151:O151 T151:Z151 T159:Z160 D159:O160 D166:O166 T166:Z166">
    <cfRule type="expression" dxfId="162" priority="276" stopIfTrue="1">
      <formula>OR(ACOMPANHAMENTO="PLE",TIPOORCAMENTO="Proposto",$L151&lt;0,AND($L151&gt;100,RegimeExecucao="Global"),$O151&gt;$I151,$O151&lt;0)</formula>
    </cfRule>
    <cfRule type="expression" dxfId="161" priority="277" stopIfTrue="1">
      <formula>$A151=1</formula>
    </cfRule>
    <cfRule type="expression" dxfId="160" priority="278" stopIfTrue="1">
      <formula>$A151&lt;&gt;"S"</formula>
    </cfRule>
  </conditionalFormatting>
  <conditionalFormatting sqref="Q151:R151 AB151:AM151 AB159:AM160 Q159:R160 Q166:R166 AB166:AM166">
    <cfRule type="expression" dxfId="159" priority="279" stopIfTrue="1">
      <formula>$A151=1</formula>
    </cfRule>
    <cfRule type="expression" dxfId="158" priority="280" stopIfTrue="1">
      <formula>$A151&lt;&gt;"S"</formula>
    </cfRule>
  </conditionalFormatting>
  <conditionalFormatting sqref="D124:O124 T124:Z124">
    <cfRule type="expression" dxfId="157" priority="256" stopIfTrue="1">
      <formula>OR(ACOMPANHAMENTO="PLE",TIPOORCAMENTO="Proposto",$L124&lt;0,AND($L124&gt;100,RegimeExecucao="Global"),$O124&gt;$I124,$O124&lt;0)</formula>
    </cfRule>
    <cfRule type="expression" dxfId="156" priority="257" stopIfTrue="1">
      <formula>$A124=1</formula>
    </cfRule>
    <cfRule type="expression" dxfId="155" priority="258" stopIfTrue="1">
      <formula>$A124&lt;&gt;"S"</formula>
    </cfRule>
  </conditionalFormatting>
  <conditionalFormatting sqref="Q124:R124 AB124:AM124">
    <cfRule type="expression" dxfId="154" priority="259" stopIfTrue="1">
      <formula>$A124=1</formula>
    </cfRule>
    <cfRule type="expression" dxfId="153" priority="260" stopIfTrue="1">
      <formula>$A124&lt;&gt;"S"</formula>
    </cfRule>
  </conditionalFormatting>
  <conditionalFormatting sqref="D161:O165 T161:Z165">
    <cfRule type="expression" dxfId="152" priority="206" stopIfTrue="1">
      <formula>OR(ACOMPANHAMENTO="PLE",TIPOORCAMENTO="Proposto",$L161&lt;0,AND($L161&gt;100,RegimeExecucao="Global"),$O161&gt;$I161,$O161&lt;0)</formula>
    </cfRule>
    <cfRule type="expression" dxfId="151" priority="207" stopIfTrue="1">
      <formula>$A161=1</formula>
    </cfRule>
    <cfRule type="expression" dxfId="150" priority="208" stopIfTrue="1">
      <formula>$A161&lt;&gt;"S"</formula>
    </cfRule>
  </conditionalFormatting>
  <conditionalFormatting sqref="Q161:R165 AB161:AM165">
    <cfRule type="expression" dxfId="149" priority="209" stopIfTrue="1">
      <formula>$A161=1</formula>
    </cfRule>
    <cfRule type="expression" dxfId="148" priority="210" stopIfTrue="1">
      <formula>$A161&lt;&gt;"S"</formula>
    </cfRule>
  </conditionalFormatting>
  <conditionalFormatting sqref="D85:O85 T85:Z85">
    <cfRule type="expression" dxfId="147" priority="196" stopIfTrue="1">
      <formula>OR(ACOMPANHAMENTO="PLE",TIPOORCAMENTO="Proposto",$L85&lt;0,AND($L85&gt;100,RegimeExecucao="Global"),$O85&gt;$I85,$O85&lt;0)</formula>
    </cfRule>
    <cfRule type="expression" dxfId="146" priority="197" stopIfTrue="1">
      <formula>$A85=1</formula>
    </cfRule>
    <cfRule type="expression" dxfId="145" priority="198" stopIfTrue="1">
      <formula>$A85&lt;&gt;"S"</formula>
    </cfRule>
  </conditionalFormatting>
  <conditionalFormatting sqref="Q85:R85 AB85:AM85">
    <cfRule type="expression" dxfId="144" priority="199" stopIfTrue="1">
      <formula>$A85=1</formula>
    </cfRule>
    <cfRule type="expression" dxfId="143" priority="200" stopIfTrue="1">
      <formula>$A85&lt;&gt;"S"</formula>
    </cfRule>
  </conditionalFormatting>
  <conditionalFormatting sqref="D86:O86 T86:Z86">
    <cfRule type="expression" dxfId="142" priority="191" stopIfTrue="1">
      <formula>OR(ACOMPANHAMENTO="PLE",TIPOORCAMENTO="Proposto",$L86&lt;0,AND($L86&gt;100,RegimeExecucao="Global"),$O86&gt;$I86,$O86&lt;0)</formula>
    </cfRule>
    <cfRule type="expression" dxfId="141" priority="192" stopIfTrue="1">
      <formula>$A86=1</formula>
    </cfRule>
    <cfRule type="expression" dxfId="140" priority="193" stopIfTrue="1">
      <formula>$A86&lt;&gt;"S"</formula>
    </cfRule>
  </conditionalFormatting>
  <conditionalFormatting sqref="Q86:R86 AB86:AM86">
    <cfRule type="expression" dxfId="139" priority="194" stopIfTrue="1">
      <formula>$A86=1</formula>
    </cfRule>
    <cfRule type="expression" dxfId="138" priority="195" stopIfTrue="1">
      <formula>$A86&lt;&gt;"S"</formula>
    </cfRule>
  </conditionalFormatting>
  <conditionalFormatting sqref="D184:O186 T184:Z186">
    <cfRule type="expression" dxfId="137" priority="186" stopIfTrue="1">
      <formula>OR(ACOMPANHAMENTO="PLE",TIPOORCAMENTO="Proposto",$L184&lt;0,AND($L184&gt;100,RegimeExecucao="Global"),$O184&gt;$I184,$O184&lt;0)</formula>
    </cfRule>
    <cfRule type="expression" dxfId="136" priority="187" stopIfTrue="1">
      <formula>$A184=1</formula>
    </cfRule>
    <cfRule type="expression" dxfId="135" priority="188" stopIfTrue="1">
      <formula>$A184&lt;&gt;"S"</formula>
    </cfRule>
  </conditionalFormatting>
  <conditionalFormatting sqref="Q184:R186 AB184:AM186">
    <cfRule type="expression" dxfId="134" priority="189" stopIfTrue="1">
      <formula>$A184=1</formula>
    </cfRule>
    <cfRule type="expression" dxfId="133" priority="190" stopIfTrue="1">
      <formula>$A184&lt;&gt;"S"</formula>
    </cfRule>
  </conditionalFormatting>
  <conditionalFormatting sqref="D99:O99 T99:Z99">
    <cfRule type="expression" dxfId="132" priority="171" stopIfTrue="1">
      <formula>OR(ACOMPANHAMENTO="PLE",TIPOORCAMENTO="Proposto",$L99&lt;0,AND($L99&gt;100,RegimeExecucao="Global"),$O99&gt;$I99,$O99&lt;0)</formula>
    </cfRule>
    <cfRule type="expression" dxfId="131" priority="172" stopIfTrue="1">
      <formula>$A99=1</formula>
    </cfRule>
    <cfRule type="expression" dxfId="130" priority="173" stopIfTrue="1">
      <formula>$A99&lt;&gt;"S"</formula>
    </cfRule>
  </conditionalFormatting>
  <conditionalFormatting sqref="Q99:R99 AB99:AM99">
    <cfRule type="expression" dxfId="129" priority="174" stopIfTrue="1">
      <formula>$A99=1</formula>
    </cfRule>
    <cfRule type="expression" dxfId="128" priority="175" stopIfTrue="1">
      <formula>$A99&lt;&gt;"S"</formula>
    </cfRule>
  </conditionalFormatting>
  <conditionalFormatting sqref="D66:O66 T66:Z66">
    <cfRule type="expression" dxfId="127" priority="161" stopIfTrue="1">
      <formula>OR(ACOMPANHAMENTO="PLE",TIPOORCAMENTO="Proposto",$L66&lt;0,AND($L66&gt;100,RegimeExecucao="Global"),$O66&gt;$I66,$O66&lt;0)</formula>
    </cfRule>
    <cfRule type="expression" dxfId="126" priority="162" stopIfTrue="1">
      <formula>$A66=1</formula>
    </cfRule>
    <cfRule type="expression" dxfId="125" priority="163" stopIfTrue="1">
      <formula>$A66&lt;&gt;"S"</formula>
    </cfRule>
  </conditionalFormatting>
  <conditionalFormatting sqref="Q66:R66 AB66:AM66">
    <cfRule type="expression" dxfId="124" priority="164" stopIfTrue="1">
      <formula>$A66=1</formula>
    </cfRule>
    <cfRule type="expression" dxfId="123" priority="165" stopIfTrue="1">
      <formula>$A66&lt;&gt;"S"</formula>
    </cfRule>
  </conditionalFormatting>
  <conditionalFormatting sqref="D67:O67 T67:Z67">
    <cfRule type="expression" dxfId="122" priority="156" stopIfTrue="1">
      <formula>OR(ACOMPANHAMENTO="PLE",TIPOORCAMENTO="Proposto",$L67&lt;0,AND($L67&gt;100,RegimeExecucao="Global"),$O67&gt;$I67,$O67&lt;0)</formula>
    </cfRule>
    <cfRule type="expression" dxfId="121" priority="157" stopIfTrue="1">
      <formula>$A67=1</formula>
    </cfRule>
    <cfRule type="expression" dxfId="120" priority="158" stopIfTrue="1">
      <formula>$A67&lt;&gt;"S"</formula>
    </cfRule>
  </conditionalFormatting>
  <conditionalFormatting sqref="Q67:R67 AB67:AM67">
    <cfRule type="expression" dxfId="119" priority="159" stopIfTrue="1">
      <formula>$A67=1</formula>
    </cfRule>
    <cfRule type="expression" dxfId="118" priority="160" stopIfTrue="1">
      <formula>$A67&lt;&gt;"S"</formula>
    </cfRule>
  </conditionalFormatting>
  <conditionalFormatting sqref="D41:O41 T41:Z41">
    <cfRule type="expression" dxfId="117" priority="151" stopIfTrue="1">
      <formula>OR(ACOMPANHAMENTO="PLE",TIPOORCAMENTO="Proposto",$L41&lt;0,AND($L41&gt;100,RegimeExecucao="Global"),$O41&gt;$I41,$O41&lt;0)</formula>
    </cfRule>
    <cfRule type="expression" dxfId="116" priority="152" stopIfTrue="1">
      <formula>$A41=1</formula>
    </cfRule>
    <cfRule type="expression" dxfId="115" priority="153" stopIfTrue="1">
      <formula>$A41&lt;&gt;"S"</formula>
    </cfRule>
  </conditionalFormatting>
  <conditionalFormatting sqref="Q41:R41 AB41:AM41">
    <cfRule type="expression" dxfId="114" priority="154" stopIfTrue="1">
      <formula>$A41=1</formula>
    </cfRule>
    <cfRule type="expression" dxfId="113" priority="155" stopIfTrue="1">
      <formula>$A41&lt;&gt;"S"</formula>
    </cfRule>
  </conditionalFormatting>
  <conditionalFormatting sqref="D65:O65 T65:Z65">
    <cfRule type="expression" dxfId="112" priority="136" stopIfTrue="1">
      <formula>OR(ACOMPANHAMENTO="PLE",TIPOORCAMENTO="Proposto",$L65&lt;0,AND($L65&gt;100,RegimeExecucao="Global"),$O65&gt;$I65,$O65&lt;0)</formula>
    </cfRule>
    <cfRule type="expression" dxfId="111" priority="137" stopIfTrue="1">
      <formula>$A65=1</formula>
    </cfRule>
    <cfRule type="expression" dxfId="110" priority="138" stopIfTrue="1">
      <formula>$A65&lt;&gt;"S"</formula>
    </cfRule>
  </conditionalFormatting>
  <conditionalFormatting sqref="Q65:R65 AB65:AM65">
    <cfRule type="expression" dxfId="109" priority="139" stopIfTrue="1">
      <formula>$A65=1</formula>
    </cfRule>
    <cfRule type="expression" dxfId="108" priority="140" stopIfTrue="1">
      <formula>$A65&lt;&gt;"S"</formula>
    </cfRule>
  </conditionalFormatting>
  <conditionalFormatting sqref="D24:O24 T24:Z24">
    <cfRule type="expression" dxfId="107" priority="126" stopIfTrue="1">
      <formula>OR(ACOMPANHAMENTO="PLE",TIPOORCAMENTO="Proposto",$L24&lt;0,AND($L24&gt;100,RegimeExecucao="Global"),$O24&gt;$I24,$O24&lt;0)</formula>
    </cfRule>
    <cfRule type="expression" dxfId="106" priority="127" stopIfTrue="1">
      <formula>$A24=1</formula>
    </cfRule>
    <cfRule type="expression" dxfId="105" priority="128" stopIfTrue="1">
      <formula>$A24&lt;&gt;"S"</formula>
    </cfRule>
  </conditionalFormatting>
  <conditionalFormatting sqref="Q24:R24 AB24:AM24">
    <cfRule type="expression" dxfId="104" priority="129" stopIfTrue="1">
      <formula>$A24=1</formula>
    </cfRule>
    <cfRule type="expression" dxfId="103" priority="130" stopIfTrue="1">
      <formula>$A24&lt;&gt;"S"</formula>
    </cfRule>
  </conditionalFormatting>
  <conditionalFormatting sqref="D25:O25 T25:Z25">
    <cfRule type="expression" dxfId="102" priority="121" stopIfTrue="1">
      <formula>OR(ACOMPANHAMENTO="PLE",TIPOORCAMENTO="Proposto",$L25&lt;0,AND($L25&gt;100,RegimeExecucao="Global"),$O25&gt;$I25,$O25&lt;0)</formula>
    </cfRule>
    <cfRule type="expression" dxfId="101" priority="122" stopIfTrue="1">
      <formula>$A25=1</formula>
    </cfRule>
    <cfRule type="expression" dxfId="100" priority="123" stopIfTrue="1">
      <formula>$A25&lt;&gt;"S"</formula>
    </cfRule>
  </conditionalFormatting>
  <conditionalFormatting sqref="Q25:R25 AB25:AM25">
    <cfRule type="expression" dxfId="99" priority="124" stopIfTrue="1">
      <formula>$A25=1</formula>
    </cfRule>
    <cfRule type="expression" dxfId="98" priority="125" stopIfTrue="1">
      <formula>$A25&lt;&gt;"S"</formula>
    </cfRule>
  </conditionalFormatting>
  <conditionalFormatting sqref="D125:O125 T125:Z125">
    <cfRule type="expression" dxfId="97" priority="91" stopIfTrue="1">
      <formula>OR(ACOMPANHAMENTO="PLE",TIPOORCAMENTO="Proposto",$L125&lt;0,AND($L125&gt;100,RegimeExecucao="Global"),$O125&gt;$I125,$O125&lt;0)</formula>
    </cfRule>
    <cfRule type="expression" dxfId="96" priority="92" stopIfTrue="1">
      <formula>$A125=1</formula>
    </cfRule>
    <cfRule type="expression" dxfId="95" priority="93" stopIfTrue="1">
      <formula>$A125&lt;&gt;"S"</formula>
    </cfRule>
  </conditionalFormatting>
  <conditionalFormatting sqref="Q125:R125 AB125:AM125">
    <cfRule type="expression" dxfId="94" priority="94" stopIfTrue="1">
      <formula>$A125=1</formula>
    </cfRule>
    <cfRule type="expression" dxfId="93" priority="95" stopIfTrue="1">
      <formula>$A125&lt;&gt;"S"</formula>
    </cfRule>
  </conditionalFormatting>
  <conditionalFormatting sqref="D118:O118 T118:Z118">
    <cfRule type="expression" dxfId="92" priority="86" stopIfTrue="1">
      <formula>OR(ACOMPANHAMENTO="PLE",TIPOORCAMENTO="Proposto",$L118&lt;0,AND($L118&gt;100,RegimeExecucao="Global"),$O118&gt;$I118,$O118&lt;0)</formula>
    </cfRule>
    <cfRule type="expression" dxfId="91" priority="87" stopIfTrue="1">
      <formula>$A118=1</formula>
    </cfRule>
    <cfRule type="expression" dxfId="90" priority="88" stopIfTrue="1">
      <formula>$A118&lt;&gt;"S"</formula>
    </cfRule>
  </conditionalFormatting>
  <conditionalFormatting sqref="Q118:R118 AB118:AM118">
    <cfRule type="expression" dxfId="89" priority="89" stopIfTrue="1">
      <formula>$A118=1</formula>
    </cfRule>
    <cfRule type="expression" dxfId="88" priority="90" stopIfTrue="1">
      <formula>$A118&lt;&gt;"S"</formula>
    </cfRule>
  </conditionalFormatting>
  <conditionalFormatting sqref="D119:O119 T119:Z119">
    <cfRule type="expression" dxfId="87" priority="81" stopIfTrue="1">
      <formula>OR(ACOMPANHAMENTO="PLE",TIPOORCAMENTO="Proposto",$L119&lt;0,AND($L119&gt;100,RegimeExecucao="Global"),$O119&gt;$I119,$O119&lt;0)</formula>
    </cfRule>
    <cfRule type="expression" dxfId="86" priority="82" stopIfTrue="1">
      <formula>$A119=1</formula>
    </cfRule>
    <cfRule type="expression" dxfId="85" priority="83" stopIfTrue="1">
      <formula>$A119&lt;&gt;"S"</formula>
    </cfRule>
  </conditionalFormatting>
  <conditionalFormatting sqref="Q119:R119 AB119:AM119">
    <cfRule type="expression" dxfId="84" priority="84" stopIfTrue="1">
      <formula>$A119=1</formula>
    </cfRule>
    <cfRule type="expression" dxfId="83" priority="85" stopIfTrue="1">
      <formula>$A119&lt;&gt;"S"</formula>
    </cfRule>
  </conditionalFormatting>
  <conditionalFormatting sqref="D128:O128 T128:Z128">
    <cfRule type="expression" dxfId="82" priority="76" stopIfTrue="1">
      <formula>OR(ACOMPANHAMENTO="PLE",TIPOORCAMENTO="Proposto",$L128&lt;0,AND($L128&gt;100,RegimeExecucao="Global"),$O128&gt;$I128,$O128&lt;0)</formula>
    </cfRule>
    <cfRule type="expression" dxfId="81" priority="77" stopIfTrue="1">
      <formula>$A128=1</formula>
    </cfRule>
    <cfRule type="expression" dxfId="80" priority="78" stopIfTrue="1">
      <formula>$A128&lt;&gt;"S"</formula>
    </cfRule>
  </conditionalFormatting>
  <conditionalFormatting sqref="Q128:R128 AB128:AM128">
    <cfRule type="expression" dxfId="79" priority="79" stopIfTrue="1">
      <formula>$A128=1</formula>
    </cfRule>
    <cfRule type="expression" dxfId="78" priority="80" stopIfTrue="1">
      <formula>$A128&lt;&gt;"S"</formula>
    </cfRule>
  </conditionalFormatting>
  <conditionalFormatting sqref="D134:O137 T134:Z137">
    <cfRule type="expression" dxfId="77" priority="71" stopIfTrue="1">
      <formula>OR(ACOMPANHAMENTO="PLE",TIPOORCAMENTO="Proposto",$L134&lt;0,AND($L134&gt;100,RegimeExecucao="Global"),$O134&gt;$I134,$O134&lt;0)</formula>
    </cfRule>
    <cfRule type="expression" dxfId="76" priority="72" stopIfTrue="1">
      <formula>$A134=1</formula>
    </cfRule>
    <cfRule type="expression" dxfId="75" priority="73" stopIfTrue="1">
      <formula>$A134&lt;&gt;"S"</formula>
    </cfRule>
  </conditionalFormatting>
  <conditionalFormatting sqref="Q134:R137 AB134:AM137">
    <cfRule type="expression" dxfId="74" priority="74" stopIfTrue="1">
      <formula>$A134=1</formula>
    </cfRule>
    <cfRule type="expression" dxfId="73" priority="75" stopIfTrue="1">
      <formula>$A134&lt;&gt;"S"</formula>
    </cfRule>
  </conditionalFormatting>
  <conditionalFormatting sqref="D175:O178 T175:Z178">
    <cfRule type="expression" dxfId="72" priority="56" stopIfTrue="1">
      <formula>OR(ACOMPANHAMENTO="PLE",TIPOORCAMENTO="Proposto",$L175&lt;0,AND($L175&gt;100,RegimeExecucao="Global"),$O175&gt;$I175,$O175&lt;0)</formula>
    </cfRule>
    <cfRule type="expression" dxfId="71" priority="57" stopIfTrue="1">
      <formula>$A175=1</formula>
    </cfRule>
    <cfRule type="expression" dxfId="70" priority="58" stopIfTrue="1">
      <formula>$A175&lt;&gt;"S"</formula>
    </cfRule>
  </conditionalFormatting>
  <conditionalFormatting sqref="Q175:R178 AB175:AM178">
    <cfRule type="expression" dxfId="69" priority="59" stopIfTrue="1">
      <formula>$A175=1</formula>
    </cfRule>
    <cfRule type="expression" dxfId="68" priority="60" stopIfTrue="1">
      <formula>$A175&lt;&gt;"S"</formula>
    </cfRule>
  </conditionalFormatting>
  <conditionalFormatting sqref="T140:Z144 D140:O144">
    <cfRule type="expression" dxfId="67" priority="51" stopIfTrue="1">
      <formula>OR(ACOMPANHAMENTO="PLE",TIPOORCAMENTO="Proposto",$L140&lt;0,AND($L140&gt;100,RegimeExecucao="Global"),$O140&gt;$I140,$O140&lt;0)</formula>
    </cfRule>
    <cfRule type="expression" dxfId="66" priority="52" stopIfTrue="1">
      <formula>$A140=1</formula>
    </cfRule>
    <cfRule type="expression" dxfId="65" priority="53" stopIfTrue="1">
      <formula>$A140&lt;&gt;"S"</formula>
    </cfRule>
  </conditionalFormatting>
  <conditionalFormatting sqref="AB140:AM144 Q140:R144">
    <cfRule type="expression" dxfId="64" priority="54" stopIfTrue="1">
      <formula>$A140=1</formula>
    </cfRule>
    <cfRule type="expression" dxfId="63" priority="55" stopIfTrue="1">
      <formula>$A140&lt;&gt;"S"</formula>
    </cfRule>
  </conditionalFormatting>
  <conditionalFormatting sqref="D145:O145 T145:Z145">
    <cfRule type="expression" dxfId="62" priority="46" stopIfTrue="1">
      <formula>OR(ACOMPANHAMENTO="PLE",TIPOORCAMENTO="Proposto",$L145&lt;0,AND($L145&gt;100,RegimeExecucao="Global"),$O145&gt;$I145,$O145&lt;0)</formula>
    </cfRule>
    <cfRule type="expression" dxfId="61" priority="47" stopIfTrue="1">
      <formula>$A145=1</formula>
    </cfRule>
    <cfRule type="expression" dxfId="60" priority="48" stopIfTrue="1">
      <formula>$A145&lt;&gt;"S"</formula>
    </cfRule>
  </conditionalFormatting>
  <conditionalFormatting sqref="Q145:R145 AB145:AM145">
    <cfRule type="expression" dxfId="59" priority="49" stopIfTrue="1">
      <formula>$A145=1</formula>
    </cfRule>
    <cfRule type="expression" dxfId="58" priority="50" stopIfTrue="1">
      <formula>$A145&lt;&gt;"S"</formula>
    </cfRule>
  </conditionalFormatting>
  <conditionalFormatting sqref="D89:O89 T89:Z89">
    <cfRule type="expression" dxfId="57" priority="36" stopIfTrue="1">
      <formula>OR(ACOMPANHAMENTO="PLE",TIPOORCAMENTO="Proposto",$L89&lt;0,AND($L89&gt;100,RegimeExecucao="Global"),$O89&gt;$I89,$O89&lt;0)</formula>
    </cfRule>
    <cfRule type="expression" dxfId="56" priority="37" stopIfTrue="1">
      <formula>$A89=1</formula>
    </cfRule>
    <cfRule type="expression" dxfId="55" priority="38" stopIfTrue="1">
      <formula>$A89&lt;&gt;"S"</formula>
    </cfRule>
  </conditionalFormatting>
  <conditionalFormatting sqref="Q89:R89 AB89:AM89">
    <cfRule type="expression" dxfId="54" priority="39" stopIfTrue="1">
      <formula>$A89=1</formula>
    </cfRule>
    <cfRule type="expression" dxfId="53" priority="40" stopIfTrue="1">
      <formula>$A89&lt;&gt;"S"</formula>
    </cfRule>
  </conditionalFormatting>
  <conditionalFormatting sqref="D190:O190 T190:Z190">
    <cfRule type="expression" dxfId="52" priority="31" stopIfTrue="1">
      <formula>OR(ACOMPANHAMENTO="PLE",TIPOORCAMENTO="Proposto",$L190&lt;0,AND($L190&gt;100,RegimeExecucao="Global"),$O190&gt;$I190,$O190&lt;0)</formula>
    </cfRule>
    <cfRule type="expression" dxfId="51" priority="32" stopIfTrue="1">
      <formula>$A190=1</formula>
    </cfRule>
    <cfRule type="expression" dxfId="50" priority="33" stopIfTrue="1">
      <formula>$A190&lt;&gt;"S"</formula>
    </cfRule>
  </conditionalFormatting>
  <conditionalFormatting sqref="Q190:R190 AB190:AM190">
    <cfRule type="expression" dxfId="49" priority="34" stopIfTrue="1">
      <formula>$A190=1</formula>
    </cfRule>
    <cfRule type="expression" dxfId="48" priority="35" stopIfTrue="1">
      <formula>$A190&lt;&gt;"S"</formula>
    </cfRule>
  </conditionalFormatting>
  <conditionalFormatting sqref="D131:O131 T131:Z131">
    <cfRule type="expression" dxfId="47" priority="26" stopIfTrue="1">
      <formula>OR(ACOMPANHAMENTO="PLE",TIPOORCAMENTO="Proposto",$L131&lt;0,AND($L131&gt;100,RegimeExecucao="Global"),$O131&gt;$I131,$O131&lt;0)</formula>
    </cfRule>
    <cfRule type="expression" dxfId="46" priority="27" stopIfTrue="1">
      <formula>$A131=1</formula>
    </cfRule>
    <cfRule type="expression" dxfId="45" priority="28" stopIfTrue="1">
      <formula>$A131&lt;&gt;"S"</formula>
    </cfRule>
  </conditionalFormatting>
  <conditionalFormatting sqref="Q131:R131 AB131:AM131">
    <cfRule type="expression" dxfId="44" priority="29" stopIfTrue="1">
      <formula>$A131=1</formula>
    </cfRule>
    <cfRule type="expression" dxfId="43" priority="30" stopIfTrue="1">
      <formula>$A131&lt;&gt;"S"</formula>
    </cfRule>
  </conditionalFormatting>
  <conditionalFormatting sqref="D183:O183 T183:Z183">
    <cfRule type="expression" dxfId="42" priority="21" stopIfTrue="1">
      <formula>OR(ACOMPANHAMENTO="PLE",TIPOORCAMENTO="Proposto",$L183&lt;0,AND($L183&gt;100,RegimeExecucao="Global"),$O183&gt;$I183,$O183&lt;0)</formula>
    </cfRule>
    <cfRule type="expression" dxfId="41" priority="22" stopIfTrue="1">
      <formula>$A183=1</formula>
    </cfRule>
    <cfRule type="expression" dxfId="40" priority="23" stopIfTrue="1">
      <formula>$A183&lt;&gt;"S"</formula>
    </cfRule>
  </conditionalFormatting>
  <conditionalFormatting sqref="Q183:R183 AB183:AM183">
    <cfRule type="expression" dxfId="39" priority="24" stopIfTrue="1">
      <formula>$A183=1</formula>
    </cfRule>
    <cfRule type="expression" dxfId="38" priority="25" stopIfTrue="1">
      <formula>$A183&lt;&gt;"S"</formula>
    </cfRule>
  </conditionalFormatting>
  <conditionalFormatting sqref="D121:O121 T121:Z121">
    <cfRule type="expression" dxfId="37" priority="11" stopIfTrue="1">
      <formula>OR(ACOMPANHAMENTO="PLE",TIPOORCAMENTO="Proposto",$L121&lt;0,AND($L121&gt;100,RegimeExecucao="Global"),$O121&gt;$I121,$O121&lt;0)</formula>
    </cfRule>
    <cfRule type="expression" dxfId="36" priority="12" stopIfTrue="1">
      <formula>$A121=1</formula>
    </cfRule>
    <cfRule type="expression" dxfId="35" priority="13" stopIfTrue="1">
      <formula>$A121&lt;&gt;"S"</formula>
    </cfRule>
  </conditionalFormatting>
  <conditionalFormatting sqref="Q121:R121 AB121:AM121">
    <cfRule type="expression" dxfId="34" priority="14" stopIfTrue="1">
      <formula>$A121=1</formula>
    </cfRule>
    <cfRule type="expression" dxfId="33" priority="15" stopIfTrue="1">
      <formula>$A121&lt;&gt;"S"</formula>
    </cfRule>
  </conditionalFormatting>
  <conditionalFormatting sqref="D146:O147 T146:Z147">
    <cfRule type="expression" dxfId="32" priority="6" stopIfTrue="1">
      <formula>OR(ACOMPANHAMENTO="PLE",TIPOORCAMENTO="Proposto",$L146&lt;0,AND($L146&gt;100,RegimeExecucao="Global"),$O146&gt;$I146,$O146&lt;0)</formula>
    </cfRule>
    <cfRule type="expression" dxfId="31" priority="7" stopIfTrue="1">
      <formula>$A146=1</formula>
    </cfRule>
    <cfRule type="expression" dxfId="30" priority="8" stopIfTrue="1">
      <formula>$A146&lt;&gt;"S"</formula>
    </cfRule>
  </conditionalFormatting>
  <conditionalFormatting sqref="Q146:R147 AB146:AM147">
    <cfRule type="expression" dxfId="29" priority="9" stopIfTrue="1">
      <formula>$A146=1</formula>
    </cfRule>
    <cfRule type="expression" dxfId="28" priority="10" stopIfTrue="1">
      <formula>$A146&lt;&gt;"S"</formula>
    </cfRule>
  </conditionalFormatting>
  <conditionalFormatting sqref="D148:O148 T148:Z148">
    <cfRule type="expression" dxfId="27" priority="1" stopIfTrue="1">
      <formula>OR(ACOMPANHAMENTO="PLE",TIPOORCAMENTO="Proposto",$L148&lt;0,AND($L148&gt;100,RegimeExecucao="Global"),$O148&gt;$I148,$O148&lt;0)</formula>
    </cfRule>
    <cfRule type="expression" dxfId="26" priority="2" stopIfTrue="1">
      <formula>$A148=1</formula>
    </cfRule>
    <cfRule type="expression" dxfId="25" priority="3" stopIfTrue="1">
      <formula>$A148&lt;&gt;"S"</formula>
    </cfRule>
  </conditionalFormatting>
  <conditionalFormatting sqref="Q148:R148 AB148:AM148">
    <cfRule type="expression" dxfId="24" priority="4" stopIfTrue="1">
      <formula>$A148=1</formula>
    </cfRule>
    <cfRule type="expression" dxfId="23" priority="5" stopIfTrue="1">
      <formula>$A148&lt;&gt;"S"</formula>
    </cfRule>
  </conditionalFormatting>
  <dataValidations count="4">
    <dataValidation type="list" allowBlank="1" showErrorMessage="1" sqref="Z14 Z16:Z191">
      <formula1>"não executado,não previsto no orçamento,material inadequado,desacordo com os projetos,não atende as observações,qualidade insatisfatória,ver observações abaixo"</formula1>
      <formula2>0</formula2>
    </dataValidation>
    <dataValidation type="decimal" errorStyle="warning" allowBlank="1" showErrorMessage="1" errorTitle="Atenção!" error="Digite somente valores entre 0 e a Medição Acumulada." sqref="Q14:R14 Q16:R191">
      <formula1>0</formula1>
      <formula2>BM.MEDAcumulado</formula2>
    </dataValidation>
    <dataValidation type="whole" operator="greaterThan" allowBlank="1" showInputMessage="1" showErrorMessage="1" sqref="O8">
      <formula1>0</formula1>
    </dataValidation>
    <dataValidation type="decimal" errorStyle="warning" allowBlank="1" showErrorMessage="1" errorTitle="Atenção!" error="% medido é superior a 100% (Global)_x000a_ou_x000a_Quantidade é superior a contratada  (P. Unit)_x000a_ou_x000a_Evolução acumulada negativa" sqref="AB14:AM14 AB16:AM191">
      <formula1>BM.MinMed</formula1>
      <formula2>BM.MaxMed</formula2>
    </dataValidation>
  </dataValidations>
  <pageMargins left="0.78740157480314998" right="0.78740157480314998" top="0.78740157480314998" bottom="0.78740157480314998" header="0.59055118110236204" footer="0.59055118110236204"/>
  <pageSetup paperSize="9" scale="59" firstPageNumber="0" fitToHeight="0" orientation="landscape" r:id="rId1"/>
  <headerFooter alignWithMargins="0">
    <oddHeader>&amp;C&amp;14I</oddHeader>
    <oddFooter>&amp;LPMv3.0.6&amp;R&amp;P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5" r:id="rId4" name="CaixaArredMed">
              <controlPr defaultSize="0" print="0" autoFill="0" autoLine="0" autoPict="0">
                <anchor moveWithCells="1" sizeWithCells="1">
                  <from>
                    <xdr:col>10</xdr:col>
                    <xdr:colOff>219075</xdr:colOff>
                    <xdr:row>9</xdr:row>
                    <xdr:rowOff>47625</xdr:rowOff>
                  </from>
                  <to>
                    <xdr:col>10</xdr:col>
                    <xdr:colOff>523875</xdr:colOff>
                    <xdr:row>10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5" name="Botão de rotação 23">
              <controlPr defaultSize="0" print="0" autoFill="0" autoLine="0" autoPict="0">
                <anchor moveWithCells="1" sizeWithCells="1">
                  <from>
                    <xdr:col>15</xdr:col>
                    <xdr:colOff>28575</xdr:colOff>
                    <xdr:row>6</xdr:row>
                    <xdr:rowOff>123825</xdr:rowOff>
                  </from>
                  <to>
                    <xdr:col>15</xdr:col>
                    <xdr:colOff>266700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4">
    <pageSetUpPr fitToPage="1"/>
  </sheetPr>
  <dimension ref="A1:AO52"/>
  <sheetViews>
    <sheetView showGridLines="0" zoomScale="90" zoomScaleNormal="90" zoomScaleSheetLayoutView="90" workbookViewId="0">
      <pane xSplit="6" ySplit="13" topLeftCell="G14" activePane="bottomRight" state="frozen"/>
      <selection activeCell="D1" sqref="D1"/>
      <selection pane="topRight" activeCell="G1" sqref="G1"/>
      <selection pane="bottomLeft" activeCell="D14" sqref="D14"/>
      <selection pane="bottomRight"/>
    </sheetView>
  </sheetViews>
  <sheetFormatPr defaultRowHeight="12.75" x14ac:dyDescent="0.2"/>
  <cols>
    <col min="1" max="3" width="9.140625" hidden="1" customWidth="1"/>
    <col min="4" max="4" width="3.7109375" customWidth="1"/>
    <col min="5" max="5" width="7.7109375" customWidth="1"/>
    <col min="6" max="6" width="35.7109375" customWidth="1"/>
    <col min="7" max="7" width="15.7109375" customWidth="1"/>
    <col min="8" max="8" width="12.7109375" customWidth="1"/>
    <col min="9" max="9" width="7.7109375" customWidth="1"/>
    <col min="10" max="10" width="16.7109375" customWidth="1"/>
    <col min="11" max="11" width="5.7109375" customWidth="1"/>
    <col min="12" max="15" width="16.7109375" customWidth="1"/>
    <col min="16" max="16" width="11.7109375" customWidth="1"/>
    <col min="17" max="21" width="9.140625" hidden="1" customWidth="1"/>
    <col min="22" max="22" width="12.140625" hidden="1" customWidth="1"/>
    <col min="23" max="24" width="5.7109375" customWidth="1"/>
    <col min="25" max="26" width="16.7109375" customWidth="1"/>
    <col min="27" max="27" width="1.7109375" customWidth="1"/>
    <col min="29" max="41" width="9.140625" hidden="1" customWidth="1"/>
  </cols>
  <sheetData>
    <row r="1" spans="1:41" ht="30" customHeight="1" x14ac:dyDescent="0.2">
      <c r="F1" s="440" t="str">
        <f>CONCATENATE("RRE - RELATÓRIO RESUMO DO EMPREENDIMENTO - ",IF(CAIXA.Modo,"CAIXA","TOMADOR"))</f>
        <v>RRE - RELATÓRIO RESUMO DO EMPREENDIMENTO - TOMADOR</v>
      </c>
      <c r="H1" s="10"/>
      <c r="I1" s="10"/>
      <c r="AC1" s="19"/>
      <c r="AD1" s="441" t="s">
        <v>356</v>
      </c>
      <c r="AE1" s="442" t="s">
        <v>357</v>
      </c>
    </row>
    <row r="2" spans="1:41" x14ac:dyDescent="0.2">
      <c r="AC2" s="443" t="str">
        <f>J25</f>
        <v>Repasse</v>
      </c>
      <c r="AD2" s="444">
        <f ca="1">AD6-AD4-AD3</f>
        <v>0</v>
      </c>
      <c r="AE2" s="444">
        <f ca="1">AE6-AE4-AE3</f>
        <v>0</v>
      </c>
    </row>
    <row r="3" spans="1:41" x14ac:dyDescent="0.2">
      <c r="E3" s="731" t="s">
        <v>147</v>
      </c>
      <c r="F3" s="731"/>
      <c r="G3" s="731"/>
      <c r="H3" s="731"/>
      <c r="I3" s="720" t="s">
        <v>146</v>
      </c>
      <c r="J3" s="720"/>
      <c r="K3" s="720"/>
      <c r="L3" s="111" t="s">
        <v>443</v>
      </c>
      <c r="M3" s="184"/>
      <c r="N3" s="445"/>
      <c r="O3" s="446"/>
      <c r="P3" s="358" t="s">
        <v>210</v>
      </c>
      <c r="R3" s="184"/>
      <c r="S3" s="184"/>
      <c r="T3" s="184"/>
      <c r="U3" s="184"/>
      <c r="AC3" s="443" t="s">
        <v>169</v>
      </c>
      <c r="AD3" s="444">
        <f ca="1">SUM(T13:OFFSET(T24,-1,0))</f>
        <v>0</v>
      </c>
      <c r="AE3" s="444">
        <f ca="1">IF(OR($O$28&lt;$M$28,$M$26&gt;$AD$3),MIN($M$26,$L$26),MIN($AD$3,$N$28-$N$27+$M$26))</f>
        <v>0</v>
      </c>
    </row>
    <row r="4" spans="1:41" ht="12.75" customHeight="1" x14ac:dyDescent="0.2">
      <c r="E4" s="736" t="str">
        <f>Import.Proponente</f>
        <v>INSTITUTO FEDERAL FARROUPILHA</v>
      </c>
      <c r="F4" s="736"/>
      <c r="G4" s="736"/>
      <c r="H4" s="736"/>
      <c r="I4" s="723">
        <f>Import.CR</f>
        <v>0</v>
      </c>
      <c r="J4" s="723"/>
      <c r="K4" s="723"/>
      <c r="L4" s="72">
        <f>Import.TransfereGOV</f>
        <v>0</v>
      </c>
      <c r="M4" s="812" t="s">
        <v>307</v>
      </c>
      <c r="N4" s="813"/>
      <c r="O4" s="814"/>
      <c r="P4" s="447" t="str">
        <f>import.recurso</f>
        <v>OGU</v>
      </c>
      <c r="R4" s="184"/>
      <c r="S4" s="184"/>
      <c r="T4" s="446"/>
      <c r="U4" s="446"/>
      <c r="AC4" s="443" t="s">
        <v>358</v>
      </c>
      <c r="AD4" s="444">
        <f ca="1">SUM(U13:OFFSET(U24,-1,0))</f>
        <v>0</v>
      </c>
      <c r="AE4" s="444">
        <f ca="1">IF(OR($O$28&lt;$M$28,$M$27&gt;$AD$4),MIN($M$27,$L$27),MIN($AD$4,$N$28+$M$27))</f>
        <v>0</v>
      </c>
    </row>
    <row r="5" spans="1:41" ht="5.0999999999999996" customHeight="1" x14ac:dyDescent="0.2">
      <c r="H5" s="361"/>
      <c r="I5" s="361"/>
      <c r="J5" s="361"/>
      <c r="K5" s="361"/>
      <c r="L5" s="361"/>
      <c r="M5" s="448"/>
      <c r="N5" s="345"/>
      <c r="O5" s="59"/>
      <c r="R5" s="184"/>
      <c r="S5" s="184"/>
      <c r="T5" s="184"/>
      <c r="U5" s="184"/>
    </row>
    <row r="6" spans="1:41" ht="12.75" customHeight="1" x14ac:dyDescent="0.2">
      <c r="E6" s="720" t="s">
        <v>202</v>
      </c>
      <c r="F6" s="720"/>
      <c r="G6" s="720"/>
      <c r="H6" s="720"/>
      <c r="I6" s="840" t="s">
        <v>306</v>
      </c>
      <c r="J6" s="840"/>
      <c r="K6" s="840"/>
      <c r="L6" s="840"/>
      <c r="M6" s="71" t="str">
        <f>IF(import.recurso="FGTS","FINANCIAMENTO","REPASSE")</f>
        <v>REPASSE</v>
      </c>
      <c r="N6" s="124" t="s">
        <v>308</v>
      </c>
      <c r="O6" s="71" t="s">
        <v>309</v>
      </c>
      <c r="P6" s="185" t="s">
        <v>359</v>
      </c>
      <c r="R6" s="184"/>
      <c r="S6" s="184"/>
      <c r="T6" s="184"/>
      <c r="U6" s="184"/>
      <c r="AC6" s="443" t="s">
        <v>360</v>
      </c>
      <c r="AD6" s="444">
        <f ca="1">$O$28</f>
        <v>0</v>
      </c>
      <c r="AE6" s="444">
        <f ca="1">AD6</f>
        <v>0</v>
      </c>
    </row>
    <row r="7" spans="1:41" ht="12.75" customHeight="1" x14ac:dyDescent="0.2">
      <c r="D7" s="713" t="s">
        <v>209</v>
      </c>
      <c r="E7" s="723" t="str">
        <f>Import.Apelido</f>
        <v>BIBLIOTECA  ÉRICO VERISSIMO</v>
      </c>
      <c r="F7" s="723"/>
      <c r="G7" s="723"/>
      <c r="H7" s="723"/>
      <c r="I7" s="837" t="str">
        <f>Import.Município</f>
        <v>SANTO ÂNGELO - RS</v>
      </c>
      <c r="J7" s="837"/>
      <c r="K7" s="837"/>
      <c r="L7" s="837"/>
      <c r="M7" s="449">
        <f>Import.Repasse</f>
        <v>0</v>
      </c>
      <c r="N7" s="450">
        <f>Import.Contrapartida</f>
        <v>0</v>
      </c>
      <c r="O7" s="449">
        <f>M7+N7</f>
        <v>0</v>
      </c>
      <c r="P7" s="570">
        <f ca="1">IF(ACOMPANHAMENTO="PLE",PLE.Medicao,BM.medicao)</f>
        <v>1</v>
      </c>
      <c r="R7" s="184"/>
      <c r="S7" s="184"/>
      <c r="T7" s="184"/>
      <c r="U7" s="184"/>
    </row>
    <row r="8" spans="1:41" x14ac:dyDescent="0.2">
      <c r="D8" s="713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R8" s="184"/>
      <c r="S8" s="184"/>
      <c r="T8" s="184"/>
      <c r="U8" s="184"/>
    </row>
    <row r="9" spans="1:41" ht="12.75" customHeight="1" x14ac:dyDescent="0.2">
      <c r="D9" s="713"/>
      <c r="G9" s="838" t="s">
        <v>361</v>
      </c>
      <c r="H9" s="838"/>
      <c r="I9" s="838" t="s">
        <v>362</v>
      </c>
      <c r="J9" s="838"/>
      <c r="K9" s="451"/>
      <c r="L9" s="839" t="s">
        <v>313</v>
      </c>
      <c r="M9" s="452" t="s">
        <v>316</v>
      </c>
      <c r="N9" s="362" t="s">
        <v>238</v>
      </c>
      <c r="P9" s="453"/>
      <c r="R9" s="184"/>
      <c r="S9" s="184"/>
      <c r="T9" s="184"/>
      <c r="U9" s="184"/>
      <c r="V9" s="9" t="s">
        <v>363</v>
      </c>
    </row>
    <row r="10" spans="1:41" ht="12.75" customHeight="1" x14ac:dyDescent="0.2">
      <c r="D10" s="713"/>
      <c r="G10" s="725" t="str">
        <f ca="1">IF(J10="-","-",IF($P$24&lt;J10,"Atrasada",IF($P$24&gt;J10,"Adiantada","Normal")))</f>
        <v>Atrasada</v>
      </c>
      <c r="H10" s="725"/>
      <c r="I10" s="454">
        <f ca="1">DATE(YEAR($L$35),MONTH($L$35),1)</f>
        <v>45566</v>
      </c>
      <c r="J10" s="455">
        <f ca="1">IF($I$10&lt;DATE(YEAR(CRONO!$T$13),MONTH(CRONO!$T$13),1),0,IF($I$10&gt;CRONO!$AE$13,1,INDEX(CRONO!$S$98:$AS$98,MATCH(RRE!$I$10,CRONO!$S$13:$AS$13,0))))</f>
        <v>1</v>
      </c>
      <c r="K10" s="451"/>
      <c r="L10" s="839"/>
      <c r="M10" s="456">
        <f ca="1">QCI!L10</f>
        <v>0</v>
      </c>
      <c r="N10" s="364">
        <f ca="1">QCI!M10</f>
        <v>0</v>
      </c>
      <c r="P10" s="453"/>
      <c r="R10" s="184"/>
      <c r="S10" s="184"/>
      <c r="T10" s="184"/>
      <c r="U10" s="184"/>
      <c r="AC10" s="834" t="s">
        <v>364</v>
      </c>
      <c r="AD10" s="834"/>
      <c r="AE10" s="834"/>
      <c r="AF10" s="834"/>
      <c r="AG10" s="834"/>
      <c r="AH10" s="834"/>
      <c r="AJ10" s="834" t="s">
        <v>4</v>
      </c>
      <c r="AK10" s="834"/>
      <c r="AL10" s="834"/>
      <c r="AM10" s="834"/>
      <c r="AN10" s="834"/>
      <c r="AO10" s="834"/>
    </row>
    <row r="11" spans="1:41" ht="20.100000000000001" customHeight="1" x14ac:dyDescent="0.2">
      <c r="D11" s="713"/>
      <c r="M11" s="627" t="str">
        <f>IF(CAIXA.Modo,"Valores Aferidos (R$)","Valores Medidos (R$)")</f>
        <v>Valores Medidos (R$)</v>
      </c>
      <c r="N11" s="627"/>
      <c r="O11" s="627"/>
      <c r="R11" s="457"/>
      <c r="S11" s="457"/>
      <c r="T11" s="627"/>
      <c r="U11" s="627"/>
      <c r="V11" s="624" t="s">
        <v>411</v>
      </c>
      <c r="Y11" s="835" t="str">
        <f>IF(CAIXA.Modo,"Valores Aferidos (R$)","Valores Medidos (R$)")</f>
        <v>Valores Medidos (R$)</v>
      </c>
      <c r="Z11" s="835"/>
      <c r="AC11" s="836" t="s">
        <v>365</v>
      </c>
      <c r="AD11" s="836"/>
      <c r="AE11" s="836"/>
      <c r="AF11" s="836" t="s">
        <v>366</v>
      </c>
      <c r="AG11" s="836"/>
      <c r="AH11" s="836"/>
      <c r="AJ11" s="836" t="s">
        <v>365</v>
      </c>
      <c r="AK11" s="836"/>
      <c r="AL11" s="836"/>
      <c r="AM11" s="836" t="s">
        <v>366</v>
      </c>
      <c r="AN11" s="836"/>
      <c r="AO11" s="836"/>
    </row>
    <row r="12" spans="1:41" hidden="1" x14ac:dyDescent="0.2">
      <c r="A12" t="e">
        <f ca="1">MATCH(E12,ORÇAMENTO!$E$15:$E$192,0)-1</f>
        <v>#N/A</v>
      </c>
      <c r="B12" t="e">
        <f ca="1">IF(ISERROR($A12),NA(),OFFSET(ORÇAMENTO!$D$15,$A12,0))</f>
        <v>#N/A</v>
      </c>
      <c r="C12" t="str">
        <f ca="1">QCI!B12</f>
        <v>Branco</v>
      </c>
      <c r="D12" t="str">
        <f ca="1">IF(L12&gt;0,"F","")</f>
        <v/>
      </c>
      <c r="E12" s="459">
        <f>QCI!D12</f>
        <v>-1</v>
      </c>
      <c r="F12" s="460" t="str">
        <f ca="1">QCI!G12</f>
        <v/>
      </c>
      <c r="G12" s="461">
        <f>QCI!H12</f>
        <v>0</v>
      </c>
      <c r="H12" s="462">
        <f>QCI!I12</f>
        <v>0</v>
      </c>
      <c r="I12" s="463" t="str">
        <f ca="1">QCI!J12</f>
        <v/>
      </c>
      <c r="J12" s="464" t="str">
        <f ca="1">QCI!K12</f>
        <v/>
      </c>
      <c r="K12" s="465" t="str">
        <f ca="1">IF($C12="Automático",IF(ACOMPANHAMENTO="BM",BM.medicao,PLE.Medicao),IF(ISBLANK($X12),"",$X12))</f>
        <v/>
      </c>
      <c r="L12" s="466">
        <f ca="1">QCI!$O12</f>
        <v>0</v>
      </c>
      <c r="M12" s="468">
        <f ca="1">ROUND(IF(C12="Automático",AE12+AL12,Y12),2)</f>
        <v>0</v>
      </c>
      <c r="N12" s="469">
        <f ca="1">O12-M12</f>
        <v>0</v>
      </c>
      <c r="O12" s="470">
        <f ca="1">ROUND(IF(C12="Automático",AH12+AO12,Z12),2)</f>
        <v>0</v>
      </c>
      <c r="P12" s="471">
        <f ca="1">O12/(L12+10^-12)</f>
        <v>0</v>
      </c>
      <c r="R12" s="467">
        <f ca="1">ROUND(IF($C12="Automático",AC12+AJ12,$Y12*IF(ISERROR(QCI!$AA12/QCI!$O12),0,QCI!$AA12/QCI!$O12)),2)</f>
        <v>0</v>
      </c>
      <c r="S12" s="467">
        <f ca="1">ROUND(IF($C12="Automático",AD12+AK12,$Y12*IF(ISERROR(QCI!$AB12/QCI!$O12),0,QCI!$AB12/QCI!$O12)),2)</f>
        <v>0</v>
      </c>
      <c r="T12" s="467">
        <f ca="1">ROUND(IF($C12="Automático",AF12+AM12,$Z12*IF(ISERROR(QCI!$AA12/QCI!$O12),0,QCI!$AA12/QCI!$O12)),2)</f>
        <v>0</v>
      </c>
      <c r="U12" s="467">
        <f ca="1">ROUND(IF($C12="Automático",AG12+AN12,$Z12*IF(ISERROR(QCI!$AB12/QCI!$O12),0,QCI!$AB12/QCI!$O12)),2)</f>
        <v>0</v>
      </c>
      <c r="V12" s="625" t="str">
        <f ca="1">IF(AND($L12&gt;0,$J12&lt;&gt;0,$J12&lt;&gt;"",COUNTIF($J12:$J$13,$J12)=1),OFFSET(V12,-1,0)+1,OFFSET(V12,-1,0))</f>
        <v>Lista CTEFs</v>
      </c>
      <c r="X12" s="372"/>
      <c r="Y12" s="373"/>
      <c r="Z12" s="375"/>
      <c r="AC12" s="233">
        <f ca="1">IF(ACOMPANHAMENTO&lt;&gt;"PLE",0,SUMPRODUCT((OFFSET(CÁLCULO!$AX$15:$BH$15,$A12,0,$B12)&lt;=(PLE.Medicao-1))*OFFSET(CÁLCULO!$AB$15:$AL$15,$A12,0,$B12)*OFFSET(ORÇAMENTO!$AA$15,$A12,0,$B12)/(OFFSET(ORÇAMENTO!$X$15,$A12,0,$B12)+10^-12))+IF(AUTOEVENTO="Manual",SUMPRODUCT((OFFSET(CÁLCULO!$M$15,$A12,0,$B12)=1)*OFFSET(ORÇAMENTO!$AA$15,$A12,0,$B12)*(PLE!$AE$9-PLE!$Y$9)),0))</f>
        <v>0</v>
      </c>
      <c r="AD12" s="233">
        <f ca="1">IF(ACOMPANHAMENTO&lt;&gt;"PLE",0,SUMPRODUCT((OFFSET(CÁLCULO!$AX$15:$BH$15,$A12,0,$B12)&lt;=(PLE.Medicao-1))*OFFSET(CÁLCULO!$AB$15:$AL$15,$A12,0,$B12)*OFFSET(ORÇAMENTO!$AB$15,$A12,0,$B12)/(OFFSET(ORÇAMENTO!$X$15,$A12,0,$B12)+10^-12))+IF(AUTOEVENTO="Manual",SUMPRODUCT((OFFSET(CÁLCULO!$M$15,$A12,0,$B12)=1)*OFFSET(ORÇAMENTO!$AB$15,$A12,0,$B12)*(PLE!$AE$9-PLE!$Y$9)),0))</f>
        <v>0</v>
      </c>
      <c r="AE12" s="233">
        <f ca="1">ROUND(IF(ACOMPANHAMENTO&lt;&gt;"PLE",0,SUMIF(OFFSET(CÁLCULO!$AX$15:$BH$15,$A12,0,$B12),"&lt;="&amp;(PLE.Medicao-1),OFFSET(CÁLCULO!$AB$15:$AL$15,$A12,0,$B12))+IF(AUTOEVENTO="Manual",SUMIF(OFFSET(CÁLCULO!$M$15,$A12,0,$B12),1,OFFSET(ORÇAMENTO!$X$15,$A12,0,$B12))*(PLE!$AE$9-PLE!$Y$9),0)),2)</f>
        <v>0</v>
      </c>
      <c r="AF12" s="233">
        <f ca="1">IF(ACOMPANHAMENTO&lt;&gt;"PLE",0,SUMPRODUCT((OFFSET(CÁLCULO!$AX$15:$BH$15,$A12,0,$B12)&lt;=PLE.Medicao)*OFFSET(CÁLCULO!$AB$15:$AL$15,$A12,0,$B12)*OFFSET(ORÇAMENTO!$AA$15,$A12,0,$B12)/(OFFSET(ORÇAMENTO!$X$15,$A12,0,$B12)+10^-12))+IF(AUTOEVENTO="Manual",SUMPRODUCT((OFFSET(CÁLCULO!$M$15,$A12,0,$B12)=1)*OFFSET(ORÇAMENTO!$AA$15,$A12,0,$B12)*PLE!$AE$9),0))</f>
        <v>0</v>
      </c>
      <c r="AG12" s="233">
        <f ca="1">IF(ACOMPANHAMENTO&lt;&gt;"PLE",0,SUMPRODUCT((OFFSET(CÁLCULO!$AX$15:$BH$15,$A12,0,$B12)&lt;=PLE.Medicao)*OFFSET(CÁLCULO!$AB$15:$AL$15,$A12,0,$B12)*OFFSET(ORÇAMENTO!$AB$15,$A12,0,$B12)/(OFFSET(ORÇAMENTO!$X$15,$A12,0,$B12)+10^-12))+IF(AUTOEVENTO="Manual",SUMPRODUCT((OFFSET(CÁLCULO!$M$15,$A12,0,$B12)=1)*OFFSET(ORÇAMENTO!$AB$15,$A12,0,$B12)*PLE!$AE$9),0))</f>
        <v>0</v>
      </c>
      <c r="AH12" s="233">
        <f ca="1">ROUND(IF(ACOMPANHAMENTO&lt;&gt;"PLE",0,SUMIF(OFFSET(CÁLCULO!$AX$15:$BH$15,$A12,0,$B12),"&lt;="&amp;PLE.Medicao,OFFSET(CÁLCULO!$AB$15:$AL$15,$A12,0,$B12))+IF(AUTOEVENTO="Manual",SUMIF(OFFSET(CÁLCULO!$M$15,$A12,0,$B12),1,OFFSET(ORÇAMENTO!$X$15,$A12,0,$B12))*PLE!$AE$9,0)),2)</f>
        <v>0</v>
      </c>
      <c r="AJ12" s="233" t="e">
        <f ca="1">IF(ACOMPANHAMENTO&lt;&gt;"BM",0,SUMPRODUCT(OFFSET(BM!$M$15,$A12,0,$B12)*(OFFSET(BM!$A$15,$A12,0,$B12)="S")*OFFSET(ORÇAMENTO!AA$15,$A12,0,$B12)/(OFFSET(ORÇAMENTO!$X$15,$A12,0,$B12)+10^-12)))</f>
        <v>#N/A</v>
      </c>
      <c r="AK12" s="233" t="e">
        <f ca="1">IF(ACOMPANHAMENTO&lt;&gt;"BM",0,SUMPRODUCT(OFFSET(BM!$M$15,$A12,0,$B12)*(OFFSET(BM!$A$15,$A12,0,$B12)="S")*OFFSET(ORÇAMENTO!AB$15,$A12,0,$B12)/(OFFSET(ORÇAMENTO!$X$15,$A12,0,$B12)+10^-12)))</f>
        <v>#N/A</v>
      </c>
      <c r="AL12" s="233" t="e">
        <f ca="1">IF(ACOMPANHAMENTO&lt;&gt;"BM",0,OFFSET(BM!$M$15,$A12,0))</f>
        <v>#N/A</v>
      </c>
      <c r="AM12" s="233" t="e">
        <f ca="1">IF(ACOMPANHAMENTO&lt;&gt;"BM",0,SUMPRODUCT(OFFSET(BM!$O$15,$A12,0,$B12)*(OFFSET(BM!$A$15,$A12,0,$B12)="S")*OFFSET(ORÇAMENTO!AA$15,$A12,0,$B12)/(OFFSET(ORÇAMENTO!$X$15,$A12,0,$B12)+10^-12)))</f>
        <v>#N/A</v>
      </c>
      <c r="AN12" s="233" t="e">
        <f ca="1">IF(ACOMPANHAMENTO&lt;&gt;"BM",0,SUMPRODUCT(OFFSET(BM!$O$15,$A12,0,$B12)*(OFFSET(BM!$A$15,$A12,0,$B12)="S")*OFFSET(ORÇAMENTO!AB$15,$A12,0,$B12)/(OFFSET(ORÇAMENTO!$X$15,$A12,0,$B12)+10^-12)))</f>
        <v>#N/A</v>
      </c>
      <c r="AO12" s="233" t="e">
        <f ca="1">IF(ACOMPANHAMENTO&lt;&gt;"BM",0,OFFSET(BM!$O$15,$A12,0))</f>
        <v>#N/A</v>
      </c>
    </row>
    <row r="13" spans="1:41" ht="39.950000000000003" customHeight="1" x14ac:dyDescent="0.2">
      <c r="A13" s="379" t="s">
        <v>367</v>
      </c>
      <c r="B13" s="12" t="s">
        <v>221</v>
      </c>
      <c r="C13" s="379" t="s">
        <v>318</v>
      </c>
      <c r="D13" s="135" t="s">
        <v>217</v>
      </c>
      <c r="E13" s="136" t="s">
        <v>195</v>
      </c>
      <c r="F13" s="136" t="s">
        <v>321</v>
      </c>
      <c r="G13" s="136" t="s">
        <v>161</v>
      </c>
      <c r="H13" s="136" t="s">
        <v>203</v>
      </c>
      <c r="I13" s="136" t="s">
        <v>322</v>
      </c>
      <c r="J13" s="136" t="s">
        <v>323</v>
      </c>
      <c r="K13" s="380" t="s">
        <v>368</v>
      </c>
      <c r="L13" s="136" t="s">
        <v>369</v>
      </c>
      <c r="M13" s="380" t="s">
        <v>365</v>
      </c>
      <c r="N13" s="381" t="s">
        <v>372</v>
      </c>
      <c r="O13" s="382" t="s">
        <v>366</v>
      </c>
      <c r="P13" s="136" t="s">
        <v>375</v>
      </c>
      <c r="R13" s="472" t="s">
        <v>370</v>
      </c>
      <c r="S13" s="472" t="s">
        <v>371</v>
      </c>
      <c r="T13" s="472" t="s">
        <v>373</v>
      </c>
      <c r="U13" s="472" t="s">
        <v>374</v>
      </c>
      <c r="V13" s="626"/>
      <c r="X13" s="380" t="s">
        <v>368</v>
      </c>
      <c r="Y13" s="201" t="s">
        <v>365</v>
      </c>
      <c r="Z13" s="202" t="s">
        <v>366</v>
      </c>
      <c r="AC13" s="458" t="s">
        <v>169</v>
      </c>
      <c r="AD13" s="458" t="s">
        <v>358</v>
      </c>
      <c r="AE13" s="458" t="s">
        <v>360</v>
      </c>
      <c r="AF13" s="458" t="s">
        <v>169</v>
      </c>
      <c r="AG13" s="458" t="s">
        <v>358</v>
      </c>
      <c r="AH13" s="458" t="s">
        <v>360</v>
      </c>
      <c r="AJ13" s="458" t="s">
        <v>169</v>
      </c>
      <c r="AK13" s="458" t="s">
        <v>358</v>
      </c>
      <c r="AL13" s="458" t="s">
        <v>360</v>
      </c>
      <c r="AM13" s="458" t="s">
        <v>169</v>
      </c>
      <c r="AN13" s="458" t="s">
        <v>358</v>
      </c>
      <c r="AO13" s="458" t="s">
        <v>360</v>
      </c>
    </row>
    <row r="14" spans="1:41" x14ac:dyDescent="0.2">
      <c r="A14">
        <f ca="1">MATCH(E14,ORÇAMENTO!$E$15:$E$192,0)-1</f>
        <v>1</v>
      </c>
      <c r="B14">
        <f ca="1">IF(ISERROR($A14),NA(),OFFSET(ORÇAMENTO!$D$15,$A14,0))</f>
        <v>176</v>
      </c>
      <c r="C14" t="str">
        <f ca="1">QCI!B14</f>
        <v>Automático</v>
      </c>
      <c r="D14" t="str">
        <f t="shared" ref="D14:D22" ca="1" si="0">IF(L14&gt;0,"F","")</f>
        <v/>
      </c>
      <c r="E14" s="459">
        <f>QCI!D14</f>
        <v>1</v>
      </c>
      <c r="F14" s="460" t="str">
        <f ca="1">QCI!G14</f>
        <v>BIBLIOTECA ÉRICO VERÍSSIMO</v>
      </c>
      <c r="G14" s="461">
        <f>QCI!H14</f>
        <v>0</v>
      </c>
      <c r="H14" s="462">
        <f>QCI!I14</f>
        <v>0</v>
      </c>
      <c r="I14" s="463" t="str">
        <f ca="1">QCI!J14</f>
        <v/>
      </c>
      <c r="J14" s="464" t="str">
        <f ca="1">QCI!K14</f>
        <v>LOTE 1</v>
      </c>
      <c r="K14" s="465">
        <f ca="1">IF($C14="Automático",IF(ACOMPANHAMENTO="BM",BM.medicao,PLE.Medicao),IF(ISBLANK($X14),"",$X14))</f>
        <v>1</v>
      </c>
      <c r="L14" s="466">
        <f ca="1">QCI!$O14</f>
        <v>0</v>
      </c>
      <c r="M14" s="468">
        <f t="shared" ref="M14:M22" ca="1" si="1">ROUND(IF(C14="Automático",AE14+AL14,Y14),2)</f>
        <v>0</v>
      </c>
      <c r="N14" s="469">
        <f t="shared" ref="N14:N22" ca="1" si="2">O14-M14</f>
        <v>0</v>
      </c>
      <c r="O14" s="470">
        <f t="shared" ref="O14:O22" ca="1" si="3">ROUND(IF(C14="Automático",AH14+AO14,Z14),2)</f>
        <v>0</v>
      </c>
      <c r="P14" s="471">
        <f t="shared" ref="P14:P22" ca="1" si="4">O14/(L14+10^-12)</f>
        <v>0</v>
      </c>
      <c r="R14" s="467">
        <f ca="1">ROUND(IF($C14="Automático",AC14+AJ14,$Y14*IF(ISERROR(QCI!$AA14/QCI!$O14),0,QCI!$AA14/QCI!$O14)),2)</f>
        <v>0</v>
      </c>
      <c r="S14" s="467">
        <f ca="1">ROUND(IF($C14="Automático",AD14+AK14,$Y14*IF(ISERROR(QCI!$AB14/QCI!$O14),0,QCI!$AB14/QCI!$O14)),2)</f>
        <v>0</v>
      </c>
      <c r="T14" s="467">
        <f ca="1">ROUND(IF($C14="Automático",AF14+AM14,$Z14*IF(ISERROR(QCI!$AA14/QCI!$O14),0,QCI!$AA14/QCI!$O14)),2)</f>
        <v>0</v>
      </c>
      <c r="U14" s="467">
        <f ca="1">ROUND(IF($C14="Automático",AG14+AN14,$Z14*IF(ISERROR(QCI!$AB14/QCI!$O14),0,QCI!$AB14/QCI!$O14)),2)</f>
        <v>0</v>
      </c>
      <c r="V14" s="625">
        <f ca="1">IF(AND($L14&gt;0,$J14&lt;&gt;0,$J14&lt;&gt;"",COUNTIF($J$13:$J14,$J14)=1),OFFSET(V14,-1,0)+1,OFFSET(V14,-1,0))</f>
        <v>0</v>
      </c>
      <c r="X14" s="372"/>
      <c r="Y14" s="373"/>
      <c r="Z14" s="375"/>
      <c r="AC14" s="233">
        <f ca="1">IF(ACOMPANHAMENTO&lt;&gt;"PLE",0,SUMPRODUCT((OFFSET(CÁLCULO!$AX$15:$BH$15,$A14,0,$B14)&lt;=(PLE.Medicao-1))*OFFSET(CÁLCULO!$AB$15:$AL$15,$A14,0,$B14)*OFFSET(ORÇAMENTO!$AA$15,$A14,0,$B14)/(OFFSET(ORÇAMENTO!$X$15,$A14,0,$B14)+10^-12))+IF(AUTOEVENTO="Manual",SUMPRODUCT((OFFSET(CÁLCULO!$M$15,$A14,0,$B14)=1)*OFFSET(ORÇAMENTO!$AA$15,$A14,0,$B14)*(PLE!$AE$9-PLE!$Y$9)),0))</f>
        <v>0</v>
      </c>
      <c r="AD14" s="233">
        <f ca="1">IF(ACOMPANHAMENTO&lt;&gt;"PLE",0,SUMPRODUCT((OFFSET(CÁLCULO!$AX$15:$BH$15,$A14,0,$B14)&lt;=(PLE.Medicao-1))*OFFSET(CÁLCULO!$AB$15:$AL$15,$A14,0,$B14)*OFFSET(ORÇAMENTO!$AB$15,$A14,0,$B14)/(OFFSET(ORÇAMENTO!$X$15,$A14,0,$B14)+10^-12))+IF(AUTOEVENTO="Manual",SUMPRODUCT((OFFSET(CÁLCULO!$M$15,$A14,0,$B14)=1)*OFFSET(ORÇAMENTO!$AB$15,$A14,0,$B14)*(PLE!$AE$9-PLE!$Y$9)),0))</f>
        <v>0</v>
      </c>
      <c r="AE14" s="233">
        <f ca="1">ROUND(IF(ACOMPANHAMENTO&lt;&gt;"PLE",0,SUMIF(OFFSET(CÁLCULO!$AX$15:$BH$15,$A14,0,$B14),"&lt;="&amp;(PLE.Medicao-1),OFFSET(CÁLCULO!$AB$15:$AL$15,$A14,0,$B14))+IF(AUTOEVENTO="Manual",SUMIF(OFFSET(CÁLCULO!$M$15,$A14,0,$B14),1,OFFSET(ORÇAMENTO!$X$15,$A14,0,$B14))*(PLE!$AE$9-PLE!$Y$9),0)),2)</f>
        <v>0</v>
      </c>
      <c r="AF14" s="233">
        <f ca="1">IF(ACOMPANHAMENTO&lt;&gt;"PLE",0,SUMPRODUCT((OFFSET(CÁLCULO!$AX$15:$BH$15,$A14,0,$B14)&lt;=PLE.Medicao)*OFFSET(CÁLCULO!$AB$15:$AL$15,$A14,0,$B14)*OFFSET(ORÇAMENTO!$AA$15,$A14,0,$B14)/(OFFSET(ORÇAMENTO!$X$15,$A14,0,$B14)+10^-12))+IF(AUTOEVENTO="Manual",SUMPRODUCT((OFFSET(CÁLCULO!$M$15,$A14,0,$B14)=1)*OFFSET(ORÇAMENTO!$AA$15,$A14,0,$B14)*PLE!$AE$9),0))</f>
        <v>0</v>
      </c>
      <c r="AG14" s="233">
        <f ca="1">IF(ACOMPANHAMENTO&lt;&gt;"PLE",0,SUMPRODUCT((OFFSET(CÁLCULO!$AX$15:$BH$15,$A14,0,$B14)&lt;=PLE.Medicao)*OFFSET(CÁLCULO!$AB$15:$AL$15,$A14,0,$B14)*OFFSET(ORÇAMENTO!$AB$15,$A14,0,$B14)/(OFFSET(ORÇAMENTO!$X$15,$A14,0,$B14)+10^-12))+IF(AUTOEVENTO="Manual",SUMPRODUCT((OFFSET(CÁLCULO!$M$15,$A14,0,$B14)=1)*OFFSET(ORÇAMENTO!$AB$15,$A14,0,$B14)*PLE!$AE$9),0))</f>
        <v>0</v>
      </c>
      <c r="AH14" s="233">
        <f ca="1">ROUND(IF(ACOMPANHAMENTO&lt;&gt;"PLE",0,SUMIF(OFFSET(CÁLCULO!$AX$15:$BH$15,$A14,0,$B14),"&lt;="&amp;PLE.Medicao,OFFSET(CÁLCULO!$AB$15:$AL$15,$A14,0,$B14))+IF(AUTOEVENTO="Manual",SUMIF(OFFSET(CÁLCULO!$M$15,$A14,0,$B14),1,OFFSET(ORÇAMENTO!$X$15,$A14,0,$B14))*PLE!$AE$9,0)),2)</f>
        <v>0</v>
      </c>
      <c r="AJ14" s="233">
        <f ca="1">IF(ACOMPANHAMENTO&lt;&gt;"BM",0,SUMPRODUCT(OFFSET(BM!$M$15,$A14,0,$B14)*(OFFSET(BM!$A$15,$A14,0,$B14)="S")*OFFSET(ORÇAMENTO!AA$15,$A14,0,$B14)/(OFFSET(ORÇAMENTO!$X$15,$A14,0,$B14)+10^-12)))</f>
        <v>0</v>
      </c>
      <c r="AK14" s="233">
        <f ca="1">IF(ACOMPANHAMENTO&lt;&gt;"BM",0,SUMPRODUCT(OFFSET(BM!$M$15,$A14,0,$B14)*(OFFSET(BM!$A$15,$A14,0,$B14)="S")*OFFSET(ORÇAMENTO!AB$15,$A14,0,$B14)/(OFFSET(ORÇAMENTO!$X$15,$A14,0,$B14)+10^-12)))</f>
        <v>0</v>
      </c>
      <c r="AL14" s="233">
        <f ca="1">IF(ACOMPANHAMENTO&lt;&gt;"BM",0,OFFSET(BM!$M$15,$A14,0))</f>
        <v>0</v>
      </c>
      <c r="AM14" s="233">
        <f ca="1">IF(ACOMPANHAMENTO&lt;&gt;"BM",0,SUMPRODUCT(OFFSET(BM!$O$15,$A14,0,$B14)*(OFFSET(BM!$A$15,$A14,0,$B14)="S")*OFFSET(ORÇAMENTO!AA$15,$A14,0,$B14)/(OFFSET(ORÇAMENTO!$X$15,$A14,0,$B14)+10^-12)))</f>
        <v>0</v>
      </c>
      <c r="AN14" s="233">
        <f ca="1">IF(ACOMPANHAMENTO&lt;&gt;"BM",0,SUMPRODUCT(OFFSET(BM!$O$15,$A14,0,$B14)*(OFFSET(BM!$A$15,$A14,0,$B14)="S")*OFFSET(ORÇAMENTO!AB$15,$A14,0,$B14)/(OFFSET(ORÇAMENTO!$X$15,$A14,0,$B14)+10^-12)))</f>
        <v>0</v>
      </c>
      <c r="AO14" s="233">
        <f ca="1">IF(ACOMPANHAMENTO&lt;&gt;"BM",0,OFFSET(BM!$O$15,$A14,0))</f>
        <v>0</v>
      </c>
    </row>
    <row r="15" spans="1:41" x14ac:dyDescent="0.2">
      <c r="A15" t="e">
        <f ca="1">MATCH(E15,ORÇAMENTO!$E$15:$E$192,0)-1</f>
        <v>#N/A</v>
      </c>
      <c r="B15" t="e">
        <f ca="1">IF(ISERROR($A15),NA(),OFFSET(ORÇAMENTO!$D$15,$A15,0))</f>
        <v>#N/A</v>
      </c>
      <c r="C15" t="str">
        <f ca="1">QCI!B15</f>
        <v>Branco</v>
      </c>
      <c r="D15" t="str">
        <f t="shared" ca="1" si="0"/>
        <v/>
      </c>
      <c r="E15" s="459">
        <f>QCI!D15</f>
        <v>2</v>
      </c>
      <c r="F15" s="460" t="str">
        <f ca="1">QCI!G15</f>
        <v/>
      </c>
      <c r="G15" s="461">
        <f>QCI!H15</f>
        <v>0</v>
      </c>
      <c r="H15" s="462">
        <f>QCI!I15</f>
        <v>0</v>
      </c>
      <c r="I15" s="463" t="str">
        <f ca="1">QCI!J15</f>
        <v/>
      </c>
      <c r="J15" s="464" t="str">
        <f ca="1">QCI!K15</f>
        <v/>
      </c>
      <c r="K15" s="465" t="str">
        <f ca="1">IF($C15="Automático",IF(ACOMPANHAMENTO="BM",BM.medicao,PLE.Medicao),IF(ISBLANK($X15),"",$X15))</f>
        <v/>
      </c>
      <c r="L15" s="466">
        <f ca="1">QCI!$O15</f>
        <v>0</v>
      </c>
      <c r="M15" s="468">
        <f t="shared" ca="1" si="1"/>
        <v>0</v>
      </c>
      <c r="N15" s="469">
        <f t="shared" ca="1" si="2"/>
        <v>0</v>
      </c>
      <c r="O15" s="470">
        <f t="shared" ca="1" si="3"/>
        <v>0</v>
      </c>
      <c r="P15" s="471">
        <f t="shared" ca="1" si="4"/>
        <v>0</v>
      </c>
      <c r="R15" s="467">
        <f ca="1">ROUND(IF($C15="Automático",AC15+AJ15,$Y15*IF(ISERROR(QCI!$AA15/QCI!$O15),0,QCI!$AA15/QCI!$O15)),2)</f>
        <v>0</v>
      </c>
      <c r="S15" s="467">
        <f ca="1">ROUND(IF($C15="Automático",AD15+AK15,$Y15*IF(ISERROR(QCI!$AB15/QCI!$O15),0,QCI!$AB15/QCI!$O15)),2)</f>
        <v>0</v>
      </c>
      <c r="T15" s="467">
        <f ca="1">ROUND(IF($C15="Automático",AF15+AM15,$Z15*IF(ISERROR(QCI!$AA15/QCI!$O15),0,QCI!$AA15/QCI!$O15)),2)</f>
        <v>0</v>
      </c>
      <c r="U15" s="467">
        <f ca="1">ROUND(IF($C15="Automático",AG15+AN15,$Z15*IF(ISERROR(QCI!$AB15/QCI!$O15),0,QCI!$AB15/QCI!$O15)),2)</f>
        <v>0</v>
      </c>
      <c r="V15" s="625">
        <f ca="1">IF(AND($L15&gt;0,$J15&lt;&gt;0,$J15&lt;&gt;"",COUNTIF($J$13:$J15,$J15)=1),OFFSET(V15,-1,0)+1,OFFSET(V15,-1,0))</f>
        <v>0</v>
      </c>
      <c r="X15" s="372"/>
      <c r="Y15" s="373"/>
      <c r="Z15" s="375"/>
      <c r="AC15" s="233">
        <f ca="1">IF(ACOMPANHAMENTO&lt;&gt;"PLE",0,SUMPRODUCT((OFFSET(CÁLCULO!$AX$15:$BH$15,$A15,0,$B15)&lt;=(PLE.Medicao-1))*OFFSET(CÁLCULO!$AB$15:$AL$15,$A15,0,$B15)*OFFSET(ORÇAMENTO!$AA$15,$A15,0,$B15)/(OFFSET(ORÇAMENTO!$X$15,$A15,0,$B15)+10^-12))+IF(AUTOEVENTO="Manual",SUMPRODUCT((OFFSET(CÁLCULO!$M$15,$A15,0,$B15)=1)*OFFSET(ORÇAMENTO!$AA$15,$A15,0,$B15)*(PLE!$AE$9-PLE!$Y$9)),0))</f>
        <v>0</v>
      </c>
      <c r="AD15" s="233">
        <f ca="1">IF(ACOMPANHAMENTO&lt;&gt;"PLE",0,SUMPRODUCT((OFFSET(CÁLCULO!$AX$15:$BH$15,$A15,0,$B15)&lt;=(PLE.Medicao-1))*OFFSET(CÁLCULO!$AB$15:$AL$15,$A15,0,$B15)*OFFSET(ORÇAMENTO!$AB$15,$A15,0,$B15)/(OFFSET(ORÇAMENTO!$X$15,$A15,0,$B15)+10^-12))+IF(AUTOEVENTO="Manual",SUMPRODUCT((OFFSET(CÁLCULO!$M$15,$A15,0,$B15)=1)*OFFSET(ORÇAMENTO!$AB$15,$A15,0,$B15)*(PLE!$AE$9-PLE!$Y$9)),0))</f>
        <v>0</v>
      </c>
      <c r="AE15" s="233">
        <f ca="1">ROUND(IF(ACOMPANHAMENTO&lt;&gt;"PLE",0,SUMIF(OFFSET(CÁLCULO!$AX$15:$BH$15,$A15,0,$B15),"&lt;="&amp;(PLE.Medicao-1),OFFSET(CÁLCULO!$AB$15:$AL$15,$A15,0,$B15))+IF(AUTOEVENTO="Manual",SUMIF(OFFSET(CÁLCULO!$M$15,$A15,0,$B15),1,OFFSET(ORÇAMENTO!$X$15,$A15,0,$B15))*(PLE!$AE$9-PLE!$Y$9),0)),2)</f>
        <v>0</v>
      </c>
      <c r="AF15" s="233">
        <f ca="1">IF(ACOMPANHAMENTO&lt;&gt;"PLE",0,SUMPRODUCT((OFFSET(CÁLCULO!$AX$15:$BH$15,$A15,0,$B15)&lt;=PLE.Medicao)*OFFSET(CÁLCULO!$AB$15:$AL$15,$A15,0,$B15)*OFFSET(ORÇAMENTO!$AA$15,$A15,0,$B15)/(OFFSET(ORÇAMENTO!$X$15,$A15,0,$B15)+10^-12))+IF(AUTOEVENTO="Manual",SUMPRODUCT((OFFSET(CÁLCULO!$M$15,$A15,0,$B15)=1)*OFFSET(ORÇAMENTO!$AA$15,$A15,0,$B15)*PLE!$AE$9),0))</f>
        <v>0</v>
      </c>
      <c r="AG15" s="233">
        <f ca="1">IF(ACOMPANHAMENTO&lt;&gt;"PLE",0,SUMPRODUCT((OFFSET(CÁLCULO!$AX$15:$BH$15,$A15,0,$B15)&lt;=PLE.Medicao)*OFFSET(CÁLCULO!$AB$15:$AL$15,$A15,0,$B15)*OFFSET(ORÇAMENTO!$AB$15,$A15,0,$B15)/(OFFSET(ORÇAMENTO!$X$15,$A15,0,$B15)+10^-12))+IF(AUTOEVENTO="Manual",SUMPRODUCT((OFFSET(CÁLCULO!$M$15,$A15,0,$B15)=1)*OFFSET(ORÇAMENTO!$AB$15,$A15,0,$B15)*PLE!$AE$9),0))</f>
        <v>0</v>
      </c>
      <c r="AH15" s="233">
        <f ca="1">ROUND(IF(ACOMPANHAMENTO&lt;&gt;"PLE",0,SUMIF(OFFSET(CÁLCULO!$AX$15:$BH$15,$A15,0,$B15),"&lt;="&amp;PLE.Medicao,OFFSET(CÁLCULO!$AB$15:$AL$15,$A15,0,$B15))+IF(AUTOEVENTO="Manual",SUMIF(OFFSET(CÁLCULO!$M$15,$A15,0,$B15),1,OFFSET(ORÇAMENTO!$X$15,$A15,0,$B15))*PLE!$AE$9,0)),2)</f>
        <v>0</v>
      </c>
      <c r="AJ15" s="233" t="e">
        <f ca="1">IF(ACOMPANHAMENTO&lt;&gt;"BM",0,SUMPRODUCT(OFFSET(BM!$M$15,$A15,0,$B15)*(OFFSET(BM!$A$15,$A15,0,$B15)="S")*OFFSET(ORÇAMENTO!AA$15,$A15,0,$B15)/(OFFSET(ORÇAMENTO!$X$15,$A15,0,$B15)+10^-12)))</f>
        <v>#N/A</v>
      </c>
      <c r="AK15" s="233" t="e">
        <f ca="1">IF(ACOMPANHAMENTO&lt;&gt;"BM",0,SUMPRODUCT(OFFSET(BM!$M$15,$A15,0,$B15)*(OFFSET(BM!$A$15,$A15,0,$B15)="S")*OFFSET(ORÇAMENTO!AB$15,$A15,0,$B15)/(OFFSET(ORÇAMENTO!$X$15,$A15,0,$B15)+10^-12)))</f>
        <v>#N/A</v>
      </c>
      <c r="AL15" s="233" t="e">
        <f ca="1">IF(ACOMPANHAMENTO&lt;&gt;"BM",0,OFFSET(BM!$M$15,$A15,0))</f>
        <v>#N/A</v>
      </c>
      <c r="AM15" s="233" t="e">
        <f ca="1">IF(ACOMPANHAMENTO&lt;&gt;"BM",0,SUMPRODUCT(OFFSET(BM!$O$15,$A15,0,$B15)*(OFFSET(BM!$A$15,$A15,0,$B15)="S")*OFFSET(ORÇAMENTO!AA$15,$A15,0,$B15)/(OFFSET(ORÇAMENTO!$X$15,$A15,0,$B15)+10^-12)))</f>
        <v>#N/A</v>
      </c>
      <c r="AN15" s="233" t="e">
        <f ca="1">IF(ACOMPANHAMENTO&lt;&gt;"BM",0,SUMPRODUCT(OFFSET(BM!$O$15,$A15,0,$B15)*(OFFSET(BM!$A$15,$A15,0,$B15)="S")*OFFSET(ORÇAMENTO!AB$15,$A15,0,$B15)/(OFFSET(ORÇAMENTO!$X$15,$A15,0,$B15)+10^-12)))</f>
        <v>#N/A</v>
      </c>
      <c r="AO15" s="233" t="e">
        <f ca="1">IF(ACOMPANHAMENTO&lt;&gt;"BM",0,OFFSET(BM!$O$15,$A15,0))</f>
        <v>#N/A</v>
      </c>
    </row>
    <row r="16" spans="1:41" x14ac:dyDescent="0.2">
      <c r="A16" t="e">
        <f ca="1">MATCH(E16,ORÇAMENTO!$E$15:$E$192,0)-1</f>
        <v>#N/A</v>
      </c>
      <c r="B16" t="e">
        <f ca="1">IF(ISERROR($A16),NA(),OFFSET(ORÇAMENTO!$D$15,$A16,0))</f>
        <v>#N/A</v>
      </c>
      <c r="C16" t="str">
        <f ca="1">QCI!B16</f>
        <v>Branco</v>
      </c>
      <c r="D16" t="str">
        <f t="shared" ca="1" si="0"/>
        <v/>
      </c>
      <c r="E16" s="459">
        <f>QCI!D16</f>
        <v>3</v>
      </c>
      <c r="F16" s="460" t="str">
        <f ca="1">QCI!G16</f>
        <v/>
      </c>
      <c r="G16" s="461">
        <f>QCI!H16</f>
        <v>0</v>
      </c>
      <c r="H16" s="462">
        <f>QCI!I16</f>
        <v>0</v>
      </c>
      <c r="I16" s="463" t="str">
        <f ca="1">QCI!J16</f>
        <v/>
      </c>
      <c r="J16" s="464" t="str">
        <f ca="1">QCI!K16</f>
        <v/>
      </c>
      <c r="K16" s="465" t="str">
        <f ca="1">IF($C16="Automático",IF(ACOMPANHAMENTO="BM",BM.medicao,PLE.Medicao),IF(ISBLANK($X16),"",$X16))</f>
        <v/>
      </c>
      <c r="L16" s="466">
        <f ca="1">QCI!$O16</f>
        <v>0</v>
      </c>
      <c r="M16" s="468">
        <f t="shared" ca="1" si="1"/>
        <v>0</v>
      </c>
      <c r="N16" s="469">
        <f t="shared" ca="1" si="2"/>
        <v>0</v>
      </c>
      <c r="O16" s="470">
        <f t="shared" ca="1" si="3"/>
        <v>0</v>
      </c>
      <c r="P16" s="471">
        <f t="shared" ca="1" si="4"/>
        <v>0</v>
      </c>
      <c r="R16" s="467">
        <f ca="1">ROUND(IF($C16="Automático",AC16+AJ16,$Y16*IF(ISERROR(QCI!$AA16/QCI!$O16),0,QCI!$AA16/QCI!$O16)),2)</f>
        <v>0</v>
      </c>
      <c r="S16" s="467">
        <f ca="1">ROUND(IF($C16="Automático",AD16+AK16,$Y16*IF(ISERROR(QCI!$AB16/QCI!$O16),0,QCI!$AB16/QCI!$O16)),2)</f>
        <v>0</v>
      </c>
      <c r="T16" s="467">
        <f ca="1">ROUND(IF($C16="Automático",AF16+AM16,$Z16*IF(ISERROR(QCI!$AA16/QCI!$O16),0,QCI!$AA16/QCI!$O16)),2)</f>
        <v>0</v>
      </c>
      <c r="U16" s="467">
        <f ca="1">ROUND(IF($C16="Automático",AG16+AN16,$Z16*IF(ISERROR(QCI!$AB16/QCI!$O16),0,QCI!$AB16/QCI!$O16)),2)</f>
        <v>0</v>
      </c>
      <c r="V16" s="625">
        <f ca="1">IF(AND($L16&gt;0,$J16&lt;&gt;0,$J16&lt;&gt;"",COUNTIF($J$13:$J16,$J16)=1),OFFSET(V16,-1,0)+1,OFFSET(V16,-1,0))</f>
        <v>0</v>
      </c>
      <c r="X16" s="372"/>
      <c r="Y16" s="373"/>
      <c r="Z16" s="375"/>
      <c r="AC16" s="233">
        <f ca="1">IF(ACOMPANHAMENTO&lt;&gt;"PLE",0,SUMPRODUCT((OFFSET(CÁLCULO!$AX$15:$BH$15,$A16,0,$B16)&lt;=(PLE.Medicao-1))*OFFSET(CÁLCULO!$AB$15:$AL$15,$A16,0,$B16)*OFFSET(ORÇAMENTO!$AA$15,$A16,0,$B16)/(OFFSET(ORÇAMENTO!$X$15,$A16,0,$B16)+10^-12))+IF(AUTOEVENTO="Manual",SUMPRODUCT((OFFSET(CÁLCULO!$M$15,$A16,0,$B16)=1)*OFFSET(ORÇAMENTO!$AA$15,$A16,0,$B16)*(PLE!$AE$9-PLE!$Y$9)),0))</f>
        <v>0</v>
      </c>
      <c r="AD16" s="233">
        <f ca="1">IF(ACOMPANHAMENTO&lt;&gt;"PLE",0,SUMPRODUCT((OFFSET(CÁLCULO!$AX$15:$BH$15,$A16,0,$B16)&lt;=(PLE.Medicao-1))*OFFSET(CÁLCULO!$AB$15:$AL$15,$A16,0,$B16)*OFFSET(ORÇAMENTO!$AB$15,$A16,0,$B16)/(OFFSET(ORÇAMENTO!$X$15,$A16,0,$B16)+10^-12))+IF(AUTOEVENTO="Manual",SUMPRODUCT((OFFSET(CÁLCULO!$M$15,$A16,0,$B16)=1)*OFFSET(ORÇAMENTO!$AB$15,$A16,0,$B16)*(PLE!$AE$9-PLE!$Y$9)),0))</f>
        <v>0</v>
      </c>
      <c r="AE16" s="233">
        <f ca="1">ROUND(IF(ACOMPANHAMENTO&lt;&gt;"PLE",0,SUMIF(OFFSET(CÁLCULO!$AX$15:$BH$15,$A16,0,$B16),"&lt;="&amp;(PLE.Medicao-1),OFFSET(CÁLCULO!$AB$15:$AL$15,$A16,0,$B16))+IF(AUTOEVENTO="Manual",SUMIF(OFFSET(CÁLCULO!$M$15,$A16,0,$B16),1,OFFSET(ORÇAMENTO!$X$15,$A16,0,$B16))*(PLE!$AE$9-PLE!$Y$9),0)),2)</f>
        <v>0</v>
      </c>
      <c r="AF16" s="233">
        <f ca="1">IF(ACOMPANHAMENTO&lt;&gt;"PLE",0,SUMPRODUCT((OFFSET(CÁLCULO!$AX$15:$BH$15,$A16,0,$B16)&lt;=PLE.Medicao)*OFFSET(CÁLCULO!$AB$15:$AL$15,$A16,0,$B16)*OFFSET(ORÇAMENTO!$AA$15,$A16,0,$B16)/(OFFSET(ORÇAMENTO!$X$15,$A16,0,$B16)+10^-12))+IF(AUTOEVENTO="Manual",SUMPRODUCT((OFFSET(CÁLCULO!$M$15,$A16,0,$B16)=1)*OFFSET(ORÇAMENTO!$AA$15,$A16,0,$B16)*PLE!$AE$9),0))</f>
        <v>0</v>
      </c>
      <c r="AG16" s="233">
        <f ca="1">IF(ACOMPANHAMENTO&lt;&gt;"PLE",0,SUMPRODUCT((OFFSET(CÁLCULO!$AX$15:$BH$15,$A16,0,$B16)&lt;=PLE.Medicao)*OFFSET(CÁLCULO!$AB$15:$AL$15,$A16,0,$B16)*OFFSET(ORÇAMENTO!$AB$15,$A16,0,$B16)/(OFFSET(ORÇAMENTO!$X$15,$A16,0,$B16)+10^-12))+IF(AUTOEVENTO="Manual",SUMPRODUCT((OFFSET(CÁLCULO!$M$15,$A16,0,$B16)=1)*OFFSET(ORÇAMENTO!$AB$15,$A16,0,$B16)*PLE!$AE$9),0))</f>
        <v>0</v>
      </c>
      <c r="AH16" s="233">
        <f ca="1">ROUND(IF(ACOMPANHAMENTO&lt;&gt;"PLE",0,SUMIF(OFFSET(CÁLCULO!$AX$15:$BH$15,$A16,0,$B16),"&lt;="&amp;PLE.Medicao,OFFSET(CÁLCULO!$AB$15:$AL$15,$A16,0,$B16))+IF(AUTOEVENTO="Manual",SUMIF(OFFSET(CÁLCULO!$M$15,$A16,0,$B16),1,OFFSET(ORÇAMENTO!$X$15,$A16,0,$B16))*PLE!$AE$9,0)),2)</f>
        <v>0</v>
      </c>
      <c r="AJ16" s="233" t="e">
        <f ca="1">IF(ACOMPANHAMENTO&lt;&gt;"BM",0,SUMPRODUCT(OFFSET(BM!$M$15,$A16,0,$B16)*(OFFSET(BM!$A$15,$A16,0,$B16)="S")*OFFSET(ORÇAMENTO!AA$15,$A16,0,$B16)/(OFFSET(ORÇAMENTO!$X$15,$A16,0,$B16)+10^-12)))</f>
        <v>#N/A</v>
      </c>
      <c r="AK16" s="233" t="e">
        <f ca="1">IF(ACOMPANHAMENTO&lt;&gt;"BM",0,SUMPRODUCT(OFFSET(BM!$M$15,$A16,0,$B16)*(OFFSET(BM!$A$15,$A16,0,$B16)="S")*OFFSET(ORÇAMENTO!AB$15,$A16,0,$B16)/(OFFSET(ORÇAMENTO!$X$15,$A16,0,$B16)+10^-12)))</f>
        <v>#N/A</v>
      </c>
      <c r="AL16" s="233" t="e">
        <f ca="1">IF(ACOMPANHAMENTO&lt;&gt;"BM",0,OFFSET(BM!$M$15,$A16,0))</f>
        <v>#N/A</v>
      </c>
      <c r="AM16" s="233" t="e">
        <f ca="1">IF(ACOMPANHAMENTO&lt;&gt;"BM",0,SUMPRODUCT(OFFSET(BM!$O$15,$A16,0,$B16)*(OFFSET(BM!$A$15,$A16,0,$B16)="S")*OFFSET(ORÇAMENTO!AA$15,$A16,0,$B16)/(OFFSET(ORÇAMENTO!$X$15,$A16,0,$B16)+10^-12)))</f>
        <v>#N/A</v>
      </c>
      <c r="AN16" s="233" t="e">
        <f ca="1">IF(ACOMPANHAMENTO&lt;&gt;"BM",0,SUMPRODUCT(OFFSET(BM!$O$15,$A16,0,$B16)*(OFFSET(BM!$A$15,$A16,0,$B16)="S")*OFFSET(ORÇAMENTO!AB$15,$A16,0,$B16)/(OFFSET(ORÇAMENTO!$X$15,$A16,0,$B16)+10^-12)))</f>
        <v>#N/A</v>
      </c>
      <c r="AO16" s="233" t="e">
        <f ca="1">IF(ACOMPANHAMENTO&lt;&gt;"BM",0,OFFSET(BM!$O$15,$A16,0))</f>
        <v>#N/A</v>
      </c>
    </row>
    <row r="17" spans="1:41" x14ac:dyDescent="0.2">
      <c r="A17" t="e">
        <f ca="1">MATCH(E17,ORÇAMENTO!$E$15:$E$192,0)-1</f>
        <v>#N/A</v>
      </c>
      <c r="B17" t="e">
        <f ca="1">IF(ISERROR($A17),NA(),OFFSET(ORÇAMENTO!$D$15,$A17,0))</f>
        <v>#N/A</v>
      </c>
      <c r="C17" t="str">
        <f ca="1">QCI!B17</f>
        <v>Branco</v>
      </c>
      <c r="D17" t="str">
        <f t="shared" ca="1" si="0"/>
        <v/>
      </c>
      <c r="E17" s="459">
        <f>QCI!D17</f>
        <v>4</v>
      </c>
      <c r="F17" s="460" t="str">
        <f ca="1">QCI!G17</f>
        <v/>
      </c>
      <c r="G17" s="461">
        <f>QCI!H17</f>
        <v>0</v>
      </c>
      <c r="H17" s="462">
        <f>QCI!I17</f>
        <v>0</v>
      </c>
      <c r="I17" s="463" t="str">
        <f ca="1">QCI!J17</f>
        <v/>
      </c>
      <c r="J17" s="464" t="str">
        <f ca="1">QCI!K17</f>
        <v/>
      </c>
      <c r="K17" s="465" t="str">
        <f ca="1">IF($C17="Automático",IF(ACOMPANHAMENTO="BM",BM.medicao,PLE.Medicao),IF(ISBLANK($X17),"",$X17))</f>
        <v/>
      </c>
      <c r="L17" s="466">
        <f ca="1">QCI!$O17</f>
        <v>0</v>
      </c>
      <c r="M17" s="468">
        <f t="shared" ca="1" si="1"/>
        <v>0</v>
      </c>
      <c r="N17" s="469">
        <f t="shared" ca="1" si="2"/>
        <v>0</v>
      </c>
      <c r="O17" s="470">
        <f t="shared" ca="1" si="3"/>
        <v>0</v>
      </c>
      <c r="P17" s="471">
        <f t="shared" ca="1" si="4"/>
        <v>0</v>
      </c>
      <c r="R17" s="467">
        <f ca="1">ROUND(IF($C17="Automático",AC17+AJ17,$Y17*IF(ISERROR(QCI!$AA17/QCI!$O17),0,QCI!$AA17/QCI!$O17)),2)</f>
        <v>0</v>
      </c>
      <c r="S17" s="467">
        <f ca="1">ROUND(IF($C17="Automático",AD17+AK17,$Y17*IF(ISERROR(QCI!$AB17/QCI!$O17),0,QCI!$AB17/QCI!$O17)),2)</f>
        <v>0</v>
      </c>
      <c r="T17" s="467">
        <f ca="1">ROUND(IF($C17="Automático",AF17+AM17,$Z17*IF(ISERROR(QCI!$AA17/QCI!$O17),0,QCI!$AA17/QCI!$O17)),2)</f>
        <v>0</v>
      </c>
      <c r="U17" s="467">
        <f ca="1">ROUND(IF($C17="Automático",AG17+AN17,$Z17*IF(ISERROR(QCI!$AB17/QCI!$O17),0,QCI!$AB17/QCI!$O17)),2)</f>
        <v>0</v>
      </c>
      <c r="V17" s="625">
        <f ca="1">IF(AND($L17&gt;0,$J17&lt;&gt;0,$J17&lt;&gt;"",COUNTIF($J$13:$J17,$J17)=1),OFFSET(V17,-1,0)+1,OFFSET(V17,-1,0))</f>
        <v>0</v>
      </c>
      <c r="X17" s="372"/>
      <c r="Y17" s="373"/>
      <c r="Z17" s="375"/>
      <c r="AC17" s="233">
        <f ca="1">IF(ACOMPANHAMENTO&lt;&gt;"PLE",0,SUMPRODUCT((OFFSET(CÁLCULO!$AX$15:$BH$15,$A17,0,$B17)&lt;=(PLE.Medicao-1))*OFFSET(CÁLCULO!$AB$15:$AL$15,$A17,0,$B17)*OFFSET(ORÇAMENTO!$AA$15,$A17,0,$B17)/(OFFSET(ORÇAMENTO!$X$15,$A17,0,$B17)+10^-12))+IF(AUTOEVENTO="Manual",SUMPRODUCT((OFFSET(CÁLCULO!$M$15,$A17,0,$B17)=1)*OFFSET(ORÇAMENTO!$AA$15,$A17,0,$B17)*(PLE!$AE$9-PLE!$Y$9)),0))</f>
        <v>0</v>
      </c>
      <c r="AD17" s="233">
        <f ca="1">IF(ACOMPANHAMENTO&lt;&gt;"PLE",0,SUMPRODUCT((OFFSET(CÁLCULO!$AX$15:$BH$15,$A17,0,$B17)&lt;=(PLE.Medicao-1))*OFFSET(CÁLCULO!$AB$15:$AL$15,$A17,0,$B17)*OFFSET(ORÇAMENTO!$AB$15,$A17,0,$B17)/(OFFSET(ORÇAMENTO!$X$15,$A17,0,$B17)+10^-12))+IF(AUTOEVENTO="Manual",SUMPRODUCT((OFFSET(CÁLCULO!$M$15,$A17,0,$B17)=1)*OFFSET(ORÇAMENTO!$AB$15,$A17,0,$B17)*(PLE!$AE$9-PLE!$Y$9)),0))</f>
        <v>0</v>
      </c>
      <c r="AE17" s="233">
        <f ca="1">ROUND(IF(ACOMPANHAMENTO&lt;&gt;"PLE",0,SUMIF(OFFSET(CÁLCULO!$AX$15:$BH$15,$A17,0,$B17),"&lt;="&amp;(PLE.Medicao-1),OFFSET(CÁLCULO!$AB$15:$AL$15,$A17,0,$B17))+IF(AUTOEVENTO="Manual",SUMIF(OFFSET(CÁLCULO!$M$15,$A17,0,$B17),1,OFFSET(ORÇAMENTO!$X$15,$A17,0,$B17))*(PLE!$AE$9-PLE!$Y$9),0)),2)</f>
        <v>0</v>
      </c>
      <c r="AF17" s="233">
        <f ca="1">IF(ACOMPANHAMENTO&lt;&gt;"PLE",0,SUMPRODUCT((OFFSET(CÁLCULO!$AX$15:$BH$15,$A17,0,$B17)&lt;=PLE.Medicao)*OFFSET(CÁLCULO!$AB$15:$AL$15,$A17,0,$B17)*OFFSET(ORÇAMENTO!$AA$15,$A17,0,$B17)/(OFFSET(ORÇAMENTO!$X$15,$A17,0,$B17)+10^-12))+IF(AUTOEVENTO="Manual",SUMPRODUCT((OFFSET(CÁLCULO!$M$15,$A17,0,$B17)=1)*OFFSET(ORÇAMENTO!$AA$15,$A17,0,$B17)*PLE!$AE$9),0))</f>
        <v>0</v>
      </c>
      <c r="AG17" s="233">
        <f ca="1">IF(ACOMPANHAMENTO&lt;&gt;"PLE",0,SUMPRODUCT((OFFSET(CÁLCULO!$AX$15:$BH$15,$A17,0,$B17)&lt;=PLE.Medicao)*OFFSET(CÁLCULO!$AB$15:$AL$15,$A17,0,$B17)*OFFSET(ORÇAMENTO!$AB$15,$A17,0,$B17)/(OFFSET(ORÇAMENTO!$X$15,$A17,0,$B17)+10^-12))+IF(AUTOEVENTO="Manual",SUMPRODUCT((OFFSET(CÁLCULO!$M$15,$A17,0,$B17)=1)*OFFSET(ORÇAMENTO!$AB$15,$A17,0,$B17)*PLE!$AE$9),0))</f>
        <v>0</v>
      </c>
      <c r="AH17" s="233">
        <f ca="1">ROUND(IF(ACOMPANHAMENTO&lt;&gt;"PLE",0,SUMIF(OFFSET(CÁLCULO!$AX$15:$BH$15,$A17,0,$B17),"&lt;="&amp;PLE.Medicao,OFFSET(CÁLCULO!$AB$15:$AL$15,$A17,0,$B17))+IF(AUTOEVENTO="Manual",SUMIF(OFFSET(CÁLCULO!$M$15,$A17,0,$B17),1,OFFSET(ORÇAMENTO!$X$15,$A17,0,$B17))*PLE!$AE$9,0)),2)</f>
        <v>0</v>
      </c>
      <c r="AJ17" s="233" t="e">
        <f ca="1">IF(ACOMPANHAMENTO&lt;&gt;"BM",0,SUMPRODUCT(OFFSET(BM!$M$15,$A17,0,$B17)*(OFFSET(BM!$A$15,$A17,0,$B17)="S")*OFFSET(ORÇAMENTO!AA$15,$A17,0,$B17)/(OFFSET(ORÇAMENTO!$X$15,$A17,0,$B17)+10^-12)))</f>
        <v>#N/A</v>
      </c>
      <c r="AK17" s="233" t="e">
        <f ca="1">IF(ACOMPANHAMENTO&lt;&gt;"BM",0,SUMPRODUCT(OFFSET(BM!$M$15,$A17,0,$B17)*(OFFSET(BM!$A$15,$A17,0,$B17)="S")*OFFSET(ORÇAMENTO!AB$15,$A17,0,$B17)/(OFFSET(ORÇAMENTO!$X$15,$A17,0,$B17)+10^-12)))</f>
        <v>#N/A</v>
      </c>
      <c r="AL17" s="233" t="e">
        <f ca="1">IF(ACOMPANHAMENTO&lt;&gt;"BM",0,OFFSET(BM!$M$15,$A17,0))</f>
        <v>#N/A</v>
      </c>
      <c r="AM17" s="233" t="e">
        <f ca="1">IF(ACOMPANHAMENTO&lt;&gt;"BM",0,SUMPRODUCT(OFFSET(BM!$O$15,$A17,0,$B17)*(OFFSET(BM!$A$15,$A17,0,$B17)="S")*OFFSET(ORÇAMENTO!AA$15,$A17,0,$B17)/(OFFSET(ORÇAMENTO!$X$15,$A17,0,$B17)+10^-12)))</f>
        <v>#N/A</v>
      </c>
      <c r="AN17" s="233" t="e">
        <f ca="1">IF(ACOMPANHAMENTO&lt;&gt;"BM",0,SUMPRODUCT(OFFSET(BM!$O$15,$A17,0,$B17)*(OFFSET(BM!$A$15,$A17,0,$B17)="S")*OFFSET(ORÇAMENTO!AB$15,$A17,0,$B17)/(OFFSET(ORÇAMENTO!$X$15,$A17,0,$B17)+10^-12)))</f>
        <v>#N/A</v>
      </c>
      <c r="AO17" s="233" t="e">
        <f ca="1">IF(ACOMPANHAMENTO&lt;&gt;"BM",0,OFFSET(BM!$O$15,$A17,0))</f>
        <v>#N/A</v>
      </c>
    </row>
    <row r="18" spans="1:41" x14ac:dyDescent="0.2">
      <c r="A18" t="e">
        <f ca="1">MATCH(E18,ORÇAMENTO!$E$15:$E$192,0)-1</f>
        <v>#N/A</v>
      </c>
      <c r="B18" t="e">
        <f ca="1">IF(ISERROR($A18),NA(),OFFSET(ORÇAMENTO!$D$15,$A18,0))</f>
        <v>#N/A</v>
      </c>
      <c r="C18" t="str">
        <f ca="1">QCI!B18</f>
        <v>Branco</v>
      </c>
      <c r="D18" t="str">
        <f t="shared" ca="1" si="0"/>
        <v/>
      </c>
      <c r="E18" s="459">
        <f>QCI!D18</f>
        <v>5</v>
      </c>
      <c r="F18" s="460" t="str">
        <f ca="1">QCI!G18</f>
        <v/>
      </c>
      <c r="G18" s="461">
        <f>QCI!H18</f>
        <v>0</v>
      </c>
      <c r="H18" s="462">
        <f>QCI!I18</f>
        <v>0</v>
      </c>
      <c r="I18" s="463" t="str">
        <f ca="1">QCI!J18</f>
        <v/>
      </c>
      <c r="J18" s="464" t="str">
        <f ca="1">QCI!K18</f>
        <v/>
      </c>
      <c r="K18" s="465" t="str">
        <f ca="1">IF($C18="Automático",IF(ACOMPANHAMENTO="BM",BM.medicao,PLE.Medicao),IF(ISBLANK($X18),"",$X18))</f>
        <v/>
      </c>
      <c r="L18" s="466">
        <f ca="1">QCI!$O18</f>
        <v>0</v>
      </c>
      <c r="M18" s="468">
        <f t="shared" ca="1" si="1"/>
        <v>0</v>
      </c>
      <c r="N18" s="469">
        <f t="shared" ca="1" si="2"/>
        <v>0</v>
      </c>
      <c r="O18" s="470">
        <f t="shared" ca="1" si="3"/>
        <v>0</v>
      </c>
      <c r="P18" s="471">
        <f t="shared" ca="1" si="4"/>
        <v>0</v>
      </c>
      <c r="R18" s="467">
        <f ca="1">ROUND(IF($C18="Automático",AC18+AJ18,$Y18*IF(ISERROR(QCI!$AA18/QCI!$O18),0,QCI!$AA18/QCI!$O18)),2)</f>
        <v>0</v>
      </c>
      <c r="S18" s="467">
        <f ca="1">ROUND(IF($C18="Automático",AD18+AK18,$Y18*IF(ISERROR(QCI!$AB18/QCI!$O18),0,QCI!$AB18/QCI!$O18)),2)</f>
        <v>0</v>
      </c>
      <c r="T18" s="467">
        <f ca="1">ROUND(IF($C18="Automático",AF18+AM18,$Z18*IF(ISERROR(QCI!$AA18/QCI!$O18),0,QCI!$AA18/QCI!$O18)),2)</f>
        <v>0</v>
      </c>
      <c r="U18" s="467">
        <f ca="1">ROUND(IF($C18="Automático",AG18+AN18,$Z18*IF(ISERROR(QCI!$AB18/QCI!$O18),0,QCI!$AB18/QCI!$O18)),2)</f>
        <v>0</v>
      </c>
      <c r="V18" s="625">
        <f ca="1">IF(AND($L18&gt;0,$J18&lt;&gt;0,$J18&lt;&gt;"",COUNTIF($J$13:$J18,$J18)=1),OFFSET(V18,-1,0)+1,OFFSET(V18,-1,0))</f>
        <v>0</v>
      </c>
      <c r="X18" s="372"/>
      <c r="Y18" s="373"/>
      <c r="Z18" s="375"/>
      <c r="AC18" s="233">
        <f ca="1">IF(ACOMPANHAMENTO&lt;&gt;"PLE",0,SUMPRODUCT((OFFSET(CÁLCULO!$AX$15:$BH$15,$A18,0,$B18)&lt;=(PLE.Medicao-1))*OFFSET(CÁLCULO!$AB$15:$AL$15,$A18,0,$B18)*OFFSET(ORÇAMENTO!$AA$15,$A18,0,$B18)/(OFFSET(ORÇAMENTO!$X$15,$A18,0,$B18)+10^-12))+IF(AUTOEVENTO="Manual",SUMPRODUCT((OFFSET(CÁLCULO!$M$15,$A18,0,$B18)=1)*OFFSET(ORÇAMENTO!$AA$15,$A18,0,$B18)*(PLE!$AE$9-PLE!$Y$9)),0))</f>
        <v>0</v>
      </c>
      <c r="AD18" s="233">
        <f ca="1">IF(ACOMPANHAMENTO&lt;&gt;"PLE",0,SUMPRODUCT((OFFSET(CÁLCULO!$AX$15:$BH$15,$A18,0,$B18)&lt;=(PLE.Medicao-1))*OFFSET(CÁLCULO!$AB$15:$AL$15,$A18,0,$B18)*OFFSET(ORÇAMENTO!$AB$15,$A18,0,$B18)/(OFFSET(ORÇAMENTO!$X$15,$A18,0,$B18)+10^-12))+IF(AUTOEVENTO="Manual",SUMPRODUCT((OFFSET(CÁLCULO!$M$15,$A18,0,$B18)=1)*OFFSET(ORÇAMENTO!$AB$15,$A18,0,$B18)*(PLE!$AE$9-PLE!$Y$9)),0))</f>
        <v>0</v>
      </c>
      <c r="AE18" s="233">
        <f ca="1">ROUND(IF(ACOMPANHAMENTO&lt;&gt;"PLE",0,SUMIF(OFFSET(CÁLCULO!$AX$15:$BH$15,$A18,0,$B18),"&lt;="&amp;(PLE.Medicao-1),OFFSET(CÁLCULO!$AB$15:$AL$15,$A18,0,$B18))+IF(AUTOEVENTO="Manual",SUMIF(OFFSET(CÁLCULO!$M$15,$A18,0,$B18),1,OFFSET(ORÇAMENTO!$X$15,$A18,0,$B18))*(PLE!$AE$9-PLE!$Y$9),0)),2)</f>
        <v>0</v>
      </c>
      <c r="AF18" s="233">
        <f ca="1">IF(ACOMPANHAMENTO&lt;&gt;"PLE",0,SUMPRODUCT((OFFSET(CÁLCULO!$AX$15:$BH$15,$A18,0,$B18)&lt;=PLE.Medicao)*OFFSET(CÁLCULO!$AB$15:$AL$15,$A18,0,$B18)*OFFSET(ORÇAMENTO!$AA$15,$A18,0,$B18)/(OFFSET(ORÇAMENTO!$X$15,$A18,0,$B18)+10^-12))+IF(AUTOEVENTO="Manual",SUMPRODUCT((OFFSET(CÁLCULO!$M$15,$A18,0,$B18)=1)*OFFSET(ORÇAMENTO!$AA$15,$A18,0,$B18)*PLE!$AE$9),0))</f>
        <v>0</v>
      </c>
      <c r="AG18" s="233">
        <f ca="1">IF(ACOMPANHAMENTO&lt;&gt;"PLE",0,SUMPRODUCT((OFFSET(CÁLCULO!$AX$15:$BH$15,$A18,0,$B18)&lt;=PLE.Medicao)*OFFSET(CÁLCULO!$AB$15:$AL$15,$A18,0,$B18)*OFFSET(ORÇAMENTO!$AB$15,$A18,0,$B18)/(OFFSET(ORÇAMENTO!$X$15,$A18,0,$B18)+10^-12))+IF(AUTOEVENTO="Manual",SUMPRODUCT((OFFSET(CÁLCULO!$M$15,$A18,0,$B18)=1)*OFFSET(ORÇAMENTO!$AB$15,$A18,0,$B18)*PLE!$AE$9),0))</f>
        <v>0</v>
      </c>
      <c r="AH18" s="233">
        <f ca="1">ROUND(IF(ACOMPANHAMENTO&lt;&gt;"PLE",0,SUMIF(OFFSET(CÁLCULO!$AX$15:$BH$15,$A18,0,$B18),"&lt;="&amp;PLE.Medicao,OFFSET(CÁLCULO!$AB$15:$AL$15,$A18,0,$B18))+IF(AUTOEVENTO="Manual",SUMIF(OFFSET(CÁLCULO!$M$15,$A18,0,$B18),1,OFFSET(ORÇAMENTO!$X$15,$A18,0,$B18))*PLE!$AE$9,0)),2)</f>
        <v>0</v>
      </c>
      <c r="AJ18" s="233" t="e">
        <f ca="1">IF(ACOMPANHAMENTO&lt;&gt;"BM",0,SUMPRODUCT(OFFSET(BM!$M$15,$A18,0,$B18)*(OFFSET(BM!$A$15,$A18,0,$B18)="S")*OFFSET(ORÇAMENTO!AA$15,$A18,0,$B18)/(OFFSET(ORÇAMENTO!$X$15,$A18,0,$B18)+10^-12)))</f>
        <v>#N/A</v>
      </c>
      <c r="AK18" s="233" t="e">
        <f ca="1">IF(ACOMPANHAMENTO&lt;&gt;"BM",0,SUMPRODUCT(OFFSET(BM!$M$15,$A18,0,$B18)*(OFFSET(BM!$A$15,$A18,0,$B18)="S")*OFFSET(ORÇAMENTO!AB$15,$A18,0,$B18)/(OFFSET(ORÇAMENTO!$X$15,$A18,0,$B18)+10^-12)))</f>
        <v>#N/A</v>
      </c>
      <c r="AL18" s="233" t="e">
        <f ca="1">IF(ACOMPANHAMENTO&lt;&gt;"BM",0,OFFSET(BM!$M$15,$A18,0))</f>
        <v>#N/A</v>
      </c>
      <c r="AM18" s="233" t="e">
        <f ca="1">IF(ACOMPANHAMENTO&lt;&gt;"BM",0,SUMPRODUCT(OFFSET(BM!$O$15,$A18,0,$B18)*(OFFSET(BM!$A$15,$A18,0,$B18)="S")*OFFSET(ORÇAMENTO!AA$15,$A18,0,$B18)/(OFFSET(ORÇAMENTO!$X$15,$A18,0,$B18)+10^-12)))</f>
        <v>#N/A</v>
      </c>
      <c r="AN18" s="233" t="e">
        <f ca="1">IF(ACOMPANHAMENTO&lt;&gt;"BM",0,SUMPRODUCT(OFFSET(BM!$O$15,$A18,0,$B18)*(OFFSET(BM!$A$15,$A18,0,$B18)="S")*OFFSET(ORÇAMENTO!AB$15,$A18,0,$B18)/(OFFSET(ORÇAMENTO!$X$15,$A18,0,$B18)+10^-12)))</f>
        <v>#N/A</v>
      </c>
      <c r="AO18" s="233" t="e">
        <f ca="1">IF(ACOMPANHAMENTO&lt;&gt;"BM",0,OFFSET(BM!$O$15,$A18,0))</f>
        <v>#N/A</v>
      </c>
    </row>
    <row r="19" spans="1:41" x14ac:dyDescent="0.2">
      <c r="A19" t="e">
        <f ca="1">MATCH(E19,ORÇAMENTO!$E$15:$E$192,0)-1</f>
        <v>#N/A</v>
      </c>
      <c r="B19" t="e">
        <f ca="1">IF(ISERROR($A19),NA(),OFFSET(ORÇAMENTO!$D$15,$A19,0))</f>
        <v>#N/A</v>
      </c>
      <c r="C19" t="str">
        <f ca="1">QCI!B19</f>
        <v>Branco</v>
      </c>
      <c r="D19" t="str">
        <f t="shared" ca="1" si="0"/>
        <v/>
      </c>
      <c r="E19" s="459">
        <f>QCI!D19</f>
        <v>6</v>
      </c>
      <c r="F19" s="460" t="str">
        <f ca="1">QCI!G19</f>
        <v/>
      </c>
      <c r="G19" s="461">
        <f>QCI!H19</f>
        <v>0</v>
      </c>
      <c r="H19" s="462">
        <f>QCI!I19</f>
        <v>0</v>
      </c>
      <c r="I19" s="463" t="str">
        <f ca="1">QCI!J19</f>
        <v/>
      </c>
      <c r="J19" s="464" t="str">
        <f ca="1">QCI!K19</f>
        <v/>
      </c>
      <c r="K19" s="465" t="str">
        <f ca="1">IF($C19="Automático",IF(ACOMPANHAMENTO="BM",BM.medicao,PLE.Medicao),IF(ISBLANK($X19),"",$X19))</f>
        <v/>
      </c>
      <c r="L19" s="466">
        <f ca="1">QCI!$O19</f>
        <v>0</v>
      </c>
      <c r="M19" s="468">
        <f t="shared" ca="1" si="1"/>
        <v>0</v>
      </c>
      <c r="N19" s="469">
        <f t="shared" ca="1" si="2"/>
        <v>0</v>
      </c>
      <c r="O19" s="470">
        <f t="shared" ca="1" si="3"/>
        <v>0</v>
      </c>
      <c r="P19" s="471">
        <f t="shared" ca="1" si="4"/>
        <v>0</v>
      </c>
      <c r="R19" s="467">
        <f ca="1">ROUND(IF($C19="Automático",AC19+AJ19,$Y19*IF(ISERROR(QCI!$AA19/QCI!$O19),0,QCI!$AA19/QCI!$O19)),2)</f>
        <v>0</v>
      </c>
      <c r="S19" s="467">
        <f ca="1">ROUND(IF($C19="Automático",AD19+AK19,$Y19*IF(ISERROR(QCI!$AB19/QCI!$O19),0,QCI!$AB19/QCI!$O19)),2)</f>
        <v>0</v>
      </c>
      <c r="T19" s="467">
        <f ca="1">ROUND(IF($C19="Automático",AF19+AM19,$Z19*IF(ISERROR(QCI!$AA19/QCI!$O19),0,QCI!$AA19/QCI!$O19)),2)</f>
        <v>0</v>
      </c>
      <c r="U19" s="467">
        <f ca="1">ROUND(IF($C19="Automático",AG19+AN19,$Z19*IF(ISERROR(QCI!$AB19/QCI!$O19),0,QCI!$AB19/QCI!$O19)),2)</f>
        <v>0</v>
      </c>
      <c r="V19" s="625">
        <f ca="1">IF(AND($L19&gt;0,$J19&lt;&gt;0,$J19&lt;&gt;"",COUNTIF($J$13:$J19,$J19)=1),OFFSET(V19,-1,0)+1,OFFSET(V19,-1,0))</f>
        <v>0</v>
      </c>
      <c r="X19" s="372"/>
      <c r="Y19" s="373"/>
      <c r="Z19" s="375"/>
      <c r="AC19" s="233">
        <f ca="1">IF(ACOMPANHAMENTO&lt;&gt;"PLE",0,SUMPRODUCT((OFFSET(CÁLCULO!$AX$15:$BH$15,$A19,0,$B19)&lt;=(PLE.Medicao-1))*OFFSET(CÁLCULO!$AB$15:$AL$15,$A19,0,$B19)*OFFSET(ORÇAMENTO!$AA$15,$A19,0,$B19)/(OFFSET(ORÇAMENTO!$X$15,$A19,0,$B19)+10^-12))+IF(AUTOEVENTO="Manual",SUMPRODUCT((OFFSET(CÁLCULO!$M$15,$A19,0,$B19)=1)*OFFSET(ORÇAMENTO!$AA$15,$A19,0,$B19)*(PLE!$AE$9-PLE!$Y$9)),0))</f>
        <v>0</v>
      </c>
      <c r="AD19" s="233">
        <f ca="1">IF(ACOMPANHAMENTO&lt;&gt;"PLE",0,SUMPRODUCT((OFFSET(CÁLCULO!$AX$15:$BH$15,$A19,0,$B19)&lt;=(PLE.Medicao-1))*OFFSET(CÁLCULO!$AB$15:$AL$15,$A19,0,$B19)*OFFSET(ORÇAMENTO!$AB$15,$A19,0,$B19)/(OFFSET(ORÇAMENTO!$X$15,$A19,0,$B19)+10^-12))+IF(AUTOEVENTO="Manual",SUMPRODUCT((OFFSET(CÁLCULO!$M$15,$A19,0,$B19)=1)*OFFSET(ORÇAMENTO!$AB$15,$A19,0,$B19)*(PLE!$AE$9-PLE!$Y$9)),0))</f>
        <v>0</v>
      </c>
      <c r="AE19" s="233">
        <f ca="1">ROUND(IF(ACOMPANHAMENTO&lt;&gt;"PLE",0,SUMIF(OFFSET(CÁLCULO!$AX$15:$BH$15,$A19,0,$B19),"&lt;="&amp;(PLE.Medicao-1),OFFSET(CÁLCULO!$AB$15:$AL$15,$A19,0,$B19))+IF(AUTOEVENTO="Manual",SUMIF(OFFSET(CÁLCULO!$M$15,$A19,0,$B19),1,OFFSET(ORÇAMENTO!$X$15,$A19,0,$B19))*(PLE!$AE$9-PLE!$Y$9),0)),2)</f>
        <v>0</v>
      </c>
      <c r="AF19" s="233">
        <f ca="1">IF(ACOMPANHAMENTO&lt;&gt;"PLE",0,SUMPRODUCT((OFFSET(CÁLCULO!$AX$15:$BH$15,$A19,0,$B19)&lt;=PLE.Medicao)*OFFSET(CÁLCULO!$AB$15:$AL$15,$A19,0,$B19)*OFFSET(ORÇAMENTO!$AA$15,$A19,0,$B19)/(OFFSET(ORÇAMENTO!$X$15,$A19,0,$B19)+10^-12))+IF(AUTOEVENTO="Manual",SUMPRODUCT((OFFSET(CÁLCULO!$M$15,$A19,0,$B19)=1)*OFFSET(ORÇAMENTO!$AA$15,$A19,0,$B19)*PLE!$AE$9),0))</f>
        <v>0</v>
      </c>
      <c r="AG19" s="233">
        <f ca="1">IF(ACOMPANHAMENTO&lt;&gt;"PLE",0,SUMPRODUCT((OFFSET(CÁLCULO!$AX$15:$BH$15,$A19,0,$B19)&lt;=PLE.Medicao)*OFFSET(CÁLCULO!$AB$15:$AL$15,$A19,0,$B19)*OFFSET(ORÇAMENTO!$AB$15,$A19,0,$B19)/(OFFSET(ORÇAMENTO!$X$15,$A19,0,$B19)+10^-12))+IF(AUTOEVENTO="Manual",SUMPRODUCT((OFFSET(CÁLCULO!$M$15,$A19,0,$B19)=1)*OFFSET(ORÇAMENTO!$AB$15,$A19,0,$B19)*PLE!$AE$9),0))</f>
        <v>0</v>
      </c>
      <c r="AH19" s="233">
        <f ca="1">ROUND(IF(ACOMPANHAMENTO&lt;&gt;"PLE",0,SUMIF(OFFSET(CÁLCULO!$AX$15:$BH$15,$A19,0,$B19),"&lt;="&amp;PLE.Medicao,OFFSET(CÁLCULO!$AB$15:$AL$15,$A19,0,$B19))+IF(AUTOEVENTO="Manual",SUMIF(OFFSET(CÁLCULO!$M$15,$A19,0,$B19),1,OFFSET(ORÇAMENTO!$X$15,$A19,0,$B19))*PLE!$AE$9,0)),2)</f>
        <v>0</v>
      </c>
      <c r="AJ19" s="233" t="e">
        <f ca="1">IF(ACOMPANHAMENTO&lt;&gt;"BM",0,SUMPRODUCT(OFFSET(BM!$M$15,$A19,0,$B19)*(OFFSET(BM!$A$15,$A19,0,$B19)="S")*OFFSET(ORÇAMENTO!AA$15,$A19,0,$B19)/(OFFSET(ORÇAMENTO!$X$15,$A19,0,$B19)+10^-12)))</f>
        <v>#N/A</v>
      </c>
      <c r="AK19" s="233" t="e">
        <f ca="1">IF(ACOMPANHAMENTO&lt;&gt;"BM",0,SUMPRODUCT(OFFSET(BM!$M$15,$A19,0,$B19)*(OFFSET(BM!$A$15,$A19,0,$B19)="S")*OFFSET(ORÇAMENTO!AB$15,$A19,0,$B19)/(OFFSET(ORÇAMENTO!$X$15,$A19,0,$B19)+10^-12)))</f>
        <v>#N/A</v>
      </c>
      <c r="AL19" s="233" t="e">
        <f ca="1">IF(ACOMPANHAMENTO&lt;&gt;"BM",0,OFFSET(BM!$M$15,$A19,0))</f>
        <v>#N/A</v>
      </c>
      <c r="AM19" s="233" t="e">
        <f ca="1">IF(ACOMPANHAMENTO&lt;&gt;"BM",0,SUMPRODUCT(OFFSET(BM!$O$15,$A19,0,$B19)*(OFFSET(BM!$A$15,$A19,0,$B19)="S")*OFFSET(ORÇAMENTO!AA$15,$A19,0,$B19)/(OFFSET(ORÇAMENTO!$X$15,$A19,0,$B19)+10^-12)))</f>
        <v>#N/A</v>
      </c>
      <c r="AN19" s="233" t="e">
        <f ca="1">IF(ACOMPANHAMENTO&lt;&gt;"BM",0,SUMPRODUCT(OFFSET(BM!$O$15,$A19,0,$B19)*(OFFSET(BM!$A$15,$A19,0,$B19)="S")*OFFSET(ORÇAMENTO!AB$15,$A19,0,$B19)/(OFFSET(ORÇAMENTO!$X$15,$A19,0,$B19)+10^-12)))</f>
        <v>#N/A</v>
      </c>
      <c r="AO19" s="233" t="e">
        <f ca="1">IF(ACOMPANHAMENTO&lt;&gt;"BM",0,OFFSET(BM!$O$15,$A19,0))</f>
        <v>#N/A</v>
      </c>
    </row>
    <row r="20" spans="1:41" x14ac:dyDescent="0.2">
      <c r="A20" t="e">
        <f ca="1">MATCH(E20,ORÇAMENTO!$E$15:$E$192,0)-1</f>
        <v>#N/A</v>
      </c>
      <c r="B20" t="e">
        <f ca="1">IF(ISERROR($A20),NA(),OFFSET(ORÇAMENTO!$D$15,$A20,0))</f>
        <v>#N/A</v>
      </c>
      <c r="C20" t="str">
        <f ca="1">QCI!B20</f>
        <v>Branco</v>
      </c>
      <c r="D20" t="str">
        <f t="shared" ca="1" si="0"/>
        <v/>
      </c>
      <c r="E20" s="459">
        <f>QCI!D20</f>
        <v>7</v>
      </c>
      <c r="F20" s="460" t="str">
        <f ca="1">QCI!G20</f>
        <v/>
      </c>
      <c r="G20" s="461">
        <f>QCI!H20</f>
        <v>0</v>
      </c>
      <c r="H20" s="462">
        <f>QCI!I20</f>
        <v>0</v>
      </c>
      <c r="I20" s="463" t="str">
        <f ca="1">QCI!J20</f>
        <v/>
      </c>
      <c r="J20" s="464" t="str">
        <f ca="1">QCI!K20</f>
        <v/>
      </c>
      <c r="K20" s="465" t="str">
        <f ca="1">IF($C20="Automático",IF(ACOMPANHAMENTO="BM",BM.medicao,PLE.Medicao),IF(ISBLANK($X20),"",$X20))</f>
        <v/>
      </c>
      <c r="L20" s="466">
        <f ca="1">QCI!$O20</f>
        <v>0</v>
      </c>
      <c r="M20" s="468">
        <f t="shared" ca="1" si="1"/>
        <v>0</v>
      </c>
      <c r="N20" s="469">
        <f t="shared" ca="1" si="2"/>
        <v>0</v>
      </c>
      <c r="O20" s="470">
        <f t="shared" ca="1" si="3"/>
        <v>0</v>
      </c>
      <c r="P20" s="471">
        <f t="shared" ca="1" si="4"/>
        <v>0</v>
      </c>
      <c r="R20" s="467">
        <f ca="1">ROUND(IF($C20="Automático",AC20+AJ20,$Y20*IF(ISERROR(QCI!$AA20/QCI!$O20),0,QCI!$AA20/QCI!$O20)),2)</f>
        <v>0</v>
      </c>
      <c r="S20" s="467">
        <f ca="1">ROUND(IF($C20="Automático",AD20+AK20,$Y20*IF(ISERROR(QCI!$AB20/QCI!$O20),0,QCI!$AB20/QCI!$O20)),2)</f>
        <v>0</v>
      </c>
      <c r="T20" s="467">
        <f ca="1">ROUND(IF($C20="Automático",AF20+AM20,$Z20*IF(ISERROR(QCI!$AA20/QCI!$O20),0,QCI!$AA20/QCI!$O20)),2)</f>
        <v>0</v>
      </c>
      <c r="U20" s="467">
        <f ca="1">ROUND(IF($C20="Automático",AG20+AN20,$Z20*IF(ISERROR(QCI!$AB20/QCI!$O20),0,QCI!$AB20/QCI!$O20)),2)</f>
        <v>0</v>
      </c>
      <c r="V20" s="625">
        <f ca="1">IF(AND($L20&gt;0,$J20&lt;&gt;0,$J20&lt;&gt;"",COUNTIF($J$13:$J20,$J20)=1),OFFSET(V20,-1,0)+1,OFFSET(V20,-1,0))</f>
        <v>0</v>
      </c>
      <c r="X20" s="372"/>
      <c r="Y20" s="373"/>
      <c r="Z20" s="375"/>
      <c r="AC20" s="233">
        <f ca="1">IF(ACOMPANHAMENTO&lt;&gt;"PLE",0,SUMPRODUCT((OFFSET(CÁLCULO!$AX$15:$BH$15,$A20,0,$B20)&lt;=(PLE.Medicao-1))*OFFSET(CÁLCULO!$AB$15:$AL$15,$A20,0,$B20)*OFFSET(ORÇAMENTO!$AA$15,$A20,0,$B20)/(OFFSET(ORÇAMENTO!$X$15,$A20,0,$B20)+10^-12))+IF(AUTOEVENTO="Manual",SUMPRODUCT((OFFSET(CÁLCULO!$M$15,$A20,0,$B20)=1)*OFFSET(ORÇAMENTO!$AA$15,$A20,0,$B20)*(PLE!$AE$9-PLE!$Y$9)),0))</f>
        <v>0</v>
      </c>
      <c r="AD20" s="233">
        <f ca="1">IF(ACOMPANHAMENTO&lt;&gt;"PLE",0,SUMPRODUCT((OFFSET(CÁLCULO!$AX$15:$BH$15,$A20,0,$B20)&lt;=(PLE.Medicao-1))*OFFSET(CÁLCULO!$AB$15:$AL$15,$A20,0,$B20)*OFFSET(ORÇAMENTO!$AB$15,$A20,0,$B20)/(OFFSET(ORÇAMENTO!$X$15,$A20,0,$B20)+10^-12))+IF(AUTOEVENTO="Manual",SUMPRODUCT((OFFSET(CÁLCULO!$M$15,$A20,0,$B20)=1)*OFFSET(ORÇAMENTO!$AB$15,$A20,0,$B20)*(PLE!$AE$9-PLE!$Y$9)),0))</f>
        <v>0</v>
      </c>
      <c r="AE20" s="233">
        <f ca="1">ROUND(IF(ACOMPANHAMENTO&lt;&gt;"PLE",0,SUMIF(OFFSET(CÁLCULO!$AX$15:$BH$15,$A20,0,$B20),"&lt;="&amp;(PLE.Medicao-1),OFFSET(CÁLCULO!$AB$15:$AL$15,$A20,0,$B20))+IF(AUTOEVENTO="Manual",SUMIF(OFFSET(CÁLCULO!$M$15,$A20,0,$B20),1,OFFSET(ORÇAMENTO!$X$15,$A20,0,$B20))*(PLE!$AE$9-PLE!$Y$9),0)),2)</f>
        <v>0</v>
      </c>
      <c r="AF20" s="233">
        <f ca="1">IF(ACOMPANHAMENTO&lt;&gt;"PLE",0,SUMPRODUCT((OFFSET(CÁLCULO!$AX$15:$BH$15,$A20,0,$B20)&lt;=PLE.Medicao)*OFFSET(CÁLCULO!$AB$15:$AL$15,$A20,0,$B20)*OFFSET(ORÇAMENTO!$AA$15,$A20,0,$B20)/(OFFSET(ORÇAMENTO!$X$15,$A20,0,$B20)+10^-12))+IF(AUTOEVENTO="Manual",SUMPRODUCT((OFFSET(CÁLCULO!$M$15,$A20,0,$B20)=1)*OFFSET(ORÇAMENTO!$AA$15,$A20,0,$B20)*PLE!$AE$9),0))</f>
        <v>0</v>
      </c>
      <c r="AG20" s="233">
        <f ca="1">IF(ACOMPANHAMENTO&lt;&gt;"PLE",0,SUMPRODUCT((OFFSET(CÁLCULO!$AX$15:$BH$15,$A20,0,$B20)&lt;=PLE.Medicao)*OFFSET(CÁLCULO!$AB$15:$AL$15,$A20,0,$B20)*OFFSET(ORÇAMENTO!$AB$15,$A20,0,$B20)/(OFFSET(ORÇAMENTO!$X$15,$A20,0,$B20)+10^-12))+IF(AUTOEVENTO="Manual",SUMPRODUCT((OFFSET(CÁLCULO!$M$15,$A20,0,$B20)=1)*OFFSET(ORÇAMENTO!$AB$15,$A20,0,$B20)*PLE!$AE$9),0))</f>
        <v>0</v>
      </c>
      <c r="AH20" s="233">
        <f ca="1">ROUND(IF(ACOMPANHAMENTO&lt;&gt;"PLE",0,SUMIF(OFFSET(CÁLCULO!$AX$15:$BH$15,$A20,0,$B20),"&lt;="&amp;PLE.Medicao,OFFSET(CÁLCULO!$AB$15:$AL$15,$A20,0,$B20))+IF(AUTOEVENTO="Manual",SUMIF(OFFSET(CÁLCULO!$M$15,$A20,0,$B20),1,OFFSET(ORÇAMENTO!$X$15,$A20,0,$B20))*PLE!$AE$9,0)),2)</f>
        <v>0</v>
      </c>
      <c r="AJ20" s="233" t="e">
        <f ca="1">IF(ACOMPANHAMENTO&lt;&gt;"BM",0,SUMPRODUCT(OFFSET(BM!$M$15,$A20,0,$B20)*(OFFSET(BM!$A$15,$A20,0,$B20)="S")*OFFSET(ORÇAMENTO!AA$15,$A20,0,$B20)/(OFFSET(ORÇAMENTO!$X$15,$A20,0,$B20)+10^-12)))</f>
        <v>#N/A</v>
      </c>
      <c r="AK20" s="233" t="e">
        <f ca="1">IF(ACOMPANHAMENTO&lt;&gt;"BM",0,SUMPRODUCT(OFFSET(BM!$M$15,$A20,0,$B20)*(OFFSET(BM!$A$15,$A20,0,$B20)="S")*OFFSET(ORÇAMENTO!AB$15,$A20,0,$B20)/(OFFSET(ORÇAMENTO!$X$15,$A20,0,$B20)+10^-12)))</f>
        <v>#N/A</v>
      </c>
      <c r="AL20" s="233" t="e">
        <f ca="1">IF(ACOMPANHAMENTO&lt;&gt;"BM",0,OFFSET(BM!$M$15,$A20,0))</f>
        <v>#N/A</v>
      </c>
      <c r="AM20" s="233" t="e">
        <f ca="1">IF(ACOMPANHAMENTO&lt;&gt;"BM",0,SUMPRODUCT(OFFSET(BM!$O$15,$A20,0,$B20)*(OFFSET(BM!$A$15,$A20,0,$B20)="S")*OFFSET(ORÇAMENTO!AA$15,$A20,0,$B20)/(OFFSET(ORÇAMENTO!$X$15,$A20,0,$B20)+10^-12)))</f>
        <v>#N/A</v>
      </c>
      <c r="AN20" s="233" t="e">
        <f ca="1">IF(ACOMPANHAMENTO&lt;&gt;"BM",0,SUMPRODUCT(OFFSET(BM!$O$15,$A20,0,$B20)*(OFFSET(BM!$A$15,$A20,0,$B20)="S")*OFFSET(ORÇAMENTO!AB$15,$A20,0,$B20)/(OFFSET(ORÇAMENTO!$X$15,$A20,0,$B20)+10^-12)))</f>
        <v>#N/A</v>
      </c>
      <c r="AO20" s="233" t="e">
        <f ca="1">IF(ACOMPANHAMENTO&lt;&gt;"BM",0,OFFSET(BM!$O$15,$A20,0))</f>
        <v>#N/A</v>
      </c>
    </row>
    <row r="21" spans="1:41" x14ac:dyDescent="0.2">
      <c r="A21" t="e">
        <f ca="1">MATCH(E21,ORÇAMENTO!$E$15:$E$192,0)-1</f>
        <v>#N/A</v>
      </c>
      <c r="B21" t="e">
        <f ca="1">IF(ISERROR($A21),NA(),OFFSET(ORÇAMENTO!$D$15,$A21,0))</f>
        <v>#N/A</v>
      </c>
      <c r="C21" t="str">
        <f ca="1">QCI!B21</f>
        <v>Branco</v>
      </c>
      <c r="D21" t="str">
        <f t="shared" ca="1" si="0"/>
        <v/>
      </c>
      <c r="E21" s="459">
        <f>QCI!D21</f>
        <v>8</v>
      </c>
      <c r="F21" s="460" t="str">
        <f ca="1">QCI!G21</f>
        <v/>
      </c>
      <c r="G21" s="461">
        <f>QCI!H21</f>
        <v>0</v>
      </c>
      <c r="H21" s="462">
        <f>QCI!I21</f>
        <v>0</v>
      </c>
      <c r="I21" s="463" t="str">
        <f ca="1">QCI!J21</f>
        <v/>
      </c>
      <c r="J21" s="464" t="str">
        <f ca="1">QCI!K21</f>
        <v/>
      </c>
      <c r="K21" s="465" t="str">
        <f ca="1">IF($C21="Automático",IF(ACOMPANHAMENTO="BM",BM.medicao,PLE.Medicao),IF(ISBLANK($X21),"",$X21))</f>
        <v/>
      </c>
      <c r="L21" s="466">
        <f ca="1">QCI!$O21</f>
        <v>0</v>
      </c>
      <c r="M21" s="468">
        <f t="shared" ca="1" si="1"/>
        <v>0</v>
      </c>
      <c r="N21" s="469">
        <f t="shared" ca="1" si="2"/>
        <v>0</v>
      </c>
      <c r="O21" s="470">
        <f t="shared" ca="1" si="3"/>
        <v>0</v>
      </c>
      <c r="P21" s="471">
        <f t="shared" ca="1" si="4"/>
        <v>0</v>
      </c>
      <c r="R21" s="467">
        <f ca="1">ROUND(IF($C21="Automático",AC21+AJ21,$Y21*IF(ISERROR(QCI!$AA21/QCI!$O21),0,QCI!$AA21/QCI!$O21)),2)</f>
        <v>0</v>
      </c>
      <c r="S21" s="467">
        <f ca="1">ROUND(IF($C21="Automático",AD21+AK21,$Y21*IF(ISERROR(QCI!$AB21/QCI!$O21),0,QCI!$AB21/QCI!$O21)),2)</f>
        <v>0</v>
      </c>
      <c r="T21" s="467">
        <f ca="1">ROUND(IF($C21="Automático",AF21+AM21,$Z21*IF(ISERROR(QCI!$AA21/QCI!$O21),0,QCI!$AA21/QCI!$O21)),2)</f>
        <v>0</v>
      </c>
      <c r="U21" s="467">
        <f ca="1">ROUND(IF($C21="Automático",AG21+AN21,$Z21*IF(ISERROR(QCI!$AB21/QCI!$O21),0,QCI!$AB21/QCI!$O21)),2)</f>
        <v>0</v>
      </c>
      <c r="V21" s="625">
        <f ca="1">IF(AND($L21&gt;0,$J21&lt;&gt;0,$J21&lt;&gt;"",COUNTIF($J$13:$J21,$J21)=1),OFFSET(V21,-1,0)+1,OFFSET(V21,-1,0))</f>
        <v>0</v>
      </c>
      <c r="X21" s="372"/>
      <c r="Y21" s="373"/>
      <c r="Z21" s="375"/>
      <c r="AC21" s="233">
        <f ca="1">IF(ACOMPANHAMENTO&lt;&gt;"PLE",0,SUMPRODUCT((OFFSET(CÁLCULO!$AX$15:$BH$15,$A21,0,$B21)&lt;=(PLE.Medicao-1))*OFFSET(CÁLCULO!$AB$15:$AL$15,$A21,0,$B21)*OFFSET(ORÇAMENTO!$AA$15,$A21,0,$B21)/(OFFSET(ORÇAMENTO!$X$15,$A21,0,$B21)+10^-12))+IF(AUTOEVENTO="Manual",SUMPRODUCT((OFFSET(CÁLCULO!$M$15,$A21,0,$B21)=1)*OFFSET(ORÇAMENTO!$AA$15,$A21,0,$B21)*(PLE!$AE$9-PLE!$Y$9)),0))</f>
        <v>0</v>
      </c>
      <c r="AD21" s="233">
        <f ca="1">IF(ACOMPANHAMENTO&lt;&gt;"PLE",0,SUMPRODUCT((OFFSET(CÁLCULO!$AX$15:$BH$15,$A21,0,$B21)&lt;=(PLE.Medicao-1))*OFFSET(CÁLCULO!$AB$15:$AL$15,$A21,0,$B21)*OFFSET(ORÇAMENTO!$AB$15,$A21,0,$B21)/(OFFSET(ORÇAMENTO!$X$15,$A21,0,$B21)+10^-12))+IF(AUTOEVENTO="Manual",SUMPRODUCT((OFFSET(CÁLCULO!$M$15,$A21,0,$B21)=1)*OFFSET(ORÇAMENTO!$AB$15,$A21,0,$B21)*(PLE!$AE$9-PLE!$Y$9)),0))</f>
        <v>0</v>
      </c>
      <c r="AE21" s="233">
        <f ca="1">ROUND(IF(ACOMPANHAMENTO&lt;&gt;"PLE",0,SUMIF(OFFSET(CÁLCULO!$AX$15:$BH$15,$A21,0,$B21),"&lt;="&amp;(PLE.Medicao-1),OFFSET(CÁLCULO!$AB$15:$AL$15,$A21,0,$B21))+IF(AUTOEVENTO="Manual",SUMIF(OFFSET(CÁLCULO!$M$15,$A21,0,$B21),1,OFFSET(ORÇAMENTO!$X$15,$A21,0,$B21))*(PLE!$AE$9-PLE!$Y$9),0)),2)</f>
        <v>0</v>
      </c>
      <c r="AF21" s="233">
        <f ca="1">IF(ACOMPANHAMENTO&lt;&gt;"PLE",0,SUMPRODUCT((OFFSET(CÁLCULO!$AX$15:$BH$15,$A21,0,$B21)&lt;=PLE.Medicao)*OFFSET(CÁLCULO!$AB$15:$AL$15,$A21,0,$B21)*OFFSET(ORÇAMENTO!$AA$15,$A21,0,$B21)/(OFFSET(ORÇAMENTO!$X$15,$A21,0,$B21)+10^-12))+IF(AUTOEVENTO="Manual",SUMPRODUCT((OFFSET(CÁLCULO!$M$15,$A21,0,$B21)=1)*OFFSET(ORÇAMENTO!$AA$15,$A21,0,$B21)*PLE!$AE$9),0))</f>
        <v>0</v>
      </c>
      <c r="AG21" s="233">
        <f ca="1">IF(ACOMPANHAMENTO&lt;&gt;"PLE",0,SUMPRODUCT((OFFSET(CÁLCULO!$AX$15:$BH$15,$A21,0,$B21)&lt;=PLE.Medicao)*OFFSET(CÁLCULO!$AB$15:$AL$15,$A21,0,$B21)*OFFSET(ORÇAMENTO!$AB$15,$A21,0,$B21)/(OFFSET(ORÇAMENTO!$X$15,$A21,0,$B21)+10^-12))+IF(AUTOEVENTO="Manual",SUMPRODUCT((OFFSET(CÁLCULO!$M$15,$A21,0,$B21)=1)*OFFSET(ORÇAMENTO!$AB$15,$A21,0,$B21)*PLE!$AE$9),0))</f>
        <v>0</v>
      </c>
      <c r="AH21" s="233">
        <f ca="1">ROUND(IF(ACOMPANHAMENTO&lt;&gt;"PLE",0,SUMIF(OFFSET(CÁLCULO!$AX$15:$BH$15,$A21,0,$B21),"&lt;="&amp;PLE.Medicao,OFFSET(CÁLCULO!$AB$15:$AL$15,$A21,0,$B21))+IF(AUTOEVENTO="Manual",SUMIF(OFFSET(CÁLCULO!$M$15,$A21,0,$B21),1,OFFSET(ORÇAMENTO!$X$15,$A21,0,$B21))*PLE!$AE$9,0)),2)</f>
        <v>0</v>
      </c>
      <c r="AJ21" s="233" t="e">
        <f ca="1">IF(ACOMPANHAMENTO&lt;&gt;"BM",0,SUMPRODUCT(OFFSET(BM!$M$15,$A21,0,$B21)*(OFFSET(BM!$A$15,$A21,0,$B21)="S")*OFFSET(ORÇAMENTO!AA$15,$A21,0,$B21)/(OFFSET(ORÇAMENTO!$X$15,$A21,0,$B21)+10^-12)))</f>
        <v>#N/A</v>
      </c>
      <c r="AK21" s="233" t="e">
        <f ca="1">IF(ACOMPANHAMENTO&lt;&gt;"BM",0,SUMPRODUCT(OFFSET(BM!$M$15,$A21,0,$B21)*(OFFSET(BM!$A$15,$A21,0,$B21)="S")*OFFSET(ORÇAMENTO!AB$15,$A21,0,$B21)/(OFFSET(ORÇAMENTO!$X$15,$A21,0,$B21)+10^-12)))</f>
        <v>#N/A</v>
      </c>
      <c r="AL21" s="233" t="e">
        <f ca="1">IF(ACOMPANHAMENTO&lt;&gt;"BM",0,OFFSET(BM!$M$15,$A21,0))</f>
        <v>#N/A</v>
      </c>
      <c r="AM21" s="233" t="e">
        <f ca="1">IF(ACOMPANHAMENTO&lt;&gt;"BM",0,SUMPRODUCT(OFFSET(BM!$O$15,$A21,0,$B21)*(OFFSET(BM!$A$15,$A21,0,$B21)="S")*OFFSET(ORÇAMENTO!AA$15,$A21,0,$B21)/(OFFSET(ORÇAMENTO!$X$15,$A21,0,$B21)+10^-12)))</f>
        <v>#N/A</v>
      </c>
      <c r="AN21" s="233" t="e">
        <f ca="1">IF(ACOMPANHAMENTO&lt;&gt;"BM",0,SUMPRODUCT(OFFSET(BM!$O$15,$A21,0,$B21)*(OFFSET(BM!$A$15,$A21,0,$B21)="S")*OFFSET(ORÇAMENTO!AB$15,$A21,0,$B21)/(OFFSET(ORÇAMENTO!$X$15,$A21,0,$B21)+10^-12)))</f>
        <v>#N/A</v>
      </c>
      <c r="AO21" s="233" t="e">
        <f ca="1">IF(ACOMPANHAMENTO&lt;&gt;"BM",0,OFFSET(BM!$O$15,$A21,0))</f>
        <v>#N/A</v>
      </c>
    </row>
    <row r="22" spans="1:41" x14ac:dyDescent="0.2">
      <c r="A22" t="e">
        <f ca="1">MATCH(E22,ORÇAMENTO!$E$15:$E$192,0)-1</f>
        <v>#N/A</v>
      </c>
      <c r="B22" t="e">
        <f ca="1">IF(ISERROR($A22),NA(),OFFSET(ORÇAMENTO!$D$15,$A22,0))</f>
        <v>#N/A</v>
      </c>
      <c r="C22" t="str">
        <f ca="1">QCI!B22</f>
        <v>Branco</v>
      </c>
      <c r="D22" t="str">
        <f t="shared" ca="1" si="0"/>
        <v/>
      </c>
      <c r="E22" s="459">
        <f>QCI!D22</f>
        <v>9</v>
      </c>
      <c r="F22" s="460" t="str">
        <f ca="1">QCI!G22</f>
        <v/>
      </c>
      <c r="G22" s="461">
        <f>QCI!H22</f>
        <v>0</v>
      </c>
      <c r="H22" s="462">
        <f>QCI!I22</f>
        <v>0</v>
      </c>
      <c r="I22" s="463" t="str">
        <f ca="1">QCI!J22</f>
        <v/>
      </c>
      <c r="J22" s="464" t="str">
        <f ca="1">QCI!K22</f>
        <v/>
      </c>
      <c r="K22" s="465" t="str">
        <f ca="1">IF($C22="Automático",IF(ACOMPANHAMENTO="BM",BM.medicao,PLE.Medicao),IF(ISBLANK($X22),"",$X22))</f>
        <v/>
      </c>
      <c r="L22" s="466">
        <f ca="1">QCI!$O22</f>
        <v>0</v>
      </c>
      <c r="M22" s="468">
        <f t="shared" ca="1" si="1"/>
        <v>0</v>
      </c>
      <c r="N22" s="469">
        <f t="shared" ca="1" si="2"/>
        <v>0</v>
      </c>
      <c r="O22" s="470">
        <f t="shared" ca="1" si="3"/>
        <v>0</v>
      </c>
      <c r="P22" s="471">
        <f t="shared" ca="1" si="4"/>
        <v>0</v>
      </c>
      <c r="R22" s="467">
        <f ca="1">ROUND(IF($C22="Automático",AC22+AJ22,$Y22*IF(ISERROR(QCI!$AA22/QCI!$O22),0,QCI!$AA22/QCI!$O22)),2)</f>
        <v>0</v>
      </c>
      <c r="S22" s="467">
        <f ca="1">ROUND(IF($C22="Automático",AD22+AK22,$Y22*IF(ISERROR(QCI!$AB22/QCI!$O22),0,QCI!$AB22/QCI!$O22)),2)</f>
        <v>0</v>
      </c>
      <c r="T22" s="467">
        <f ca="1">ROUND(IF($C22="Automático",AF22+AM22,$Z22*IF(ISERROR(QCI!$AA22/QCI!$O22),0,QCI!$AA22/QCI!$O22)),2)</f>
        <v>0</v>
      </c>
      <c r="U22" s="467">
        <f ca="1">ROUND(IF($C22="Automático",AG22+AN22,$Z22*IF(ISERROR(QCI!$AB22/QCI!$O22),0,QCI!$AB22/QCI!$O22)),2)</f>
        <v>0</v>
      </c>
      <c r="V22" s="625">
        <f ca="1">IF(AND($L22&gt;0,$J22&lt;&gt;0,$J22&lt;&gt;"",COUNTIF($J$13:$J22,$J22)=1),OFFSET(V22,-1,0)+1,OFFSET(V22,-1,0))</f>
        <v>0</v>
      </c>
      <c r="X22" s="372"/>
      <c r="Y22" s="373"/>
      <c r="Z22" s="375"/>
      <c r="AC22" s="233">
        <f ca="1">IF(ACOMPANHAMENTO&lt;&gt;"PLE",0,SUMPRODUCT((OFFSET(CÁLCULO!$AX$15:$BH$15,$A22,0,$B22)&lt;=(PLE.Medicao-1))*OFFSET(CÁLCULO!$AB$15:$AL$15,$A22,0,$B22)*OFFSET(ORÇAMENTO!$AA$15,$A22,0,$B22)/(OFFSET(ORÇAMENTO!$X$15,$A22,0,$B22)+10^-12))+IF(AUTOEVENTO="Manual",SUMPRODUCT((OFFSET(CÁLCULO!$M$15,$A22,0,$B22)=1)*OFFSET(ORÇAMENTO!$AA$15,$A22,0,$B22)*(PLE!$AE$9-PLE!$Y$9)),0))</f>
        <v>0</v>
      </c>
      <c r="AD22" s="233">
        <f ca="1">IF(ACOMPANHAMENTO&lt;&gt;"PLE",0,SUMPRODUCT((OFFSET(CÁLCULO!$AX$15:$BH$15,$A22,0,$B22)&lt;=(PLE.Medicao-1))*OFFSET(CÁLCULO!$AB$15:$AL$15,$A22,0,$B22)*OFFSET(ORÇAMENTO!$AB$15,$A22,0,$B22)/(OFFSET(ORÇAMENTO!$X$15,$A22,0,$B22)+10^-12))+IF(AUTOEVENTO="Manual",SUMPRODUCT((OFFSET(CÁLCULO!$M$15,$A22,0,$B22)=1)*OFFSET(ORÇAMENTO!$AB$15,$A22,0,$B22)*(PLE!$AE$9-PLE!$Y$9)),0))</f>
        <v>0</v>
      </c>
      <c r="AE22" s="233">
        <f ca="1">ROUND(IF(ACOMPANHAMENTO&lt;&gt;"PLE",0,SUMIF(OFFSET(CÁLCULO!$AX$15:$BH$15,$A22,0,$B22),"&lt;="&amp;(PLE.Medicao-1),OFFSET(CÁLCULO!$AB$15:$AL$15,$A22,0,$B22))+IF(AUTOEVENTO="Manual",SUMIF(OFFSET(CÁLCULO!$M$15,$A22,0,$B22),1,OFFSET(ORÇAMENTO!$X$15,$A22,0,$B22))*(PLE!$AE$9-PLE!$Y$9),0)),2)</f>
        <v>0</v>
      </c>
      <c r="AF22" s="233">
        <f ca="1">IF(ACOMPANHAMENTO&lt;&gt;"PLE",0,SUMPRODUCT((OFFSET(CÁLCULO!$AX$15:$BH$15,$A22,0,$B22)&lt;=PLE.Medicao)*OFFSET(CÁLCULO!$AB$15:$AL$15,$A22,0,$B22)*OFFSET(ORÇAMENTO!$AA$15,$A22,0,$B22)/(OFFSET(ORÇAMENTO!$X$15,$A22,0,$B22)+10^-12))+IF(AUTOEVENTO="Manual",SUMPRODUCT((OFFSET(CÁLCULO!$M$15,$A22,0,$B22)=1)*OFFSET(ORÇAMENTO!$AA$15,$A22,0,$B22)*PLE!$AE$9),0))</f>
        <v>0</v>
      </c>
      <c r="AG22" s="233">
        <f ca="1">IF(ACOMPANHAMENTO&lt;&gt;"PLE",0,SUMPRODUCT((OFFSET(CÁLCULO!$AX$15:$BH$15,$A22,0,$B22)&lt;=PLE.Medicao)*OFFSET(CÁLCULO!$AB$15:$AL$15,$A22,0,$B22)*OFFSET(ORÇAMENTO!$AB$15,$A22,0,$B22)/(OFFSET(ORÇAMENTO!$X$15,$A22,0,$B22)+10^-12))+IF(AUTOEVENTO="Manual",SUMPRODUCT((OFFSET(CÁLCULO!$M$15,$A22,0,$B22)=1)*OFFSET(ORÇAMENTO!$AB$15,$A22,0,$B22)*PLE!$AE$9),0))</f>
        <v>0</v>
      </c>
      <c r="AH22" s="233">
        <f ca="1">ROUND(IF(ACOMPANHAMENTO&lt;&gt;"PLE",0,SUMIF(OFFSET(CÁLCULO!$AX$15:$BH$15,$A22,0,$B22),"&lt;="&amp;PLE.Medicao,OFFSET(CÁLCULO!$AB$15:$AL$15,$A22,0,$B22))+IF(AUTOEVENTO="Manual",SUMIF(OFFSET(CÁLCULO!$M$15,$A22,0,$B22),1,OFFSET(ORÇAMENTO!$X$15,$A22,0,$B22))*PLE!$AE$9,0)),2)</f>
        <v>0</v>
      </c>
      <c r="AJ22" s="233" t="e">
        <f ca="1">IF(ACOMPANHAMENTO&lt;&gt;"BM",0,SUMPRODUCT(OFFSET(BM!$M$15,$A22,0,$B22)*(OFFSET(BM!$A$15,$A22,0,$B22)="S")*OFFSET(ORÇAMENTO!AA$15,$A22,0,$B22)/(OFFSET(ORÇAMENTO!$X$15,$A22,0,$B22)+10^-12)))</f>
        <v>#N/A</v>
      </c>
      <c r="AK22" s="233" t="e">
        <f ca="1">IF(ACOMPANHAMENTO&lt;&gt;"BM",0,SUMPRODUCT(OFFSET(BM!$M$15,$A22,0,$B22)*(OFFSET(BM!$A$15,$A22,0,$B22)="S")*OFFSET(ORÇAMENTO!AB$15,$A22,0,$B22)/(OFFSET(ORÇAMENTO!$X$15,$A22,0,$B22)+10^-12)))</f>
        <v>#N/A</v>
      </c>
      <c r="AL22" s="233" t="e">
        <f ca="1">IF(ACOMPANHAMENTO&lt;&gt;"BM",0,OFFSET(BM!$M$15,$A22,0))</f>
        <v>#N/A</v>
      </c>
      <c r="AM22" s="233" t="e">
        <f ca="1">IF(ACOMPANHAMENTO&lt;&gt;"BM",0,SUMPRODUCT(OFFSET(BM!$O$15,$A22,0,$B22)*(OFFSET(BM!$A$15,$A22,0,$B22)="S")*OFFSET(ORÇAMENTO!AA$15,$A22,0,$B22)/(OFFSET(ORÇAMENTO!$X$15,$A22,0,$B22)+10^-12)))</f>
        <v>#N/A</v>
      </c>
      <c r="AN22" s="233" t="e">
        <f ca="1">IF(ACOMPANHAMENTO&lt;&gt;"BM",0,SUMPRODUCT(OFFSET(BM!$O$15,$A22,0,$B22)*(OFFSET(BM!$A$15,$A22,0,$B22)="S")*OFFSET(ORÇAMENTO!AB$15,$A22,0,$B22)/(OFFSET(ORÇAMENTO!$X$15,$A22,0,$B22)+10^-12)))</f>
        <v>#N/A</v>
      </c>
      <c r="AO22" s="233" t="e">
        <f ca="1">IF(ACOMPANHAMENTO&lt;&gt;"BM",0,OFFSET(BM!$O$15,$A22,0))</f>
        <v>#N/A</v>
      </c>
    </row>
    <row r="23" spans="1:41" x14ac:dyDescent="0.2">
      <c r="A23" t="e">
        <f ca="1">MATCH(E23,ORÇAMENTO!$E$15:$E$192,0)-1</f>
        <v>#N/A</v>
      </c>
      <c r="B23" t="e">
        <f ca="1">IF(ISERROR($A23),NA(),OFFSET(ORÇAMENTO!$D$15,$A23,0))</f>
        <v>#N/A</v>
      </c>
      <c r="C23" t="str">
        <f ca="1">QCI!B23</f>
        <v>Branco</v>
      </c>
      <c r="D23" t="str">
        <f ca="1">IF(L23&gt;0,"F","")</f>
        <v/>
      </c>
      <c r="E23" s="459">
        <f>QCI!D23</f>
        <v>10</v>
      </c>
      <c r="F23" s="460" t="str">
        <f ca="1">QCI!G23</f>
        <v/>
      </c>
      <c r="G23" s="461">
        <f>QCI!H23</f>
        <v>0</v>
      </c>
      <c r="H23" s="462">
        <f>QCI!I23</f>
        <v>0</v>
      </c>
      <c r="I23" s="463" t="str">
        <f ca="1">QCI!J23</f>
        <v/>
      </c>
      <c r="J23" s="464" t="str">
        <f ca="1">QCI!K23</f>
        <v/>
      </c>
      <c r="K23" s="465" t="str">
        <f ca="1">IF($C23="Automático",IF(ACOMPANHAMENTO="BM",BM.medicao,PLE.Medicao),IF(ISBLANK($X23),"",$X23))</f>
        <v/>
      </c>
      <c r="L23" s="466">
        <f ca="1">QCI!$O23</f>
        <v>0</v>
      </c>
      <c r="M23" s="468">
        <f ca="1">ROUND(IF(C23="Automático",AE23+AL23,Y23),2)</f>
        <v>0</v>
      </c>
      <c r="N23" s="469">
        <f ca="1">O23-M23</f>
        <v>0</v>
      </c>
      <c r="O23" s="470">
        <f ca="1">ROUND(IF(C23="Automático",AH23+AO23,Z23),2)</f>
        <v>0</v>
      </c>
      <c r="P23" s="471">
        <f ca="1">O23/(L23+10^-12)</f>
        <v>0</v>
      </c>
      <c r="R23" s="467">
        <f ca="1">ROUND(IF($C23="Automático",AC23+AJ23,$Y23*IF(ISERROR(QCI!$AA23/QCI!$O23),0,QCI!$AA23/QCI!$O23)),2)</f>
        <v>0</v>
      </c>
      <c r="S23" s="467">
        <f ca="1">ROUND(IF($C23="Automático",AD23+AK23,$Y23*IF(ISERROR(QCI!$AB23/QCI!$O23),0,QCI!$AB23/QCI!$O23)),2)</f>
        <v>0</v>
      </c>
      <c r="T23" s="467">
        <f ca="1">ROUND(IF($C23="Automático",AF23+AM23,$Z23*IF(ISERROR(QCI!$AA23/QCI!$O23),0,QCI!$AA23/QCI!$O23)),2)</f>
        <v>0</v>
      </c>
      <c r="U23" s="467">
        <f ca="1">ROUND(IF($C23="Automático",AG23+AN23,$Z23*IF(ISERROR(QCI!$AB23/QCI!$O23),0,QCI!$AB23/QCI!$O23)),2)</f>
        <v>0</v>
      </c>
      <c r="V23" s="625">
        <f ca="1">IF(AND($L23&gt;0,$J23&lt;&gt;0,$J23&lt;&gt;"",COUNTIF($J$13:$J23,$J23)=1),OFFSET(V23,-1,0)+1,OFFSET(V23,-1,0))</f>
        <v>0</v>
      </c>
      <c r="X23" s="372"/>
      <c r="Y23" s="373"/>
      <c r="Z23" s="375"/>
      <c r="AC23" s="233">
        <f ca="1">IF(ACOMPANHAMENTO&lt;&gt;"PLE",0,SUMPRODUCT((OFFSET(CÁLCULO!$AX$15:$BH$15,$A23,0,$B23)&lt;=(PLE.Medicao-1))*OFFSET(CÁLCULO!$AB$15:$AL$15,$A23,0,$B23)*OFFSET(ORÇAMENTO!$AA$15,$A23,0,$B23)/(OFFSET(ORÇAMENTO!$X$15,$A23,0,$B23)+10^-12))+IF(AUTOEVENTO="Manual",SUMPRODUCT((OFFSET(CÁLCULO!$M$15,$A23,0,$B23)=1)*OFFSET(ORÇAMENTO!$AA$15,$A23,0,$B23)*(PLE!$AE$9-PLE!$Y$9)),0))</f>
        <v>0</v>
      </c>
      <c r="AD23" s="233">
        <f ca="1">IF(ACOMPANHAMENTO&lt;&gt;"PLE",0,SUMPRODUCT((OFFSET(CÁLCULO!$AX$15:$BH$15,$A23,0,$B23)&lt;=(PLE.Medicao-1))*OFFSET(CÁLCULO!$AB$15:$AL$15,$A23,0,$B23)*OFFSET(ORÇAMENTO!$AB$15,$A23,0,$B23)/(OFFSET(ORÇAMENTO!$X$15,$A23,0,$B23)+10^-12))+IF(AUTOEVENTO="Manual",SUMPRODUCT((OFFSET(CÁLCULO!$M$15,$A23,0,$B23)=1)*OFFSET(ORÇAMENTO!$AB$15,$A23,0,$B23)*(PLE!$AE$9-PLE!$Y$9)),0))</f>
        <v>0</v>
      </c>
      <c r="AE23" s="233">
        <f ca="1">ROUND(IF(ACOMPANHAMENTO&lt;&gt;"PLE",0,SUMIF(OFFSET(CÁLCULO!$AX$15:$BH$15,$A23,0,$B23),"&lt;="&amp;(PLE.Medicao-1),OFFSET(CÁLCULO!$AB$15:$AL$15,$A23,0,$B23))+IF(AUTOEVENTO="Manual",SUMIF(OFFSET(CÁLCULO!$M$15,$A23,0,$B23),1,OFFSET(ORÇAMENTO!$X$15,$A23,0,$B23))*(PLE!$AE$9-PLE!$Y$9),0)),2)</f>
        <v>0</v>
      </c>
      <c r="AF23" s="233">
        <f ca="1">IF(ACOMPANHAMENTO&lt;&gt;"PLE",0,SUMPRODUCT((OFFSET(CÁLCULO!$AX$15:$BH$15,$A23,0,$B23)&lt;=PLE.Medicao)*OFFSET(CÁLCULO!$AB$15:$AL$15,$A23,0,$B23)*OFFSET(ORÇAMENTO!$AA$15,$A23,0,$B23)/(OFFSET(ORÇAMENTO!$X$15,$A23,0,$B23)+10^-12))+IF(AUTOEVENTO="Manual",SUMPRODUCT((OFFSET(CÁLCULO!$M$15,$A23,0,$B23)=1)*OFFSET(ORÇAMENTO!$AA$15,$A23,0,$B23)*PLE!$AE$9),0))</f>
        <v>0</v>
      </c>
      <c r="AG23" s="233">
        <f ca="1">IF(ACOMPANHAMENTO&lt;&gt;"PLE",0,SUMPRODUCT((OFFSET(CÁLCULO!$AX$15:$BH$15,$A23,0,$B23)&lt;=PLE.Medicao)*OFFSET(CÁLCULO!$AB$15:$AL$15,$A23,0,$B23)*OFFSET(ORÇAMENTO!$AB$15,$A23,0,$B23)/(OFFSET(ORÇAMENTO!$X$15,$A23,0,$B23)+10^-12))+IF(AUTOEVENTO="Manual",SUMPRODUCT((OFFSET(CÁLCULO!$M$15,$A23,0,$B23)=1)*OFFSET(ORÇAMENTO!$AB$15,$A23,0,$B23)*PLE!$AE$9),0))</f>
        <v>0</v>
      </c>
      <c r="AH23" s="233">
        <f ca="1">ROUND(IF(ACOMPANHAMENTO&lt;&gt;"PLE",0,SUMIF(OFFSET(CÁLCULO!$AX$15:$BH$15,$A23,0,$B23),"&lt;="&amp;PLE.Medicao,OFFSET(CÁLCULO!$AB$15:$AL$15,$A23,0,$B23))+IF(AUTOEVENTO="Manual",SUMIF(OFFSET(CÁLCULO!$M$15,$A23,0,$B23),1,OFFSET(ORÇAMENTO!$X$15,$A23,0,$B23))*PLE!$AE$9,0)),2)</f>
        <v>0</v>
      </c>
      <c r="AJ23" s="233" t="e">
        <f ca="1">IF(ACOMPANHAMENTO&lt;&gt;"BM",0,SUMPRODUCT(OFFSET(BM!$M$15,$A23,0,$B23)*(OFFSET(BM!$A$15,$A23,0,$B23)="S")*OFFSET(ORÇAMENTO!AA$15,$A23,0,$B23)/(OFFSET(ORÇAMENTO!$X$15,$A23,0,$B23)+10^-12)))</f>
        <v>#N/A</v>
      </c>
      <c r="AK23" s="233" t="e">
        <f ca="1">IF(ACOMPANHAMENTO&lt;&gt;"BM",0,SUMPRODUCT(OFFSET(BM!$M$15,$A23,0,$B23)*(OFFSET(BM!$A$15,$A23,0,$B23)="S")*OFFSET(ORÇAMENTO!AB$15,$A23,0,$B23)/(OFFSET(ORÇAMENTO!$X$15,$A23,0,$B23)+10^-12)))</f>
        <v>#N/A</v>
      </c>
      <c r="AL23" s="233" t="e">
        <f ca="1">IF(ACOMPANHAMENTO&lt;&gt;"BM",0,OFFSET(BM!$M$15,$A23,0))</f>
        <v>#N/A</v>
      </c>
      <c r="AM23" s="233" t="e">
        <f ca="1">IF(ACOMPANHAMENTO&lt;&gt;"BM",0,SUMPRODUCT(OFFSET(BM!$O$15,$A23,0,$B23)*(OFFSET(BM!$A$15,$A23,0,$B23)="S")*OFFSET(ORÇAMENTO!AA$15,$A23,0,$B23)/(OFFSET(ORÇAMENTO!$X$15,$A23,0,$B23)+10^-12)))</f>
        <v>#N/A</v>
      </c>
      <c r="AN23" s="233" t="e">
        <f ca="1">IF(ACOMPANHAMENTO&lt;&gt;"BM",0,SUMPRODUCT(OFFSET(BM!$O$15,$A23,0,$B23)*(OFFSET(BM!$A$15,$A23,0,$B23)="S")*OFFSET(ORÇAMENTO!AB$15,$A23,0,$B23)/(OFFSET(ORÇAMENTO!$X$15,$A23,0,$B23)+10^-12)))</f>
        <v>#N/A</v>
      </c>
      <c r="AO23" s="233" t="e">
        <f ca="1">IF(ACOMPANHAMENTO&lt;&gt;"BM",0,OFFSET(BM!$O$15,$A23,0))</f>
        <v>#N/A</v>
      </c>
    </row>
    <row r="24" spans="1:41" ht="12.95" customHeight="1" x14ac:dyDescent="0.2">
      <c r="D24" t="s">
        <v>246</v>
      </c>
      <c r="E24" s="1"/>
      <c r="F24" s="1"/>
      <c r="G24" s="1"/>
      <c r="H24" s="1"/>
      <c r="I24" s="2"/>
      <c r="J24" s="822" t="s">
        <v>376</v>
      </c>
      <c r="K24" s="823"/>
      <c r="L24" s="473">
        <f ca="1">IF(ISERROR(L28/$L28),0,ROUND(L28/$L28,4))</f>
        <v>0</v>
      </c>
      <c r="M24" s="475">
        <f ca="1">IF(ISERROR(M28/$L28),0,ROUND(M28/$L28,4))</f>
        <v>0</v>
      </c>
      <c r="N24" s="474">
        <f ca="1">IF(ISERROR(N28/$L28),0,ROUND(N28/$L28,4))</f>
        <v>0</v>
      </c>
      <c r="O24" s="476">
        <f ca="1">IF(ISERROR(O28/$L28),0,ROUND(O28/$L28,4))</f>
        <v>0</v>
      </c>
      <c r="P24" s="824">
        <f ca="1">O28/(L28+10^-12)</f>
        <v>0</v>
      </c>
      <c r="X24" s="477"/>
      <c r="Y24" s="478"/>
      <c r="Z24" s="479"/>
    </row>
    <row r="25" spans="1:41" ht="12.95" customHeight="1" x14ac:dyDescent="0.2">
      <c r="D25" t="s">
        <v>246</v>
      </c>
      <c r="E25" s="527"/>
      <c r="F25" s="527"/>
      <c r="G25" s="527"/>
      <c r="H25" s="527"/>
      <c r="I25" s="5"/>
      <c r="J25" s="825" t="str">
        <f>IF(import.recurso="FGTS","Financiamento","Repasse")</f>
        <v>Repasse</v>
      </c>
      <c r="K25" s="826"/>
      <c r="L25" s="480">
        <f ca="1">QCI!L24</f>
        <v>0</v>
      </c>
      <c r="M25" s="481">
        <f ca="1">M28-M27-M26</f>
        <v>0</v>
      </c>
      <c r="N25" s="482">
        <f ca="1">O25-M25</f>
        <v>0</v>
      </c>
      <c r="O25" s="483">
        <f ca="1">O28-O27-O26</f>
        <v>0</v>
      </c>
      <c r="P25" s="824"/>
      <c r="X25" s="484"/>
      <c r="Y25" s="485" t="s">
        <v>377</v>
      </c>
      <c r="Z25" s="486" t="s">
        <v>378</v>
      </c>
      <c r="AC25" s="487" t="s">
        <v>379</v>
      </c>
      <c r="AD25" s="487" t="s">
        <v>380</v>
      </c>
    </row>
    <row r="26" spans="1:41" ht="12.95" customHeight="1" x14ac:dyDescent="0.2">
      <c r="D26" t="s">
        <v>246</v>
      </c>
      <c r="E26" s="527"/>
      <c r="F26" s="527"/>
      <c r="G26" s="527"/>
      <c r="H26" s="527"/>
      <c r="I26" s="5"/>
      <c r="J26" s="827" t="s">
        <v>381</v>
      </c>
      <c r="K26" s="828"/>
      <c r="L26" s="488">
        <f ca="1">QCI!M24</f>
        <v>0</v>
      </c>
      <c r="M26" s="489">
        <f ca="1">ROUND(IF(OFFSET($X$26,0,1)&lt;&gt;"",OFFSET($X$26,0,1),SUM(R13:OFFSET(R24,-1,0))),2)</f>
        <v>0</v>
      </c>
      <c r="N26" s="490">
        <f ca="1">O26-M26</f>
        <v>0</v>
      </c>
      <c r="O26" s="491">
        <f ca="1">IF(OFFSET($X$26,0,2)&lt;&gt;"",OFFSET($X$26,0,2),$AE$3)</f>
        <v>0</v>
      </c>
      <c r="P26" s="824"/>
      <c r="X26" s="492" t="s">
        <v>169</v>
      </c>
      <c r="Y26" s="620"/>
      <c r="Z26" s="621"/>
      <c r="AC26" s="493">
        <f ca="1">MIN($L26,$O$28-OFFSET($X$27,0,1))</f>
        <v>0</v>
      </c>
      <c r="AD26" s="493">
        <f ca="1">MIN($L26,$O$28-OFFSET($X$27,0,2))</f>
        <v>0</v>
      </c>
    </row>
    <row r="27" spans="1:41" ht="12.95" customHeight="1" x14ac:dyDescent="0.2">
      <c r="D27" t="s">
        <v>246</v>
      </c>
      <c r="E27" s="527"/>
      <c r="F27" s="527"/>
      <c r="G27" s="527"/>
      <c r="H27" s="527"/>
      <c r="I27" s="5"/>
      <c r="J27" s="829" t="s">
        <v>358</v>
      </c>
      <c r="K27" s="830"/>
      <c r="L27" s="494">
        <f ca="1">QCI!N24</f>
        <v>0</v>
      </c>
      <c r="M27" s="495">
        <f ca="1">ROUND(IF(OFFSET($X$27,0,1)&lt;&gt;"",OFFSET($X$27,0,1),SUM(S13:OFFSET(S24,-1,0))),2)</f>
        <v>0</v>
      </c>
      <c r="N27" s="496">
        <f ca="1">O27-M27</f>
        <v>0</v>
      </c>
      <c r="O27" s="497">
        <f ca="1">IF(OFFSET($X$27,0,2)&lt;&gt;"",OFFSET($X$27,0,2),$AE$4)</f>
        <v>0</v>
      </c>
      <c r="P27" s="824"/>
      <c r="X27" s="498" t="s">
        <v>278</v>
      </c>
      <c r="Y27" s="622"/>
      <c r="Z27" s="623"/>
      <c r="AC27" s="493">
        <f ca="1">MIN($L27,$O$28-OFFSET($X$26,0,1))</f>
        <v>0</v>
      </c>
      <c r="AD27" s="493">
        <f ca="1">MIN($L27,$O$28-OFFSET($X$26,0,2))</f>
        <v>0</v>
      </c>
    </row>
    <row r="28" spans="1:41" ht="15" x14ac:dyDescent="0.2">
      <c r="D28" t="s">
        <v>246</v>
      </c>
      <c r="E28" s="527"/>
      <c r="F28" s="527"/>
      <c r="G28" s="527"/>
      <c r="H28" s="527"/>
      <c r="I28" s="5"/>
      <c r="J28" s="831" t="s">
        <v>360</v>
      </c>
      <c r="K28" s="832"/>
      <c r="L28" s="499">
        <f ca="1">SUM(L13:OFFSET(L24,-1,0))</f>
        <v>0</v>
      </c>
      <c r="M28" s="500">
        <f ca="1">ROUND(SUM(M13:OFFSET(M24,-1,0)),2)</f>
        <v>0</v>
      </c>
      <c r="N28" s="501">
        <f ca="1">O28-M28</f>
        <v>0</v>
      </c>
      <c r="O28" s="502">
        <f ca="1">SUM(O13:OFFSET(O24,-1,0))</f>
        <v>0</v>
      </c>
      <c r="P28" s="824"/>
      <c r="X28" s="503"/>
      <c r="Y28" s="504"/>
      <c r="Z28" s="505"/>
    </row>
    <row r="29" spans="1:41" x14ac:dyDescent="0.2">
      <c r="O29" s="833" t="str">
        <f ca="1">"Acumulado Anterior:  "&amp;TEXT($M$28/($L$28+10^-12),"0,00%")</f>
        <v>Acumulado Anterior:  0,00%</v>
      </c>
      <c r="P29" s="833"/>
    </row>
    <row r="30" spans="1:41" ht="14.25" x14ac:dyDescent="0.2">
      <c r="E30" s="170" t="s">
        <v>187</v>
      </c>
      <c r="F30" s="105"/>
      <c r="G30" s="105"/>
      <c r="H30" s="105"/>
      <c r="I30" s="105"/>
      <c r="J30" s="105"/>
      <c r="K30" s="105"/>
      <c r="M30" s="105"/>
      <c r="N30" s="105"/>
      <c r="P30" s="628"/>
      <c r="R30" s="105"/>
      <c r="S30" s="105"/>
      <c r="T30" s="105"/>
      <c r="U30" s="105"/>
    </row>
    <row r="31" spans="1:41" ht="12.75" customHeight="1" x14ac:dyDescent="0.2">
      <c r="E31" s="815"/>
      <c r="F31" s="816"/>
      <c r="G31" s="816"/>
      <c r="H31" s="816"/>
      <c r="I31" s="816"/>
      <c r="J31" s="816"/>
      <c r="K31" s="816"/>
      <c r="L31" s="816"/>
      <c r="M31" s="816"/>
      <c r="N31" s="816"/>
      <c r="O31" s="816"/>
      <c r="P31" s="817"/>
      <c r="R31" s="105"/>
      <c r="S31" s="105"/>
      <c r="T31" s="105"/>
      <c r="U31" s="105"/>
    </row>
    <row r="32" spans="1:41" ht="12.75" customHeight="1" x14ac:dyDescent="0.2">
      <c r="E32" s="815"/>
      <c r="F32" s="816"/>
      <c r="G32" s="816"/>
      <c r="H32" s="816"/>
      <c r="I32" s="816"/>
      <c r="J32" s="816"/>
      <c r="K32" s="816"/>
      <c r="L32" s="816"/>
      <c r="M32" s="816"/>
      <c r="N32" s="816"/>
      <c r="O32" s="816"/>
      <c r="P32" s="817"/>
      <c r="R32" s="105"/>
      <c r="S32" s="105"/>
      <c r="T32" s="105"/>
      <c r="U32" s="105"/>
      <c r="Y32" s="506"/>
      <c r="Z32" s="506"/>
    </row>
    <row r="33" spans="5:21" ht="12.75" customHeight="1" x14ac:dyDescent="0.2">
      <c r="E33" s="818"/>
      <c r="F33" s="819"/>
      <c r="G33" s="819"/>
      <c r="H33" s="819"/>
      <c r="I33" s="819"/>
      <c r="J33" s="819"/>
      <c r="K33" s="819"/>
      <c r="L33" s="819"/>
      <c r="M33" s="819"/>
      <c r="N33" s="819"/>
      <c r="O33" s="819"/>
      <c r="P33" s="820"/>
      <c r="R33" s="105"/>
      <c r="S33" s="105"/>
      <c r="T33" s="105"/>
      <c r="U33" s="105"/>
    </row>
    <row r="34" spans="5:21" x14ac:dyDescent="0.2">
      <c r="R34" s="105"/>
      <c r="S34" s="105"/>
      <c r="T34" s="105"/>
      <c r="U34" s="105"/>
    </row>
    <row r="35" spans="5:21" ht="15" x14ac:dyDescent="0.2">
      <c r="E35" s="742" t="str">
        <f>Import.Município</f>
        <v>SANTO ÂNGELO - RS</v>
      </c>
      <c r="F35" s="742"/>
      <c r="G35" s="742"/>
      <c r="I35" s="507"/>
      <c r="J35" s="100"/>
      <c r="L35" s="760">
        <f ca="1">DADOS!$F$25</f>
        <v>45573</v>
      </c>
      <c r="M35" s="760"/>
      <c r="N35" s="760"/>
      <c r="O35" s="760"/>
      <c r="R35" s="105"/>
      <c r="S35" s="105"/>
      <c r="T35" s="105"/>
      <c r="U35" s="105"/>
    </row>
    <row r="36" spans="5:21" x14ac:dyDescent="0.2">
      <c r="E36" s="12" t="s">
        <v>188</v>
      </c>
      <c r="F36" s="104"/>
      <c r="G36" s="104"/>
      <c r="L36" s="325" t="s">
        <v>189</v>
      </c>
      <c r="R36" s="105"/>
      <c r="S36" s="105"/>
      <c r="T36" s="105"/>
      <c r="U36" s="105"/>
    </row>
    <row r="37" spans="5:21" x14ac:dyDescent="0.2">
      <c r="E37" s="104"/>
      <c r="F37" s="104"/>
      <c r="G37" s="104"/>
      <c r="R37" s="105"/>
      <c r="S37" s="105"/>
      <c r="T37" s="105"/>
      <c r="U37" s="105"/>
    </row>
    <row r="38" spans="5:21" x14ac:dyDescent="0.2">
      <c r="E38" s="228"/>
      <c r="F38" s="228"/>
      <c r="G38" s="228"/>
      <c r="L38" s="228"/>
      <c r="M38" s="228"/>
      <c r="N38" s="228"/>
      <c r="O38" s="228"/>
      <c r="R38" s="105"/>
      <c r="S38" s="105"/>
      <c r="T38" s="105"/>
      <c r="U38" s="105"/>
    </row>
    <row r="39" spans="5:21" x14ac:dyDescent="0.2">
      <c r="E39" s="508" t="str">
        <f>IF(CAIXA.Modo,"Responsável Gerencial CAIXA","Representante Tomador")</f>
        <v>Representante Tomador</v>
      </c>
      <c r="F39" s="9"/>
      <c r="L39" s="508" t="str">
        <f>IF(CAIXA.Modo,"Responsável Técnico CAIXA","Responsável Técnico pela Fiscalização")</f>
        <v>Responsável Técnico pela Fiscalização</v>
      </c>
      <c r="R39" s="105"/>
      <c r="S39" s="105"/>
      <c r="T39" s="105"/>
      <c r="U39" s="105"/>
    </row>
    <row r="40" spans="5:21" x14ac:dyDescent="0.2">
      <c r="E40" s="94" t="s">
        <v>108</v>
      </c>
      <c r="F40" s="353">
        <f>IF(CAIXA.Modo,DADOS!F60,DADOS!F28)</f>
        <v>0</v>
      </c>
      <c r="L40" s="94" t="s">
        <v>108</v>
      </c>
      <c r="M40" s="821">
        <f>IF(CAIXA.Modo,BM!X204,DADOS!F51)</f>
        <v>0</v>
      </c>
      <c r="N40" s="821"/>
      <c r="O40" s="821"/>
      <c r="R40" s="105"/>
      <c r="S40" s="105"/>
      <c r="T40" s="105"/>
      <c r="U40" s="105"/>
    </row>
    <row r="41" spans="5:21" x14ac:dyDescent="0.2">
      <c r="E41" s="94" t="str">
        <f>IF(CAIXA.Modo,"Função:","Cargo:")</f>
        <v>Cargo:</v>
      </c>
      <c r="F41" s="353">
        <f>IF(CAIXA.Modo,DADOS!F61,DADOS!F29)</f>
        <v>0</v>
      </c>
      <c r="L41" s="94" t="str">
        <f>IF(CAIXA.Modo,"Matrícula:","Profissão:")</f>
        <v>Profissão:</v>
      </c>
      <c r="M41" s="821">
        <f>IF(CAIXA.Modo,BM!X205,DADOS!F52)</f>
        <v>0</v>
      </c>
      <c r="N41" s="821"/>
      <c r="O41" s="821"/>
      <c r="R41" s="105"/>
      <c r="S41" s="105"/>
      <c r="T41" s="105"/>
      <c r="U41" s="105"/>
    </row>
    <row r="42" spans="5:21" x14ac:dyDescent="0.2">
      <c r="L42" s="94" t="s">
        <v>109</v>
      </c>
      <c r="M42" s="821">
        <f>IF(CAIXA.Modo,BM!X206,DADOS!F53)</f>
        <v>0</v>
      </c>
      <c r="N42" s="821"/>
      <c r="O42" s="821"/>
      <c r="R42" s="105"/>
      <c r="S42" s="105"/>
      <c r="T42" s="105"/>
      <c r="U42" s="105"/>
    </row>
    <row r="43" spans="5:21" x14ac:dyDescent="0.2">
      <c r="L43" s="94" t="str">
        <f>IF(CAIXA.Modo,"","ART/RRT:")</f>
        <v>ART/RRT:</v>
      </c>
      <c r="M43" s="354">
        <f>IF(CAIXA.Modo,"",DADOS!F54)</f>
        <v>0</v>
      </c>
      <c r="R43" s="105"/>
      <c r="S43" s="105"/>
      <c r="T43" s="105"/>
      <c r="U43" s="105"/>
    </row>
    <row r="44" spans="5:21" x14ac:dyDescent="0.2">
      <c r="R44" s="105"/>
      <c r="S44" s="105"/>
      <c r="T44" s="105"/>
      <c r="U44" s="105"/>
    </row>
    <row r="45" spans="5:21" x14ac:dyDescent="0.2">
      <c r="E45" s="228"/>
      <c r="F45" s="228"/>
      <c r="G45" s="228"/>
      <c r="L45" s="228"/>
      <c r="M45" s="228"/>
      <c r="N45" s="228"/>
      <c r="O45" s="228"/>
      <c r="R45" s="105"/>
      <c r="S45" s="105"/>
      <c r="T45" s="105"/>
      <c r="U45" s="105"/>
    </row>
    <row r="46" spans="5:21" x14ac:dyDescent="0.2">
      <c r="E46" t="str">
        <f>IF(CAIXA.Modo,"Responsável Social CAIXA","Responsável Social")</f>
        <v>Responsável Social</v>
      </c>
      <c r="L46" t="str">
        <f>IF(CAIXA.Modo,"Responsável Operacional CAIXA","Responsável Financeiro")</f>
        <v>Responsável Financeiro</v>
      </c>
      <c r="R46" s="105"/>
      <c r="S46" s="105"/>
      <c r="T46" s="105"/>
      <c r="U46" s="105"/>
    </row>
    <row r="47" spans="5:21" x14ac:dyDescent="0.2">
      <c r="E47" s="94" t="s">
        <v>108</v>
      </c>
      <c r="F47" s="796"/>
      <c r="G47" s="796"/>
      <c r="L47" s="94" t="s">
        <v>108</v>
      </c>
      <c r="M47" s="796"/>
      <c r="N47" s="796"/>
      <c r="O47" s="796"/>
      <c r="R47" s="105"/>
      <c r="S47" s="105"/>
      <c r="T47" s="105"/>
      <c r="U47" s="105"/>
    </row>
    <row r="48" spans="5:21" x14ac:dyDescent="0.2">
      <c r="E48" s="94" t="str">
        <f>IF(CAIXA.Modo,"Função:","Cargo:")</f>
        <v>Cargo:</v>
      </c>
      <c r="F48" s="796"/>
      <c r="G48" s="796"/>
      <c r="L48" s="94" t="str">
        <f>IF(CAIXA.Modo,"Função:","Cargo:")</f>
        <v>Cargo:</v>
      </c>
      <c r="M48" s="796"/>
      <c r="N48" s="796"/>
      <c r="O48" s="796"/>
      <c r="R48" s="105"/>
      <c r="S48" s="105"/>
      <c r="T48" s="105"/>
      <c r="U48" s="105"/>
    </row>
    <row r="49" spans="5:21" x14ac:dyDescent="0.2">
      <c r="E49" s="94" t="str">
        <f>IF(CAIXA.Modo,"Matr:","")</f>
        <v/>
      </c>
      <c r="F49" s="796"/>
      <c r="G49" s="796"/>
      <c r="L49" s="94" t="str">
        <f>IF(CAIXA.Modo,"Matrícula:","")</f>
        <v/>
      </c>
      <c r="M49" s="796"/>
      <c r="N49" s="796"/>
      <c r="O49" s="796"/>
      <c r="R49" s="105"/>
      <c r="S49" s="105"/>
      <c r="T49" s="105"/>
      <c r="U49" s="105"/>
    </row>
    <row r="50" spans="5:21" x14ac:dyDescent="0.2">
      <c r="R50" s="105"/>
      <c r="S50" s="105"/>
      <c r="T50" s="105"/>
      <c r="U50" s="105"/>
    </row>
    <row r="51" spans="5:21" x14ac:dyDescent="0.2">
      <c r="R51" s="105"/>
      <c r="S51" s="105"/>
      <c r="T51" s="105"/>
      <c r="U51" s="105"/>
    </row>
    <row r="52" spans="5:21" x14ac:dyDescent="0.2">
      <c r="R52" s="105"/>
      <c r="S52" s="105"/>
      <c r="T52" s="105"/>
      <c r="U52" s="105"/>
    </row>
  </sheetData>
  <sheetProtection algorithmName="SHA-512" hashValue="I6ui0OAbI/I6mThkHzSiOMiN8nUu01QJUCVX9Lf+cPsFBZSWV+lOeqm0JNiXIJqHSOtfxCUZzQWR3ahPkury6Q==" saltValue="EaSx+KXwPUiUa7L/4awxLg==" spinCount="100000" sheet="1" objects="1" scenarios="1" autoFilter="0"/>
  <autoFilter ref="D13:D30"/>
  <mergeCells count="40">
    <mergeCell ref="E6:H6"/>
    <mergeCell ref="I6:L6"/>
    <mergeCell ref="E3:H3"/>
    <mergeCell ref="I3:K3"/>
    <mergeCell ref="E4:H4"/>
    <mergeCell ref="I4:K4"/>
    <mergeCell ref="D7:D11"/>
    <mergeCell ref="E7:H7"/>
    <mergeCell ref="I7:L7"/>
    <mergeCell ref="G9:H9"/>
    <mergeCell ref="I9:J9"/>
    <mergeCell ref="L9:L10"/>
    <mergeCell ref="G10:H10"/>
    <mergeCell ref="AJ10:AO10"/>
    <mergeCell ref="Y11:Z11"/>
    <mergeCell ref="AC11:AE11"/>
    <mergeCell ref="AF11:AH11"/>
    <mergeCell ref="AJ11:AL11"/>
    <mergeCell ref="AM11:AO11"/>
    <mergeCell ref="J27:K27"/>
    <mergeCell ref="J28:K28"/>
    <mergeCell ref="O29:P29"/>
    <mergeCell ref="M48:O48"/>
    <mergeCell ref="AC10:AH10"/>
    <mergeCell ref="M4:O4"/>
    <mergeCell ref="M49:O49"/>
    <mergeCell ref="E31:P33"/>
    <mergeCell ref="L35:O35"/>
    <mergeCell ref="M40:O40"/>
    <mergeCell ref="M41:O41"/>
    <mergeCell ref="M42:O42"/>
    <mergeCell ref="M47:O47"/>
    <mergeCell ref="F49:G49"/>
    <mergeCell ref="E35:G35"/>
    <mergeCell ref="F47:G47"/>
    <mergeCell ref="F48:G48"/>
    <mergeCell ref="J24:K24"/>
    <mergeCell ref="P24:P28"/>
    <mergeCell ref="J25:K25"/>
    <mergeCell ref="J26:K26"/>
  </mergeCells>
  <phoneticPr fontId="38" type="noConversion"/>
  <conditionalFormatting sqref="X12:Z12">
    <cfRule type="expression" dxfId="22" priority="82" stopIfTrue="1">
      <formula>OR($C12="Automático",$C12="Branco")</formula>
    </cfRule>
  </conditionalFormatting>
  <conditionalFormatting sqref="F49:G49 M49:O49">
    <cfRule type="expression" dxfId="21" priority="83" stopIfTrue="1">
      <formula>CAIXA.Modo=FALSE</formula>
    </cfRule>
  </conditionalFormatting>
  <conditionalFormatting sqref="M12 M25:M28 O12 O25:O28">
    <cfRule type="cellIs" dxfId="20" priority="84" stopIfTrue="1" operator="notBetween">
      <formula>0</formula>
      <formula>$L12</formula>
    </cfRule>
  </conditionalFormatting>
  <conditionalFormatting sqref="M10:N10">
    <cfRule type="cellIs" dxfId="19" priority="85" stopIfTrue="1" operator="lessThan">
      <formula>0</formula>
    </cfRule>
  </conditionalFormatting>
  <conditionalFormatting sqref="X14:Z22">
    <cfRule type="expression" dxfId="18" priority="3" stopIfTrue="1">
      <formula>OR($C14="Automático",$C14="Branco")</formula>
    </cfRule>
  </conditionalFormatting>
  <conditionalFormatting sqref="M14:M22 O14:O22">
    <cfRule type="cellIs" dxfId="17" priority="4" stopIfTrue="1" operator="notBetween">
      <formula>0</formula>
      <formula>$L14</formula>
    </cfRule>
  </conditionalFormatting>
  <conditionalFormatting sqref="X23:Z23">
    <cfRule type="expression" dxfId="16" priority="1" stopIfTrue="1">
      <formula>OR($C23="Automático",$C23="Branco")</formula>
    </cfRule>
  </conditionalFormatting>
  <conditionalFormatting sqref="M23 O23">
    <cfRule type="cellIs" dxfId="15" priority="2" stopIfTrue="1" operator="notBetween">
      <formula>0</formula>
      <formula>$L23</formula>
    </cfRule>
  </conditionalFormatting>
  <dataValidations disablePrompts="1" count="5">
    <dataValidation type="decimal" errorStyle="warning" allowBlank="1" showInputMessage="1" showErrorMessage="1" errorTitle="Erro de valor" error="Valor menor que 0,00 ou maior que o valor da Contrapartida/Outros." promptTitle="Contrapartida Anterior:" prompt="Deixe essa célula em branco para o cálculo automático. Preencha somente para valores de CP diferentes do previsto." sqref="Y26">
      <formula1>0</formula1>
      <formula2>RRE.MaxCPAnt</formula2>
    </dataValidation>
    <dataValidation type="decimal" errorStyle="warning" allowBlank="1" showInputMessage="1" showErrorMessage="1" errorTitle="Erro de valor" error="Valor menor que 0,00 ou maior que o valor da Contrapartida/Outros." promptTitle="Contrapartida Acumulada:" prompt="Deixe essa célula em branco para o cálculo automático. Preencha somente para valores de CP diferentes do previsto." sqref="Z26">
      <formula1>0</formula1>
      <formula2>RRE.MaxCPAcum</formula2>
    </dataValidation>
    <dataValidation type="decimal" errorStyle="warning" allowBlank="1" showInputMessage="1" showErrorMessage="1" errorTitle="Erro de valor" error="Valor menor que 0,00 ou maior que o valor da Contrapartida/Outros." promptTitle="Outros Anterior:" prompt="Deixe essa célula em branco para o cálculo automático. Preencha somente para valores de Outros diferentes do previsto." sqref="Y27">
      <formula1>0</formula1>
      <formula2>RRE.MaxOUAnt</formula2>
    </dataValidation>
    <dataValidation type="decimal" errorStyle="warning" allowBlank="1" showInputMessage="1" showErrorMessage="1" errorTitle="Erro de valor" error="Valor menor que 0,00 ou maior que o valor da Contrapartida/Outros." promptTitle="Outros Acumulada:" prompt="Deixe essa célula em branco para o cálculo automático. Preencha somente para valores de Outros diferentes do previsto." sqref="Z27">
      <formula1>0</formula1>
      <formula2>RRE.MaxOUAcum</formula2>
    </dataValidation>
    <dataValidation type="decimal" allowBlank="1" showInputMessage="1" showErrorMessage="1" sqref="Y12:Z12 Y14:Z23">
      <formula1>0</formula1>
      <formula2>RRE.VIMeta</formula2>
    </dataValidation>
  </dataValidations>
  <pageMargins left="0.78740157480314998" right="0.78740157480314998" top="0.78740157480314998" bottom="0.78740157480314998" header="0.59055118110236204" footer="0.59055118110236204"/>
  <pageSetup paperSize="9" scale="73" firstPageNumber="0" fitToHeight="0" orientation="landscape" horizontalDpi="300" verticalDpi="300" r:id="rId1"/>
  <headerFooter alignWithMargins="0">
    <oddHeader>&amp;L_&amp;C&amp;14I</oddHeader>
    <oddFooter>&amp;LPMv3.0.6&amp;R&amp;P / &amp;N</oddFooter>
  </headerFooter>
  <colBreaks count="1" manualBreakCount="1">
    <brk id="15" max="1048575" man="1"/>
  </colBreaks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A1:Q56"/>
  <sheetViews>
    <sheetView showGridLines="0" zoomScale="90" zoomScaleNormal="90" zoomScaleSheetLayoutView="100" workbookViewId="0"/>
  </sheetViews>
  <sheetFormatPr defaultRowHeight="12.75" x14ac:dyDescent="0.2"/>
  <cols>
    <col min="1" max="1" width="2" style="104" customWidth="1"/>
    <col min="2" max="2" width="15.7109375" style="104" customWidth="1"/>
    <col min="3" max="3" width="6.7109375" style="104" customWidth="1"/>
    <col min="4" max="5" width="20.7109375" style="104" customWidth="1"/>
    <col min="6" max="6" width="8.7109375" style="104" customWidth="1"/>
    <col min="7" max="7" width="12.7109375" style="104" customWidth="1"/>
    <col min="8" max="8" width="20.7109375" customWidth="1"/>
    <col min="9" max="9" width="13.7109375" customWidth="1"/>
    <col min="10" max="12" width="16.7109375" customWidth="1"/>
    <col min="14" max="14" width="14.140625" customWidth="1"/>
  </cols>
  <sheetData>
    <row r="1" spans="2:17" x14ac:dyDescent="0.2">
      <c r="B1" s="862"/>
      <c r="C1" s="862"/>
      <c r="D1" s="65"/>
      <c r="E1" s="65"/>
      <c r="F1" s="65"/>
      <c r="G1" s="68" t="s">
        <v>140</v>
      </c>
    </row>
    <row r="2" spans="2:17" x14ac:dyDescent="0.2">
      <c r="B2" s="862"/>
      <c r="C2" s="862"/>
      <c r="D2" s="509"/>
      <c r="E2" s="509"/>
      <c r="F2" s="509"/>
      <c r="G2" s="14" t="s">
        <v>382</v>
      </c>
    </row>
    <row r="3" spans="2:17" ht="26.1" customHeight="1" thickBot="1" x14ac:dyDescent="0.25">
      <c r="B3" s="862"/>
      <c r="C3" s="862"/>
      <c r="D3" s="510"/>
      <c r="E3" s="510"/>
      <c r="F3" s="510"/>
      <c r="G3" s="511"/>
      <c r="I3" s="512" t="s">
        <v>383</v>
      </c>
      <c r="J3" s="176"/>
      <c r="K3" s="176"/>
      <c r="L3" s="176"/>
    </row>
    <row r="4" spans="2:17" ht="12.75" customHeight="1" x14ac:dyDescent="0.2">
      <c r="B4" s="862"/>
      <c r="C4" s="862"/>
      <c r="D4" s="509"/>
      <c r="E4" s="509"/>
      <c r="F4" s="509"/>
      <c r="G4" s="509"/>
      <c r="I4" s="863" t="s">
        <v>384</v>
      </c>
      <c r="J4" s="865" t="s">
        <v>385</v>
      </c>
      <c r="K4" s="865" t="s">
        <v>386</v>
      </c>
      <c r="L4" s="858" t="s">
        <v>387</v>
      </c>
    </row>
    <row r="5" spans="2:17" x14ac:dyDescent="0.2">
      <c r="I5" s="864"/>
      <c r="J5" s="866"/>
      <c r="K5" s="866"/>
      <c r="L5" s="859"/>
    </row>
    <row r="6" spans="2:17" x14ac:dyDescent="0.2">
      <c r="B6" s="513" t="s">
        <v>388</v>
      </c>
      <c r="C6" s="860"/>
      <c r="D6" s="860"/>
      <c r="E6" s="513"/>
      <c r="F6" s="513"/>
      <c r="G6" s="65"/>
      <c r="I6" s="605" t="str">
        <f ca="1">IF(ROW(I6)-ROW(L$5)&gt;MAX(RRE!$V$13:$V$24),"",INDEX(RRE!$J$13:$J$24,MATCH(ROW(I6)-ROW(I$5),RRE!$V$13:$V$24,0)))</f>
        <v/>
      </c>
      <c r="J6" s="606" t="str">
        <f ca="1">IF(I6="","",SUMIF(RRE!$J$13:$J$24,OFÍCIO!$I6,RRE!$L$13:$L$24))</f>
        <v/>
      </c>
      <c r="K6" s="606" t="str">
        <f ca="1">IF(J6="","",SUMIF(RRE!$J$13:$J$24,OFÍCIO!$I6,RRE!$N$13:$N$24))</f>
        <v/>
      </c>
      <c r="L6" s="607" t="str">
        <f ca="1">IF(K6="","",SUMIF(RRE!$J$13:$J$24,OFÍCIO!$I6,RRE!$O$13:$O$24))</f>
        <v/>
      </c>
      <c r="N6" s="12"/>
    </row>
    <row r="7" spans="2:17" x14ac:dyDescent="0.2">
      <c r="B7" s="514"/>
      <c r="C7" s="514"/>
      <c r="D7" s="509"/>
      <c r="E7" s="509"/>
      <c r="F7" s="509"/>
      <c r="G7" s="509"/>
      <c r="I7" s="599" t="str">
        <f ca="1">IF(ROW(I7)-ROW(L$5)&gt;MAX(RRE!$V$13:$V$24),"",INDEX(RRE!$J$13:$J$24,MATCH(ROW(I7)-ROW(I$5),RRE!$V$13:$V$24,0)))</f>
        <v/>
      </c>
      <c r="J7" s="600" t="str">
        <f ca="1">IF(I7="","",SUMIF(RRE!$J$13:$J$24,OFÍCIO!$I7,RRE!$L$13:$L$24))</f>
        <v/>
      </c>
      <c r="K7" s="600" t="str">
        <f ca="1">IF(J7="","",SUMIF(RRE!$J$13:$J$24,OFÍCIO!$I7,RRE!$N$13:$N$24))</f>
        <v/>
      </c>
      <c r="L7" s="601" t="str">
        <f ca="1">IF(K7="","",SUMIF(RRE!$J$13:$J$24,OFÍCIO!$I7,RRE!$O$13:$O$24))</f>
        <v/>
      </c>
    </row>
    <row r="8" spans="2:17" x14ac:dyDescent="0.2">
      <c r="B8" s="861" t="str">
        <f ca="1">CONCATENATE(RRE!$E$35,", ",TEXT(RRE!$L$35,"dd"" de ""mmmm"" de ""aaaa"))</f>
        <v>SANTO ÂNGELO - RS, 08 de outubro de 2024</v>
      </c>
      <c r="C8" s="861"/>
      <c r="D8" s="861"/>
      <c r="E8" s="861"/>
      <c r="F8" s="861"/>
      <c r="G8" s="861"/>
      <c r="H8" s="515"/>
      <c r="I8" s="599" t="str">
        <f ca="1">IF(ROW(I8)-ROW(L$5)&gt;MAX(RRE!$V$13:$V$24),"",INDEX(RRE!$J$13:$J$24,MATCH(ROW(I8)-ROW(I$5),RRE!$V$13:$V$24,0)))</f>
        <v/>
      </c>
      <c r="J8" s="600" t="str">
        <f ca="1">IF(I8="","",SUMIF(RRE!$J$13:$J$24,OFÍCIO!$I8,RRE!$L$13:$L$24))</f>
        <v/>
      </c>
      <c r="K8" s="600" t="str">
        <f ca="1">IF(J8="","",SUMIF(RRE!$J$13:$J$24,OFÍCIO!$I8,RRE!$N$13:$N$24))</f>
        <v/>
      </c>
      <c r="L8" s="601" t="str">
        <f ca="1">IF(K8="","",SUMIF(RRE!$J$13:$J$24,OFÍCIO!$I8,RRE!$O$13:$O$24))</f>
        <v/>
      </c>
      <c r="N8" s="515"/>
      <c r="O8" s="515"/>
      <c r="P8" s="515"/>
      <c r="Q8" s="515"/>
    </row>
    <row r="9" spans="2:17" x14ac:dyDescent="0.2">
      <c r="B9" s="516" t="s">
        <v>389</v>
      </c>
      <c r="C9" s="65"/>
      <c r="D9" s="65"/>
      <c r="G9" s="65"/>
      <c r="H9" s="515"/>
      <c r="I9" s="599" t="str">
        <f ca="1">IF(ROW(I9)-ROW(L$5)&gt;MAX(RRE!$V$13:$V$24),"",INDEX(RRE!$J$13:$J$24,MATCH(ROW(I9)-ROW(I$5),RRE!$V$13:$V$24,0)))</f>
        <v/>
      </c>
      <c r="J9" s="600" t="str">
        <f ca="1">IF(I9="","",SUMIF(RRE!$J$13:$J$24,OFÍCIO!$I9,RRE!$L$13:$L$24))</f>
        <v/>
      </c>
      <c r="K9" s="600" t="str">
        <f ca="1">IF(J9="","",SUMIF(RRE!$J$13:$J$24,OFÍCIO!$I9,RRE!$N$13:$N$24))</f>
        <v/>
      </c>
      <c r="L9" s="601" t="str">
        <f ca="1">IF(K9="","",SUMIF(RRE!$J$13:$J$24,OFÍCIO!$I9,RRE!$O$13:$O$24))</f>
        <v/>
      </c>
      <c r="N9" s="515"/>
      <c r="O9" s="515"/>
      <c r="P9" s="515"/>
      <c r="Q9" s="515"/>
    </row>
    <row r="10" spans="2:17" x14ac:dyDescent="0.2">
      <c r="B10" s="853" t="s">
        <v>390</v>
      </c>
      <c r="C10" s="853"/>
      <c r="D10" s="853"/>
      <c r="G10" s="65"/>
      <c r="H10" s="515"/>
      <c r="I10" s="599" t="str">
        <f ca="1">IF(ROW(I10)-ROW(L$5)&gt;MAX(RRE!$V$13:$V$24),"",INDEX(RRE!$J$13:$J$24,MATCH(ROW(I10)-ROW(I$5),RRE!$V$13:$V$24,0)))</f>
        <v/>
      </c>
      <c r="J10" s="600" t="str">
        <f ca="1">IF(I10="","",SUMIF(RRE!$J$13:$J$24,OFÍCIO!$I10,RRE!$L$13:$L$24))</f>
        <v/>
      </c>
      <c r="K10" s="600" t="str">
        <f ca="1">IF(J10="","",SUMIF(RRE!$J$13:$J$24,OFÍCIO!$I10,RRE!$N$13:$N$24))</f>
        <v/>
      </c>
      <c r="L10" s="601" t="str">
        <f ca="1">IF(K10="","",SUMIF(RRE!$J$13:$J$24,OFÍCIO!$I10,RRE!$O$13:$O$24))</f>
        <v/>
      </c>
      <c r="N10" s="515"/>
      <c r="O10" s="515"/>
      <c r="P10" s="515"/>
      <c r="Q10" s="515"/>
    </row>
    <row r="11" spans="2:17" x14ac:dyDescent="0.2">
      <c r="B11" s="517" t="s">
        <v>410</v>
      </c>
      <c r="C11" s="852"/>
      <c r="D11" s="852"/>
      <c r="G11" s="65"/>
      <c r="H11" s="515"/>
      <c r="I11" s="599" t="str">
        <f ca="1">IF(ROW(I11)-ROW(L$5)&gt;MAX(RRE!$V$13:$V$24),"",INDEX(RRE!$J$13:$J$24,MATCH(ROW(I11)-ROW(I$5),RRE!$V$13:$V$24,0)))</f>
        <v/>
      </c>
      <c r="J11" s="600" t="str">
        <f ca="1">IF(I11="","",SUMIF(RRE!$J$13:$J$24,OFÍCIO!$I11,RRE!$L$13:$L$24))</f>
        <v/>
      </c>
      <c r="K11" s="600" t="str">
        <f ca="1">IF(J11="","",SUMIF(RRE!$J$13:$J$24,OFÍCIO!$I11,RRE!$N$13:$N$24))</f>
        <v/>
      </c>
      <c r="L11" s="601" t="str">
        <f ca="1">IF(K11="","",SUMIF(RRE!$J$13:$J$24,OFÍCIO!$I11,RRE!$O$13:$O$24))</f>
        <v/>
      </c>
      <c r="N11" s="515"/>
      <c r="O11" s="515"/>
      <c r="P11" s="515"/>
      <c r="Q11" s="515"/>
    </row>
    <row r="12" spans="2:17" x14ac:dyDescent="0.2">
      <c r="B12" s="518"/>
      <c r="C12" s="518"/>
      <c r="D12" s="518"/>
      <c r="E12" s="518"/>
      <c r="F12" s="518"/>
      <c r="G12" s="65"/>
      <c r="H12" s="515"/>
      <c r="I12" s="599" t="str">
        <f ca="1">IF(ROW(I12)-ROW(L$5)&gt;MAX(RRE!$V$13:$V$24),"",INDEX(RRE!$J$13:$J$24,MATCH(ROW(I12)-ROW(I$5),RRE!$V$13:$V$24,0)))</f>
        <v/>
      </c>
      <c r="J12" s="600" t="str">
        <f ca="1">IF(I12="","",SUMIF(RRE!$J$13:$J$24,OFÍCIO!$I12,RRE!$L$13:$L$24))</f>
        <v/>
      </c>
      <c r="K12" s="600" t="str">
        <f ca="1">IF(J12="","",SUMIF(RRE!$J$13:$J$24,OFÍCIO!$I12,RRE!$N$13:$N$24))</f>
        <v/>
      </c>
      <c r="L12" s="601" t="str">
        <f ca="1">IF(K12="","",SUMIF(RRE!$J$13:$J$24,OFÍCIO!$I12,RRE!$O$13:$O$24))</f>
        <v/>
      </c>
      <c r="N12" s="515"/>
      <c r="O12" s="515"/>
      <c r="P12" s="515"/>
      <c r="Q12" s="515"/>
    </row>
    <row r="13" spans="2:17" x14ac:dyDescent="0.2">
      <c r="B13" s="65"/>
      <c r="C13" s="65"/>
      <c r="D13" s="65"/>
      <c r="E13" s="65"/>
      <c r="F13" s="65"/>
      <c r="G13" s="65"/>
      <c r="I13" s="599" t="str">
        <f ca="1">IF(ROW(I13)-ROW(L$5)&gt;MAX(RRE!$V$13:$V$24),"",INDEX(RRE!$J$13:$J$24,MATCH(ROW(I13)-ROW(I$5),RRE!$V$13:$V$24,0)))</f>
        <v/>
      </c>
      <c r="J13" s="600" t="str">
        <f ca="1">IF(I13="","",SUMIF(RRE!$J$13:$J$24,OFÍCIO!$I13,RRE!$L$13:$L$24))</f>
        <v/>
      </c>
      <c r="K13" s="600" t="str">
        <f ca="1">IF(J13="","",SUMIF(RRE!$J$13:$J$24,OFÍCIO!$I13,RRE!$N$13:$N$24))</f>
        <v/>
      </c>
      <c r="L13" s="601" t="str">
        <f ca="1">IF(K13="","",SUMIF(RRE!$J$13:$J$24,OFÍCIO!$I13,RRE!$O$13:$O$24))</f>
        <v/>
      </c>
    </row>
    <row r="14" spans="2:17" x14ac:dyDescent="0.2">
      <c r="B14" s="516" t="s">
        <v>391</v>
      </c>
      <c r="C14" s="853" t="str">
        <f ca="1">CONCATENATE(RRE.Numero,"ª"," Solicitação de ",IF(import.recurso="OGU","Desbloqueio","Desembolso")," de Recursos.")</f>
        <v>1ª Solicitação de Desbloqueio de Recursos.</v>
      </c>
      <c r="D14" s="853"/>
      <c r="E14" s="853"/>
      <c r="F14" s="853"/>
      <c r="G14" s="853"/>
      <c r="I14" s="599" t="str">
        <f ca="1">IF(ROW(I14)-ROW(L$5)&gt;MAX(RRE!$V$13:$V$24),"",INDEX(RRE!$J$13:$J$24,MATCH(ROW(I14)-ROW(I$5),RRE!$V$13:$V$24,0)))</f>
        <v/>
      </c>
      <c r="J14" s="600" t="str">
        <f ca="1">IF(I14="","",SUMIF(RRE!$J$13:$J$24,OFÍCIO!$I14,RRE!$L$13:$L$24))</f>
        <v/>
      </c>
      <c r="K14" s="600" t="str">
        <f ca="1">IF(J14="","",SUMIF(RRE!$J$13:$J$24,OFÍCIO!$I14,RRE!$N$13:$N$24))</f>
        <v/>
      </c>
      <c r="L14" s="601" t="str">
        <f ca="1">IF(K14="","",SUMIF(RRE!$J$13:$J$24,OFÍCIO!$I14,RRE!$O$13:$O$24))</f>
        <v/>
      </c>
    </row>
    <row r="15" spans="2:17" ht="12.75" customHeight="1" x14ac:dyDescent="0.2">
      <c r="B15" s="516" t="s">
        <v>392</v>
      </c>
      <c r="C15" s="854" t="str">
        <f>CONCATENATE("Contrato de ",IF(import.recurso="OGU","Repasse","Financiamento")," - Operação nº ",Import.CR,IF(Import.TransfereGOV="","",CONCATENATE(" - TransfereGOV nº ",Import.TransfereGOV)))</f>
        <v xml:space="preserve">Contrato de Repasse - Operação nº </v>
      </c>
      <c r="D15" s="854"/>
      <c r="E15" s="854"/>
      <c r="F15" s="854"/>
      <c r="G15" s="854"/>
      <c r="I15" s="599" t="str">
        <f ca="1">IF(ROW(I15)-ROW(L$5)&gt;MAX(RRE!$V$13:$V$24),"",INDEX(RRE!$J$13:$J$24,MATCH(ROW(I15)-ROW(I$5),RRE!$V$13:$V$24,0)))</f>
        <v/>
      </c>
      <c r="J15" s="600" t="str">
        <f ca="1">IF(I15="","",SUMIF(RRE!$J$13:$J$24,OFÍCIO!$I15,RRE!$L$13:$L$24))</f>
        <v/>
      </c>
      <c r="K15" s="600" t="str">
        <f ca="1">IF(J15="","",SUMIF(RRE!$J$13:$J$24,OFÍCIO!$I15,RRE!$N$13:$N$24))</f>
        <v/>
      </c>
      <c r="L15" s="601" t="str">
        <f ca="1">IF(K15="","",SUMIF(RRE!$J$13:$J$24,OFÍCIO!$I15,RRE!$O$13:$O$24))</f>
        <v/>
      </c>
    </row>
    <row r="16" spans="2:17" x14ac:dyDescent="0.2">
      <c r="B16" s="516"/>
      <c r="C16" s="854"/>
      <c r="D16" s="854"/>
      <c r="E16" s="854"/>
      <c r="F16" s="854"/>
      <c r="G16" s="854"/>
      <c r="I16" s="599" t="str">
        <f ca="1">IF(ROW(I16)-ROW(L$5)&gt;MAX(RRE!$V$13:$V$24),"",INDEX(RRE!$J$13:$J$24,MATCH(ROW(I16)-ROW(I$5),RRE!$V$13:$V$24,0)))</f>
        <v/>
      </c>
      <c r="J16" s="600" t="str">
        <f ca="1">IF(I16="","",SUMIF(RRE!$J$13:$J$24,OFÍCIO!$I16,RRE!$L$13:$L$24))</f>
        <v/>
      </c>
      <c r="K16" s="600" t="str">
        <f ca="1">IF(J16="","",SUMIF(RRE!$J$13:$J$24,OFÍCIO!$I16,RRE!$N$13:$N$24))</f>
        <v/>
      </c>
      <c r="L16" s="601" t="str">
        <f ca="1">IF(K16="","",SUMIF(RRE!$J$13:$J$24,OFÍCIO!$I16,RRE!$O$13:$O$24))</f>
        <v/>
      </c>
    </row>
    <row r="17" spans="2:12" x14ac:dyDescent="0.2">
      <c r="B17" s="65"/>
      <c r="C17" s="65"/>
      <c r="D17" s="65"/>
      <c r="E17" s="65"/>
      <c r="F17" s="65"/>
      <c r="G17" s="65"/>
      <c r="I17" s="599" t="str">
        <f ca="1">IF(ROW(I17)-ROW(L$5)&gt;MAX(RRE!$V$13:$V$24),"",INDEX(RRE!$J$13:$J$24,MATCH(ROW(I17)-ROW(I$5),RRE!$V$13:$V$24,0)))</f>
        <v/>
      </c>
      <c r="J17" s="600" t="str">
        <f ca="1">IF(I17="","",SUMIF(RRE!$J$13:$J$24,OFÍCIO!$I17,RRE!$L$13:$L$24))</f>
        <v/>
      </c>
      <c r="K17" s="600" t="str">
        <f ca="1">IF(J17="","",SUMIF(RRE!$J$13:$J$24,OFÍCIO!$I17,RRE!$N$13:$N$24))</f>
        <v/>
      </c>
      <c r="L17" s="601" t="str">
        <f ca="1">IF(K17="","",SUMIF(RRE!$J$13:$J$24,OFÍCIO!$I17,RRE!$O$13:$O$24))</f>
        <v/>
      </c>
    </row>
    <row r="18" spans="2:12" ht="12.75" customHeight="1" x14ac:dyDescent="0.2">
      <c r="B18" s="519" t="s">
        <v>393</v>
      </c>
      <c r="C18" s="855" t="str">
        <f>Import.DescLote</f>
        <v>BIBLIOTECA  ÉRICO VERISSIMO</v>
      </c>
      <c r="D18" s="855"/>
      <c r="E18" s="855"/>
      <c r="F18" s="855"/>
      <c r="G18" s="855"/>
      <c r="I18" s="599" t="str">
        <f ca="1">IF(ROW(I18)-ROW(L$5)&gt;MAX(RRE!$V$13:$V$24),"",INDEX(RRE!$J$13:$J$24,MATCH(ROW(I18)-ROW(I$5),RRE!$V$13:$V$24,0)))</f>
        <v/>
      </c>
      <c r="J18" s="600" t="str">
        <f ca="1">IF(I18="","",SUMIF(RRE!$J$13:$J$24,OFÍCIO!$I18,RRE!$L$13:$L$24))</f>
        <v/>
      </c>
      <c r="K18" s="600" t="str">
        <f ca="1">IF(J18="","",SUMIF(RRE!$J$13:$J$24,OFÍCIO!$I18,RRE!$N$13:$N$24))</f>
        <v/>
      </c>
      <c r="L18" s="601" t="str">
        <f ca="1">IF(K18="","",SUMIF(RRE!$J$13:$J$24,OFÍCIO!$I18,RRE!$O$13:$O$24))</f>
        <v/>
      </c>
    </row>
    <row r="19" spans="2:12" ht="12.75" customHeight="1" x14ac:dyDescent="0.2">
      <c r="B19" s="850" t="s">
        <v>394</v>
      </c>
      <c r="C19" s="851" t="str">
        <f>Import.Proponente</f>
        <v>INSTITUTO FEDERAL FARROUPILHA</v>
      </c>
      <c r="D19" s="851"/>
      <c r="E19" s="851"/>
      <c r="F19" s="851"/>
      <c r="G19" s="851"/>
      <c r="I19" s="599" t="str">
        <f ca="1">IF(ROW(I19)-ROW(L$5)&gt;MAX(RRE!$V$13:$V$24),"",INDEX(RRE!$J$13:$J$24,MATCH(ROW(I19)-ROW(I$5),RRE!$V$13:$V$24,0)))</f>
        <v/>
      </c>
      <c r="J19" s="600" t="str">
        <f ca="1">IF(I19="","",SUMIF(RRE!$J$13:$J$24,OFÍCIO!$I19,RRE!$L$13:$L$24))</f>
        <v/>
      </c>
      <c r="K19" s="600" t="str">
        <f ca="1">IF(J19="","",SUMIF(RRE!$J$13:$J$24,OFÍCIO!$I19,RRE!$N$13:$N$24))</f>
        <v/>
      </c>
      <c r="L19" s="601" t="str">
        <f ca="1">IF(K19="","",SUMIF(RRE!$J$13:$J$24,OFÍCIO!$I19,RRE!$O$13:$O$24))</f>
        <v/>
      </c>
    </row>
    <row r="20" spans="2:12" x14ac:dyDescent="0.2">
      <c r="B20" s="850"/>
      <c r="C20" s="851"/>
      <c r="D20" s="851"/>
      <c r="E20" s="851"/>
      <c r="F20" s="851"/>
      <c r="G20" s="851"/>
      <c r="I20" s="599" t="str">
        <f ca="1">IF(ROW(I20)-ROW(L$5)&gt;MAX(RRE!$V$13:$V$24),"",INDEX(RRE!$J$13:$J$24,MATCH(ROW(I20)-ROW(I$5),RRE!$V$13:$V$24,0)))</f>
        <v/>
      </c>
      <c r="J20" s="600" t="str">
        <f ca="1">IF(I20="","",SUMIF(RRE!$J$13:$J$24,OFÍCIO!$I20,RRE!$L$13:$L$24))</f>
        <v/>
      </c>
      <c r="K20" s="600" t="str">
        <f ca="1">IF(J20="","",SUMIF(RRE!$J$13:$J$24,OFÍCIO!$I20,RRE!$N$13:$N$24))</f>
        <v/>
      </c>
      <c r="L20" s="601" t="str">
        <f ca="1">IF(K20="","",SUMIF(RRE!$J$13:$J$24,OFÍCIO!$I20,RRE!$O$13:$O$24))</f>
        <v/>
      </c>
    </row>
    <row r="21" spans="2:12" x14ac:dyDescent="0.2">
      <c r="B21" s="65"/>
      <c r="C21" s="65"/>
      <c r="D21" s="65"/>
      <c r="E21" s="65"/>
      <c r="F21" s="65"/>
      <c r="G21" s="65"/>
      <c r="I21" s="599" t="str">
        <f ca="1">IF(ROW(I21)-ROW(L$5)&gt;MAX(RRE!$V$13:$V$24),"",INDEX(RRE!$J$13:$J$24,MATCH(ROW(I21)-ROW(I$5),RRE!$V$13:$V$24,0)))</f>
        <v/>
      </c>
      <c r="J21" s="600" t="str">
        <f ca="1">IF(I21="","",SUMIF(RRE!$J$13:$J$24,OFÍCIO!$I21,RRE!$L$13:$L$24))</f>
        <v/>
      </c>
      <c r="K21" s="600" t="str">
        <f ca="1">IF(J21="","",SUMIF(RRE!$J$13:$J$24,OFÍCIO!$I21,RRE!$N$13:$N$24))</f>
        <v/>
      </c>
      <c r="L21" s="601" t="str">
        <f ca="1">IF(K21="","",SUMIF(RRE!$J$13:$J$24,OFÍCIO!$I21,RRE!$O$13:$O$24))</f>
        <v/>
      </c>
    </row>
    <row r="22" spans="2:12" x14ac:dyDescent="0.2">
      <c r="B22" s="104" t="str">
        <f>IF(B11="GIGOV","Senhor Gerente","Senhor Superintendente")</f>
        <v>Senhor Gerente</v>
      </c>
      <c r="D22" s="65"/>
      <c r="E22" s="65"/>
      <c r="F22" s="65"/>
      <c r="G22" s="65"/>
      <c r="I22" s="599" t="str">
        <f ca="1">IF(ROW(I22)-ROW(L$5)&gt;MAX(RRE!$V$13:$V$24),"",INDEX(RRE!$J$13:$J$24,MATCH(ROW(I22)-ROW(I$5),RRE!$V$13:$V$24,0)))</f>
        <v/>
      </c>
      <c r="J22" s="600" t="str">
        <f ca="1">IF(I22="","",SUMIF(RRE!$J$13:$J$24,OFÍCIO!$I22,RRE!$L$13:$L$24))</f>
        <v/>
      </c>
      <c r="K22" s="600" t="str">
        <f ca="1">IF(J22="","",SUMIF(RRE!$J$13:$J$24,OFÍCIO!$I22,RRE!$N$13:$N$24))</f>
        <v/>
      </c>
      <c r="L22" s="601" t="str">
        <f ca="1">IF(K22="","",SUMIF(RRE!$J$13:$J$24,OFÍCIO!$I22,RRE!$O$13:$O$24))</f>
        <v/>
      </c>
    </row>
    <row r="23" spans="2:12" x14ac:dyDescent="0.2">
      <c r="B23" s="65"/>
      <c r="C23" s="65"/>
      <c r="D23" s="65"/>
      <c r="E23" s="65"/>
      <c r="F23" s="65"/>
      <c r="G23" s="65"/>
      <c r="I23" s="599" t="str">
        <f ca="1">IF(ROW(I23)-ROW(L$5)&gt;MAX(RRE!$V$13:$V$24),"",INDEX(RRE!$J$13:$J$24,MATCH(ROW(I23)-ROW(I$5),RRE!$V$13:$V$24,0)))</f>
        <v/>
      </c>
      <c r="J23" s="600" t="str">
        <f ca="1">IF(I23="","",SUMIF(RRE!$J$13:$J$24,OFÍCIO!$I23,RRE!$L$13:$L$24))</f>
        <v/>
      </c>
      <c r="K23" s="600" t="str">
        <f ca="1">IF(J23="","",SUMIF(RRE!$J$13:$J$24,OFÍCIO!$I23,RRE!$N$13:$N$24))</f>
        <v/>
      </c>
      <c r="L23" s="601" t="str">
        <f ca="1">IF(K23="","",SUMIF(RRE!$J$13:$J$24,OFÍCIO!$I23,RRE!$O$13:$O$24))</f>
        <v/>
      </c>
    </row>
    <row r="24" spans="2:12" ht="12.75" customHeight="1" x14ac:dyDescent="0.2">
      <c r="B24" s="848" t="str">
        <f>CONCATENATE("1. Vimos pelo presente, solicitar à Caixa Econômica Federal autorização para ",IF(import.recurso="OGU","desbloqueio","desembolso")," da parcela de recursos relativa ao Contrato de ",IF(import.recurso="OGU","Repasse","Financiamento")," em referência, conforme valores abaixo discriminados e, para tanto, anexamos a documentação necessária ao pleito.")</f>
        <v>1. Vimos pelo presente, solicitar à Caixa Econômica Federal autorização para desbloqueio da parcela de recursos relativa ao Contrato de Repasse em referência, conforme valores abaixo discriminados e, para tanto, anexamos a documentação necessária ao pleito.</v>
      </c>
      <c r="C24" s="848"/>
      <c r="D24" s="848"/>
      <c r="E24" s="848"/>
      <c r="F24" s="848"/>
      <c r="G24" s="848"/>
      <c r="I24" s="599" t="str">
        <f ca="1">IF(ROW(I24)-ROW(L$5)&gt;MAX(RRE!$V$13:$V$24),"",INDEX(RRE!$J$13:$J$24,MATCH(ROW(I24)-ROW(I$5),RRE!$V$13:$V$24,0)))</f>
        <v/>
      </c>
      <c r="J24" s="600" t="str">
        <f ca="1">IF(I24="","",SUMIF(RRE!$J$13:$J$24,OFÍCIO!$I24,RRE!$L$13:$L$24))</f>
        <v/>
      </c>
      <c r="K24" s="600" t="str">
        <f ca="1">IF(J24="","",SUMIF(RRE!$J$13:$J$24,OFÍCIO!$I24,RRE!$N$13:$N$24))</f>
        <v/>
      </c>
      <c r="L24" s="601" t="str">
        <f ca="1">IF(K24="","",SUMIF(RRE!$J$13:$J$24,OFÍCIO!$I24,RRE!$O$13:$O$24))</f>
        <v/>
      </c>
    </row>
    <row r="25" spans="2:12" x14ac:dyDescent="0.2">
      <c r="B25" s="848"/>
      <c r="C25" s="848"/>
      <c r="D25" s="848"/>
      <c r="E25" s="848"/>
      <c r="F25" s="848"/>
      <c r="G25" s="848"/>
      <c r="I25" s="599" t="str">
        <f ca="1">IF(ROW(I25)-ROW(L$5)&gt;MAX(RRE!$V$13:$V$24),"",INDEX(RRE!$J$13:$J$24,MATCH(ROW(I25)-ROW(I$5),RRE!$V$13:$V$24,0)))</f>
        <v/>
      </c>
      <c r="J25" s="600" t="str">
        <f ca="1">IF(I25="","",SUMIF(RRE!$J$13:$J$24,OFÍCIO!$I25,RRE!$L$13:$L$24))</f>
        <v/>
      </c>
      <c r="K25" s="600" t="str">
        <f ca="1">IF(J25="","",SUMIF(RRE!$J$13:$J$24,OFÍCIO!$I25,RRE!$N$13:$N$24))</f>
        <v/>
      </c>
      <c r="L25" s="601" t="str">
        <f ca="1">IF(K25="","",SUMIF(RRE!$J$13:$J$24,OFÍCIO!$I25,RRE!$O$13:$O$24))</f>
        <v/>
      </c>
    </row>
    <row r="26" spans="2:12" x14ac:dyDescent="0.2">
      <c r="B26" s="848"/>
      <c r="C26" s="848"/>
      <c r="D26" s="848"/>
      <c r="E26" s="848"/>
      <c r="F26" s="848"/>
      <c r="G26" s="848"/>
      <c r="I26" s="599" t="str">
        <f ca="1">IF(ROW(I26)-ROW(L$5)&gt;MAX(RRE!$V$13:$V$24),"",INDEX(RRE!$J$13:$J$24,MATCH(ROW(I26)-ROW(I$5),RRE!$V$13:$V$24,0)))</f>
        <v/>
      </c>
      <c r="J26" s="600" t="str">
        <f ca="1">IF(I26="","",SUMIF(RRE!$J$13:$J$24,OFÍCIO!$I26,RRE!$L$13:$L$24))</f>
        <v/>
      </c>
      <c r="K26" s="600" t="str">
        <f ca="1">IF(J26="","",SUMIF(RRE!$J$13:$J$24,OFÍCIO!$I26,RRE!$N$13:$N$24))</f>
        <v/>
      </c>
      <c r="L26" s="601" t="str">
        <f ca="1">IF(K26="","",SUMIF(RRE!$J$13:$J$24,OFÍCIO!$I26,RRE!$O$13:$O$24))</f>
        <v/>
      </c>
    </row>
    <row r="27" spans="2:12" x14ac:dyDescent="0.2">
      <c r="B27" s="65"/>
      <c r="C27" s="65"/>
      <c r="D27" s="65"/>
      <c r="E27" s="65"/>
      <c r="F27" s="65"/>
      <c r="G27" s="65"/>
      <c r="I27" s="599" t="str">
        <f ca="1">IF(ROW(I27)-ROW(L$5)&gt;MAX(RRE!$V$13:$V$24),"",INDEX(RRE!$J$13:$J$24,MATCH(ROW(I27)-ROW(I$5),RRE!$V$13:$V$24,0)))</f>
        <v/>
      </c>
      <c r="J27" s="600" t="str">
        <f ca="1">IF(I27="","",SUMIF(RRE!$J$13:$J$24,OFÍCIO!$I27,RRE!$L$13:$L$24))</f>
        <v/>
      </c>
      <c r="K27" s="600" t="str">
        <f ca="1">IF(J27="","",SUMIF(RRE!$J$13:$J$24,OFÍCIO!$I27,RRE!$N$13:$N$24))</f>
        <v/>
      </c>
      <c r="L27" s="601" t="str">
        <f ca="1">IF(K27="","",SUMIF(RRE!$J$13:$J$24,OFÍCIO!$I27,RRE!$O$13:$O$24))</f>
        <v/>
      </c>
    </row>
    <row r="28" spans="2:12" ht="12.75" customHeight="1" x14ac:dyDescent="0.2">
      <c r="B28" s="849"/>
      <c r="C28" s="849"/>
      <c r="D28" s="856" t="s">
        <v>395</v>
      </c>
      <c r="E28" s="856" t="str">
        <f ca="1">"Evolução da "&amp;RRE.Numero&amp;"ª Medição"</f>
        <v>Evolução da 1ª Medição</v>
      </c>
      <c r="F28" s="857" t="s">
        <v>396</v>
      </c>
      <c r="G28" s="857"/>
      <c r="I28" s="599" t="str">
        <f ca="1">IF(ROW(I28)-ROW(L$5)&gt;MAX(RRE!$V$13:$V$24),"",INDEX(RRE!$J$13:$J$24,MATCH(ROW(I28)-ROW(I$5),RRE!$V$13:$V$24,0)))</f>
        <v/>
      </c>
      <c r="J28" s="600" t="str">
        <f ca="1">IF(I28="","",SUMIF(RRE!$J$13:$J$24,OFÍCIO!$I28,RRE!$L$13:$L$24))</f>
        <v/>
      </c>
      <c r="K28" s="600" t="str">
        <f ca="1">IF(J28="","",SUMIF(RRE!$J$13:$J$24,OFÍCIO!$I28,RRE!$N$13:$N$24))</f>
        <v/>
      </c>
      <c r="L28" s="601" t="str">
        <f ca="1">IF(K28="","",SUMIF(RRE!$J$13:$J$24,OFÍCIO!$I28,RRE!$O$13:$O$24))</f>
        <v/>
      </c>
    </row>
    <row r="29" spans="2:12" x14ac:dyDescent="0.2">
      <c r="B29" s="849"/>
      <c r="C29" s="849"/>
      <c r="D29" s="856"/>
      <c r="E29" s="856"/>
      <c r="F29" s="857"/>
      <c r="G29" s="857"/>
      <c r="I29" s="599" t="str">
        <f ca="1">IF(ROW(I29)-ROW(L$5)&gt;MAX(RRE!$V$13:$V$24),"",INDEX(RRE!$J$13:$J$24,MATCH(ROW(I29)-ROW(I$5),RRE!$V$13:$V$24,0)))</f>
        <v/>
      </c>
      <c r="J29" s="600" t="str">
        <f ca="1">IF(I29="","",SUMIF(RRE!$J$13:$J$24,OFÍCIO!$I29,RRE!$L$13:$L$24))</f>
        <v/>
      </c>
      <c r="K29" s="600" t="str">
        <f ca="1">IF(J29="","",SUMIF(RRE!$J$13:$J$24,OFÍCIO!$I29,RRE!$N$13:$N$24))</f>
        <v/>
      </c>
      <c r="L29" s="601" t="str">
        <f ca="1">IF(K29="","",SUMIF(RRE!$J$13:$J$24,OFÍCIO!$I29,RRE!$O$13:$O$24))</f>
        <v/>
      </c>
    </row>
    <row r="30" spans="2:12" x14ac:dyDescent="0.2">
      <c r="B30" s="843" t="str">
        <f>IF(import.recurso="FGTS","Financiamento:","Repasse:")</f>
        <v>Repasse:</v>
      </c>
      <c r="C30" s="843"/>
      <c r="D30" s="520">
        <f ca="1">RRE!L25</f>
        <v>0</v>
      </c>
      <c r="E30" s="520">
        <f ca="1">RRE!N25</f>
        <v>0</v>
      </c>
      <c r="F30" s="844">
        <f ca="1">RRE!O25</f>
        <v>0</v>
      </c>
      <c r="G30" s="844"/>
      <c r="I30" s="599" t="str">
        <f ca="1">IF(ROW(I30)-ROW(L$5)&gt;MAX(RRE!$V$13:$V$24),"",INDEX(RRE!$J$13:$J$24,MATCH(ROW(I30)-ROW(I$5),RRE!$V$13:$V$24,0)))</f>
        <v/>
      </c>
      <c r="J30" s="600" t="str">
        <f ca="1">IF(I30="","",SUMIF(RRE!$J$13:$J$24,OFÍCIO!$I30,RRE!$L$13:$L$24))</f>
        <v/>
      </c>
      <c r="K30" s="600" t="str">
        <f ca="1">IF(J30="","",SUMIF(RRE!$J$13:$J$24,OFÍCIO!$I30,RRE!$N$13:$N$24))</f>
        <v/>
      </c>
      <c r="L30" s="601" t="str">
        <f ca="1">IF(K30="","",SUMIF(RRE!$J$13:$J$24,OFÍCIO!$I30,RRE!$O$13:$O$24))</f>
        <v/>
      </c>
    </row>
    <row r="31" spans="2:12" x14ac:dyDescent="0.2">
      <c r="B31" s="843" t="s">
        <v>397</v>
      </c>
      <c r="C31" s="843"/>
      <c r="D31" s="520">
        <f ca="1">RRE!L26</f>
        <v>0</v>
      </c>
      <c r="E31" s="520">
        <f ca="1">RRE!N26</f>
        <v>0</v>
      </c>
      <c r="F31" s="844">
        <f ca="1">RRE!O26</f>
        <v>0</v>
      </c>
      <c r="G31" s="844"/>
      <c r="I31" s="599" t="str">
        <f ca="1">IF(ROW(I31)-ROW(L$5)&gt;MAX(RRE!$V$13:$V$24),"",INDEX(RRE!$J$13:$J$24,MATCH(ROW(I31)-ROW(I$5),RRE!$V$13:$V$24,0)))</f>
        <v/>
      </c>
      <c r="J31" s="600" t="str">
        <f ca="1">IF(I31="","",SUMIF(RRE!$J$13:$J$24,OFÍCIO!$I31,RRE!$L$13:$L$24))</f>
        <v/>
      </c>
      <c r="K31" s="600" t="str">
        <f ca="1">IF(J31="","",SUMIF(RRE!$J$13:$J$24,OFÍCIO!$I31,RRE!$N$13:$N$24))</f>
        <v/>
      </c>
      <c r="L31" s="601" t="str">
        <f ca="1">IF(K31="","",SUMIF(RRE!$J$13:$J$24,OFÍCIO!$I31,RRE!$O$13:$O$24))</f>
        <v/>
      </c>
    </row>
    <row r="32" spans="2:12" x14ac:dyDescent="0.2">
      <c r="B32" s="843" t="s">
        <v>285</v>
      </c>
      <c r="C32" s="843"/>
      <c r="D32" s="520">
        <f ca="1">RRE!L27</f>
        <v>0</v>
      </c>
      <c r="E32" s="520">
        <f ca="1">RRE!N27</f>
        <v>0</v>
      </c>
      <c r="F32" s="844">
        <f ca="1">RRE!O27</f>
        <v>0</v>
      </c>
      <c r="G32" s="844"/>
      <c r="I32" s="599" t="str">
        <f ca="1">IF(ROW(I32)-ROW(L$5)&gt;MAX(RRE!$V$13:$V$24),"",INDEX(RRE!$J$13:$J$24,MATCH(ROW(I32)-ROW(I$5),RRE!$V$13:$V$24,0)))</f>
        <v/>
      </c>
      <c r="J32" s="600" t="str">
        <f ca="1">IF(I32="","",SUMIF(RRE!$J$13:$J$24,OFÍCIO!$I32,RRE!$L$13:$L$24))</f>
        <v/>
      </c>
      <c r="K32" s="600" t="str">
        <f ca="1">IF(J32="","",SUMIF(RRE!$J$13:$J$24,OFÍCIO!$I32,RRE!$N$13:$N$24))</f>
        <v/>
      </c>
      <c r="L32" s="601" t="str">
        <f ca="1">IF(K32="","",SUMIF(RRE!$J$13:$J$24,OFÍCIO!$I32,RRE!$O$13:$O$24))</f>
        <v/>
      </c>
    </row>
    <row r="33" spans="2:12" x14ac:dyDescent="0.2">
      <c r="B33" s="843" t="s">
        <v>286</v>
      </c>
      <c r="C33" s="843"/>
      <c r="D33" s="520">
        <f ca="1">RRE!L28</f>
        <v>0</v>
      </c>
      <c r="E33" s="520">
        <f ca="1">RRE!N28</f>
        <v>0</v>
      </c>
      <c r="F33" s="844">
        <f ca="1">RRE!O28</f>
        <v>0</v>
      </c>
      <c r="G33" s="844"/>
      <c r="I33" s="599" t="str">
        <f ca="1">IF(ROW(I33)-ROW(L$5)&gt;MAX(RRE!$V$13:$V$24),"",INDEX(RRE!$J$13:$J$24,MATCH(ROW(I33)-ROW(I$5),RRE!$V$13:$V$24,0)))</f>
        <v/>
      </c>
      <c r="J33" s="600" t="str">
        <f ca="1">IF(I33="","",SUMIF(RRE!$J$13:$J$24,OFÍCIO!$I33,RRE!$L$13:$L$24))</f>
        <v/>
      </c>
      <c r="K33" s="600" t="str">
        <f ca="1">IF(J33="","",SUMIF(RRE!$J$13:$J$24,OFÍCIO!$I33,RRE!$N$13:$N$24))</f>
        <v/>
      </c>
      <c r="L33" s="601" t="str">
        <f ca="1">IF(K33="","",SUMIF(RRE!$J$13:$J$24,OFÍCIO!$I33,RRE!$O$13:$O$24))</f>
        <v/>
      </c>
    </row>
    <row r="34" spans="2:12" x14ac:dyDescent="0.2">
      <c r="B34" s="845" t="s">
        <v>398</v>
      </c>
      <c r="C34" s="845"/>
      <c r="D34" s="521" t="s">
        <v>166</v>
      </c>
      <c r="E34" s="522">
        <f ca="1">RRE!$N$28/(RRE!$L$28+10^-12)</f>
        <v>0</v>
      </c>
      <c r="F34" s="846">
        <f ca="1">RRE!P24</f>
        <v>0</v>
      </c>
      <c r="G34" s="846"/>
      <c r="I34" s="599" t="str">
        <f ca="1">IF(ROW(I34)-ROW(L$5)&gt;MAX(RRE!$V$13:$V$24),"",INDEX(RRE!$J$13:$J$24,MATCH(ROW(I34)-ROW(I$5),RRE!$V$13:$V$24,0)))</f>
        <v/>
      </c>
      <c r="J34" s="600" t="str">
        <f ca="1">IF(I34="","",SUMIF(RRE!$J$13:$J$24,OFÍCIO!$I34,RRE!$L$13:$L$24))</f>
        <v/>
      </c>
      <c r="K34" s="600" t="str">
        <f ca="1">IF(J34="","",SUMIF(RRE!$J$13:$J$24,OFÍCIO!$I34,RRE!$N$13:$N$24))</f>
        <v/>
      </c>
      <c r="L34" s="601" t="str">
        <f ca="1">IF(K34="","",SUMIF(RRE!$J$13:$J$24,OFÍCIO!$I34,RRE!$O$13:$O$24))</f>
        <v/>
      </c>
    </row>
    <row r="35" spans="2:12" x14ac:dyDescent="0.2">
      <c r="B35" s="229"/>
      <c r="C35" s="65"/>
      <c r="D35" s="65"/>
      <c r="E35" s="65"/>
      <c r="F35" s="65"/>
      <c r="G35" s="65"/>
      <c r="I35" s="599" t="str">
        <f ca="1">IF(ROW(I35)-ROW(L$5)&gt;MAX(RRE!$V$13:$V$24),"",INDEX(RRE!$J$13:$J$24,MATCH(ROW(I35)-ROW(I$5),RRE!$V$13:$V$24,0)))</f>
        <v/>
      </c>
      <c r="J35" s="600" t="str">
        <f ca="1">IF(I35="","",SUMIF(RRE!$J$13:$J$24,OFÍCIO!$I35,RRE!$L$13:$L$24))</f>
        <v/>
      </c>
      <c r="K35" s="600" t="str">
        <f ca="1">IF(J35="","",SUMIF(RRE!$J$13:$J$24,OFÍCIO!$I35,RRE!$N$13:$N$24))</f>
        <v/>
      </c>
      <c r="L35" s="601" t="str">
        <f ca="1">IF(K35="","",SUMIF(RRE!$J$13:$J$24,OFÍCIO!$I35,RRE!$O$13:$O$24))</f>
        <v/>
      </c>
    </row>
    <row r="36" spans="2:12" x14ac:dyDescent="0.2">
      <c r="B36" s="229"/>
      <c r="C36" s="229"/>
      <c r="D36" s="229"/>
      <c r="E36" s="229"/>
      <c r="F36" s="229"/>
      <c r="G36" s="65"/>
      <c r="I36" s="599" t="str">
        <f ca="1">IF(ROW(I36)-ROW(L$5)&gt;MAX(RRE!$V$13:$V$24),"",INDEX(RRE!$J$13:$J$24,MATCH(ROW(I36)-ROW(I$5),RRE!$V$13:$V$24,0)))</f>
        <v/>
      </c>
      <c r="J36" s="600" t="str">
        <f ca="1">IF(I36="","",SUMIF(RRE!$J$13:$J$24,OFÍCIO!$I36,RRE!$L$13:$L$24))</f>
        <v/>
      </c>
      <c r="K36" s="600" t="str">
        <f ca="1">IF(J36="","",SUMIF(RRE!$J$13:$J$24,OFÍCIO!$I36,RRE!$N$13:$N$24))</f>
        <v/>
      </c>
      <c r="L36" s="601" t="str">
        <f ca="1">IF(K36="","",SUMIF(RRE!$J$13:$J$24,OFÍCIO!$I36,RRE!$O$13:$O$24))</f>
        <v/>
      </c>
    </row>
    <row r="37" spans="2:12" x14ac:dyDescent="0.2">
      <c r="B37" s="847" t="str">
        <f ca="1">IF(RRE.Numero&gt;1,"2. Encaminhamos ainda a documentação relativa à prestação de contas da etapa físico-financeira anterior.","")</f>
        <v/>
      </c>
      <c r="C37" s="847"/>
      <c r="D37" s="847"/>
      <c r="E37" s="847"/>
      <c r="F37" s="847"/>
      <c r="G37" s="847"/>
      <c r="I37" s="599" t="str">
        <f ca="1">IF(ROW(I37)-ROW(L$5)&gt;MAX(RRE!$V$13:$V$24),"",INDEX(RRE!$J$13:$J$24,MATCH(ROW(I37)-ROW(I$5),RRE!$V$13:$V$24,0)))</f>
        <v/>
      </c>
      <c r="J37" s="600" t="str">
        <f ca="1">IF(I37="","",SUMIF(RRE!$J$13:$J$24,OFÍCIO!$I37,RRE!$L$13:$L$24))</f>
        <v/>
      </c>
      <c r="K37" s="600" t="str">
        <f ca="1">IF(J37="","",SUMIF(RRE!$J$13:$J$24,OFÍCIO!$I37,RRE!$N$13:$N$24))</f>
        <v/>
      </c>
      <c r="L37" s="601" t="str">
        <f ca="1">IF(K37="","",SUMIF(RRE!$J$13:$J$24,OFÍCIO!$I37,RRE!$O$13:$O$24))</f>
        <v/>
      </c>
    </row>
    <row r="38" spans="2:12" x14ac:dyDescent="0.2">
      <c r="B38" s="847"/>
      <c r="C38" s="847"/>
      <c r="D38" s="847"/>
      <c r="E38" s="847"/>
      <c r="F38" s="847"/>
      <c r="G38" s="847"/>
      <c r="I38" s="599" t="str">
        <f ca="1">IF(ROW(I38)-ROW(L$5)&gt;MAX(RRE!$V$13:$V$24),"",INDEX(RRE!$J$13:$J$24,MATCH(ROW(I38)-ROW(I$5),RRE!$V$13:$V$24,0)))</f>
        <v/>
      </c>
      <c r="J38" s="600" t="str">
        <f ca="1">IF(I38="","",SUMIF(RRE!$J$13:$J$24,OFÍCIO!$I38,RRE!$L$13:$L$24))</f>
        <v/>
      </c>
      <c r="K38" s="600" t="str">
        <f ca="1">IF(J38="","",SUMIF(RRE!$J$13:$J$24,OFÍCIO!$I38,RRE!$N$13:$N$24))</f>
        <v/>
      </c>
      <c r="L38" s="601" t="str">
        <f ca="1">IF(K38="","",SUMIF(RRE!$J$13:$J$24,OFÍCIO!$I38,RRE!$O$13:$O$24))</f>
        <v/>
      </c>
    </row>
    <row r="39" spans="2:12" ht="12.75" customHeight="1" x14ac:dyDescent="0.2">
      <c r="B39" s="847" t="str">
        <f ca="1">IF(AND(RRE.Numero&gt;1,NOT(ISBLANK(Import.TransfereGOV))),"3. Na oportunidade, informamos que a execução financeira da parcela anterior está devidamente comprovada no TransfereGOV.","")</f>
        <v/>
      </c>
      <c r="C39" s="847"/>
      <c r="D39" s="847"/>
      <c r="E39" s="847"/>
      <c r="F39" s="847"/>
      <c r="G39" s="847"/>
      <c r="I39" s="599" t="str">
        <f ca="1">IF(ROW(I39)-ROW(L$5)&gt;MAX(RRE!$V$13:$V$24),"",INDEX(RRE!$J$13:$J$24,MATCH(ROW(I39)-ROW(I$5),RRE!$V$13:$V$24,0)))</f>
        <v/>
      </c>
      <c r="J39" s="600" t="str">
        <f ca="1">IF(I39="","",SUMIF(RRE!$J$13:$J$24,OFÍCIO!$I39,RRE!$L$13:$L$24))</f>
        <v/>
      </c>
      <c r="K39" s="600" t="str">
        <f ca="1">IF(J39="","",SUMIF(RRE!$J$13:$J$24,OFÍCIO!$I39,RRE!$N$13:$N$24))</f>
        <v/>
      </c>
      <c r="L39" s="601" t="str">
        <f ca="1">IF(K39="","",SUMIF(RRE!$J$13:$J$24,OFÍCIO!$I39,RRE!$O$13:$O$24))</f>
        <v/>
      </c>
    </row>
    <row r="40" spans="2:12" x14ac:dyDescent="0.2">
      <c r="B40" s="847"/>
      <c r="C40" s="847"/>
      <c r="D40" s="847"/>
      <c r="E40" s="847"/>
      <c r="F40" s="847"/>
      <c r="G40" s="847"/>
      <c r="I40" s="599" t="str">
        <f ca="1">IF(ROW(I40)-ROW(L$5)&gt;MAX(RRE!$V$13:$V$24),"",INDEX(RRE!$J$13:$J$24,MATCH(ROW(I40)-ROW(I$5),RRE!$V$13:$V$24,0)))</f>
        <v/>
      </c>
      <c r="J40" s="600" t="str">
        <f ca="1">IF(I40="","",SUMIF(RRE!$J$13:$J$24,OFÍCIO!$I40,RRE!$L$13:$L$24))</f>
        <v/>
      </c>
      <c r="K40" s="600" t="str">
        <f ca="1">IF(J40="","",SUMIF(RRE!$J$13:$J$24,OFÍCIO!$I40,RRE!$N$13:$N$24))</f>
        <v/>
      </c>
      <c r="L40" s="601" t="str">
        <f ca="1">IF(K40="","",SUMIF(RRE!$J$13:$J$24,OFÍCIO!$I40,RRE!$O$13:$O$24))</f>
        <v/>
      </c>
    </row>
    <row r="41" spans="2:12" x14ac:dyDescent="0.2">
      <c r="B41" s="523"/>
      <c r="C41" s="517"/>
      <c r="D41" s="517"/>
      <c r="E41" s="517"/>
      <c r="F41" s="517"/>
      <c r="G41" s="517"/>
      <c r="I41" s="599" t="str">
        <f ca="1">IF(ROW(I41)-ROW(L$5)&gt;MAX(RRE!$V$13:$V$24),"",INDEX(RRE!$J$13:$J$24,MATCH(ROW(I41)-ROW(I$5),RRE!$V$13:$V$24,0)))</f>
        <v/>
      </c>
      <c r="J41" s="600" t="str">
        <f ca="1">IF(I41="","",SUMIF(RRE!$J$13:$J$24,OFÍCIO!$I41,RRE!$L$13:$L$24))</f>
        <v/>
      </c>
      <c r="K41" s="600" t="str">
        <f ca="1">IF(J41="","",SUMIF(RRE!$J$13:$J$24,OFÍCIO!$I41,RRE!$N$13:$N$24))</f>
        <v/>
      </c>
      <c r="L41" s="601" t="str">
        <f ca="1">IF(K41="","",SUMIF(RRE!$J$13:$J$24,OFÍCIO!$I41,RRE!$O$13:$O$24))</f>
        <v/>
      </c>
    </row>
    <row r="42" spans="2:12" ht="12.75" customHeight="1" x14ac:dyDescent="0.2">
      <c r="B42" s="847" t="str">
        <f ca="1">IF($B$37="",0,1)+IF($B$39="",0,1)+2&amp;". Informamos também a manutenção da Placa de Obra em local visível e de acordo com padrão estabelecido pela Presidência da República, constante do Manual Visual de Placas e Adesivos de Obra."</f>
        <v>2. Informamos também a manutenção da Placa de Obra em local visível e de acordo com padrão estabelecido pela Presidência da República, constante do Manual Visual de Placas e Adesivos de Obra.</v>
      </c>
      <c r="C42" s="847"/>
      <c r="D42" s="847"/>
      <c r="E42" s="847"/>
      <c r="F42" s="847"/>
      <c r="G42" s="847"/>
      <c r="I42" s="599" t="str">
        <f ca="1">IF(ROW(I42)-ROW(L$5)&gt;MAX(RRE!$V$13:$V$24),"",INDEX(RRE!$J$13:$J$24,MATCH(ROW(I42)-ROW(I$5),RRE!$V$13:$V$24,0)))</f>
        <v/>
      </c>
      <c r="J42" s="600" t="str">
        <f ca="1">IF(I42="","",SUMIF(RRE!$J$13:$J$24,OFÍCIO!$I42,RRE!$L$13:$L$24))</f>
        <v/>
      </c>
      <c r="K42" s="600" t="str">
        <f ca="1">IF(J42="","",SUMIF(RRE!$J$13:$J$24,OFÍCIO!$I42,RRE!$N$13:$N$24))</f>
        <v/>
      </c>
      <c r="L42" s="601" t="str">
        <f ca="1">IF(K42="","",SUMIF(RRE!$J$13:$J$24,OFÍCIO!$I42,RRE!$O$13:$O$24))</f>
        <v/>
      </c>
    </row>
    <row r="43" spans="2:12" x14ac:dyDescent="0.2">
      <c r="B43" s="847"/>
      <c r="C43" s="847"/>
      <c r="D43" s="847"/>
      <c r="E43" s="847"/>
      <c r="F43" s="847"/>
      <c r="G43" s="847"/>
      <c r="I43" s="599" t="str">
        <f ca="1">IF(ROW(I43)-ROW(L$5)&gt;MAX(RRE!$V$13:$V$24),"",INDEX(RRE!$J$13:$J$24,MATCH(ROW(I43)-ROW(I$5),RRE!$V$13:$V$24,0)))</f>
        <v/>
      </c>
      <c r="J43" s="600" t="str">
        <f ca="1">IF(I43="","",SUMIF(RRE!$J$13:$J$24,OFÍCIO!$I43,RRE!$L$13:$L$24))</f>
        <v/>
      </c>
      <c r="K43" s="600" t="str">
        <f ca="1">IF(J43="","",SUMIF(RRE!$J$13:$J$24,OFÍCIO!$I43,RRE!$N$13:$N$24))</f>
        <v/>
      </c>
      <c r="L43" s="601" t="str">
        <f ca="1">IF(K43="","",SUMIF(RRE!$J$13:$J$24,OFÍCIO!$I43,RRE!$O$13:$O$24))</f>
        <v/>
      </c>
    </row>
    <row r="44" spans="2:12" x14ac:dyDescent="0.2">
      <c r="B44" s="847"/>
      <c r="C44" s="847"/>
      <c r="D44" s="847"/>
      <c r="E44" s="847"/>
      <c r="F44" s="847"/>
      <c r="G44" s="847"/>
      <c r="I44" s="599" t="str">
        <f ca="1">IF(ROW(I44)-ROW(L$5)&gt;MAX(RRE!$V$13:$V$24),"",INDEX(RRE!$J$13:$J$24,MATCH(ROW(I44)-ROW(I$5),RRE!$V$13:$V$24,0)))</f>
        <v/>
      </c>
      <c r="J44" s="600" t="str">
        <f ca="1">IF(I44="","",SUMIF(RRE!$J$13:$J$24,OFÍCIO!$I44,RRE!$L$13:$L$24))</f>
        <v/>
      </c>
      <c r="K44" s="600" t="str">
        <f ca="1">IF(J44="","",SUMIF(RRE!$J$13:$J$24,OFÍCIO!$I44,RRE!$N$13:$N$24))</f>
        <v/>
      </c>
      <c r="L44" s="601" t="str">
        <f ca="1">IF(K44="","",SUMIF(RRE!$J$13:$J$24,OFÍCIO!$I44,RRE!$O$13:$O$24))</f>
        <v/>
      </c>
    </row>
    <row r="45" spans="2:12" x14ac:dyDescent="0.2">
      <c r="B45" s="847"/>
      <c r="C45" s="847"/>
      <c r="D45" s="847"/>
      <c r="E45" s="847"/>
      <c r="F45" s="847"/>
      <c r="G45" s="847"/>
      <c r="I45" s="599" t="str">
        <f ca="1">IF(ROW(I45)-ROW(L$5)&gt;MAX(RRE!$V$13:$V$24),"",INDEX(RRE!$J$13:$J$24,MATCH(ROW(I45)-ROW(I$5),RRE!$V$13:$V$24,0)))</f>
        <v/>
      </c>
      <c r="J45" s="600" t="str">
        <f ca="1">IF(I45="","",SUMIF(RRE!$J$13:$J$24,OFÍCIO!$I45,RRE!$L$13:$L$24))</f>
        <v/>
      </c>
      <c r="K45" s="600" t="str">
        <f ca="1">IF(J45="","",SUMIF(RRE!$J$13:$J$24,OFÍCIO!$I45,RRE!$N$13:$N$24))</f>
        <v/>
      </c>
      <c r="L45" s="601" t="str">
        <f ca="1">IF(K45="","",SUMIF(RRE!$J$13:$J$24,OFÍCIO!$I45,RRE!$O$13:$O$24))</f>
        <v/>
      </c>
    </row>
    <row r="46" spans="2:12" ht="13.5" thickBot="1" x14ac:dyDescent="0.25">
      <c r="B46" s="847"/>
      <c r="C46" s="847"/>
      <c r="D46" s="847"/>
      <c r="E46" s="847"/>
      <c r="F46" s="847"/>
      <c r="G46" s="847"/>
      <c r="I46" s="602" t="str">
        <f ca="1">IF(ROW(I46)-ROW(L$5)&gt;MAX(RRE!$V$13:$V$24),"",INDEX(RRE!$J$13:$J$24,MATCH(ROW(I46)-ROW(I$5),RRE!$V$13:$V$24,0)))</f>
        <v/>
      </c>
      <c r="J46" s="603" t="str">
        <f ca="1">IF(I46="","",SUMIF(RRE!$J$13:$J$24,OFÍCIO!$I46,RRE!$L$13:$L$24))</f>
        <v/>
      </c>
      <c r="K46" s="603" t="str">
        <f ca="1">IF(J46="","",SUMIF(RRE!$J$13:$J$24,OFÍCIO!$I46,RRE!$N$13:$N$24))</f>
        <v/>
      </c>
      <c r="L46" s="604" t="str">
        <f ca="1">IF(K46="","",SUMIF(RRE!$J$13:$J$24,OFÍCIO!$I46,RRE!$O$13:$O$24))</f>
        <v/>
      </c>
    </row>
    <row r="47" spans="2:12" x14ac:dyDescent="0.2">
      <c r="B47" s="16"/>
      <c r="C47" s="16"/>
      <c r="D47" s="16"/>
      <c r="E47" s="16"/>
      <c r="F47" s="16"/>
      <c r="G47" s="361"/>
    </row>
    <row r="48" spans="2:12" x14ac:dyDescent="0.2">
      <c r="B48" s="16"/>
      <c r="C48" s="16"/>
      <c r="D48" s="16"/>
      <c r="E48" s="16"/>
      <c r="F48" s="16"/>
      <c r="G48" s="361"/>
    </row>
    <row r="49" spans="2:7" x14ac:dyDescent="0.2">
      <c r="B49" s="65" t="s">
        <v>399</v>
      </c>
      <c r="C49" s="16"/>
      <c r="D49" s="16"/>
      <c r="E49" s="16"/>
      <c r="F49" s="16"/>
      <c r="G49" s="361"/>
    </row>
    <row r="50" spans="2:7" x14ac:dyDescent="0.2">
      <c r="B50" s="361"/>
      <c r="C50" s="361"/>
      <c r="D50" s="361"/>
      <c r="E50" s="361"/>
      <c r="F50" s="361"/>
      <c r="G50" s="361"/>
    </row>
    <row r="51" spans="2:7" x14ac:dyDescent="0.2">
      <c r="B51" s="509"/>
      <c r="C51" s="65"/>
      <c r="D51" s="65"/>
      <c r="E51" s="65"/>
      <c r="F51" s="65"/>
      <c r="G51" s="65"/>
    </row>
    <row r="52" spans="2:7" x14ac:dyDescent="0.2">
      <c r="B52" s="65"/>
      <c r="C52" s="65"/>
      <c r="D52" s="65"/>
      <c r="E52" s="65"/>
      <c r="F52" s="65"/>
      <c r="G52" s="65"/>
    </row>
    <row r="53" spans="2:7" x14ac:dyDescent="0.2">
      <c r="B53" s="524"/>
      <c r="C53" s="524"/>
      <c r="D53" s="524"/>
      <c r="E53" s="525"/>
      <c r="F53" s="525"/>
      <c r="G53" s="525"/>
    </row>
    <row r="54" spans="2:7" x14ac:dyDescent="0.2">
      <c r="B54" s="841">
        <f>DADOS!$F$28</f>
        <v>0</v>
      </c>
      <c r="C54" s="841"/>
      <c r="D54" s="841"/>
      <c r="E54" s="841"/>
      <c r="F54" s="841"/>
      <c r="G54" s="841"/>
    </row>
    <row r="55" spans="2:7" x14ac:dyDescent="0.2">
      <c r="B55" s="841">
        <f>DADOS!$F$29</f>
        <v>0</v>
      </c>
      <c r="C55" s="841"/>
      <c r="D55" s="841"/>
      <c r="E55" s="841"/>
      <c r="F55" s="841"/>
      <c r="G55" s="841"/>
    </row>
    <row r="56" spans="2:7" x14ac:dyDescent="0.2">
      <c r="B56" s="842"/>
      <c r="C56" s="842"/>
      <c r="D56" s="842"/>
      <c r="E56" s="842"/>
      <c r="F56" s="842"/>
      <c r="G56" s="842"/>
    </row>
  </sheetData>
  <sheetProtection algorithmName="SHA-512" hashValue="YjMpdP9dKpnIqsVwTsTIA5x706cY8tKJvN7tE5lyTjtIcQSlcjNYzn6xcO0VKi49G5iTMh9nnmrNB7ZnZ/SpZg==" saltValue="QTskv9jCpvOmE7LhXhCtgw==" spinCount="100000" sheet="1" objects="1" scenarios="1" autoFilter="0"/>
  <mergeCells count="34">
    <mergeCell ref="L4:L5"/>
    <mergeCell ref="C6:D6"/>
    <mergeCell ref="B8:G8"/>
    <mergeCell ref="B10:D10"/>
    <mergeCell ref="B1:C4"/>
    <mergeCell ref="I4:I5"/>
    <mergeCell ref="J4:J5"/>
    <mergeCell ref="K4:K5"/>
    <mergeCell ref="B24:G26"/>
    <mergeCell ref="B28:C29"/>
    <mergeCell ref="B19:B20"/>
    <mergeCell ref="C19:G20"/>
    <mergeCell ref="C11:D11"/>
    <mergeCell ref="C14:G14"/>
    <mergeCell ref="C15:G16"/>
    <mergeCell ref="C18:G18"/>
    <mergeCell ref="D28:D29"/>
    <mergeCell ref="E28:E29"/>
    <mergeCell ref="F28:G29"/>
    <mergeCell ref="B31:C31"/>
    <mergeCell ref="F31:G31"/>
    <mergeCell ref="B30:C30"/>
    <mergeCell ref="F30:G30"/>
    <mergeCell ref="B54:G54"/>
    <mergeCell ref="B32:C32"/>
    <mergeCell ref="F32:G32"/>
    <mergeCell ref="B55:G56"/>
    <mergeCell ref="B33:C33"/>
    <mergeCell ref="F33:G33"/>
    <mergeCell ref="B34:C34"/>
    <mergeCell ref="F34:G34"/>
    <mergeCell ref="B37:G38"/>
    <mergeCell ref="B39:G40"/>
    <mergeCell ref="B42:G46"/>
  </mergeCells>
  <phoneticPr fontId="38" type="noConversion"/>
  <conditionalFormatting sqref="D30:D33 F30:G33">
    <cfRule type="cellIs" dxfId="14" priority="2" stopIfTrue="1" operator="notBetween">
      <formula>0</formula>
      <formula>D$33</formula>
    </cfRule>
  </conditionalFormatting>
  <dataValidations count="1">
    <dataValidation type="list" allowBlank="1" showErrorMessage="1" sqref="B11">
      <formula1>"GIGOV,SR"</formula1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97" firstPageNumber="0" orientation="portrait" horizontalDpi="300" verticalDpi="300" r:id="rId1"/>
  <headerFooter alignWithMargins="0">
    <oddHeader>&amp;L_</oddHeader>
    <oddFooter>&amp;LPMv3.0.6&amp;R&amp;P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>
    <pageSetUpPr fitToPage="1"/>
  </sheetPr>
  <dimension ref="E1:AR61"/>
  <sheetViews>
    <sheetView showGridLines="0" zoomScale="90" zoomScaleNormal="90" workbookViewId="0">
      <pane ySplit="2" topLeftCell="A3" activePane="bottomLeft" state="frozen"/>
      <selection pane="bottomLeft" activeCell="AS25" sqref="AS25"/>
    </sheetView>
  </sheetViews>
  <sheetFormatPr defaultRowHeight="12.75" x14ac:dyDescent="0.2"/>
  <cols>
    <col min="5" max="5" width="42.7109375" style="8" customWidth="1"/>
    <col min="6" max="6" width="53.28515625" style="8" customWidth="1"/>
    <col min="10" max="10" width="14.28515625" hidden="1" customWidth="1"/>
    <col min="11" max="13" width="0" hidden="1" customWidth="1"/>
    <col min="14" max="14" width="0" style="9" hidden="1" customWidth="1"/>
    <col min="15" max="44" width="0" hidden="1" customWidth="1"/>
  </cols>
  <sheetData>
    <row r="1" spans="5:44" ht="15.75" customHeight="1" x14ac:dyDescent="0.2">
      <c r="E1" s="10" t="s">
        <v>5</v>
      </c>
      <c r="K1" s="11"/>
      <c r="L1" s="698" t="s">
        <v>6</v>
      </c>
      <c r="M1" s="698"/>
      <c r="N1" s="698"/>
      <c r="O1" s="698"/>
      <c r="P1" s="698"/>
      <c r="Q1" s="698"/>
      <c r="R1" s="698"/>
      <c r="S1" s="698"/>
      <c r="T1" s="698"/>
      <c r="U1" s="698"/>
      <c r="V1" s="698"/>
      <c r="W1" s="698"/>
      <c r="X1" s="698"/>
      <c r="Y1" s="698"/>
      <c r="Z1" s="698"/>
      <c r="AA1" s="698"/>
      <c r="AB1" s="698"/>
      <c r="AC1" s="698"/>
      <c r="AD1" s="698"/>
      <c r="AE1" s="698"/>
      <c r="AF1" s="698"/>
      <c r="AG1" s="698"/>
      <c r="AH1" s="698"/>
      <c r="AI1" s="698"/>
      <c r="AJ1" s="698"/>
      <c r="AK1" s="698"/>
      <c r="AL1" s="698"/>
      <c r="AM1" s="698"/>
      <c r="AN1" s="698"/>
      <c r="AO1" s="698"/>
      <c r="AP1" s="698"/>
      <c r="AQ1" s="698"/>
      <c r="AR1" s="698"/>
    </row>
    <row r="2" spans="5:44" ht="12.75" customHeight="1" x14ac:dyDescent="0.2">
      <c r="E2" s="10"/>
      <c r="J2" s="12" t="s">
        <v>7</v>
      </c>
      <c r="K2" s="13" t="s">
        <v>8</v>
      </c>
      <c r="L2" s="14">
        <f>COUNTA(K:K)-1</f>
        <v>3</v>
      </c>
      <c r="M2" s="13" t="s">
        <v>9</v>
      </c>
      <c r="N2" s="14">
        <f>COUNTA(M:M)-1</f>
        <v>6</v>
      </c>
      <c r="O2" s="13" t="s">
        <v>10</v>
      </c>
      <c r="P2" s="14">
        <f>COUNTA(O:O)-1</f>
        <v>6</v>
      </c>
      <c r="Q2" s="13" t="s">
        <v>11</v>
      </c>
      <c r="R2" s="14">
        <f>COUNTA(Q:Q)-1</f>
        <v>6</v>
      </c>
      <c r="S2" s="13" t="s">
        <v>12</v>
      </c>
      <c r="T2" s="14">
        <f>COUNTA(S:S)-1</f>
        <v>11</v>
      </c>
      <c r="U2" s="13" t="s">
        <v>13</v>
      </c>
      <c r="V2" s="14">
        <f>COUNTA(U:U)-1</f>
        <v>8</v>
      </c>
      <c r="W2" s="13" t="s">
        <v>14</v>
      </c>
      <c r="X2" s="14">
        <f>COUNTA(W:W)-1</f>
        <v>4</v>
      </c>
      <c r="Y2" s="13" t="s">
        <v>15</v>
      </c>
      <c r="Z2" s="14">
        <f>COUNTA(Y:Y)-1</f>
        <v>6</v>
      </c>
      <c r="AA2" s="13" t="s">
        <v>16</v>
      </c>
      <c r="AB2" s="14">
        <f>COUNTA(AA:AA)-1</f>
        <v>2</v>
      </c>
      <c r="AC2" s="13" t="s">
        <v>17</v>
      </c>
      <c r="AD2" s="14">
        <f>COUNTA(AC:AC)-1</f>
        <v>2</v>
      </c>
      <c r="AE2" s="13" t="s">
        <v>18</v>
      </c>
      <c r="AF2" s="14">
        <f>COUNTA(AE:AE)-1</f>
        <v>2</v>
      </c>
      <c r="AG2" s="13" t="s">
        <v>19</v>
      </c>
      <c r="AH2" s="14">
        <f>COUNTA(AG:AG)-1</f>
        <v>1</v>
      </c>
      <c r="AI2" s="13" t="s">
        <v>20</v>
      </c>
      <c r="AJ2" s="14">
        <f>COUNTA(AI:AI)-1</f>
        <v>1</v>
      </c>
      <c r="AK2" s="13" t="s">
        <v>21</v>
      </c>
      <c r="AL2" s="14">
        <f>COUNTA(AK:AK)-1</f>
        <v>1</v>
      </c>
      <c r="AM2" s="13" t="s">
        <v>22</v>
      </c>
      <c r="AN2" s="14">
        <f>COUNTA(AM:AM)-1</f>
        <v>3</v>
      </c>
      <c r="AO2" s="13" t="s">
        <v>23</v>
      </c>
      <c r="AP2" s="14">
        <f>COUNTA(AO:AO)-1</f>
        <v>1</v>
      </c>
      <c r="AQ2" s="13" t="s">
        <v>24</v>
      </c>
      <c r="AR2" s="14">
        <f>COUNTA(AQ:AQ)-1</f>
        <v>4</v>
      </c>
    </row>
    <row r="3" spans="5:44" ht="15" x14ac:dyDescent="0.2">
      <c r="E3" s="697" t="s">
        <v>25</v>
      </c>
      <c r="F3" s="697"/>
      <c r="J3" s="15" t="s">
        <v>8</v>
      </c>
      <c r="K3" s="16" t="s">
        <v>26</v>
      </c>
      <c r="L3" s="17" t="s">
        <v>27</v>
      </c>
      <c r="M3" s="18" t="s">
        <v>28</v>
      </c>
      <c r="N3" s="17" t="s">
        <v>29</v>
      </c>
      <c r="O3" s="16" t="s">
        <v>30</v>
      </c>
      <c r="P3" s="17" t="s">
        <v>29</v>
      </c>
      <c r="Q3" s="19" t="s">
        <v>31</v>
      </c>
      <c r="R3" s="20" t="s">
        <v>32</v>
      </c>
      <c r="S3" s="16" t="s">
        <v>33</v>
      </c>
      <c r="T3" s="20" t="s">
        <v>34</v>
      </c>
      <c r="U3" s="19" t="s">
        <v>35</v>
      </c>
      <c r="V3" s="17" t="s">
        <v>27</v>
      </c>
      <c r="W3" s="16" t="s">
        <v>36</v>
      </c>
      <c r="X3" s="17" t="s">
        <v>27</v>
      </c>
      <c r="Y3" s="16" t="s">
        <v>37</v>
      </c>
      <c r="Z3" s="17" t="s">
        <v>27</v>
      </c>
      <c r="AA3" s="16" t="s">
        <v>38</v>
      </c>
      <c r="AB3" s="17" t="s">
        <v>29</v>
      </c>
      <c r="AC3" s="16" t="s">
        <v>39</v>
      </c>
      <c r="AD3" s="17" t="s">
        <v>29</v>
      </c>
      <c r="AE3" s="16" t="s">
        <v>18</v>
      </c>
      <c r="AF3" s="17" t="s">
        <v>29</v>
      </c>
      <c r="AG3" s="16" t="s">
        <v>19</v>
      </c>
      <c r="AH3" s="17" t="s">
        <v>27</v>
      </c>
      <c r="AI3" s="16" t="s">
        <v>20</v>
      </c>
      <c r="AJ3" s="17" t="s">
        <v>27</v>
      </c>
      <c r="AK3" s="16" t="s">
        <v>21</v>
      </c>
      <c r="AL3" s="17" t="s">
        <v>27</v>
      </c>
      <c r="AM3" s="16" t="s">
        <v>40</v>
      </c>
      <c r="AN3" s="17" t="s">
        <v>27</v>
      </c>
      <c r="AO3" s="16" t="s">
        <v>23</v>
      </c>
      <c r="AP3" s="20" t="s">
        <v>41</v>
      </c>
      <c r="AQ3" s="16" t="s">
        <v>42</v>
      </c>
      <c r="AR3" s="20" t="s">
        <v>43</v>
      </c>
    </row>
    <row r="4" spans="5:44" x14ac:dyDescent="0.2">
      <c r="E4" s="21" t="s">
        <v>44</v>
      </c>
      <c r="F4" s="22" t="s">
        <v>561</v>
      </c>
      <c r="J4" s="15" t="s">
        <v>9</v>
      </c>
      <c r="K4" s="16" t="s">
        <v>45</v>
      </c>
      <c r="L4" s="20" t="s">
        <v>27</v>
      </c>
      <c r="M4" s="16" t="s">
        <v>46</v>
      </c>
      <c r="N4" s="20" t="s">
        <v>29</v>
      </c>
      <c r="O4" s="16" t="s">
        <v>47</v>
      </c>
      <c r="P4" s="17" t="s">
        <v>29</v>
      </c>
      <c r="Q4" s="16" t="s">
        <v>48</v>
      </c>
      <c r="R4" s="17" t="s">
        <v>32</v>
      </c>
      <c r="S4" s="16" t="s">
        <v>49</v>
      </c>
      <c r="T4" s="20" t="s">
        <v>34</v>
      </c>
      <c r="U4" s="19" t="s">
        <v>50</v>
      </c>
      <c r="V4" s="17" t="s">
        <v>32</v>
      </c>
      <c r="W4" s="16" t="s">
        <v>51</v>
      </c>
      <c r="X4" s="20" t="s">
        <v>27</v>
      </c>
      <c r="Y4" s="19" t="s">
        <v>52</v>
      </c>
      <c r="Z4" s="17" t="s">
        <v>53</v>
      </c>
      <c r="AA4" s="16" t="s">
        <v>54</v>
      </c>
      <c r="AB4" s="17" t="s">
        <v>29</v>
      </c>
      <c r="AC4" s="16" t="s">
        <v>55</v>
      </c>
      <c r="AD4" s="17" t="s">
        <v>29</v>
      </c>
      <c r="AE4" s="16" t="s">
        <v>56</v>
      </c>
      <c r="AF4" s="17" t="s">
        <v>29</v>
      </c>
      <c r="AH4" s="20"/>
      <c r="AJ4" s="20"/>
      <c r="AL4" s="20"/>
      <c r="AM4" s="16" t="s">
        <v>57</v>
      </c>
      <c r="AN4" s="17" t="s">
        <v>27</v>
      </c>
      <c r="AQ4" s="16" t="s">
        <v>58</v>
      </c>
      <c r="AR4" s="20" t="s">
        <v>43</v>
      </c>
    </row>
    <row r="5" spans="5:44" x14ac:dyDescent="0.2">
      <c r="E5" s="23" t="s">
        <v>59</v>
      </c>
      <c r="F5" s="24" t="s">
        <v>562</v>
      </c>
      <c r="J5" s="15" t="s">
        <v>10</v>
      </c>
      <c r="K5" s="16" t="s">
        <v>60</v>
      </c>
      <c r="L5" s="20" t="s">
        <v>27</v>
      </c>
      <c r="M5" s="16" t="s">
        <v>61</v>
      </c>
      <c r="N5" s="20" t="s">
        <v>29</v>
      </c>
      <c r="O5" s="16" t="s">
        <v>62</v>
      </c>
      <c r="P5" s="20" t="s">
        <v>32</v>
      </c>
      <c r="Q5" s="16" t="s">
        <v>63</v>
      </c>
      <c r="R5" s="20" t="s">
        <v>32</v>
      </c>
      <c r="S5" s="16" t="s">
        <v>64</v>
      </c>
      <c r="T5" s="20" t="s">
        <v>34</v>
      </c>
      <c r="U5" s="19" t="s">
        <v>65</v>
      </c>
      <c r="V5" s="17" t="s">
        <v>32</v>
      </c>
      <c r="W5" s="16" t="s">
        <v>66</v>
      </c>
      <c r="X5" s="20" t="s">
        <v>32</v>
      </c>
      <c r="Y5" s="16" t="s">
        <v>67</v>
      </c>
      <c r="Z5" s="17" t="s">
        <v>53</v>
      </c>
      <c r="AB5" s="20"/>
      <c r="AD5" s="20"/>
      <c r="AF5" s="20"/>
      <c r="AH5" s="20"/>
      <c r="AJ5" s="20"/>
      <c r="AL5" s="20"/>
      <c r="AM5" s="16" t="s">
        <v>68</v>
      </c>
      <c r="AN5" s="17" t="s">
        <v>27</v>
      </c>
      <c r="AQ5" s="16" t="s">
        <v>69</v>
      </c>
      <c r="AR5" s="20" t="s">
        <v>43</v>
      </c>
    </row>
    <row r="6" spans="5:44" x14ac:dyDescent="0.2">
      <c r="E6" s="23" t="s">
        <v>70</v>
      </c>
      <c r="F6" s="24" t="s">
        <v>563</v>
      </c>
      <c r="J6" s="15" t="s">
        <v>11</v>
      </c>
      <c r="M6" s="16" t="s">
        <v>71</v>
      </c>
      <c r="N6" s="20" t="s">
        <v>29</v>
      </c>
      <c r="O6" s="16" t="s">
        <v>72</v>
      </c>
      <c r="P6" s="20" t="s">
        <v>29</v>
      </c>
      <c r="Q6" s="19" t="s">
        <v>73</v>
      </c>
      <c r="R6" s="20" t="s">
        <v>29</v>
      </c>
      <c r="S6" s="16" t="s">
        <v>74</v>
      </c>
      <c r="T6" s="20" t="s">
        <v>32</v>
      </c>
      <c r="U6" s="16" t="s">
        <v>75</v>
      </c>
      <c r="V6" s="20" t="s">
        <v>32</v>
      </c>
      <c r="W6" s="16" t="s">
        <v>76</v>
      </c>
      <c r="X6" s="20" t="s">
        <v>32</v>
      </c>
      <c r="Y6" s="19" t="s">
        <v>77</v>
      </c>
      <c r="Z6" s="17" t="s">
        <v>27</v>
      </c>
      <c r="AQ6" s="16" t="s">
        <v>78</v>
      </c>
      <c r="AR6" s="20" t="s">
        <v>43</v>
      </c>
    </row>
    <row r="7" spans="5:44" x14ac:dyDescent="0.2">
      <c r="E7" s="25" t="s">
        <v>79</v>
      </c>
      <c r="F7" s="26"/>
      <c r="J7" s="15" t="s">
        <v>12</v>
      </c>
      <c r="M7" s="16" t="s">
        <v>80</v>
      </c>
      <c r="N7" s="20" t="s">
        <v>29</v>
      </c>
      <c r="O7" s="16" t="s">
        <v>81</v>
      </c>
      <c r="P7" s="20" t="s">
        <v>29</v>
      </c>
      <c r="Q7" s="19" t="s">
        <v>82</v>
      </c>
      <c r="R7" s="20" t="s">
        <v>53</v>
      </c>
      <c r="S7" s="16" t="s">
        <v>83</v>
      </c>
      <c r="T7" s="20" t="s">
        <v>34</v>
      </c>
      <c r="U7" s="16" t="s">
        <v>84</v>
      </c>
      <c r="V7" s="20" t="s">
        <v>34</v>
      </c>
      <c r="W7" s="16"/>
      <c r="Y7" s="16" t="s">
        <v>85</v>
      </c>
      <c r="Z7" s="17" t="s">
        <v>27</v>
      </c>
    </row>
    <row r="8" spans="5:44" x14ac:dyDescent="0.2">
      <c r="E8" s="25" t="s">
        <v>442</v>
      </c>
      <c r="F8" s="26"/>
      <c r="J8" s="15" t="s">
        <v>13</v>
      </c>
      <c r="M8" s="16" t="s">
        <v>86</v>
      </c>
      <c r="N8" s="17" t="s">
        <v>29</v>
      </c>
      <c r="O8" s="16" t="s">
        <v>87</v>
      </c>
      <c r="P8" s="20" t="s">
        <v>29</v>
      </c>
      <c r="Q8" s="19" t="s">
        <v>88</v>
      </c>
      <c r="R8" s="20" t="s">
        <v>34</v>
      </c>
      <c r="S8" s="16" t="s">
        <v>89</v>
      </c>
      <c r="T8" s="20" t="s">
        <v>34</v>
      </c>
      <c r="U8" s="16" t="s">
        <v>90</v>
      </c>
      <c r="V8" s="20" t="s">
        <v>34</v>
      </c>
      <c r="Y8" s="16" t="s">
        <v>91</v>
      </c>
      <c r="Z8" s="17" t="s">
        <v>29</v>
      </c>
    </row>
    <row r="9" spans="5:44" x14ac:dyDescent="0.2">
      <c r="E9" s="25" t="str">
        <f>IF(F4="FGTS","Valor de Financiamento Contratado (R$):","Valor do Repasse Contratado (R$):")</f>
        <v>Valor do Repasse Contratado (R$):</v>
      </c>
      <c r="F9" s="27"/>
      <c r="J9" s="15" t="s">
        <v>14</v>
      </c>
      <c r="S9" s="16" t="s">
        <v>92</v>
      </c>
      <c r="T9" s="20" t="s">
        <v>32</v>
      </c>
      <c r="U9" s="16" t="s">
        <v>93</v>
      </c>
      <c r="V9" s="20" t="s">
        <v>34</v>
      </c>
    </row>
    <row r="10" spans="5:44" x14ac:dyDescent="0.2">
      <c r="E10" s="25" t="s">
        <v>94</v>
      </c>
      <c r="F10" s="27"/>
      <c r="J10" s="15" t="s">
        <v>15</v>
      </c>
      <c r="S10" s="16" t="s">
        <v>95</v>
      </c>
      <c r="T10" s="20" t="s">
        <v>53</v>
      </c>
      <c r="U10" s="16" t="s">
        <v>96</v>
      </c>
      <c r="V10" s="17" t="s">
        <v>27</v>
      </c>
    </row>
    <row r="11" spans="5:44" x14ac:dyDescent="0.2">
      <c r="E11" s="25" t="s">
        <v>97</v>
      </c>
      <c r="F11" s="28"/>
      <c r="J11" s="15" t="s">
        <v>16</v>
      </c>
      <c r="S11" s="16" t="s">
        <v>98</v>
      </c>
      <c r="T11" s="20" t="s">
        <v>32</v>
      </c>
    </row>
    <row r="12" spans="5:44" x14ac:dyDescent="0.2">
      <c r="E12" s="25" t="s">
        <v>99</v>
      </c>
      <c r="F12" s="27"/>
      <c r="J12" s="15" t="s">
        <v>17</v>
      </c>
      <c r="S12" s="16" t="s">
        <v>35</v>
      </c>
      <c r="T12" s="20" t="s">
        <v>27</v>
      </c>
    </row>
    <row r="13" spans="5:44" x14ac:dyDescent="0.2">
      <c r="E13" s="29" t="s">
        <v>100</v>
      </c>
      <c r="F13" s="30"/>
      <c r="J13" s="15" t="s">
        <v>18</v>
      </c>
      <c r="S13" s="16" t="s">
        <v>101</v>
      </c>
      <c r="T13" s="20" t="s">
        <v>32</v>
      </c>
    </row>
    <row r="14" spans="5:44" x14ac:dyDescent="0.2">
      <c r="E14" s="4"/>
      <c r="F14" s="31"/>
      <c r="J14" s="15" t="s">
        <v>19</v>
      </c>
    </row>
    <row r="15" spans="5:44" ht="15" x14ac:dyDescent="0.2">
      <c r="E15" s="697" t="s">
        <v>102</v>
      </c>
      <c r="F15" s="697"/>
      <c r="J15" s="15" t="s">
        <v>20</v>
      </c>
    </row>
    <row r="16" spans="5:44" ht="13.5" thickBot="1" x14ac:dyDescent="0.25">
      <c r="E16" s="32" t="s">
        <v>103</v>
      </c>
      <c r="F16" s="33" t="s">
        <v>564</v>
      </c>
      <c r="J16" s="15" t="s">
        <v>21</v>
      </c>
    </row>
    <row r="17" spans="5:10" x14ac:dyDescent="0.2">
      <c r="E17" s="25" t="s">
        <v>104</v>
      </c>
      <c r="F17" s="33" t="s">
        <v>564</v>
      </c>
      <c r="J17" s="15" t="s">
        <v>22</v>
      </c>
    </row>
    <row r="18" spans="5:10" x14ac:dyDescent="0.2">
      <c r="E18" s="34" t="s">
        <v>105</v>
      </c>
      <c r="F18" s="35" t="s">
        <v>450</v>
      </c>
      <c r="J18" s="15" t="s">
        <v>23</v>
      </c>
    </row>
    <row r="19" spans="5:10" x14ac:dyDescent="0.2">
      <c r="E19" s="36" t="s">
        <v>106</v>
      </c>
      <c r="F19" s="37">
        <v>45474</v>
      </c>
      <c r="J19" s="15" t="s">
        <v>24</v>
      </c>
    </row>
    <row r="20" spans="5:10" x14ac:dyDescent="0.2">
      <c r="E20" s="38"/>
      <c r="F20" s="39"/>
      <c r="J20" s="15"/>
    </row>
    <row r="21" spans="5:10" ht="15" x14ac:dyDescent="0.2">
      <c r="E21" s="697" t="s">
        <v>107</v>
      </c>
      <c r="F21" s="697"/>
      <c r="J21" s="15"/>
    </row>
    <row r="22" spans="5:10" x14ac:dyDescent="0.2">
      <c r="E22" s="23" t="s">
        <v>108</v>
      </c>
      <c r="F22" s="40" t="s">
        <v>448</v>
      </c>
    </row>
    <row r="23" spans="5:10" x14ac:dyDescent="0.2">
      <c r="E23" s="25" t="s">
        <v>109</v>
      </c>
      <c r="F23" s="26" t="s">
        <v>449</v>
      </c>
    </row>
    <row r="24" spans="5:10" x14ac:dyDescent="0.2">
      <c r="E24" s="25" t="s">
        <v>110</v>
      </c>
      <c r="F24" s="26"/>
    </row>
    <row r="25" spans="5:10" x14ac:dyDescent="0.2">
      <c r="E25" s="29" t="s">
        <v>111</v>
      </c>
      <c r="F25" s="41">
        <f ca="1">TODAY()</f>
        <v>45573</v>
      </c>
    </row>
    <row r="26" spans="5:10" x14ac:dyDescent="0.2">
      <c r="E26" s="38"/>
      <c r="F26" s="38"/>
    </row>
    <row r="27" spans="5:10" ht="15" x14ac:dyDescent="0.2">
      <c r="E27" s="697" t="s">
        <v>112</v>
      </c>
      <c r="F27" s="697"/>
    </row>
    <row r="28" spans="5:10" x14ac:dyDescent="0.2">
      <c r="E28" s="21" t="s">
        <v>108</v>
      </c>
      <c r="F28" s="42"/>
    </row>
    <row r="29" spans="5:10" x14ac:dyDescent="0.2">
      <c r="E29" s="29" t="s">
        <v>113</v>
      </c>
      <c r="F29" s="43"/>
    </row>
    <row r="30" spans="5:10" ht="16.5" thickBot="1" x14ac:dyDescent="0.25">
      <c r="E30" s="10"/>
    </row>
    <row r="31" spans="5:10" ht="13.5" thickBot="1" x14ac:dyDescent="0.25">
      <c r="E31" s="661" t="s">
        <v>439</v>
      </c>
      <c r="F31" s="662" t="s">
        <v>440</v>
      </c>
    </row>
    <row r="32" spans="5:10" ht="12.75" customHeight="1" x14ac:dyDescent="0.2">
      <c r="E32" s="10"/>
    </row>
    <row r="33" spans="5:6" ht="12.75" customHeight="1" x14ac:dyDescent="0.2">
      <c r="E33" s="10" t="s">
        <v>114</v>
      </c>
    </row>
    <row r="34" spans="5:6" ht="15.75" x14ac:dyDescent="0.2">
      <c r="E34" s="10"/>
    </row>
    <row r="35" spans="5:6" ht="12.75" customHeight="1" x14ac:dyDescent="0.2">
      <c r="E35" s="699" t="s">
        <v>115</v>
      </c>
      <c r="F35" s="699"/>
    </row>
    <row r="36" spans="5:6" x14ac:dyDescent="0.2">
      <c r="E36" s="21" t="s">
        <v>116</v>
      </c>
      <c r="F36" s="44"/>
    </row>
    <row r="37" spans="5:6" x14ac:dyDescent="0.2">
      <c r="E37" s="45" t="s">
        <v>117</v>
      </c>
      <c r="F37" s="24"/>
    </row>
    <row r="38" spans="5:6" x14ac:dyDescent="0.2">
      <c r="E38" s="34" t="s">
        <v>118</v>
      </c>
      <c r="F38" s="26"/>
    </row>
    <row r="39" spans="5:6" x14ac:dyDescent="0.2">
      <c r="E39" s="34" t="s">
        <v>119</v>
      </c>
      <c r="F39" s="26"/>
    </row>
    <row r="40" spans="5:6" x14ac:dyDescent="0.2">
      <c r="E40" s="34" t="s">
        <v>120</v>
      </c>
      <c r="F40" s="35" t="s">
        <v>457</v>
      </c>
    </row>
    <row r="41" spans="5:6" x14ac:dyDescent="0.2">
      <c r="E41" s="46" t="s">
        <v>121</v>
      </c>
      <c r="F41" s="47"/>
    </row>
    <row r="42" spans="5:6" ht="15.75" x14ac:dyDescent="0.2">
      <c r="E42" s="10"/>
    </row>
    <row r="43" spans="5:6" ht="12.75" customHeight="1" x14ac:dyDescent="0.2">
      <c r="E43" s="10"/>
    </row>
    <row r="44" spans="5:6" ht="12.75" customHeight="1" x14ac:dyDescent="0.2">
      <c r="E44" s="10" t="s">
        <v>122</v>
      </c>
    </row>
    <row r="45" spans="5:6" ht="15.75" x14ac:dyDescent="0.2">
      <c r="E45" s="10"/>
    </row>
    <row r="46" spans="5:6" ht="12.75" customHeight="1" x14ac:dyDescent="0.2">
      <c r="E46" s="697" t="s">
        <v>123</v>
      </c>
      <c r="F46" s="697"/>
    </row>
    <row r="47" spans="5:6" x14ac:dyDescent="0.2">
      <c r="E47" s="21" t="s">
        <v>124</v>
      </c>
      <c r="F47" s="44"/>
    </row>
    <row r="48" spans="5:6" x14ac:dyDescent="0.2">
      <c r="E48" s="36" t="s">
        <v>125</v>
      </c>
      <c r="F48" s="48">
        <f ca="1">TODAY()</f>
        <v>45573</v>
      </c>
    </row>
    <row r="49" spans="5:6" ht="15.75" x14ac:dyDescent="0.2">
      <c r="E49" s="10"/>
    </row>
    <row r="50" spans="5:6" ht="12.75" customHeight="1" x14ac:dyDescent="0.2">
      <c r="E50" s="697" t="s">
        <v>126</v>
      </c>
      <c r="F50" s="697"/>
    </row>
    <row r="51" spans="5:6" x14ac:dyDescent="0.2">
      <c r="E51" s="21" t="s">
        <v>108</v>
      </c>
      <c r="F51" s="49"/>
    </row>
    <row r="52" spans="5:6" x14ac:dyDescent="0.2">
      <c r="E52" s="25" t="s">
        <v>127</v>
      </c>
      <c r="F52" s="26"/>
    </row>
    <row r="53" spans="5:6" x14ac:dyDescent="0.2">
      <c r="E53" s="25" t="s">
        <v>128</v>
      </c>
      <c r="F53" s="26"/>
    </row>
    <row r="54" spans="5:6" x14ac:dyDescent="0.2">
      <c r="E54" s="29" t="s">
        <v>129</v>
      </c>
      <c r="F54" s="50"/>
    </row>
    <row r="55" spans="5:6" x14ac:dyDescent="0.2">
      <c r="E55" s="38"/>
      <c r="F55" s="39"/>
    </row>
    <row r="57" spans="5:6" ht="15.75" x14ac:dyDescent="0.2">
      <c r="E57" s="10" t="s">
        <v>130</v>
      </c>
    </row>
    <row r="58" spans="5:6" ht="16.5" thickBot="1" x14ac:dyDescent="0.25">
      <c r="E58" s="10"/>
    </row>
    <row r="59" spans="5:6" ht="15.75" thickBot="1" x14ac:dyDescent="0.25">
      <c r="E59" s="697" t="s">
        <v>131</v>
      </c>
      <c r="F59" s="697"/>
    </row>
    <row r="60" spans="5:6" x14ac:dyDescent="0.2">
      <c r="E60" s="21" t="s">
        <v>108</v>
      </c>
      <c r="F60" s="51"/>
    </row>
    <row r="61" spans="5:6" ht="13.5" thickBot="1" x14ac:dyDescent="0.25">
      <c r="E61" s="36" t="s">
        <v>132</v>
      </c>
      <c r="F61" s="52"/>
    </row>
  </sheetData>
  <sheetProtection algorithmName="SHA-512" hashValue="qhS/ShjVl0+iA4u/StJPADXZyyqWi5zwH0VBtDEuJX/uBAKcz7JKS5I8lzesfnvIOedvcSZU9CgCLO5EWPt0UQ==" saltValue="rK4r+LATfY57KJ9egRg7Kg==" spinCount="100000" sheet="1" objects="1" scenarios="1" autoFilter="0"/>
  <mergeCells count="9">
    <mergeCell ref="E50:F50"/>
    <mergeCell ref="E59:F59"/>
    <mergeCell ref="L1:AR1"/>
    <mergeCell ref="E3:F3"/>
    <mergeCell ref="E15:F15"/>
    <mergeCell ref="E21:F21"/>
    <mergeCell ref="E27:F27"/>
    <mergeCell ref="E35:F35"/>
    <mergeCell ref="E46:F46"/>
  </mergeCells>
  <phoneticPr fontId="38" type="noConversion"/>
  <conditionalFormatting sqref="E57:F58">
    <cfRule type="expression" dxfId="1487" priority="2" stopIfTrue="1">
      <formula>CAIXA.Modo=FALSE</formula>
    </cfRule>
  </conditionalFormatting>
  <conditionalFormatting sqref="E59:F61">
    <cfRule type="expression" dxfId="1486" priority="3" stopIfTrue="1">
      <formula>CAIXA.Modo=FALSE</formula>
    </cfRule>
  </conditionalFormatting>
  <dataValidations count="7">
    <dataValidation type="date" allowBlank="1" showErrorMessage="1" errorTitle="Dados inválidos" error="Digite somente datas válidas no formato mm/aaaa." sqref="F19 F25 F36 F41 F47:F48">
      <formula1>36526</formula1>
      <formula2>72686</formula2>
    </dataValidation>
    <dataValidation type="list" allowBlank="1" showErrorMessage="1" sqref="F18">
      <formula1>"(SELECIONAR),NÃO SE APLICA,DESONERADO,NÃO DESONERADO"</formula1>
      <formula2>0</formula2>
    </dataValidation>
    <dataValidation type="decimal" allowBlank="1" showErrorMessage="1" error="Digite um valor em percentual._x000a__x000a_Ou seja um valor de 0% (zero) até 100% (cem). " sqref="F11 F13:F14">
      <formula1>0</formula1>
      <formula2>1</formula2>
    </dataValidation>
    <dataValidation type="list" allowBlank="1" showErrorMessage="1" sqref="F4">
      <formula1>"(SELECIONAR),OGU,FGTS"</formula1>
      <formula2>0</formula2>
    </dataValidation>
    <dataValidation type="decimal" operator="greaterThan" allowBlank="1" showErrorMessage="1" error="Digite um valor maior do que 0." sqref="F12">
      <formula1>0</formula1>
      <formula2>0</formula2>
    </dataValidation>
    <dataValidation type="list" allowBlank="1" showErrorMessage="1" sqref="F40">
      <formula1>"(SELECIONAR),INDEFINIDO / NÃO SE APLICA,EMPREITADA POR PREÇO GLOBAL,EMPREITADA POR PREÇO UNITÁRIO,EMPREITADA INTEGRAL,TAREFA,CONTRATAÇÃO INTEGRADA,ADM. DIRETA"</formula1>
      <formula2>0</formula2>
    </dataValidation>
    <dataValidation type="list" allowBlank="1" showErrorMessage="1" sqref="F31">
      <formula1>"Tradicional,TransfereGOV"</formula1>
    </dataValidation>
  </dataValidations>
  <pageMargins left="0.78740157480314998" right="0.78740157480314998" top="0.78740157480314998" bottom="0.78740157480314998" header="5.7086614173228396" footer="0.59055118110236204"/>
  <pageSetup paperSize="9" scale="66" firstPageNumber="0" fitToHeight="0" orientation="portrait" horizontalDpi="300" verticalDpi="300" r:id="rId1"/>
  <headerFooter alignWithMargins="0">
    <oddHeader>&amp;L_</oddHeader>
    <oddFooter>&amp;LPMv3.0.6&amp;R&amp;P /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3:E52"/>
  <sheetViews>
    <sheetView showGridLines="0" zoomScale="90" zoomScaleNormal="90" workbookViewId="0">
      <pane ySplit="3" topLeftCell="A34" activePane="bottomLeft" state="frozen"/>
      <selection pane="bottomLeft"/>
    </sheetView>
  </sheetViews>
  <sheetFormatPr defaultRowHeight="12.75" x14ac:dyDescent="0.2"/>
  <cols>
    <col min="1" max="1" width="8.7109375" customWidth="1"/>
    <col min="2" max="2" width="5.7109375" customWidth="1"/>
    <col min="3" max="3" width="3.7109375" customWidth="1"/>
  </cols>
  <sheetData>
    <row r="3" spans="1:4" ht="36.75" customHeight="1" x14ac:dyDescent="0.35">
      <c r="B3" s="53" t="s">
        <v>133</v>
      </c>
    </row>
    <row r="5" spans="1:4" ht="18.75" x14ac:dyDescent="0.3">
      <c r="A5" s="54"/>
      <c r="B5" s="55"/>
      <c r="C5" s="55"/>
      <c r="D5" s="56"/>
    </row>
    <row r="6" spans="1:4" ht="18.75" x14ac:dyDescent="0.3">
      <c r="A6" s="57" t="s">
        <v>134</v>
      </c>
      <c r="B6" s="58"/>
      <c r="C6" s="58"/>
      <c r="D6" s="38"/>
    </row>
    <row r="7" spans="1:4" ht="15" x14ac:dyDescent="0.25">
      <c r="A7" s="59"/>
      <c r="B7" s="60" t="s">
        <v>135</v>
      </c>
      <c r="C7" s="60"/>
      <c r="D7" s="38"/>
    </row>
    <row r="8" spans="1:4" ht="15" x14ac:dyDescent="0.25">
      <c r="A8" s="59"/>
      <c r="B8" s="60"/>
      <c r="C8" s="61" t="str">
        <f>IF(D8&lt;&gt;"","▪","")</f>
        <v>▪</v>
      </c>
      <c r="D8" s="38" t="s">
        <v>136</v>
      </c>
    </row>
    <row r="9" spans="1:4" ht="15" x14ac:dyDescent="0.25">
      <c r="A9" s="59"/>
      <c r="B9" s="62"/>
      <c r="C9" s="63" t="str">
        <f>IF(D9&lt;&gt;"","▪","")</f>
        <v/>
      </c>
      <c r="D9" s="64"/>
    </row>
    <row r="10" spans="1:4" ht="18.75" x14ac:dyDescent="0.3">
      <c r="A10" s="651" t="s">
        <v>412</v>
      </c>
      <c r="B10" s="652"/>
      <c r="C10" s="652"/>
      <c r="D10" s="653"/>
    </row>
    <row r="11" spans="1:4" ht="15" x14ac:dyDescent="0.25">
      <c r="A11" s="59"/>
      <c r="B11" s="60" t="s">
        <v>135</v>
      </c>
      <c r="C11" s="60"/>
      <c r="D11" s="38"/>
    </row>
    <row r="12" spans="1:4" ht="15" x14ac:dyDescent="0.25">
      <c r="A12" s="59"/>
      <c r="B12" s="60"/>
      <c r="C12" s="61" t="str">
        <f>IF(D12&lt;&gt;"","▪","")</f>
        <v>▪</v>
      </c>
      <c r="D12" s="38" t="s">
        <v>415</v>
      </c>
    </row>
    <row r="13" spans="1:4" ht="15" x14ac:dyDescent="0.25">
      <c r="A13" s="59"/>
      <c r="B13" s="60" t="s">
        <v>413</v>
      </c>
      <c r="C13" s="60"/>
      <c r="D13" s="38"/>
    </row>
    <row r="14" spans="1:4" ht="15" x14ac:dyDescent="0.25">
      <c r="A14" s="552"/>
      <c r="B14" s="60"/>
      <c r="C14" s="61" t="str">
        <f>IF(D14&lt;&gt;"","▪","")</f>
        <v>▪</v>
      </c>
      <c r="D14" s="38" t="s">
        <v>416</v>
      </c>
    </row>
    <row r="15" spans="1:4" ht="15" x14ac:dyDescent="0.2">
      <c r="A15" s="552"/>
      <c r="C15" s="61" t="str">
        <f>IF(D15&lt;&gt;"","▪","")</f>
        <v>▪</v>
      </c>
      <c r="D15" s="38" t="s">
        <v>417</v>
      </c>
    </row>
    <row r="16" spans="1:4" x14ac:dyDescent="0.2">
      <c r="A16" s="557"/>
    </row>
    <row r="17" spans="1:4" ht="18.75" x14ac:dyDescent="0.3">
      <c r="A17" s="651" t="s">
        <v>419</v>
      </c>
      <c r="B17" s="652"/>
      <c r="C17" s="652"/>
      <c r="D17" s="653"/>
    </row>
    <row r="18" spans="1:4" ht="15" x14ac:dyDescent="0.25">
      <c r="A18" s="59"/>
      <c r="B18" s="60" t="s">
        <v>135</v>
      </c>
      <c r="C18" s="60"/>
      <c r="D18" s="38"/>
    </row>
    <row r="19" spans="1:4" ht="15" x14ac:dyDescent="0.25">
      <c r="A19" s="59"/>
      <c r="B19" s="60"/>
      <c r="C19" s="61" t="str">
        <f>IF(D19&lt;&gt;"","▪","")</f>
        <v>▪</v>
      </c>
      <c r="D19" s="38" t="s">
        <v>415</v>
      </c>
    </row>
    <row r="20" spans="1:4" ht="15" x14ac:dyDescent="0.25">
      <c r="A20" s="59"/>
      <c r="B20" s="60"/>
      <c r="C20" s="61" t="str">
        <f>IF(D20&lt;&gt;"","▪","")</f>
        <v>▪</v>
      </c>
      <c r="D20" s="38" t="s">
        <v>428</v>
      </c>
    </row>
    <row r="21" spans="1:4" ht="15" x14ac:dyDescent="0.25">
      <c r="A21" s="552"/>
      <c r="B21" s="60" t="s">
        <v>426</v>
      </c>
      <c r="C21" s="60"/>
      <c r="D21" s="38"/>
    </row>
    <row r="22" spans="1:4" ht="15" x14ac:dyDescent="0.25">
      <c r="A22" s="552"/>
      <c r="B22" s="60"/>
      <c r="C22" s="61" t="str">
        <f>IF(D22&lt;&gt;"","▪","")</f>
        <v>▪</v>
      </c>
      <c r="D22" s="38" t="s">
        <v>427</v>
      </c>
    </row>
    <row r="23" spans="1:4" ht="15" x14ac:dyDescent="0.25">
      <c r="A23" s="552"/>
      <c r="B23" s="60" t="s">
        <v>420</v>
      </c>
      <c r="C23" s="60"/>
      <c r="D23" s="38"/>
    </row>
    <row r="24" spans="1:4" ht="15" x14ac:dyDescent="0.25">
      <c r="A24" s="552"/>
      <c r="B24" s="60"/>
      <c r="C24" s="61" t="str">
        <f>IF(D24&lt;&gt;"","▪","")</f>
        <v>▪</v>
      </c>
      <c r="D24" s="38" t="s">
        <v>424</v>
      </c>
    </row>
    <row r="25" spans="1:4" ht="15" x14ac:dyDescent="0.25">
      <c r="A25" s="552"/>
      <c r="B25" s="60" t="s">
        <v>421</v>
      </c>
      <c r="C25" s="60"/>
      <c r="D25" s="38"/>
    </row>
    <row r="26" spans="1:4" ht="15" x14ac:dyDescent="0.25">
      <c r="A26" s="552"/>
      <c r="B26" s="60"/>
      <c r="C26" s="61" t="str">
        <f>IF(D26&lt;&gt;"","▪","")</f>
        <v>▪</v>
      </c>
      <c r="D26" s="38" t="s">
        <v>423</v>
      </c>
    </row>
    <row r="27" spans="1:4" ht="15" x14ac:dyDescent="0.25">
      <c r="A27" s="552"/>
      <c r="B27" s="60" t="s">
        <v>425</v>
      </c>
      <c r="C27" s="60"/>
      <c r="D27" s="38"/>
    </row>
    <row r="28" spans="1:4" ht="15" x14ac:dyDescent="0.25">
      <c r="A28" s="552"/>
      <c r="B28" s="60"/>
      <c r="C28" s="61" t="str">
        <f>IF(D28&lt;&gt;"","▪","")</f>
        <v>▪</v>
      </c>
      <c r="D28" s="38" t="s">
        <v>422</v>
      </c>
    </row>
    <row r="29" spans="1:4" x14ac:dyDescent="0.2">
      <c r="A29" s="557"/>
    </row>
    <row r="30" spans="1:4" ht="18.75" x14ac:dyDescent="0.3">
      <c r="A30" s="651" t="s">
        <v>429</v>
      </c>
      <c r="B30" s="652"/>
      <c r="C30" s="652"/>
      <c r="D30" s="653"/>
    </row>
    <row r="31" spans="1:4" ht="15" x14ac:dyDescent="0.25">
      <c r="A31" s="59"/>
      <c r="B31" s="60" t="s">
        <v>135</v>
      </c>
      <c r="C31" s="60"/>
      <c r="D31" s="38"/>
    </row>
    <row r="32" spans="1:4" ht="15" x14ac:dyDescent="0.25">
      <c r="A32" s="59"/>
      <c r="B32" s="60"/>
      <c r="C32" s="61" t="str">
        <f>IF(D32&lt;&gt;"","▪","")</f>
        <v>▪</v>
      </c>
      <c r="D32" s="38" t="s">
        <v>428</v>
      </c>
    </row>
    <row r="33" spans="1:5" ht="15" x14ac:dyDescent="0.25">
      <c r="A33" s="59"/>
      <c r="B33" s="60" t="s">
        <v>430</v>
      </c>
      <c r="C33" s="61"/>
      <c r="D33" s="38"/>
    </row>
    <row r="34" spans="1:5" ht="15" x14ac:dyDescent="0.25">
      <c r="A34" s="59"/>
      <c r="B34" s="60"/>
      <c r="C34" s="61" t="str">
        <f>IF(D34&lt;&gt;"","▪","")</f>
        <v>▪</v>
      </c>
      <c r="D34" s="38" t="s">
        <v>431</v>
      </c>
    </row>
    <row r="35" spans="1:5" ht="15" x14ac:dyDescent="0.25">
      <c r="A35" s="59"/>
      <c r="B35" s="60"/>
      <c r="C35" s="60"/>
      <c r="D35" s="60"/>
      <c r="E35" s="60"/>
    </row>
    <row r="36" spans="1:5" x14ac:dyDescent="0.2">
      <c r="A36" s="557"/>
    </row>
    <row r="37" spans="1:5" ht="18.75" x14ac:dyDescent="0.3">
      <c r="A37" s="651" t="s">
        <v>432</v>
      </c>
      <c r="B37" s="652"/>
      <c r="C37" s="652"/>
      <c r="D37" s="653"/>
    </row>
    <row r="38" spans="1:5" ht="15" x14ac:dyDescent="0.25">
      <c r="A38" s="59"/>
      <c r="B38" s="60" t="s">
        <v>212</v>
      </c>
      <c r="C38" s="60"/>
      <c r="D38" s="38"/>
    </row>
    <row r="39" spans="1:5" ht="15" x14ac:dyDescent="0.25">
      <c r="A39" s="59"/>
      <c r="B39" s="60"/>
      <c r="C39" s="61" t="str">
        <f>IF(D39&lt;&gt;"","▪","")</f>
        <v>▪</v>
      </c>
      <c r="D39" s="38" t="s">
        <v>433</v>
      </c>
    </row>
    <row r="40" spans="1:5" ht="15" x14ac:dyDescent="0.25">
      <c r="A40" s="59"/>
      <c r="B40" s="60" t="s">
        <v>420</v>
      </c>
      <c r="C40" s="60"/>
      <c r="D40" s="38"/>
    </row>
    <row r="41" spans="1:5" ht="15" x14ac:dyDescent="0.25">
      <c r="A41" s="59"/>
      <c r="B41" s="60"/>
      <c r="C41" s="61" t="str">
        <f>IF(D41&lt;&gt;"","▪","")</f>
        <v>▪</v>
      </c>
      <c r="D41" s="38" t="s">
        <v>434</v>
      </c>
    </row>
    <row r="42" spans="1:5" ht="15" x14ac:dyDescent="0.25">
      <c r="A42" s="59"/>
      <c r="B42" s="60" t="s">
        <v>421</v>
      </c>
      <c r="C42" s="60"/>
      <c r="D42" s="38"/>
      <c r="E42" s="60"/>
    </row>
    <row r="43" spans="1:5" ht="15" x14ac:dyDescent="0.25">
      <c r="A43" s="59"/>
      <c r="B43" s="60"/>
      <c r="C43" s="61" t="str">
        <f>IF(D43&lt;&gt;"","▪","")</f>
        <v>▪</v>
      </c>
      <c r="D43" s="38" t="s">
        <v>435</v>
      </c>
    </row>
    <row r="44" spans="1:5" ht="15" x14ac:dyDescent="0.25">
      <c r="A44" s="59"/>
      <c r="B44" s="60"/>
      <c r="C44" s="60"/>
      <c r="D44" s="60"/>
    </row>
    <row r="45" spans="1:5" ht="18.75" x14ac:dyDescent="0.3">
      <c r="A45" s="651" t="s">
        <v>436</v>
      </c>
      <c r="B45" s="652"/>
      <c r="C45" s="652"/>
      <c r="D45" s="653"/>
    </row>
    <row r="46" spans="1:5" ht="15" x14ac:dyDescent="0.25">
      <c r="A46" s="59"/>
      <c r="B46" s="60" t="s">
        <v>135</v>
      </c>
      <c r="C46" s="60"/>
      <c r="D46" s="38"/>
    </row>
    <row r="47" spans="1:5" ht="15" x14ac:dyDescent="0.25">
      <c r="A47" s="59"/>
      <c r="B47" s="60"/>
      <c r="C47" s="61" t="str">
        <f>IF(D47&lt;&gt;"","▪","")</f>
        <v>▪</v>
      </c>
      <c r="D47" s="38" t="s">
        <v>437</v>
      </c>
    </row>
    <row r="48" spans="1:5" ht="15" x14ac:dyDescent="0.25">
      <c r="A48" s="59"/>
      <c r="B48" s="60"/>
      <c r="C48" s="60"/>
      <c r="D48" s="60"/>
    </row>
    <row r="49" spans="1:4" ht="18.75" x14ac:dyDescent="0.3">
      <c r="A49" s="651" t="s">
        <v>441</v>
      </c>
      <c r="B49" s="652"/>
      <c r="C49" s="652"/>
      <c r="D49" s="653"/>
    </row>
    <row r="50" spans="1:4" ht="15" x14ac:dyDescent="0.25">
      <c r="A50" s="59"/>
      <c r="B50" s="60" t="s">
        <v>135</v>
      </c>
      <c r="C50" s="60"/>
      <c r="D50" s="38"/>
    </row>
    <row r="51" spans="1:4" ht="15" x14ac:dyDescent="0.25">
      <c r="A51" s="59"/>
      <c r="B51" s="60"/>
      <c r="C51" s="61" t="str">
        <f>IF(D51&lt;&gt;"","▪","")</f>
        <v>▪</v>
      </c>
      <c r="D51" s="38" t="s">
        <v>444</v>
      </c>
    </row>
    <row r="52" spans="1:4" ht="15" x14ac:dyDescent="0.25">
      <c r="A52" s="59"/>
      <c r="B52" s="60"/>
      <c r="C52" s="61" t="str">
        <f>IF(D52&lt;&gt;"","▪","")</f>
        <v>▪</v>
      </c>
      <c r="D52" s="38" t="s">
        <v>445</v>
      </c>
    </row>
  </sheetData>
  <sheetProtection algorithmName="SHA-512" hashValue="GC6aTY4P3+MgUUaaLQr7h0CNDYXN8M3ZMYAUt6aL0dD73B0tM8IsJMu1rlkcLSClvINKcCdfIJYgR1tTOZ4AQA==" saltValue="lkrPr3lBUuggvMEOMJPFDg==" spinCount="100000" sheet="1" objects="1" scenarios="1" autoFilter="0"/>
  <phoneticPr fontId="38" type="noConversion"/>
  <pageMargins left="0.78740157480314998" right="0.78740157480314998" top="0.78740157480314998" bottom="0.78740157480314998" header="5.7086614173228396" footer="0.59055118110236204"/>
  <pageSetup paperSize="9" firstPageNumber="0" orientation="portrait" horizontalDpi="300" verticalDpi="300" r:id="rId1"/>
  <headerFooter alignWithMargins="0">
    <oddHeader>&amp;L_</oddHeader>
    <oddFooter>&amp;LPMv3.0.6&amp;R&amp;P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4" filterMode="1">
    <pageSetUpPr fitToPage="1"/>
  </sheetPr>
  <dimension ref="A1:Z146"/>
  <sheetViews>
    <sheetView showGridLines="0" topLeftCell="H1" zoomScale="90" zoomScaleNormal="90" zoomScaleSheetLayoutView="100" workbookViewId="0">
      <pane ySplit="11" topLeftCell="A12" activePane="bottomLeft" state="frozen"/>
      <selection activeCell="E1" sqref="E1"/>
      <selection pane="bottomLeft" activeCell="T27" sqref="T27"/>
    </sheetView>
  </sheetViews>
  <sheetFormatPr defaultRowHeight="12.75" x14ac:dyDescent="0.2"/>
  <cols>
    <col min="1" max="4" width="5.7109375" style="65" hidden="1" customWidth="1"/>
    <col min="5" max="5" width="11.28515625" style="65" hidden="1" customWidth="1"/>
    <col min="6" max="6" width="11.42578125" style="65" hidden="1" customWidth="1"/>
    <col min="7" max="7" width="11.85546875" style="65" hidden="1" customWidth="1"/>
    <col min="8" max="8" width="10.7109375" customWidth="1"/>
    <col min="9" max="9" width="3.7109375" customWidth="1"/>
    <col min="10" max="15" width="10.7109375" style="65" customWidth="1"/>
    <col min="16" max="16" width="12.85546875" style="65" customWidth="1"/>
    <col min="17" max="19" width="10.7109375" style="65" customWidth="1"/>
  </cols>
  <sheetData>
    <row r="1" spans="1:19" ht="15.75" x14ac:dyDescent="0.25">
      <c r="E1" s="66" t="s">
        <v>137</v>
      </c>
      <c r="F1" s="66" t="s">
        <v>138</v>
      </c>
      <c r="G1" s="66" t="s">
        <v>139</v>
      </c>
      <c r="O1" s="67" t="str">
        <f>"Quadro de Composição do BDI"</f>
        <v>Quadro de Composição do BDI</v>
      </c>
      <c r="R1" s="724" t="s">
        <v>140</v>
      </c>
      <c r="S1" s="724"/>
    </row>
    <row r="2" spans="1:19" x14ac:dyDescent="0.2">
      <c r="A2" s="65" t="s">
        <v>141</v>
      </c>
      <c r="B2" s="69" t="s">
        <v>142</v>
      </c>
      <c r="C2" s="65" t="str">
        <f t="shared" ref="C2:C49" si="0">CONCATENATE(A2,"-",B2)</f>
        <v>Construção e Reforma de Edifícios-AC</v>
      </c>
      <c r="E2" s="70">
        <v>0.03</v>
      </c>
      <c r="F2" s="70">
        <v>0.04</v>
      </c>
      <c r="G2" s="70">
        <v>5.5E-2</v>
      </c>
      <c r="R2" s="725" t="s">
        <v>143</v>
      </c>
      <c r="S2" s="725"/>
    </row>
    <row r="3" spans="1:19" x14ac:dyDescent="0.2">
      <c r="A3" s="65" t="str">
        <f>A2</f>
        <v>Construção e Reforma de Edifícios</v>
      </c>
      <c r="B3" s="69" t="s">
        <v>144</v>
      </c>
      <c r="C3" s="65" t="str">
        <f t="shared" si="0"/>
        <v>Construção e Reforma de Edifícios-SG</v>
      </c>
      <c r="E3" s="70">
        <v>8.0000000000000002E-3</v>
      </c>
      <c r="F3" s="70">
        <v>8.0000000000000002E-3</v>
      </c>
      <c r="G3" s="70">
        <v>0.01</v>
      </c>
    </row>
    <row r="4" spans="1:19" x14ac:dyDescent="0.2">
      <c r="A4" s="65" t="str">
        <f>A3</f>
        <v>Construção e Reforma de Edifícios</v>
      </c>
      <c r="B4" s="69" t="s">
        <v>145</v>
      </c>
      <c r="C4" s="65" t="str">
        <f t="shared" si="0"/>
        <v>Construção e Reforma de Edifícios-R</v>
      </c>
      <c r="E4" s="70">
        <v>9.7000000000000003E-3</v>
      </c>
      <c r="F4" s="70">
        <v>1.2699999999999999E-2</v>
      </c>
      <c r="G4" s="70">
        <v>1.2699999999999999E-2</v>
      </c>
      <c r="J4" s="720" t="s">
        <v>146</v>
      </c>
      <c r="K4" s="720"/>
      <c r="L4" s="720" t="s">
        <v>446</v>
      </c>
      <c r="M4" s="720"/>
      <c r="N4" s="720" t="s">
        <v>147</v>
      </c>
      <c r="O4" s="720"/>
      <c r="P4" s="720"/>
      <c r="Q4" s="720"/>
      <c r="R4" s="720"/>
      <c r="S4" s="720"/>
    </row>
    <row r="5" spans="1:19" ht="12.75" customHeight="1" x14ac:dyDescent="0.2">
      <c r="A5" s="65" t="str">
        <f>A4</f>
        <v>Construção e Reforma de Edifícios</v>
      </c>
      <c r="B5" s="69" t="s">
        <v>148</v>
      </c>
      <c r="C5" s="65" t="str">
        <f t="shared" si="0"/>
        <v>Construção e Reforma de Edifícios-DF</v>
      </c>
      <c r="E5" s="70">
        <v>5.8999999999999999E-3</v>
      </c>
      <c r="F5" s="70">
        <v>1.23E-2</v>
      </c>
      <c r="G5" s="70">
        <v>1.3899999999999999E-2</v>
      </c>
      <c r="J5" s="723">
        <f>Import.CR</f>
        <v>0</v>
      </c>
      <c r="K5" s="723"/>
      <c r="L5" s="723">
        <f>Import.TransfereGOV</f>
        <v>0</v>
      </c>
      <c r="M5" s="723"/>
      <c r="N5" s="723" t="str">
        <f>Import.Proponente</f>
        <v>INSTITUTO FEDERAL FARROUPILHA</v>
      </c>
      <c r="O5" s="723"/>
      <c r="P5" s="723"/>
      <c r="Q5" s="723"/>
      <c r="R5" s="723"/>
      <c r="S5" s="723"/>
    </row>
    <row r="6" spans="1:19" x14ac:dyDescent="0.2">
      <c r="A6" s="65" t="str">
        <f>A5</f>
        <v>Construção e Reforma de Edifícios</v>
      </c>
      <c r="B6" s="69" t="s">
        <v>149</v>
      </c>
      <c r="C6" s="65" t="str">
        <f t="shared" si="0"/>
        <v>Construção e Reforma de Edifícios-L</v>
      </c>
      <c r="E6" s="70">
        <v>6.1600000000000002E-2</v>
      </c>
      <c r="F6" s="70">
        <v>7.400000000000001E-2</v>
      </c>
      <c r="G6" s="70">
        <v>8.9600000000000013E-2</v>
      </c>
      <c r="I6" s="713" t="s">
        <v>209</v>
      </c>
      <c r="J6" s="73"/>
      <c r="K6" s="73"/>
      <c r="L6" s="73"/>
      <c r="M6" s="73"/>
      <c r="N6" s="73"/>
      <c r="O6" s="73"/>
      <c r="P6" s="73"/>
      <c r="Q6" s="73"/>
      <c r="R6" s="73"/>
      <c r="S6" s="73"/>
    </row>
    <row r="7" spans="1:19" ht="25.5" x14ac:dyDescent="0.2">
      <c r="A7" s="65" t="str">
        <f>A6</f>
        <v>Construção e Reforma de Edifícios</v>
      </c>
      <c r="B7" s="74" t="s">
        <v>150</v>
      </c>
      <c r="C7" s="65" t="str">
        <f t="shared" si="0"/>
        <v>Construção e Reforma de Edifícios-BDI PAD</v>
      </c>
      <c r="E7" s="70">
        <v>0.2034</v>
      </c>
      <c r="F7" s="70">
        <v>0.22120000000000001</v>
      </c>
      <c r="G7" s="70">
        <v>0.25</v>
      </c>
      <c r="I7" s="713"/>
      <c r="J7" s="720" t="s">
        <v>151</v>
      </c>
      <c r="K7" s="720"/>
      <c r="L7" s="720"/>
      <c r="M7" s="720"/>
      <c r="N7" s="720"/>
      <c r="O7" s="720"/>
      <c r="P7" s="720"/>
      <c r="Q7" s="720"/>
      <c r="R7" s="720"/>
      <c r="S7" s="720"/>
    </row>
    <row r="8" spans="1:19" x14ac:dyDescent="0.2">
      <c r="A8" s="65" t="s">
        <v>152</v>
      </c>
      <c r="B8" s="69" t="s">
        <v>142</v>
      </c>
      <c r="C8" s="65" t="str">
        <f t="shared" si="0"/>
        <v>Construção de Praças Urbanas, Rodovias, Ferrovias e recapeamento e pavimentação de vias urbanas-AC</v>
      </c>
      <c r="E8" s="70">
        <v>3.7999999999999999E-2</v>
      </c>
      <c r="F8" s="70">
        <v>4.0099999999999997E-2</v>
      </c>
      <c r="G8" s="70">
        <v>4.6699999999999998E-2</v>
      </c>
      <c r="I8" s="713"/>
      <c r="J8" s="728" t="str">
        <f>Import.Apelido&amp;" / "&amp;Import.DescLote</f>
        <v>BIBLIOTECA  ÉRICO VERISSIMO / BIBLIOTECA  ÉRICO VERISSIMO</v>
      </c>
      <c r="K8" s="728"/>
      <c r="L8" s="728"/>
      <c r="M8" s="728"/>
      <c r="N8" s="728"/>
      <c r="O8" s="728"/>
      <c r="P8" s="728"/>
      <c r="Q8" s="728"/>
      <c r="R8" s="728"/>
      <c r="S8" s="728"/>
    </row>
    <row r="9" spans="1:19" x14ac:dyDescent="0.2">
      <c r="A9" s="65" t="s">
        <v>152</v>
      </c>
      <c r="B9" s="69" t="s">
        <v>144</v>
      </c>
      <c r="C9" s="65" t="str">
        <f t="shared" si="0"/>
        <v>Construção de Praças Urbanas, Rodovias, Ferrovias e recapeamento e pavimentação de vias urbanas-SG</v>
      </c>
      <c r="E9" s="70">
        <v>3.2000000000000002E-3</v>
      </c>
      <c r="F9" s="70">
        <v>4.0000000000000001E-3</v>
      </c>
      <c r="G9" s="70">
        <v>7.4000000000000003E-3</v>
      </c>
      <c r="I9" s="713"/>
      <c r="J9" s="73"/>
      <c r="K9" s="73"/>
      <c r="L9" s="73"/>
      <c r="M9" s="73"/>
      <c r="N9" s="73"/>
      <c r="O9" s="73"/>
      <c r="P9" s="73"/>
      <c r="Q9" s="73"/>
      <c r="R9" s="73"/>
      <c r="S9" s="73"/>
    </row>
    <row r="10" spans="1:19" ht="12.75" customHeight="1" x14ac:dyDescent="0.2">
      <c r="A10" s="65" t="s">
        <v>152</v>
      </c>
      <c r="B10" s="69" t="s">
        <v>145</v>
      </c>
      <c r="C10" s="65" t="str">
        <f t="shared" si="0"/>
        <v>Construção de Praças Urbanas, Rodovias, Ferrovias e recapeamento e pavimentação de vias urbanas-R</v>
      </c>
      <c r="E10" s="70">
        <v>5.0000000000000001E-3</v>
      </c>
      <c r="F10" s="70">
        <v>5.6000000000000008E-3</v>
      </c>
      <c r="G10" s="70">
        <v>9.7000000000000003E-3</v>
      </c>
      <c r="I10" s="713"/>
      <c r="J10" s="729" t="s">
        <v>153</v>
      </c>
      <c r="K10" s="729"/>
      <c r="L10" s="729"/>
      <c r="M10" s="729"/>
      <c r="N10" s="729"/>
      <c r="O10" s="729"/>
      <c r="P10" s="729"/>
      <c r="Q10" s="729"/>
      <c r="R10" s="727">
        <v>1</v>
      </c>
      <c r="S10" s="727"/>
    </row>
    <row r="11" spans="1:19" ht="12.75" customHeight="1" x14ac:dyDescent="0.2">
      <c r="A11" s="65" t="s">
        <v>152</v>
      </c>
      <c r="B11" s="69" t="s">
        <v>148</v>
      </c>
      <c r="C11" s="65" t="str">
        <f t="shared" si="0"/>
        <v>Construção de Praças Urbanas, Rodovias, Ferrovias e recapeamento e pavimentação de vias urbanas-DF</v>
      </c>
      <c r="E11" s="70">
        <v>1.0200000000000001E-2</v>
      </c>
      <c r="F11" s="70">
        <v>1.11E-2</v>
      </c>
      <c r="G11" s="70">
        <v>1.21E-2</v>
      </c>
      <c r="I11" s="135" t="s">
        <v>217</v>
      </c>
      <c r="J11" s="726" t="s">
        <v>154</v>
      </c>
      <c r="K11" s="726"/>
      <c r="L11" s="726"/>
      <c r="M11" s="726"/>
      <c r="N11" s="726"/>
      <c r="O11" s="726"/>
      <c r="P11" s="726"/>
      <c r="Q11" s="726"/>
      <c r="R11" s="727">
        <v>0.03</v>
      </c>
      <c r="S11" s="727"/>
    </row>
    <row r="12" spans="1:19" x14ac:dyDescent="0.2">
      <c r="A12" s="65" t="s">
        <v>152</v>
      </c>
      <c r="B12" s="69" t="s">
        <v>149</v>
      </c>
      <c r="C12" s="65" t="str">
        <f t="shared" si="0"/>
        <v>Construção de Praças Urbanas, Rodovias, Ferrovias e recapeamento e pavimentação de vias urbanas-L</v>
      </c>
      <c r="E12" s="70">
        <v>6.6400000000000001E-2</v>
      </c>
      <c r="F12" s="70">
        <v>7.2999999999999995E-2</v>
      </c>
      <c r="G12" s="70">
        <v>8.6899999999999991E-2</v>
      </c>
      <c r="I12" t="s">
        <v>246</v>
      </c>
      <c r="J12" s="75"/>
      <c r="K12" s="75"/>
      <c r="L12" s="75"/>
      <c r="M12" s="75"/>
      <c r="N12" s="75"/>
      <c r="O12" s="75"/>
      <c r="P12" s="75"/>
      <c r="Q12" s="75"/>
      <c r="R12" s="75"/>
      <c r="S12" s="75"/>
    </row>
    <row r="13" spans="1:19" ht="25.5" x14ac:dyDescent="0.2">
      <c r="A13" s="65" t="s">
        <v>152</v>
      </c>
      <c r="B13" s="74" t="s">
        <v>150</v>
      </c>
      <c r="C13" s="65" t="str">
        <f t="shared" si="0"/>
        <v>Construção de Praças Urbanas, Rodovias, Ferrovias e recapeamento e pavimentação de vias urbanas-BDI PAD</v>
      </c>
      <c r="E13" s="70">
        <v>0.19600000000000001</v>
      </c>
      <c r="F13" s="70">
        <v>0.2097</v>
      </c>
      <c r="G13" s="70">
        <v>0.24230000000000002</v>
      </c>
      <c r="I13" t="s">
        <v>246</v>
      </c>
    </row>
    <row r="14" spans="1:19" ht="15.75" x14ac:dyDescent="0.25">
      <c r="A14" s="65" t="s">
        <v>155</v>
      </c>
      <c r="B14" s="69" t="s">
        <v>142</v>
      </c>
      <c r="C14" s="65" t="str">
        <f t="shared" si="0"/>
        <v>Construção de Redes de Abastecimento de Água, Coleta de Esgoto-AC</v>
      </c>
      <c r="E14" s="70">
        <v>3.4300000000000004E-2</v>
      </c>
      <c r="F14" s="70">
        <v>4.9299999999999997E-2</v>
      </c>
      <c r="G14" s="70">
        <v>6.7099999999999993E-2</v>
      </c>
      <c r="I14" t="s">
        <v>246</v>
      </c>
      <c r="J14" s="722" t="s">
        <v>156</v>
      </c>
      <c r="K14" s="722"/>
      <c r="L14" s="722"/>
      <c r="M14" s="722"/>
      <c r="N14" s="722"/>
      <c r="O14" s="722"/>
      <c r="P14" s="722"/>
      <c r="Q14" s="722"/>
      <c r="R14" s="722"/>
      <c r="S14" s="722"/>
    </row>
    <row r="15" spans="1:19" x14ac:dyDescent="0.2">
      <c r="A15" s="65" t="str">
        <f>A14</f>
        <v>Construção de Redes de Abastecimento de Água, Coleta de Esgoto</v>
      </c>
      <c r="B15" s="69" t="s">
        <v>144</v>
      </c>
      <c r="C15" s="65" t="str">
        <f t="shared" si="0"/>
        <v>Construção de Redes de Abastecimento de Água, Coleta de Esgoto-SG</v>
      </c>
      <c r="E15" s="70">
        <v>2.8000000000000004E-3</v>
      </c>
      <c r="F15" s="70">
        <v>4.8999999999999998E-3</v>
      </c>
      <c r="G15" s="70">
        <v>7.4999999999999997E-3</v>
      </c>
      <c r="I15" t="s">
        <v>246</v>
      </c>
    </row>
    <row r="16" spans="1:19" x14ac:dyDescent="0.2">
      <c r="A16" s="65" t="str">
        <f>A15</f>
        <v>Construção de Redes de Abastecimento de Água, Coleta de Esgoto</v>
      </c>
      <c r="B16" s="69" t="s">
        <v>145</v>
      </c>
      <c r="C16" s="65" t="str">
        <f t="shared" si="0"/>
        <v>Construção de Redes de Abastecimento de Água, Coleta de Esgoto-R</v>
      </c>
      <c r="E16" s="70">
        <v>0.01</v>
      </c>
      <c r="F16" s="70">
        <v>1.3899999999999999E-2</v>
      </c>
      <c r="G16" s="70">
        <v>1.7399999999999999E-2</v>
      </c>
      <c r="I16" t="s">
        <v>246</v>
      </c>
      <c r="J16" s="720" t="s">
        <v>157</v>
      </c>
      <c r="K16" s="720"/>
      <c r="L16" s="720"/>
      <c r="M16" s="720"/>
      <c r="N16" s="720"/>
      <c r="O16" s="720"/>
      <c r="P16" s="720"/>
      <c r="Q16" s="720"/>
      <c r="R16" s="720"/>
      <c r="S16" s="720"/>
    </row>
    <row r="17" spans="1:26" x14ac:dyDescent="0.2">
      <c r="A17" s="65" t="str">
        <f>A16</f>
        <v>Construção de Redes de Abastecimento de Água, Coleta de Esgoto</v>
      </c>
      <c r="B17" s="69" t="s">
        <v>148</v>
      </c>
      <c r="C17" s="65" t="str">
        <f t="shared" si="0"/>
        <v>Construção de Redes de Abastecimento de Água, Coleta de Esgoto-DF</v>
      </c>
      <c r="E17" s="70">
        <v>9.3999999999999986E-3</v>
      </c>
      <c r="F17" s="70">
        <v>9.8999999999999991E-3</v>
      </c>
      <c r="G17" s="70">
        <v>1.1699999999999999E-2</v>
      </c>
      <c r="I17" t="s">
        <v>246</v>
      </c>
      <c r="J17" s="721" t="s">
        <v>141</v>
      </c>
      <c r="K17" s="721"/>
      <c r="L17" s="721"/>
      <c r="M17" s="721"/>
      <c r="N17" s="721"/>
      <c r="O17" s="721"/>
      <c r="P17" s="721"/>
      <c r="Q17" s="721"/>
      <c r="R17" s="721"/>
      <c r="S17" s="721"/>
    </row>
    <row r="18" spans="1:26" x14ac:dyDescent="0.2">
      <c r="A18" s="65" t="str">
        <f>A17</f>
        <v>Construção de Redes de Abastecimento de Água, Coleta de Esgoto</v>
      </c>
      <c r="B18" s="69" t="s">
        <v>149</v>
      </c>
      <c r="C18" s="65" t="str">
        <f t="shared" si="0"/>
        <v>Construção de Redes de Abastecimento de Água, Coleta de Esgoto-L</v>
      </c>
      <c r="E18" s="70">
        <v>6.7400000000000002E-2</v>
      </c>
      <c r="F18" s="70">
        <v>8.0399999999999985E-2</v>
      </c>
      <c r="G18" s="70">
        <v>9.4E-2</v>
      </c>
      <c r="I18" t="s">
        <v>246</v>
      </c>
    </row>
    <row r="19" spans="1:26" ht="12.75" customHeight="1" x14ac:dyDescent="0.2">
      <c r="A19" s="65" t="str">
        <f>A18</f>
        <v>Construção de Redes de Abastecimento de Água, Coleta de Esgoto</v>
      </c>
      <c r="B19" s="74" t="s">
        <v>150</v>
      </c>
      <c r="C19" s="65" t="str">
        <f t="shared" si="0"/>
        <v>Construção de Redes de Abastecimento de Água, Coleta de Esgoto-BDI PAD</v>
      </c>
      <c r="E19" s="70">
        <v>0.20760000000000001</v>
      </c>
      <c r="F19" s="70">
        <v>0.24179999999999999</v>
      </c>
      <c r="G19" s="70">
        <v>0.26440000000000002</v>
      </c>
      <c r="I19" t="s">
        <v>246</v>
      </c>
      <c r="J19" s="719" t="s">
        <v>158</v>
      </c>
      <c r="K19" s="719"/>
      <c r="L19" s="719"/>
      <c r="M19" s="719"/>
      <c r="N19" s="719"/>
      <c r="O19" s="719"/>
      <c r="P19" s="719"/>
      <c r="Q19" s="719"/>
      <c r="R19" s="719" t="s">
        <v>159</v>
      </c>
      <c r="S19" s="710" t="s">
        <v>160</v>
      </c>
      <c r="U19" s="710" t="s">
        <v>161</v>
      </c>
      <c r="V19" s="710"/>
      <c r="W19" s="710"/>
      <c r="X19" s="718" t="s">
        <v>162</v>
      </c>
      <c r="Y19" s="718" t="s">
        <v>163</v>
      </c>
      <c r="Z19" s="718" t="s">
        <v>164</v>
      </c>
    </row>
    <row r="20" spans="1:26" ht="12.75" customHeight="1" x14ac:dyDescent="0.2">
      <c r="A20" s="65" t="s">
        <v>165</v>
      </c>
      <c r="B20" s="69" t="s">
        <v>142</v>
      </c>
      <c r="C20" s="65" t="str">
        <f t="shared" si="0"/>
        <v>Construção e Manutenção de Estações e Redes de Distribuição de Energia Elétrica-AC</v>
      </c>
      <c r="E20" s="70">
        <v>5.2900000000000003E-2</v>
      </c>
      <c r="F20" s="70">
        <v>5.9200000000000003E-2</v>
      </c>
      <c r="G20" s="70">
        <v>7.9299999999999995E-2</v>
      </c>
      <c r="I20" t="s">
        <v>246</v>
      </c>
      <c r="J20" s="719"/>
      <c r="K20" s="719"/>
      <c r="L20" s="719"/>
      <c r="M20" s="719"/>
      <c r="N20" s="719"/>
      <c r="O20" s="719"/>
      <c r="P20" s="719"/>
      <c r="Q20" s="719"/>
      <c r="R20" s="719"/>
      <c r="S20" s="710"/>
      <c r="U20" s="710"/>
      <c r="V20" s="710"/>
      <c r="W20" s="710"/>
      <c r="X20" s="718"/>
      <c r="Y20" s="718"/>
      <c r="Z20" s="718"/>
    </row>
    <row r="21" spans="1:26" ht="15" customHeight="1" x14ac:dyDescent="0.2">
      <c r="A21" s="65" t="str">
        <f>A20</f>
        <v>Construção e Manutenção de Estações e Redes de Distribuição de Energia Elétrica</v>
      </c>
      <c r="B21" s="69" t="s">
        <v>144</v>
      </c>
      <c r="C21" s="65" t="str">
        <f t="shared" si="0"/>
        <v>Construção e Manutenção de Estações e Redes de Distribuição de Energia Elétrica-SG</v>
      </c>
      <c r="E21" s="70">
        <v>2.5000000000000001E-3</v>
      </c>
      <c r="F21" s="70">
        <v>5.1000000000000004E-3</v>
      </c>
      <c r="G21" s="70">
        <v>5.6000000000000008E-3</v>
      </c>
      <c r="I21" t="s">
        <v>246</v>
      </c>
      <c r="J21" s="708" t="str">
        <f>IF($J$17=$A$146,"Encargos Sociais incidentes sobre a mão de obra","Administração Central")</f>
        <v>Administração Central</v>
      </c>
      <c r="K21" s="708"/>
      <c r="L21" s="708"/>
      <c r="M21" s="708"/>
      <c r="N21" s="708"/>
      <c r="O21" s="708"/>
      <c r="P21" s="708"/>
      <c r="Q21" s="708"/>
      <c r="R21" s="76" t="str">
        <f>IF($J17=$A$146,"K1","AC")</f>
        <v>AC</v>
      </c>
      <c r="S21" s="77">
        <v>0.03</v>
      </c>
      <c r="U21" s="709" t="s">
        <v>166</v>
      </c>
      <c r="V21" s="709"/>
      <c r="W21" s="709"/>
      <c r="X21" s="78">
        <f>VLOOKUP(CONCATENATE(J17,"-",R21),$C$2:$G$136,3,FALSE)</f>
        <v>0.03</v>
      </c>
      <c r="Y21" s="78">
        <f>VLOOKUP(CONCATENATE(J17,"-",R21),$C$2:$G$136,4,FALSE)</f>
        <v>0.04</v>
      </c>
      <c r="Z21" s="78">
        <f>VLOOKUP(CONCATENATE(J17,"-",R21),$C$2:$G$136,5,FALSE)</f>
        <v>5.5E-2</v>
      </c>
    </row>
    <row r="22" spans="1:26" ht="15" customHeight="1" x14ac:dyDescent="0.2">
      <c r="A22" s="65" t="str">
        <f>A21</f>
        <v>Construção e Manutenção de Estações e Redes de Distribuição de Energia Elétrica</v>
      </c>
      <c r="B22" s="69" t="s">
        <v>145</v>
      </c>
      <c r="C22" s="65" t="str">
        <f t="shared" si="0"/>
        <v>Construção e Manutenção de Estações e Redes de Distribuição de Energia Elétrica-R</v>
      </c>
      <c r="E22" s="70">
        <v>0.01</v>
      </c>
      <c r="F22" s="70">
        <v>1.4800000000000001E-2</v>
      </c>
      <c r="G22" s="70">
        <v>1.9699999999999999E-2</v>
      </c>
      <c r="I22" t="s">
        <v>246</v>
      </c>
      <c r="J22" s="708" t="str">
        <f>IF($J$17=$A$146,"Administração Central da empresa ou consultoria - overhead","Seguro e Garantia")</f>
        <v>Seguro e Garantia</v>
      </c>
      <c r="K22" s="708"/>
      <c r="L22" s="708"/>
      <c r="M22" s="708"/>
      <c r="N22" s="708"/>
      <c r="O22" s="708"/>
      <c r="P22" s="708"/>
      <c r="Q22" s="708"/>
      <c r="R22" s="76" t="str">
        <f>IF($J17=$A$146,"K2","SG")</f>
        <v>SG</v>
      </c>
      <c r="S22" s="77">
        <v>8.0000000000000002E-3</v>
      </c>
      <c r="U22" s="709" t="s">
        <v>166</v>
      </c>
      <c r="V22" s="709"/>
      <c r="W22" s="709"/>
      <c r="X22" s="78">
        <f>VLOOKUP(CONCATENATE(J17,"-",R22),$C$2:$G$136,3,FALSE)</f>
        <v>8.0000000000000002E-3</v>
      </c>
      <c r="Y22" s="78">
        <f>VLOOKUP(CONCATENATE(J17,"-",R22),$C$2:$G$136,4,FALSE)</f>
        <v>8.0000000000000002E-3</v>
      </c>
      <c r="Z22" s="78">
        <f>VLOOKUP(CONCATENATE(J17,"-",R22),$C$2:$G$136,5,FALSE)</f>
        <v>0.01</v>
      </c>
    </row>
    <row r="23" spans="1:26" ht="15" customHeight="1" x14ac:dyDescent="0.2">
      <c r="A23" s="65" t="str">
        <f>A22</f>
        <v>Construção e Manutenção de Estações e Redes de Distribuição de Energia Elétrica</v>
      </c>
      <c r="B23" s="69" t="s">
        <v>148</v>
      </c>
      <c r="C23" s="65" t="str">
        <f t="shared" si="0"/>
        <v>Construção e Manutenção de Estações e Redes de Distribuição de Energia Elétrica-DF</v>
      </c>
      <c r="E23" s="70">
        <v>1.01E-2</v>
      </c>
      <c r="F23" s="70">
        <v>1.0700000000000001E-2</v>
      </c>
      <c r="G23" s="70">
        <v>1.11E-2</v>
      </c>
      <c r="I23" t="s">
        <v>246</v>
      </c>
      <c r="J23" s="708" t="str">
        <f>IF($J$17=$A$146,"","Risco")</f>
        <v>Risco</v>
      </c>
      <c r="K23" s="708"/>
      <c r="L23" s="708"/>
      <c r="M23" s="708"/>
      <c r="N23" s="708"/>
      <c r="O23" s="708"/>
      <c r="P23" s="708"/>
      <c r="Q23" s="708"/>
      <c r="R23" s="76" t="str">
        <f>IF($J17=$A$146,"","R")</f>
        <v>R</v>
      </c>
      <c r="S23" s="77">
        <v>9.7000000000000003E-3</v>
      </c>
      <c r="U23" s="709" t="s">
        <v>166</v>
      </c>
      <c r="V23" s="709"/>
      <c r="W23" s="709"/>
      <c r="X23" s="78">
        <f>VLOOKUP(CONCATENATE(J17,"-",R23),$C$2:$G$136,3,FALSE)</f>
        <v>9.7000000000000003E-3</v>
      </c>
      <c r="Y23" s="78">
        <f>VLOOKUP(CONCATENATE(J17,"-",R23),$C$2:$G$136,4,FALSE)</f>
        <v>1.2699999999999999E-2</v>
      </c>
      <c r="Z23" s="78">
        <f>VLOOKUP(CONCATENATE(J17,"-",R23),$C$2:$G$136,5,FALSE)</f>
        <v>1.2699999999999999E-2</v>
      </c>
    </row>
    <row r="24" spans="1:26" ht="15" customHeight="1" x14ac:dyDescent="0.2">
      <c r="A24" s="65" t="str">
        <f>A23</f>
        <v>Construção e Manutenção de Estações e Redes de Distribuição de Energia Elétrica</v>
      </c>
      <c r="B24" s="69" t="s">
        <v>149</v>
      </c>
      <c r="C24" s="65" t="str">
        <f t="shared" si="0"/>
        <v>Construção e Manutenção de Estações e Redes de Distribuição de Energia Elétrica-L</v>
      </c>
      <c r="E24" s="70">
        <v>0.08</v>
      </c>
      <c r="F24" s="70">
        <v>8.3100000000000007E-2</v>
      </c>
      <c r="G24" s="70">
        <v>9.5100000000000004E-2</v>
      </c>
      <c r="I24" t="s">
        <v>246</v>
      </c>
      <c r="J24" s="708" t="str">
        <f>IF($J$17=$A$146,"","Despesas Financeiras")</f>
        <v>Despesas Financeiras</v>
      </c>
      <c r="K24" s="708"/>
      <c r="L24" s="708"/>
      <c r="M24" s="708"/>
      <c r="N24" s="708"/>
      <c r="O24" s="708"/>
      <c r="P24" s="708"/>
      <c r="Q24" s="708"/>
      <c r="R24" s="76" t="str">
        <f>IF($J17=$A$146,"","DF")</f>
        <v>DF</v>
      </c>
      <c r="S24" s="77">
        <v>0.01</v>
      </c>
      <c r="U24" s="709" t="s">
        <v>166</v>
      </c>
      <c r="V24" s="709"/>
      <c r="W24" s="709"/>
      <c r="X24" s="78">
        <f>VLOOKUP(CONCATENATE(J17,"-",R24),$C$2:$G$136,3,FALSE)</f>
        <v>5.8999999999999999E-3</v>
      </c>
      <c r="Y24" s="78">
        <f>VLOOKUP(CONCATENATE(J17,"-",R24),$C$2:$G$136,4,FALSE)</f>
        <v>1.23E-2</v>
      </c>
      <c r="Z24" s="78">
        <f>VLOOKUP(CONCATENATE(J17,"-",R24),$C$2:$G$136,5,FALSE)</f>
        <v>1.3899999999999999E-2</v>
      </c>
    </row>
    <row r="25" spans="1:26" ht="15" customHeight="1" x14ac:dyDescent="0.2">
      <c r="A25" s="65" t="str">
        <f>A24</f>
        <v>Construção e Manutenção de Estações e Redes de Distribuição de Energia Elétrica</v>
      </c>
      <c r="B25" s="74" t="s">
        <v>150</v>
      </c>
      <c r="C25" s="65" t="str">
        <f t="shared" si="0"/>
        <v>Construção e Manutenção de Estações e Redes de Distribuição de Energia Elétrica-BDI PAD</v>
      </c>
      <c r="E25" s="70">
        <v>0.24</v>
      </c>
      <c r="F25" s="70">
        <v>0.25840000000000002</v>
      </c>
      <c r="G25" s="70">
        <v>0.27860000000000001</v>
      </c>
      <c r="I25" t="s">
        <v>246</v>
      </c>
      <c r="J25" s="708" t="str">
        <f>IF($J$17=$A$146,"Margem bruta da empresa de consultoria","Lucro")</f>
        <v>Lucro</v>
      </c>
      <c r="K25" s="708"/>
      <c r="L25" s="708"/>
      <c r="M25" s="708"/>
      <c r="N25" s="708"/>
      <c r="O25" s="708"/>
      <c r="P25" s="708"/>
      <c r="Q25" s="708"/>
      <c r="R25" s="76" t="str">
        <f>IF($J17=$A$146,"K3","L")</f>
        <v>L</v>
      </c>
      <c r="S25" s="77">
        <v>6.1600000000000002E-2</v>
      </c>
      <c r="U25" s="709" t="s">
        <v>166</v>
      </c>
      <c r="V25" s="709"/>
      <c r="W25" s="709"/>
      <c r="X25" s="78">
        <f>VLOOKUP(CONCATENATE(J17,"-",R25),$C$2:$G$136,3,FALSE)</f>
        <v>6.1600000000000002E-2</v>
      </c>
      <c r="Y25" s="78">
        <f>VLOOKUP(CONCATENATE(J17,"-",R25),$C$2:$G$136,4,FALSE)</f>
        <v>7.400000000000001E-2</v>
      </c>
      <c r="Z25" s="78">
        <f>VLOOKUP(CONCATENATE(J17,"-",R25),$C$2:$G$136,5,FALSE)</f>
        <v>8.9600000000000013E-2</v>
      </c>
    </row>
    <row r="26" spans="1:26" ht="15" customHeight="1" x14ac:dyDescent="0.2">
      <c r="A26" s="65" t="s">
        <v>167</v>
      </c>
      <c r="B26" s="69" t="s">
        <v>142</v>
      </c>
      <c r="C26" s="65" t="str">
        <f t="shared" si="0"/>
        <v>Obras Portuárias, Marítimas e Fluviais-AC</v>
      </c>
      <c r="E26" s="70">
        <v>0.04</v>
      </c>
      <c r="F26" s="70">
        <v>5.5199999999999999E-2</v>
      </c>
      <c r="G26" s="70">
        <v>7.85E-2</v>
      </c>
      <c r="I26" t="s">
        <v>246</v>
      </c>
      <c r="J26" s="708" t="s">
        <v>168</v>
      </c>
      <c r="K26" s="708"/>
      <c r="L26" s="708"/>
      <c r="M26" s="708"/>
      <c r="N26" s="708"/>
      <c r="O26" s="708"/>
      <c r="P26" s="708"/>
      <c r="Q26" s="708"/>
      <c r="R26" s="76" t="s">
        <v>169</v>
      </c>
      <c r="S26" s="77">
        <v>3.6499999999999998E-2</v>
      </c>
      <c r="U26" s="709" t="s">
        <v>166</v>
      </c>
      <c r="V26" s="709"/>
      <c r="W26" s="709"/>
      <c r="X26" s="78">
        <v>3.6499999999999998E-2</v>
      </c>
      <c r="Y26" s="78">
        <v>3.6499999999999998E-2</v>
      </c>
      <c r="Z26" s="78">
        <v>3.6499999999999998E-2</v>
      </c>
    </row>
    <row r="27" spans="1:26" ht="15" customHeight="1" x14ac:dyDescent="0.2">
      <c r="A27" s="65" t="str">
        <f>A26</f>
        <v>Obras Portuárias, Marítimas e Fluviais</v>
      </c>
      <c r="B27" s="69" t="s">
        <v>144</v>
      </c>
      <c r="C27" s="65" t="str">
        <f t="shared" si="0"/>
        <v>Obras Portuárias, Marítimas e Fluviais-SG</v>
      </c>
      <c r="E27" s="70">
        <v>8.1000000000000013E-3</v>
      </c>
      <c r="F27" s="70">
        <v>1.2199999999999999E-2</v>
      </c>
      <c r="G27" s="70">
        <v>1.9900000000000001E-2</v>
      </c>
      <c r="I27" t="s">
        <v>246</v>
      </c>
      <c r="J27" s="708" t="s">
        <v>170</v>
      </c>
      <c r="K27" s="708"/>
      <c r="L27" s="708"/>
      <c r="M27" s="708"/>
      <c r="N27" s="708"/>
      <c r="O27" s="708"/>
      <c r="P27" s="708"/>
      <c r="Q27" s="708"/>
      <c r="R27" s="76" t="s">
        <v>171</v>
      </c>
      <c r="S27" s="78">
        <f ca="1">IF(AND($J17&lt;&gt;$A$145,COUNTA(OFFSET(S20,1,0,6))&gt;0),$R$11*$R$10,0)</f>
        <v>0.03</v>
      </c>
      <c r="U27" s="709" t="s">
        <v>166</v>
      </c>
      <c r="V27" s="709"/>
      <c r="W27" s="709"/>
      <c r="X27" s="78">
        <v>0</v>
      </c>
      <c r="Y27" s="78">
        <v>2.5000000000000001E-2</v>
      </c>
      <c r="Z27" s="78">
        <v>0.05</v>
      </c>
    </row>
    <row r="28" spans="1:26" ht="15" customHeight="1" x14ac:dyDescent="0.2">
      <c r="A28" s="65" t="str">
        <f>A27</f>
        <v>Obras Portuárias, Marítimas e Fluviais</v>
      </c>
      <c r="B28" s="69" t="s">
        <v>145</v>
      </c>
      <c r="C28" s="65" t="str">
        <f t="shared" si="0"/>
        <v>Obras Portuárias, Marítimas e Fluviais-R</v>
      </c>
      <c r="E28" s="70">
        <v>1.46E-2</v>
      </c>
      <c r="F28" s="70">
        <v>2.3199999999999998E-2</v>
      </c>
      <c r="G28" s="70">
        <v>3.1600000000000003E-2</v>
      </c>
      <c r="I28" t="s">
        <v>246</v>
      </c>
      <c r="J28" s="708" t="s">
        <v>172</v>
      </c>
      <c r="K28" s="708"/>
      <c r="L28" s="708"/>
      <c r="M28" s="708"/>
      <c r="N28" s="708"/>
      <c r="O28" s="708"/>
      <c r="P28" s="708"/>
      <c r="Q28" s="708"/>
      <c r="R28" s="76" t="s">
        <v>173</v>
      </c>
      <c r="S28" s="78">
        <f ca="1">IF(BDI.Opcao&lt;&gt;"Desonerado",0,IF(AND($J17&lt;&gt;$A$145,COUNTA(OFFSET(S20,1,0,6))&gt;0),4.5%,0%))</f>
        <v>0</v>
      </c>
      <c r="U28" s="709" t="s">
        <v>166</v>
      </c>
      <c r="V28" s="709"/>
      <c r="W28" s="709"/>
      <c r="X28" s="79">
        <v>0</v>
      </c>
      <c r="Y28" s="79">
        <v>4.4999999999999998E-2</v>
      </c>
      <c r="Z28" s="79">
        <v>4.4999999999999998E-2</v>
      </c>
    </row>
    <row r="29" spans="1:26" ht="15" customHeight="1" x14ac:dyDescent="0.2">
      <c r="A29" s="65" t="str">
        <f>A28</f>
        <v>Obras Portuárias, Marítimas e Fluviais</v>
      </c>
      <c r="B29" s="69" t="s">
        <v>148</v>
      </c>
      <c r="C29" s="65" t="str">
        <f t="shared" si="0"/>
        <v>Obras Portuárias, Marítimas e Fluviais-DF</v>
      </c>
      <c r="E29" s="70">
        <v>9.3999999999999986E-3</v>
      </c>
      <c r="F29" s="70">
        <v>1.0200000000000001E-2</v>
      </c>
      <c r="G29" s="70">
        <v>1.3300000000000001E-2</v>
      </c>
      <c r="I29" t="s">
        <v>246</v>
      </c>
      <c r="J29" s="708" t="s">
        <v>174</v>
      </c>
      <c r="K29" s="708"/>
      <c r="L29" s="708"/>
      <c r="M29" s="708"/>
      <c r="N29" s="708"/>
      <c r="O29" s="708"/>
      <c r="P29" s="708"/>
      <c r="Q29" s="708"/>
      <c r="R29" s="80" t="s">
        <v>150</v>
      </c>
      <c r="S29" s="78">
        <f ca="1">IF($J17=$A$145,0,ROUND((((1+S21+S22+S23)*(1+S24)*(1+S25)/(1-(S26+S27)))-1),4))</f>
        <v>0.2034</v>
      </c>
      <c r="U29" s="710" t="str">
        <f ca="1">IF(OR($J$17=$A$146,$J$17=$A$145,AND(S29&gt;=X29,S29&lt;=Z29)),"OK","FORA DO INTERVALO")</f>
        <v>OK</v>
      </c>
      <c r="V29" s="710"/>
      <c r="W29" s="710"/>
      <c r="X29" s="78">
        <f>IF($J17=$A$145,0,VLOOKUP(CONCATENATE($J17,"-",$R29),$C$2:$G$136,3,FALSE))</f>
        <v>0.2034</v>
      </c>
      <c r="Y29" s="78">
        <f>IF($J17=$A$145,0,VLOOKUP(CONCATENATE($J17,"-",$R29),$C$2:$G$136,4,FALSE))</f>
        <v>0.22120000000000001</v>
      </c>
      <c r="Z29" s="78">
        <f>IF($J17=$A$145,0,VLOOKUP(CONCATENATE($J17,"-",$R29),$C$2:$G$136,5,FALSE))</f>
        <v>0.25</v>
      </c>
    </row>
    <row r="30" spans="1:26" ht="15" customHeight="1" x14ac:dyDescent="0.2">
      <c r="A30" s="65" t="str">
        <f>A29</f>
        <v>Obras Portuárias, Marítimas e Fluviais</v>
      </c>
      <c r="B30" s="69" t="s">
        <v>149</v>
      </c>
      <c r="C30" s="65" t="str">
        <f t="shared" si="0"/>
        <v>Obras Portuárias, Marítimas e Fluviais-L</v>
      </c>
      <c r="E30" s="70">
        <v>7.1399999999999991E-2</v>
      </c>
      <c r="F30" s="70">
        <v>8.4000000000000005E-2</v>
      </c>
      <c r="G30" s="70">
        <v>0.1043</v>
      </c>
      <c r="I30" t="s">
        <v>246</v>
      </c>
      <c r="J30" s="711" t="s">
        <v>175</v>
      </c>
      <c r="K30" s="711"/>
      <c r="L30" s="711"/>
      <c r="M30" s="711"/>
      <c r="N30" s="711"/>
      <c r="O30" s="711"/>
      <c r="P30" s="711"/>
      <c r="Q30" s="711"/>
      <c r="R30" s="81" t="s">
        <v>176</v>
      </c>
      <c r="S30" s="82">
        <f ca="1">IF($J17=$A$145,0,ROUND((((1+S21+S22+S23)*(1+S24)*(1+S25)/(1-(S26+S27+S28)))-1),4))</f>
        <v>0.2034</v>
      </c>
    </row>
    <row r="31" spans="1:26" ht="25.5" x14ac:dyDescent="0.2">
      <c r="A31" s="65" t="str">
        <f>A30</f>
        <v>Obras Portuárias, Marítimas e Fluviais</v>
      </c>
      <c r="B31" s="74" t="s">
        <v>150</v>
      </c>
      <c r="C31" s="65" t="str">
        <f t="shared" si="0"/>
        <v>Obras Portuárias, Marítimas e Fluviais-BDI PAD</v>
      </c>
      <c r="E31" s="70">
        <v>0.22800000000000001</v>
      </c>
      <c r="F31" s="70">
        <v>0.27479999999999999</v>
      </c>
      <c r="G31" s="70">
        <v>0.3095</v>
      </c>
      <c r="I31" t="s">
        <v>246</v>
      </c>
    </row>
    <row r="32" spans="1:26" ht="15.75" x14ac:dyDescent="0.2">
      <c r="A32" s="65" t="s">
        <v>177</v>
      </c>
      <c r="B32" s="69" t="s">
        <v>142</v>
      </c>
      <c r="C32" s="65" t="str">
        <f t="shared" si="0"/>
        <v>Fornecimento de Materiais e Equipamentos (aquisição indireta - em conjunto com licitação de obras)-AC</v>
      </c>
      <c r="E32" s="70">
        <v>1.4999999999999999E-2</v>
      </c>
      <c r="F32" s="70">
        <v>3.4500000000000003E-2</v>
      </c>
      <c r="G32" s="70">
        <v>4.4900000000000002E-2</v>
      </c>
      <c r="I32" t="s">
        <v>246</v>
      </c>
      <c r="J32" s="83" t="str">
        <f ca="1">IF(U29&lt;&gt;"ok","X","")</f>
        <v/>
      </c>
      <c r="K32" s="712" t="str">
        <f ca="1">IF(U29&lt;&gt;"ok","Anexo: Relatório Técnico Circunstanciado justificando a adoção do percentual de cada parcela do BDI.","")</f>
        <v/>
      </c>
      <c r="L32" s="712"/>
      <c r="M32" s="712"/>
      <c r="N32" s="712"/>
      <c r="O32" s="712"/>
      <c r="P32" s="712"/>
      <c r="Q32" s="712"/>
      <c r="R32" s="712"/>
      <c r="S32" s="712"/>
    </row>
    <row r="33" spans="1:19" x14ac:dyDescent="0.2">
      <c r="A33" s="65" t="str">
        <f>A32</f>
        <v>Fornecimento de Materiais e Equipamentos (aquisição indireta - em conjunto com licitação de obras)</v>
      </c>
      <c r="B33" s="69" t="s">
        <v>144</v>
      </c>
      <c r="C33" s="65" t="str">
        <f t="shared" si="0"/>
        <v>Fornecimento de Materiais e Equipamentos (aquisição indireta - em conjunto com licitação de obras)-SG</v>
      </c>
      <c r="E33" s="70">
        <v>3.0000000000000001E-3</v>
      </c>
      <c r="F33" s="70">
        <v>4.7999999999999996E-3</v>
      </c>
      <c r="G33" s="70">
        <v>8.199999999999999E-3</v>
      </c>
      <c r="I33" t="s">
        <v>246</v>
      </c>
    </row>
    <row r="34" spans="1:19" x14ac:dyDescent="0.2">
      <c r="A34" s="65" t="str">
        <f>A33</f>
        <v>Fornecimento de Materiais e Equipamentos (aquisição indireta - em conjunto com licitação de obras)</v>
      </c>
      <c r="B34" s="69" t="s">
        <v>145</v>
      </c>
      <c r="C34" s="65" t="str">
        <f t="shared" si="0"/>
        <v>Fornecimento de Materiais e Equipamentos (aquisição indireta - em conjunto com licitação de obras)-R</v>
      </c>
      <c r="E34" s="70">
        <v>5.6000000000000008E-3</v>
      </c>
      <c r="F34" s="70">
        <v>8.5000000000000006E-3</v>
      </c>
      <c r="G34" s="70">
        <v>8.8999999999999999E-3</v>
      </c>
      <c r="I34" t="s">
        <v>246</v>
      </c>
      <c r="J34" s="714" t="s">
        <v>178</v>
      </c>
      <c r="K34" s="714"/>
      <c r="L34" s="714"/>
      <c r="M34" s="714"/>
      <c r="N34" s="714"/>
      <c r="O34" s="714"/>
      <c r="P34" s="714"/>
      <c r="Q34" s="714"/>
      <c r="R34" s="714"/>
      <c r="S34" s="714"/>
    </row>
    <row r="35" spans="1:19" ht="15.75" x14ac:dyDescent="0.25">
      <c r="A35" s="65" t="str">
        <f>A34</f>
        <v>Fornecimento de Materiais e Equipamentos (aquisição indireta - em conjunto com licitação de obras)</v>
      </c>
      <c r="B35" s="69" t="s">
        <v>148</v>
      </c>
      <c r="C35" s="65" t="str">
        <f t="shared" si="0"/>
        <v>Fornecimento de Materiais e Equipamentos (aquisição indireta - em conjunto com licitação de obras)-DF</v>
      </c>
      <c r="E35" s="70">
        <v>8.5000000000000006E-3</v>
      </c>
      <c r="F35" s="70">
        <v>8.5000000000000006E-3</v>
      </c>
      <c r="G35" s="70">
        <v>1.11E-2</v>
      </c>
      <c r="I35" t="s">
        <v>246</v>
      </c>
      <c r="J35" s="84"/>
      <c r="K35" s="84"/>
      <c r="L35" s="84"/>
      <c r="M35" s="715" t="s">
        <v>179</v>
      </c>
      <c r="N35" s="716" t="str">
        <f>IF($J17=$A$146,"(1+K1+K2)*(1+K3)","(1+AC + S + R + G)*(1 + DF)*(1+L)")</f>
        <v>(1+AC + S + R + G)*(1 + DF)*(1+L)</v>
      </c>
      <c r="O35" s="716"/>
      <c r="P35" s="716"/>
      <c r="Q35" s="717" t="s">
        <v>180</v>
      </c>
      <c r="R35" s="84"/>
      <c r="S35" s="84"/>
    </row>
    <row r="36" spans="1:19" ht="15.75" x14ac:dyDescent="0.2">
      <c r="A36" s="65" t="str">
        <f>A35</f>
        <v>Fornecimento de Materiais e Equipamentos (aquisição indireta - em conjunto com licitação de obras)</v>
      </c>
      <c r="B36" s="69" t="s">
        <v>149</v>
      </c>
      <c r="C36" s="65" t="str">
        <f t="shared" si="0"/>
        <v>Fornecimento de Materiais e Equipamentos (aquisição indireta - em conjunto com licitação de obras)-L</v>
      </c>
      <c r="E36" s="70">
        <v>3.5000000000000003E-2</v>
      </c>
      <c r="F36" s="70">
        <v>5.1100000000000007E-2</v>
      </c>
      <c r="G36" s="70">
        <v>6.2199999999999998E-2</v>
      </c>
      <c r="I36" t="s">
        <v>246</v>
      </c>
      <c r="J36" s="84"/>
      <c r="K36" s="84"/>
      <c r="L36" s="84"/>
      <c r="M36" s="715"/>
      <c r="N36" s="707" t="s">
        <v>181</v>
      </c>
      <c r="O36" s="707"/>
      <c r="P36" s="707"/>
      <c r="Q36" s="717"/>
      <c r="R36" s="84"/>
      <c r="S36" s="84"/>
    </row>
    <row r="37" spans="1:19" ht="15" customHeight="1" x14ac:dyDescent="0.2">
      <c r="A37" s="65" t="str">
        <f>A36</f>
        <v>Fornecimento de Materiais e Equipamentos (aquisição indireta - em conjunto com licitação de obras)</v>
      </c>
      <c r="B37" s="74" t="s">
        <v>150</v>
      </c>
      <c r="C37" s="65" t="str">
        <f t="shared" si="0"/>
        <v>Fornecimento de Materiais e Equipamentos (aquisição indireta - em conjunto com licitação de obras)-BDI PAD</v>
      </c>
      <c r="E37" s="70">
        <v>0.111</v>
      </c>
      <c r="F37" s="70">
        <v>0.14019999999999999</v>
      </c>
      <c r="G37" s="70">
        <v>0.16800000000000001</v>
      </c>
      <c r="I37" t="s">
        <v>246</v>
      </c>
      <c r="J37" s="88"/>
      <c r="K37" s="88"/>
      <c r="L37" s="88"/>
      <c r="M37" s="88"/>
      <c r="N37" s="88"/>
      <c r="O37" s="88"/>
      <c r="P37" s="88"/>
      <c r="Q37" s="88"/>
      <c r="R37" s="88"/>
      <c r="S37" s="88"/>
    </row>
    <row r="38" spans="1:19" ht="50.1" customHeight="1" x14ac:dyDescent="0.2">
      <c r="A38" s="65" t="s">
        <v>182</v>
      </c>
      <c r="B38" s="74" t="s">
        <v>142</v>
      </c>
      <c r="C38" s="65" t="str">
        <f t="shared" si="0"/>
        <v>Fornecimento de Materiais e Equipamentos (aquisição direta)-AC</v>
      </c>
      <c r="E38" s="70" t="s">
        <v>166</v>
      </c>
      <c r="F38" s="70" t="s">
        <v>166</v>
      </c>
      <c r="G38" s="70" t="s">
        <v>166</v>
      </c>
      <c r="I38" t="s">
        <v>246</v>
      </c>
      <c r="J38" s="701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3%.</v>
      </c>
      <c r="K38" s="701"/>
      <c r="L38" s="701"/>
      <c r="M38" s="701"/>
      <c r="N38" s="701"/>
      <c r="O38" s="701"/>
      <c r="P38" s="701"/>
      <c r="Q38" s="701"/>
      <c r="R38" s="701"/>
      <c r="S38" s="701"/>
    </row>
    <row r="39" spans="1:19" x14ac:dyDescent="0.2">
      <c r="A39" s="65" t="s">
        <v>182</v>
      </c>
      <c r="B39" s="74" t="s">
        <v>144</v>
      </c>
      <c r="C39" s="65" t="str">
        <f t="shared" si="0"/>
        <v>Fornecimento de Materiais e Equipamentos (aquisição direta)-SG</v>
      </c>
      <c r="E39" s="70" t="s">
        <v>166</v>
      </c>
      <c r="F39" s="70" t="s">
        <v>166</v>
      </c>
      <c r="G39" s="70" t="s">
        <v>166</v>
      </c>
      <c r="I39" t="s">
        <v>246</v>
      </c>
    </row>
    <row r="40" spans="1:19" ht="50.1" customHeight="1" x14ac:dyDescent="0.2">
      <c r="A40" s="65" t="s">
        <v>182</v>
      </c>
      <c r="B40" s="74" t="s">
        <v>145</v>
      </c>
      <c r="C40" s="65" t="str">
        <f t="shared" si="0"/>
        <v>Fornecimento de Materiais e Equipamentos (aquisição direta)-R</v>
      </c>
      <c r="E40" s="70" t="s">
        <v>166</v>
      </c>
      <c r="F40" s="70" t="s">
        <v>166</v>
      </c>
      <c r="G40" s="70" t="s">
        <v>166</v>
      </c>
      <c r="I40" t="s">
        <v>246</v>
      </c>
      <c r="J40" s="701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40" s="701"/>
      <c r="L40" s="701"/>
      <c r="M40" s="701"/>
      <c r="N40" s="701"/>
      <c r="O40" s="701"/>
      <c r="P40" s="701"/>
      <c r="Q40" s="701"/>
      <c r="R40" s="701"/>
      <c r="S40" s="701"/>
    </row>
    <row r="41" spans="1:19" x14ac:dyDescent="0.2">
      <c r="A41" s="65" t="s">
        <v>182</v>
      </c>
      <c r="B41" s="74" t="s">
        <v>148</v>
      </c>
      <c r="C41" s="65" t="str">
        <f t="shared" si="0"/>
        <v>Fornecimento de Materiais e Equipamentos (aquisição direta)-DF</v>
      </c>
      <c r="E41" s="70" t="s">
        <v>166</v>
      </c>
      <c r="F41" s="70" t="s">
        <v>166</v>
      </c>
      <c r="G41" s="70" t="s">
        <v>166</v>
      </c>
      <c r="I41" t="s">
        <v>246</v>
      </c>
    </row>
    <row r="42" spans="1:19" x14ac:dyDescent="0.2">
      <c r="A42" s="65" t="s">
        <v>182</v>
      </c>
      <c r="B42" s="74" t="s">
        <v>149</v>
      </c>
      <c r="C42" s="65" t="str">
        <f t="shared" si="0"/>
        <v>Fornecimento de Materiais e Equipamentos (aquisição direta)-L</v>
      </c>
      <c r="E42" s="70" t="s">
        <v>166</v>
      </c>
      <c r="F42" s="70" t="s">
        <v>166</v>
      </c>
      <c r="G42" s="70" t="s">
        <v>166</v>
      </c>
      <c r="I42" t="s">
        <v>246</v>
      </c>
      <c r="J42" s="65" t="s">
        <v>187</v>
      </c>
    </row>
    <row r="43" spans="1:19" ht="99.95" customHeight="1" x14ac:dyDescent="0.2">
      <c r="A43" s="65" t="s">
        <v>182</v>
      </c>
      <c r="B43" s="74" t="s">
        <v>150</v>
      </c>
      <c r="C43" s="65" t="str">
        <f t="shared" si="0"/>
        <v>Fornecimento de Materiais e Equipamentos (aquisição direta)-BDI PAD</v>
      </c>
      <c r="E43" s="70" t="s">
        <v>166</v>
      </c>
      <c r="F43" s="70" t="s">
        <v>166</v>
      </c>
      <c r="G43" s="70" t="s">
        <v>166</v>
      </c>
      <c r="I43" t="s">
        <v>246</v>
      </c>
      <c r="J43" s="702"/>
      <c r="K43" s="702"/>
      <c r="L43" s="702"/>
      <c r="M43" s="702"/>
      <c r="N43" s="702"/>
      <c r="O43" s="702"/>
      <c r="P43" s="702"/>
      <c r="Q43" s="702"/>
      <c r="R43" s="702"/>
      <c r="S43" s="702"/>
    </row>
    <row r="44" spans="1:19" x14ac:dyDescent="0.2">
      <c r="A44" s="65" t="s">
        <v>183</v>
      </c>
      <c r="B44" s="69" t="s">
        <v>184</v>
      </c>
      <c r="C44" s="65" t="str">
        <f t="shared" si="0"/>
        <v>Estudos e Projetos, Planos e Gerenciamento e outros correlatos-K1</v>
      </c>
      <c r="E44" s="70" t="s">
        <v>166</v>
      </c>
      <c r="F44" s="70" t="s">
        <v>166</v>
      </c>
      <c r="G44" s="70" t="s">
        <v>166</v>
      </c>
      <c r="I44" t="s">
        <v>246</v>
      </c>
    </row>
    <row r="45" spans="1:19" x14ac:dyDescent="0.2">
      <c r="A45" s="65" t="str">
        <f>A44</f>
        <v>Estudos e Projetos, Planos e Gerenciamento e outros correlatos</v>
      </c>
      <c r="B45" s="69" t="s">
        <v>185</v>
      </c>
      <c r="C45" s="65" t="str">
        <f t="shared" si="0"/>
        <v>Estudos e Projetos, Planos e Gerenciamento e outros correlatos-K2</v>
      </c>
      <c r="E45" s="70" t="s">
        <v>166</v>
      </c>
      <c r="F45" s="70">
        <v>0.2</v>
      </c>
      <c r="G45" s="70" t="s">
        <v>166</v>
      </c>
      <c r="I45" t="s">
        <v>246</v>
      </c>
      <c r="J45" s="703" t="str">
        <f>Import.Município</f>
        <v>SANTO ÂNGELO - RS</v>
      </c>
      <c r="K45" s="703"/>
      <c r="L45" s="703"/>
      <c r="M45" s="703"/>
      <c r="P45" s="704">
        <f ca="1">DADOS!$F$25</f>
        <v>45573</v>
      </c>
      <c r="Q45" s="704"/>
      <c r="R45" s="704"/>
      <c r="S45" s="704"/>
    </row>
    <row r="46" spans="1:19" x14ac:dyDescent="0.2">
      <c r="A46" s="65" t="str">
        <f>A45</f>
        <v>Estudos e Projetos, Planos e Gerenciamento e outros correlatos</v>
      </c>
      <c r="B46" s="69"/>
      <c r="C46" s="65" t="str">
        <f t="shared" si="0"/>
        <v>Estudos e Projetos, Planos e Gerenciamento e outros correlatos-</v>
      </c>
      <c r="E46" s="70" t="s">
        <v>166</v>
      </c>
      <c r="F46" s="70" t="s">
        <v>166</v>
      </c>
      <c r="G46" s="70" t="s">
        <v>166</v>
      </c>
      <c r="I46" t="s">
        <v>246</v>
      </c>
      <c r="J46" s="705" t="s">
        <v>188</v>
      </c>
      <c r="K46" s="705"/>
      <c r="L46" s="705"/>
      <c r="M46" s="705"/>
      <c r="O46" s="89"/>
      <c r="P46" s="90" t="s">
        <v>189</v>
      </c>
      <c r="Q46" s="91"/>
      <c r="R46" s="91"/>
      <c r="S46" s="91"/>
    </row>
    <row r="47" spans="1:19" ht="30" customHeight="1" x14ac:dyDescent="0.2">
      <c r="A47" s="65" t="str">
        <f>A46</f>
        <v>Estudos e Projetos, Planos e Gerenciamento e outros correlatos</v>
      </c>
      <c r="B47" s="69"/>
      <c r="C47" s="65" t="str">
        <f t="shared" si="0"/>
        <v>Estudos e Projetos, Planos e Gerenciamento e outros correlatos-</v>
      </c>
      <c r="E47" s="70" t="s">
        <v>166</v>
      </c>
      <c r="F47" s="70" t="s">
        <v>166</v>
      </c>
      <c r="G47" s="70" t="s">
        <v>166</v>
      </c>
      <c r="I47" t="s">
        <v>246</v>
      </c>
    </row>
    <row r="48" spans="1:19" ht="15" x14ac:dyDescent="0.2">
      <c r="A48" s="65" t="str">
        <f>A47</f>
        <v>Estudos e Projetos, Planos e Gerenciamento e outros correlatos</v>
      </c>
      <c r="B48" s="69" t="s">
        <v>186</v>
      </c>
      <c r="C48" s="65" t="str">
        <f t="shared" si="0"/>
        <v>Estudos e Projetos, Planos e Gerenciamento e outros correlatos-K3</v>
      </c>
      <c r="E48" s="70" t="s">
        <v>166</v>
      </c>
      <c r="F48" s="70">
        <v>0.12</v>
      </c>
      <c r="G48" s="70" t="s">
        <v>166</v>
      </c>
      <c r="I48" t="s">
        <v>246</v>
      </c>
      <c r="J48" s="706"/>
      <c r="K48" s="706"/>
      <c r="L48" s="706"/>
      <c r="M48" s="706"/>
      <c r="N48" s="92"/>
    </row>
    <row r="49" spans="1:26" ht="12.75" customHeight="1" x14ac:dyDescent="0.2">
      <c r="A49" s="65" t="str">
        <f>A48</f>
        <v>Estudos e Projetos, Planos e Gerenciamento e outros correlatos</v>
      </c>
      <c r="B49" s="74" t="s">
        <v>150</v>
      </c>
      <c r="C49" s="65" t="str">
        <f t="shared" si="0"/>
        <v>Estudos e Projetos, Planos e Gerenciamento e outros correlatos-BDI PAD</v>
      </c>
      <c r="E49" s="70" t="s">
        <v>166</v>
      </c>
      <c r="F49" s="70" t="s">
        <v>166</v>
      </c>
      <c r="G49" s="70" t="s">
        <v>166</v>
      </c>
      <c r="I49" t="s">
        <v>246</v>
      </c>
      <c r="J49" s="700" t="s">
        <v>190</v>
      </c>
      <c r="K49" s="700"/>
      <c r="L49" s="700"/>
      <c r="M49" s="700"/>
      <c r="N49" s="93"/>
    </row>
    <row r="50" spans="1:26" ht="14.25" x14ac:dyDescent="0.2">
      <c r="B50" s="74"/>
      <c r="E50" s="70"/>
      <c r="F50" s="70"/>
      <c r="G50" s="70"/>
      <c r="I50" t="s">
        <v>246</v>
      </c>
      <c r="J50" s="94" t="s">
        <v>108</v>
      </c>
      <c r="K50" s="95" t="str">
        <f t="array" ref="K50:K52">Import.RespOrçamento</f>
        <v>NILSON DO PRADO RODRIGUES</v>
      </c>
      <c r="L50" s="96"/>
      <c r="M50" s="96"/>
      <c r="N50" s="97"/>
    </row>
    <row r="51" spans="1:26" ht="14.25" x14ac:dyDescent="0.2">
      <c r="A51"/>
      <c r="B51"/>
      <c r="C51"/>
      <c r="D51"/>
      <c r="E51"/>
      <c r="F51"/>
      <c r="G51"/>
      <c r="I51" t="s">
        <v>246</v>
      </c>
      <c r="J51" s="94" t="s">
        <v>109</v>
      </c>
      <c r="K51" s="95" t="str">
        <v>172357-5</v>
      </c>
      <c r="L51" s="96"/>
      <c r="M51" s="96"/>
      <c r="N51" s="97"/>
    </row>
    <row r="52" spans="1:26" ht="14.25" x14ac:dyDescent="0.2">
      <c r="A52"/>
      <c r="B52"/>
      <c r="C52"/>
      <c r="D52"/>
      <c r="E52"/>
      <c r="F52"/>
      <c r="G52"/>
      <c r="I52" t="s">
        <v>246</v>
      </c>
      <c r="J52" s="94" t="s">
        <v>110</v>
      </c>
      <c r="K52" s="95">
        <v>0</v>
      </c>
      <c r="L52" s="96"/>
      <c r="M52" s="96"/>
      <c r="N52" s="97"/>
    </row>
    <row r="53" spans="1:26" ht="14.25" x14ac:dyDescent="0.2">
      <c r="A53"/>
      <c r="B53"/>
      <c r="C53"/>
      <c r="D53"/>
      <c r="E53"/>
      <c r="F53"/>
      <c r="G53"/>
      <c r="I53" t="s">
        <v>246</v>
      </c>
      <c r="J53" s="94"/>
      <c r="K53" s="98"/>
      <c r="L53" s="96"/>
      <c r="M53" s="96"/>
      <c r="N53" s="97"/>
    </row>
    <row r="54" spans="1:26" ht="15.75" hidden="1" x14ac:dyDescent="0.25">
      <c r="A54"/>
      <c r="B54"/>
      <c r="C54"/>
      <c r="D54"/>
      <c r="E54"/>
      <c r="F54"/>
      <c r="G54"/>
      <c r="I54" t="str">
        <f ca="1">IF($S$69=0,"","F")</f>
        <v/>
      </c>
      <c r="J54" s="722" t="s">
        <v>191</v>
      </c>
      <c r="K54" s="722"/>
      <c r="L54" s="722"/>
      <c r="M54" s="722"/>
      <c r="N54" s="722"/>
      <c r="O54" s="722"/>
      <c r="P54" s="722"/>
      <c r="Q54" s="722"/>
      <c r="R54" s="722"/>
      <c r="S54" s="722"/>
    </row>
    <row r="55" spans="1:26" hidden="1" x14ac:dyDescent="0.2">
      <c r="A55"/>
      <c r="B55"/>
      <c r="C55"/>
      <c r="D55"/>
      <c r="E55"/>
      <c r="F55"/>
      <c r="G55"/>
      <c r="I55" t="str">
        <f t="shared" ref="I55:I93" ca="1" si="1">IF($S$69=0,"","F")</f>
        <v/>
      </c>
    </row>
    <row r="56" spans="1:26" hidden="1" x14ac:dyDescent="0.2">
      <c r="A56"/>
      <c r="B56"/>
      <c r="C56"/>
      <c r="D56"/>
      <c r="E56"/>
      <c r="F56"/>
      <c r="G56"/>
      <c r="I56" t="str">
        <f t="shared" ca="1" si="1"/>
        <v/>
      </c>
      <c r="J56" s="720" t="s">
        <v>157</v>
      </c>
      <c r="K56" s="720"/>
      <c r="L56" s="720"/>
      <c r="M56" s="720"/>
      <c r="N56" s="720"/>
      <c r="O56" s="720"/>
      <c r="P56" s="720"/>
      <c r="Q56" s="720"/>
      <c r="R56" s="720"/>
      <c r="S56" s="720"/>
    </row>
    <row r="57" spans="1:26" hidden="1" x14ac:dyDescent="0.2">
      <c r="A57"/>
      <c r="B57"/>
      <c r="C57"/>
      <c r="D57"/>
      <c r="E57"/>
      <c r="F57"/>
      <c r="G57"/>
      <c r="I57" t="str">
        <f t="shared" ca="1" si="1"/>
        <v/>
      </c>
      <c r="J57" s="721" t="s">
        <v>409</v>
      </c>
      <c r="K57" s="721"/>
      <c r="L57" s="721"/>
      <c r="M57" s="721"/>
      <c r="N57" s="721"/>
      <c r="O57" s="721"/>
      <c r="P57" s="721"/>
      <c r="Q57" s="721"/>
      <c r="R57" s="721"/>
      <c r="S57" s="721"/>
    </row>
    <row r="58" spans="1:26" hidden="1" x14ac:dyDescent="0.2">
      <c r="A58"/>
      <c r="B58"/>
      <c r="C58"/>
      <c r="D58"/>
      <c r="E58"/>
      <c r="F58"/>
      <c r="G58"/>
      <c r="I58" t="str">
        <f t="shared" ca="1" si="1"/>
        <v/>
      </c>
    </row>
    <row r="59" spans="1:26" ht="12.75" hidden="1" customHeight="1" x14ac:dyDescent="0.2">
      <c r="A59"/>
      <c r="B59"/>
      <c r="C59"/>
      <c r="D59"/>
      <c r="E59"/>
      <c r="F59"/>
      <c r="G59"/>
      <c r="I59" t="str">
        <f t="shared" ca="1" si="1"/>
        <v/>
      </c>
      <c r="J59" s="719" t="s">
        <v>158</v>
      </c>
      <c r="K59" s="719"/>
      <c r="L59" s="719"/>
      <c r="M59" s="719"/>
      <c r="N59" s="719"/>
      <c r="O59" s="719"/>
      <c r="P59" s="719"/>
      <c r="Q59" s="719"/>
      <c r="R59" s="719" t="s">
        <v>159</v>
      </c>
      <c r="S59" s="710" t="s">
        <v>160</v>
      </c>
      <c r="U59" s="710" t="s">
        <v>161</v>
      </c>
      <c r="V59" s="710"/>
      <c r="W59" s="710"/>
      <c r="X59" s="718" t="s">
        <v>162</v>
      </c>
      <c r="Y59" s="718" t="s">
        <v>163</v>
      </c>
      <c r="Z59" s="718" t="s">
        <v>164</v>
      </c>
    </row>
    <row r="60" spans="1:26" ht="12.75" hidden="1" customHeight="1" x14ac:dyDescent="0.2">
      <c r="A60"/>
      <c r="B60"/>
      <c r="C60"/>
      <c r="D60"/>
      <c r="E60"/>
      <c r="F60"/>
      <c r="G60"/>
      <c r="I60" t="str">
        <f t="shared" ca="1" si="1"/>
        <v/>
      </c>
      <c r="J60" s="719"/>
      <c r="K60" s="719"/>
      <c r="L60" s="719"/>
      <c r="M60" s="719"/>
      <c r="N60" s="719"/>
      <c r="O60" s="719"/>
      <c r="P60" s="719"/>
      <c r="Q60" s="719"/>
      <c r="R60" s="719"/>
      <c r="S60" s="710"/>
      <c r="U60" s="710"/>
      <c r="V60" s="710"/>
      <c r="W60" s="710"/>
      <c r="X60" s="718"/>
      <c r="Y60" s="718"/>
      <c r="Z60" s="718"/>
    </row>
    <row r="61" spans="1:26" ht="15" hidden="1" customHeight="1" x14ac:dyDescent="0.2">
      <c r="A61"/>
      <c r="B61"/>
      <c r="C61"/>
      <c r="D61"/>
      <c r="E61"/>
      <c r="F61"/>
      <c r="G61"/>
      <c r="I61" t="str">
        <f t="shared" ca="1" si="1"/>
        <v/>
      </c>
      <c r="J61" s="708" t="str">
        <f>IF($J$17=$A$146,"Encargos Sociais incidentes sobre a mão de obra","Administração Central")</f>
        <v>Administração Central</v>
      </c>
      <c r="K61" s="708"/>
      <c r="L61" s="708"/>
      <c r="M61" s="708"/>
      <c r="N61" s="708"/>
      <c r="O61" s="708"/>
      <c r="P61" s="708"/>
      <c r="Q61" s="708"/>
      <c r="R61" s="76" t="str">
        <f>IF($J57=$A$146,"K1","AC")</f>
        <v>AC</v>
      </c>
      <c r="S61" s="77"/>
      <c r="U61" s="709" t="s">
        <v>166</v>
      </c>
      <c r="V61" s="709"/>
      <c r="W61" s="709"/>
      <c r="X61" s="78" t="e">
        <f>VLOOKUP(CONCATENATE(J57,"-",R61),$C$2:$G$136,3,FALSE)</f>
        <v>#N/A</v>
      </c>
      <c r="Y61" s="78" t="e">
        <f>VLOOKUP(CONCATENATE(J57,"-",R61),$C$2:$G$136,4,FALSE)</f>
        <v>#N/A</v>
      </c>
      <c r="Z61" s="78" t="e">
        <f>VLOOKUP(CONCATENATE(J57,"-",R61),$C$2:$G$136,5,FALSE)</f>
        <v>#N/A</v>
      </c>
    </row>
    <row r="62" spans="1:26" ht="15" hidden="1" customHeight="1" x14ac:dyDescent="0.2">
      <c r="A62"/>
      <c r="B62"/>
      <c r="C62"/>
      <c r="D62"/>
      <c r="E62"/>
      <c r="F62"/>
      <c r="G62"/>
      <c r="I62" t="str">
        <f t="shared" ca="1" si="1"/>
        <v/>
      </c>
      <c r="J62" s="708" t="str">
        <f>IF($J$17=$A$146,"Administração Central da empresa ou consultoria - overhead","Seguro e Garantia")</f>
        <v>Seguro e Garantia</v>
      </c>
      <c r="K62" s="708"/>
      <c r="L62" s="708"/>
      <c r="M62" s="708"/>
      <c r="N62" s="708"/>
      <c r="O62" s="708"/>
      <c r="P62" s="708"/>
      <c r="Q62" s="708"/>
      <c r="R62" s="76" t="str">
        <f>IF($J57=$A$146,"K2","SG")</f>
        <v>SG</v>
      </c>
      <c r="S62" s="77"/>
      <c r="U62" s="709" t="s">
        <v>166</v>
      </c>
      <c r="V62" s="709"/>
      <c r="W62" s="709"/>
      <c r="X62" s="78" t="e">
        <f>VLOOKUP(CONCATENATE(J57,"-",R62),$C$2:$G$136,3,FALSE)</f>
        <v>#N/A</v>
      </c>
      <c r="Y62" s="78" t="e">
        <f>VLOOKUP(CONCATENATE(J57,"-",R62),$C$2:$G$136,4,FALSE)</f>
        <v>#N/A</v>
      </c>
      <c r="Z62" s="78" t="e">
        <f>VLOOKUP(CONCATENATE(J57,"-",R62),$C$2:$G$136,5,FALSE)</f>
        <v>#N/A</v>
      </c>
    </row>
    <row r="63" spans="1:26" ht="15" hidden="1" customHeight="1" x14ac:dyDescent="0.2">
      <c r="A63"/>
      <c r="B63"/>
      <c r="C63"/>
      <c r="D63"/>
      <c r="E63"/>
      <c r="F63"/>
      <c r="G63"/>
      <c r="I63" t="str">
        <f t="shared" ca="1" si="1"/>
        <v/>
      </c>
      <c r="J63" s="708" t="str">
        <f>IF($J$17=$A$146,"","Risco")</f>
        <v>Risco</v>
      </c>
      <c r="K63" s="708"/>
      <c r="L63" s="708"/>
      <c r="M63" s="708"/>
      <c r="N63" s="708"/>
      <c r="O63" s="708"/>
      <c r="P63" s="708"/>
      <c r="Q63" s="708"/>
      <c r="R63" s="76" t="str">
        <f>IF($J57=$A$146,"","R")</f>
        <v>R</v>
      </c>
      <c r="S63" s="77"/>
      <c r="U63" s="709" t="s">
        <v>166</v>
      </c>
      <c r="V63" s="709"/>
      <c r="W63" s="709"/>
      <c r="X63" s="78" t="e">
        <f>VLOOKUP(CONCATENATE(J57,"-",R63),$C$2:$G$136,3,FALSE)</f>
        <v>#N/A</v>
      </c>
      <c r="Y63" s="78" t="e">
        <f>VLOOKUP(CONCATENATE(J57,"-",R63),$C$2:$G$136,4,FALSE)</f>
        <v>#N/A</v>
      </c>
      <c r="Z63" s="78" t="e">
        <f>VLOOKUP(CONCATENATE(J57,"-",R63),$C$2:$G$136,5,FALSE)</f>
        <v>#N/A</v>
      </c>
    </row>
    <row r="64" spans="1:26" ht="15" hidden="1" customHeight="1" x14ac:dyDescent="0.2">
      <c r="A64"/>
      <c r="B64"/>
      <c r="C64"/>
      <c r="D64"/>
      <c r="E64"/>
      <c r="F64"/>
      <c r="G64"/>
      <c r="I64" t="str">
        <f t="shared" ca="1" si="1"/>
        <v/>
      </c>
      <c r="J64" s="708" t="str">
        <f>IF($J$17=$A$146,"","Despesas Financeiras")</f>
        <v>Despesas Financeiras</v>
      </c>
      <c r="K64" s="708"/>
      <c r="L64" s="708"/>
      <c r="M64" s="708"/>
      <c r="N64" s="708"/>
      <c r="O64" s="708"/>
      <c r="P64" s="708"/>
      <c r="Q64" s="708"/>
      <c r="R64" s="76" t="str">
        <f>IF($J57=$A$146,"","DF")</f>
        <v>DF</v>
      </c>
      <c r="S64" s="77"/>
      <c r="U64" s="709" t="s">
        <v>166</v>
      </c>
      <c r="V64" s="709"/>
      <c r="W64" s="709"/>
      <c r="X64" s="78" t="e">
        <f>VLOOKUP(CONCATENATE(J57,"-",R64),$C$2:$G$136,3,FALSE)</f>
        <v>#N/A</v>
      </c>
      <c r="Y64" s="78" t="e">
        <f>VLOOKUP(CONCATENATE(J57,"-",R64),$C$2:$G$136,4,FALSE)</f>
        <v>#N/A</v>
      </c>
      <c r="Z64" s="78" t="e">
        <f>VLOOKUP(CONCATENATE(J57,"-",R64),$C$2:$G$136,5,FALSE)</f>
        <v>#N/A</v>
      </c>
    </row>
    <row r="65" spans="1:26" ht="15" hidden="1" customHeight="1" x14ac:dyDescent="0.2">
      <c r="A65"/>
      <c r="B65"/>
      <c r="C65"/>
      <c r="D65"/>
      <c r="E65"/>
      <c r="F65"/>
      <c r="G65"/>
      <c r="I65" t="str">
        <f t="shared" ca="1" si="1"/>
        <v/>
      </c>
      <c r="J65" s="708" t="str">
        <f>IF($J$17=$A$146,"Margem bruta da empresa de consultoria","Lucro")</f>
        <v>Lucro</v>
      </c>
      <c r="K65" s="708"/>
      <c r="L65" s="708"/>
      <c r="M65" s="708"/>
      <c r="N65" s="708"/>
      <c r="O65" s="708"/>
      <c r="P65" s="708"/>
      <c r="Q65" s="708"/>
      <c r="R65" s="76" t="str">
        <f>IF($J57=$A$146,"K3","L")</f>
        <v>L</v>
      </c>
      <c r="S65" s="77"/>
      <c r="U65" s="709" t="s">
        <v>166</v>
      </c>
      <c r="V65" s="709"/>
      <c r="W65" s="709"/>
      <c r="X65" s="78" t="e">
        <f>VLOOKUP(CONCATENATE(J57,"-",R65),$C$2:$G$136,3,FALSE)</f>
        <v>#N/A</v>
      </c>
      <c r="Y65" s="78" t="e">
        <f>VLOOKUP(CONCATENATE(J57,"-",R65),$C$2:$G$136,4,FALSE)</f>
        <v>#N/A</v>
      </c>
      <c r="Z65" s="78" t="e">
        <f>VLOOKUP(CONCATENATE(J57,"-",R65),$C$2:$G$136,5,FALSE)</f>
        <v>#N/A</v>
      </c>
    </row>
    <row r="66" spans="1:26" ht="15" hidden="1" customHeight="1" x14ac:dyDescent="0.2">
      <c r="A66"/>
      <c r="B66"/>
      <c r="C66"/>
      <c r="D66"/>
      <c r="E66"/>
      <c r="F66"/>
      <c r="G66"/>
      <c r="I66" t="str">
        <f t="shared" ca="1" si="1"/>
        <v/>
      </c>
      <c r="J66" s="708" t="s">
        <v>168</v>
      </c>
      <c r="K66" s="708"/>
      <c r="L66" s="708"/>
      <c r="M66" s="708"/>
      <c r="N66" s="708"/>
      <c r="O66" s="708"/>
      <c r="P66" s="708"/>
      <c r="Q66" s="708"/>
      <c r="R66" s="76" t="s">
        <v>169</v>
      </c>
      <c r="S66" s="77"/>
      <c r="U66" s="709" t="s">
        <v>166</v>
      </c>
      <c r="V66" s="709"/>
      <c r="W66" s="709"/>
      <c r="X66" s="78">
        <v>3.6499999999999998E-2</v>
      </c>
      <c r="Y66" s="78">
        <v>3.6499999999999998E-2</v>
      </c>
      <c r="Z66" s="78">
        <v>3.6499999999999998E-2</v>
      </c>
    </row>
    <row r="67" spans="1:26" ht="15" hidden="1" customHeight="1" x14ac:dyDescent="0.2">
      <c r="A67"/>
      <c r="B67"/>
      <c r="C67"/>
      <c r="D67"/>
      <c r="E67"/>
      <c r="F67"/>
      <c r="G67"/>
      <c r="I67" t="str">
        <f t="shared" ca="1" si="1"/>
        <v/>
      </c>
      <c r="J67" s="708" t="s">
        <v>170</v>
      </c>
      <c r="K67" s="708"/>
      <c r="L67" s="708"/>
      <c r="M67" s="708"/>
      <c r="N67" s="708"/>
      <c r="O67" s="708"/>
      <c r="P67" s="708"/>
      <c r="Q67" s="708"/>
      <c r="R67" s="76" t="s">
        <v>171</v>
      </c>
      <c r="S67" s="78">
        <f ca="1">IF(AND($J57&lt;&gt;$A$145,COUNTA(OFFSET(S60,1,0,6))&gt;0),$R$11*$R$10,0)</f>
        <v>0</v>
      </c>
      <c r="U67" s="709" t="s">
        <v>166</v>
      </c>
      <c r="V67" s="709"/>
      <c r="W67" s="709"/>
      <c r="X67" s="78">
        <v>0</v>
      </c>
      <c r="Y67" s="78">
        <v>2.5000000000000001E-2</v>
      </c>
      <c r="Z67" s="78">
        <v>0.05</v>
      </c>
    </row>
    <row r="68" spans="1:26" ht="15" hidden="1" customHeight="1" x14ac:dyDescent="0.2">
      <c r="A68"/>
      <c r="B68"/>
      <c r="C68"/>
      <c r="D68"/>
      <c r="E68"/>
      <c r="F68"/>
      <c r="G68"/>
      <c r="I68" t="str">
        <f t="shared" ca="1" si="1"/>
        <v/>
      </c>
      <c r="J68" s="708" t="s">
        <v>172</v>
      </c>
      <c r="K68" s="708"/>
      <c r="L68" s="708"/>
      <c r="M68" s="708"/>
      <c r="N68" s="708"/>
      <c r="O68" s="708"/>
      <c r="P68" s="708"/>
      <c r="Q68" s="708"/>
      <c r="R68" s="76" t="s">
        <v>173</v>
      </c>
      <c r="S68" s="78">
        <f ca="1">IF(BDI.Opcao&lt;&gt;"Desonerado",0,IF(AND($J57&lt;&gt;$A$145,COUNTA(OFFSET(S60,1,0,6))&gt;0),4.5%,0%))</f>
        <v>0</v>
      </c>
      <c r="U68" s="709" t="s">
        <v>166</v>
      </c>
      <c r="V68" s="709"/>
      <c r="W68" s="709"/>
      <c r="X68" s="79">
        <v>0</v>
      </c>
      <c r="Y68" s="79">
        <v>4.4999999999999998E-2</v>
      </c>
      <c r="Z68" s="79">
        <v>4.4999999999999998E-2</v>
      </c>
    </row>
    <row r="69" spans="1:26" ht="15" hidden="1" customHeight="1" x14ac:dyDescent="0.2">
      <c r="A69"/>
      <c r="B69"/>
      <c r="C69"/>
      <c r="D69"/>
      <c r="E69"/>
      <c r="F69"/>
      <c r="G69"/>
      <c r="I69" t="str">
        <f t="shared" ca="1" si="1"/>
        <v/>
      </c>
      <c r="J69" s="708" t="s">
        <v>174</v>
      </c>
      <c r="K69" s="708"/>
      <c r="L69" s="708"/>
      <c r="M69" s="708"/>
      <c r="N69" s="708"/>
      <c r="O69" s="708"/>
      <c r="P69" s="708"/>
      <c r="Q69" s="708"/>
      <c r="R69" s="80" t="s">
        <v>150</v>
      </c>
      <c r="S69" s="78">
        <f ca="1">IF($J57=$A$145,0,ROUND((((1+S61+S62+S63)*(1+S64)*(1+S65)/(1-(S66+S67)))-1),4))</f>
        <v>0</v>
      </c>
      <c r="U69" s="710" t="e">
        <f ca="1">IF(OR($J$17=$A$146,$J$17=$A$145,AND(S69&gt;=X69,S69&lt;=Z69)),"OK","FORA DO INTERVALO")</f>
        <v>#N/A</v>
      </c>
      <c r="V69" s="710"/>
      <c r="W69" s="710"/>
      <c r="X69" s="78" t="e">
        <f>IF($J57=$A$145,0,VLOOKUP(CONCATENATE($J57,"-",$R69),$C$2:$G$136,3,FALSE))</f>
        <v>#N/A</v>
      </c>
      <c r="Y69" s="78" t="e">
        <f>IF($J57=$A$145,0,VLOOKUP(CONCATENATE($J57,"-",$R69),$C$2:$G$136,4,FALSE))</f>
        <v>#N/A</v>
      </c>
      <c r="Z69" s="78" t="e">
        <f>IF($J57=$A$145,0,VLOOKUP(CONCATENATE($J57,"-",$R69),$C$2:$G$136,5,FALSE))</f>
        <v>#N/A</v>
      </c>
    </row>
    <row r="70" spans="1:26" ht="15" hidden="1" customHeight="1" x14ac:dyDescent="0.2">
      <c r="A70"/>
      <c r="B70"/>
      <c r="C70"/>
      <c r="D70"/>
      <c r="E70"/>
      <c r="F70"/>
      <c r="G70"/>
      <c r="I70" t="str">
        <f t="shared" ca="1" si="1"/>
        <v/>
      </c>
      <c r="J70" s="711" t="s">
        <v>175</v>
      </c>
      <c r="K70" s="711"/>
      <c r="L70" s="711"/>
      <c r="M70" s="711"/>
      <c r="N70" s="711"/>
      <c r="O70" s="711"/>
      <c r="P70" s="711"/>
      <c r="Q70" s="711"/>
      <c r="R70" s="81" t="s">
        <v>176</v>
      </c>
      <c r="S70" s="82">
        <f ca="1">IF($J57=$A$145,0,ROUND((((1+S61+S62+S63)*(1+S64)*(1+S65)/(1-(S66+S67+S68)))-1),4))</f>
        <v>0</v>
      </c>
    </row>
    <row r="71" spans="1:26" ht="25.5" hidden="1" customHeight="1" x14ac:dyDescent="0.2">
      <c r="A71"/>
      <c r="B71"/>
      <c r="C71"/>
      <c r="D71"/>
      <c r="E71"/>
      <c r="F71"/>
      <c r="G71"/>
      <c r="I71" t="str">
        <f t="shared" ca="1" si="1"/>
        <v/>
      </c>
    </row>
    <row r="72" spans="1:26" ht="15.75" hidden="1" x14ac:dyDescent="0.2">
      <c r="A72"/>
      <c r="B72"/>
      <c r="C72"/>
      <c r="D72"/>
      <c r="E72"/>
      <c r="F72"/>
      <c r="G72"/>
      <c r="I72" t="str">
        <f t="shared" ca="1" si="1"/>
        <v/>
      </c>
      <c r="J72" s="83" t="e">
        <f ca="1">IF(U69&lt;&gt;"ok","X","")</f>
        <v>#N/A</v>
      </c>
      <c r="K72" s="712" t="e">
        <f ca="1">IF(U69&lt;&gt;"ok","Anexo: Relatório Técnico Circunstanciado justificando a adoção do percentual de cada parcela do BDI.","")</f>
        <v>#N/A</v>
      </c>
      <c r="L72" s="712"/>
      <c r="M72" s="712"/>
      <c r="N72" s="712"/>
      <c r="O72" s="712"/>
      <c r="P72" s="712"/>
      <c r="Q72" s="712"/>
      <c r="R72" s="712"/>
      <c r="S72" s="712"/>
    </row>
    <row r="73" spans="1:26" hidden="1" x14ac:dyDescent="0.2">
      <c r="A73"/>
      <c r="B73"/>
      <c r="C73"/>
      <c r="D73"/>
      <c r="E73"/>
      <c r="F73"/>
      <c r="G73"/>
      <c r="I73" t="str">
        <f t="shared" ca="1" si="1"/>
        <v/>
      </c>
    </row>
    <row r="74" spans="1:26" hidden="1" x14ac:dyDescent="0.2">
      <c r="A74"/>
      <c r="B74"/>
      <c r="C74"/>
      <c r="D74"/>
      <c r="E74"/>
      <c r="F74"/>
      <c r="G74"/>
      <c r="I74" t="str">
        <f t="shared" ca="1" si="1"/>
        <v/>
      </c>
      <c r="J74" s="714" t="s">
        <v>178</v>
      </c>
      <c r="K74" s="714"/>
      <c r="L74" s="714"/>
      <c r="M74" s="714"/>
      <c r="N74" s="714"/>
      <c r="O74" s="714"/>
      <c r="P74" s="714"/>
      <c r="Q74" s="714"/>
      <c r="R74" s="714"/>
      <c r="S74" s="714"/>
    </row>
    <row r="75" spans="1:26" ht="15.75" hidden="1" x14ac:dyDescent="0.25">
      <c r="A75"/>
      <c r="B75"/>
      <c r="C75"/>
      <c r="D75"/>
      <c r="E75"/>
      <c r="F75"/>
      <c r="G75"/>
      <c r="I75" t="str">
        <f t="shared" ca="1" si="1"/>
        <v/>
      </c>
      <c r="J75" s="84"/>
      <c r="K75" s="84"/>
      <c r="L75" s="84"/>
      <c r="M75" s="715" t="s">
        <v>179</v>
      </c>
      <c r="N75" s="716" t="str">
        <f>IF($J57=$A$146,"(1+K1+K2)*(1+K3)","(1+AC + S + R + G)*(1 + DF)*(1+L)")</f>
        <v>(1+AC + S + R + G)*(1 + DF)*(1+L)</v>
      </c>
      <c r="O75" s="716"/>
      <c r="P75" s="716"/>
      <c r="Q75" s="717" t="s">
        <v>180</v>
      </c>
      <c r="R75" s="84"/>
      <c r="S75" s="84"/>
    </row>
    <row r="76" spans="1:26" ht="15.75" hidden="1" x14ac:dyDescent="0.2">
      <c r="A76"/>
      <c r="B76"/>
      <c r="C76"/>
      <c r="D76"/>
      <c r="E76"/>
      <c r="F76"/>
      <c r="G76"/>
      <c r="I76" t="str">
        <f t="shared" ca="1" si="1"/>
        <v/>
      </c>
      <c r="J76" s="84"/>
      <c r="K76" s="84"/>
      <c r="L76" s="84"/>
      <c r="M76" s="715"/>
      <c r="N76" s="707" t="s">
        <v>181</v>
      </c>
      <c r="O76" s="707"/>
      <c r="P76" s="707"/>
      <c r="Q76" s="717"/>
      <c r="R76" s="84"/>
      <c r="S76" s="84"/>
    </row>
    <row r="77" spans="1:26" ht="15" hidden="1" customHeight="1" x14ac:dyDescent="0.2">
      <c r="A77"/>
      <c r="B77"/>
      <c r="C77"/>
      <c r="D77"/>
      <c r="E77"/>
      <c r="F77"/>
      <c r="G77"/>
      <c r="I77" t="str">
        <f t="shared" ca="1" si="1"/>
        <v/>
      </c>
      <c r="J77" s="84"/>
      <c r="K77" s="84"/>
      <c r="L77" s="84"/>
      <c r="M77" s="85"/>
      <c r="N77" s="87"/>
      <c r="O77" s="87"/>
      <c r="P77" s="87"/>
      <c r="Q77" s="86"/>
      <c r="R77" s="84"/>
      <c r="S77" s="84"/>
    </row>
    <row r="78" spans="1:26" ht="50.1" hidden="1" customHeight="1" x14ac:dyDescent="0.2">
      <c r="A78"/>
      <c r="B78"/>
      <c r="C78"/>
      <c r="D78"/>
      <c r="E78"/>
      <c r="F78"/>
      <c r="G78"/>
      <c r="I78" t="str">
        <f t="shared" ca="1" si="1"/>
        <v/>
      </c>
      <c r="J78" s="701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3%.</v>
      </c>
      <c r="K78" s="701"/>
      <c r="L78" s="701"/>
      <c r="M78" s="701"/>
      <c r="N78" s="701"/>
      <c r="O78" s="701"/>
      <c r="P78" s="701"/>
      <c r="Q78" s="701"/>
      <c r="R78" s="701"/>
      <c r="S78" s="701"/>
    </row>
    <row r="79" spans="1:26" hidden="1" x14ac:dyDescent="0.2">
      <c r="A79"/>
      <c r="B79"/>
      <c r="C79"/>
      <c r="D79"/>
      <c r="E79"/>
      <c r="F79"/>
      <c r="G79"/>
      <c r="I79" t="str">
        <f t="shared" ca="1" si="1"/>
        <v/>
      </c>
    </row>
    <row r="80" spans="1:26" ht="50.1" hidden="1" customHeight="1" x14ac:dyDescent="0.2">
      <c r="A80"/>
      <c r="B80"/>
      <c r="C80"/>
      <c r="D80"/>
      <c r="E80"/>
      <c r="F80"/>
      <c r="G80"/>
      <c r="I80" t="str">
        <f t="shared" ca="1" si="1"/>
        <v/>
      </c>
      <c r="J80" s="701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80" s="701"/>
      <c r="L80" s="701"/>
      <c r="M80" s="701"/>
      <c r="N80" s="701"/>
      <c r="O80" s="701"/>
      <c r="P80" s="701"/>
      <c r="Q80" s="701"/>
      <c r="R80" s="701"/>
      <c r="S80" s="701"/>
    </row>
    <row r="81" spans="1:19" hidden="1" x14ac:dyDescent="0.2">
      <c r="A81"/>
      <c r="B81"/>
      <c r="C81"/>
      <c r="D81"/>
      <c r="E81"/>
      <c r="F81"/>
      <c r="G81"/>
      <c r="I81" t="str">
        <f t="shared" ca="1" si="1"/>
        <v/>
      </c>
    </row>
    <row r="82" spans="1:19" hidden="1" x14ac:dyDescent="0.2">
      <c r="A82"/>
      <c r="B82"/>
      <c r="C82"/>
      <c r="D82"/>
      <c r="E82"/>
      <c r="F82"/>
      <c r="G82"/>
      <c r="I82" t="str">
        <f t="shared" ca="1" si="1"/>
        <v/>
      </c>
      <c r="J82" s="65" t="s">
        <v>187</v>
      </c>
    </row>
    <row r="83" spans="1:19" ht="99.95" hidden="1" customHeight="1" x14ac:dyDescent="0.2">
      <c r="A83"/>
      <c r="B83"/>
      <c r="C83"/>
      <c r="D83"/>
      <c r="E83"/>
      <c r="F83"/>
      <c r="G83"/>
      <c r="I83" t="str">
        <f t="shared" ca="1" si="1"/>
        <v/>
      </c>
      <c r="J83" s="702"/>
      <c r="K83" s="702"/>
      <c r="L83" s="702"/>
      <c r="M83" s="702"/>
      <c r="N83" s="702"/>
      <c r="O83" s="702"/>
      <c r="P83" s="702"/>
      <c r="Q83" s="702"/>
      <c r="R83" s="702"/>
      <c r="S83" s="702"/>
    </row>
    <row r="84" spans="1:19" hidden="1" x14ac:dyDescent="0.2">
      <c r="A84"/>
      <c r="B84"/>
      <c r="C84"/>
      <c r="D84"/>
      <c r="E84"/>
      <c r="F84"/>
      <c r="G84"/>
      <c r="I84" t="str">
        <f t="shared" ca="1" si="1"/>
        <v/>
      </c>
    </row>
    <row r="85" spans="1:19" hidden="1" x14ac:dyDescent="0.2">
      <c r="A85"/>
      <c r="B85"/>
      <c r="C85"/>
      <c r="D85"/>
      <c r="E85"/>
      <c r="F85"/>
      <c r="G85"/>
      <c r="I85" t="str">
        <f t="shared" ca="1" si="1"/>
        <v/>
      </c>
      <c r="J85" s="703" t="str">
        <f>Import.Município</f>
        <v>SANTO ÂNGELO - RS</v>
      </c>
      <c r="K85" s="703"/>
      <c r="L85" s="703"/>
      <c r="M85" s="703"/>
      <c r="P85" s="704">
        <f ca="1">DADOS!$F$25</f>
        <v>45573</v>
      </c>
      <c r="Q85" s="704"/>
      <c r="R85" s="704"/>
      <c r="S85" s="704"/>
    </row>
    <row r="86" spans="1:19" hidden="1" x14ac:dyDescent="0.2">
      <c r="A86"/>
      <c r="B86"/>
      <c r="C86"/>
      <c r="D86"/>
      <c r="E86"/>
      <c r="F86"/>
      <c r="G86"/>
      <c r="I86" t="str">
        <f t="shared" ca="1" si="1"/>
        <v/>
      </c>
      <c r="J86" s="705" t="s">
        <v>188</v>
      </c>
      <c r="K86" s="705"/>
      <c r="L86" s="705"/>
      <c r="M86" s="705"/>
      <c r="O86" s="89"/>
      <c r="P86" s="90" t="s">
        <v>189</v>
      </c>
      <c r="Q86" s="91"/>
      <c r="R86" s="91"/>
      <c r="S86" s="91"/>
    </row>
    <row r="87" spans="1:19" ht="30" hidden="1" customHeight="1" x14ac:dyDescent="0.2">
      <c r="A87"/>
      <c r="B87"/>
      <c r="C87"/>
      <c r="D87"/>
      <c r="E87"/>
      <c r="F87"/>
      <c r="G87"/>
      <c r="I87" t="str">
        <f t="shared" ca="1" si="1"/>
        <v/>
      </c>
    </row>
    <row r="88" spans="1:19" ht="15" hidden="1" x14ac:dyDescent="0.2">
      <c r="A88"/>
      <c r="B88"/>
      <c r="C88"/>
      <c r="D88"/>
      <c r="E88"/>
      <c r="F88"/>
      <c r="G88"/>
      <c r="I88" t="str">
        <f t="shared" ca="1" si="1"/>
        <v/>
      </c>
      <c r="J88" s="706"/>
      <c r="K88" s="706"/>
      <c r="L88" s="706"/>
      <c r="M88" s="706"/>
      <c r="N88" s="92"/>
    </row>
    <row r="89" spans="1:19" hidden="1" x14ac:dyDescent="0.2">
      <c r="A89"/>
      <c r="B89"/>
      <c r="C89"/>
      <c r="D89"/>
      <c r="E89"/>
      <c r="F89"/>
      <c r="G89"/>
      <c r="I89" t="str">
        <f t="shared" ca="1" si="1"/>
        <v/>
      </c>
      <c r="J89" s="700" t="s">
        <v>190</v>
      </c>
      <c r="K89" s="700"/>
      <c r="L89" s="700"/>
      <c r="M89" s="700"/>
      <c r="N89" s="93"/>
    </row>
    <row r="90" spans="1:19" ht="14.25" hidden="1" x14ac:dyDescent="0.2">
      <c r="A90"/>
      <c r="B90"/>
      <c r="C90"/>
      <c r="D90"/>
      <c r="E90"/>
      <c r="F90"/>
      <c r="G90"/>
      <c r="I90" t="str">
        <f t="shared" ca="1" si="1"/>
        <v/>
      </c>
      <c r="J90" s="94" t="s">
        <v>108</v>
      </c>
      <c r="K90" s="95" t="str">
        <f t="array" ref="K90:K92">Import.RespOrçamento</f>
        <v>NILSON DO PRADO RODRIGUES</v>
      </c>
      <c r="L90" s="96"/>
      <c r="M90" s="96"/>
      <c r="N90" s="97"/>
    </row>
    <row r="91" spans="1:19" ht="14.25" hidden="1" x14ac:dyDescent="0.2">
      <c r="A91"/>
      <c r="B91"/>
      <c r="C91"/>
      <c r="D91"/>
      <c r="E91"/>
      <c r="F91"/>
      <c r="G91"/>
      <c r="I91" t="str">
        <f t="shared" ca="1" si="1"/>
        <v/>
      </c>
      <c r="J91" s="94" t="s">
        <v>109</v>
      </c>
      <c r="K91" s="95" t="str">
        <v>172357-5</v>
      </c>
      <c r="L91" s="96"/>
      <c r="M91" s="96"/>
      <c r="N91" s="97"/>
    </row>
    <row r="92" spans="1:19" ht="14.25" hidden="1" x14ac:dyDescent="0.2">
      <c r="A92"/>
      <c r="B92"/>
      <c r="C92"/>
      <c r="D92"/>
      <c r="E92"/>
      <c r="F92"/>
      <c r="G92"/>
      <c r="I92" t="str">
        <f t="shared" ca="1" si="1"/>
        <v/>
      </c>
      <c r="J92" s="94" t="s">
        <v>110</v>
      </c>
      <c r="K92" s="95">
        <v>0</v>
      </c>
      <c r="L92" s="96"/>
      <c r="M92" s="96"/>
      <c r="N92" s="97"/>
    </row>
    <row r="93" spans="1:19" ht="14.25" hidden="1" x14ac:dyDescent="0.2">
      <c r="A93"/>
      <c r="B93"/>
      <c r="C93"/>
      <c r="D93"/>
      <c r="E93"/>
      <c r="F93"/>
      <c r="G93"/>
      <c r="I93" t="str">
        <f t="shared" ca="1" si="1"/>
        <v/>
      </c>
      <c r="J93" s="94"/>
      <c r="K93" s="98"/>
      <c r="L93" s="96"/>
      <c r="M93" s="96"/>
      <c r="N93" s="97"/>
    </row>
    <row r="94" spans="1:19" ht="15.75" hidden="1" x14ac:dyDescent="0.25">
      <c r="A94"/>
      <c r="B94"/>
      <c r="C94"/>
      <c r="D94"/>
      <c r="E94"/>
      <c r="F94"/>
      <c r="G94"/>
      <c r="I94" t="str">
        <f ca="1">IF($S$109=0,"","F")</f>
        <v/>
      </c>
      <c r="J94" s="722" t="s">
        <v>192</v>
      </c>
      <c r="K94" s="722"/>
      <c r="L94" s="722"/>
      <c r="M94" s="722"/>
      <c r="N94" s="722"/>
      <c r="O94" s="722"/>
      <c r="P94" s="722"/>
      <c r="Q94" s="722"/>
      <c r="R94" s="722"/>
      <c r="S94" s="722"/>
    </row>
    <row r="95" spans="1:19" hidden="1" x14ac:dyDescent="0.2">
      <c r="A95"/>
      <c r="B95"/>
      <c r="C95"/>
      <c r="D95"/>
      <c r="E95"/>
      <c r="F95"/>
      <c r="G95"/>
      <c r="I95" t="str">
        <f t="shared" ref="I95:I132" ca="1" si="2">IF($S$109=0,"","F")</f>
        <v/>
      </c>
    </row>
    <row r="96" spans="1:19" hidden="1" x14ac:dyDescent="0.2">
      <c r="A96"/>
      <c r="B96"/>
      <c r="C96"/>
      <c r="D96"/>
      <c r="E96"/>
      <c r="F96"/>
      <c r="G96"/>
      <c r="I96" t="str">
        <f t="shared" ca="1" si="2"/>
        <v/>
      </c>
      <c r="J96" s="720" t="s">
        <v>157</v>
      </c>
      <c r="K96" s="720"/>
      <c r="L96" s="720"/>
      <c r="M96" s="720"/>
      <c r="N96" s="720"/>
      <c r="O96" s="720"/>
      <c r="P96" s="720"/>
      <c r="Q96" s="720"/>
      <c r="R96" s="720"/>
      <c r="S96" s="720"/>
    </row>
    <row r="97" spans="1:26" hidden="1" x14ac:dyDescent="0.2">
      <c r="A97"/>
      <c r="B97"/>
      <c r="C97"/>
      <c r="D97"/>
      <c r="E97"/>
      <c r="F97"/>
      <c r="G97"/>
      <c r="I97" t="str">
        <f t="shared" ca="1" si="2"/>
        <v/>
      </c>
      <c r="J97" s="721" t="s">
        <v>409</v>
      </c>
      <c r="K97" s="721"/>
      <c r="L97" s="721"/>
      <c r="M97" s="721"/>
      <c r="N97" s="721"/>
      <c r="O97" s="721"/>
      <c r="P97" s="721"/>
      <c r="Q97" s="721"/>
      <c r="R97" s="721"/>
      <c r="S97" s="721"/>
    </row>
    <row r="98" spans="1:26" hidden="1" x14ac:dyDescent="0.2">
      <c r="A98"/>
      <c r="B98"/>
      <c r="C98"/>
      <c r="D98"/>
      <c r="E98"/>
      <c r="F98"/>
      <c r="G98"/>
      <c r="I98" t="str">
        <f t="shared" ca="1" si="2"/>
        <v/>
      </c>
    </row>
    <row r="99" spans="1:26" ht="12.75" hidden="1" customHeight="1" x14ac:dyDescent="0.2">
      <c r="A99"/>
      <c r="B99"/>
      <c r="C99"/>
      <c r="D99"/>
      <c r="E99"/>
      <c r="F99"/>
      <c r="G99"/>
      <c r="I99" t="str">
        <f t="shared" ca="1" si="2"/>
        <v/>
      </c>
      <c r="J99" s="719" t="s">
        <v>158</v>
      </c>
      <c r="K99" s="719"/>
      <c r="L99" s="719"/>
      <c r="M99" s="719"/>
      <c r="N99" s="719"/>
      <c r="O99" s="719"/>
      <c r="P99" s="719"/>
      <c r="Q99" s="719"/>
      <c r="R99" s="719" t="s">
        <v>159</v>
      </c>
      <c r="S99" s="710" t="s">
        <v>160</v>
      </c>
      <c r="U99" s="710" t="s">
        <v>161</v>
      </c>
      <c r="V99" s="710"/>
      <c r="W99" s="710"/>
      <c r="X99" s="718" t="s">
        <v>162</v>
      </c>
      <c r="Y99" s="718" t="s">
        <v>163</v>
      </c>
      <c r="Z99" s="718" t="s">
        <v>164</v>
      </c>
    </row>
    <row r="100" spans="1:26" ht="12.75" hidden="1" customHeight="1" x14ac:dyDescent="0.2">
      <c r="A100"/>
      <c r="B100"/>
      <c r="C100"/>
      <c r="D100"/>
      <c r="E100"/>
      <c r="F100"/>
      <c r="G100"/>
      <c r="I100" t="str">
        <f t="shared" ca="1" si="2"/>
        <v/>
      </c>
      <c r="J100" s="719"/>
      <c r="K100" s="719"/>
      <c r="L100" s="719"/>
      <c r="M100" s="719"/>
      <c r="N100" s="719"/>
      <c r="O100" s="719"/>
      <c r="P100" s="719"/>
      <c r="Q100" s="719"/>
      <c r="R100" s="719"/>
      <c r="S100" s="710"/>
      <c r="U100" s="710"/>
      <c r="V100" s="710"/>
      <c r="W100" s="710"/>
      <c r="X100" s="718"/>
      <c r="Y100" s="718"/>
      <c r="Z100" s="718"/>
    </row>
    <row r="101" spans="1:26" ht="15" hidden="1" customHeight="1" x14ac:dyDescent="0.2">
      <c r="A101"/>
      <c r="B101"/>
      <c r="C101"/>
      <c r="D101"/>
      <c r="E101"/>
      <c r="F101"/>
      <c r="G101"/>
      <c r="I101" t="str">
        <f t="shared" ca="1" si="2"/>
        <v/>
      </c>
      <c r="J101" s="708" t="str">
        <f>IF($J$17=$A$146,"Encargos Sociais incidentes sobre a mão de obra","Administração Central")</f>
        <v>Administração Central</v>
      </c>
      <c r="K101" s="708"/>
      <c r="L101" s="708"/>
      <c r="M101" s="708"/>
      <c r="N101" s="708"/>
      <c r="O101" s="708"/>
      <c r="P101" s="708"/>
      <c r="Q101" s="708"/>
      <c r="R101" s="76" t="str">
        <f>IF($J97=$A$146,"K1","AC")</f>
        <v>AC</v>
      </c>
      <c r="S101" s="77"/>
      <c r="U101" s="709" t="s">
        <v>166</v>
      </c>
      <c r="V101" s="709"/>
      <c r="W101" s="709"/>
      <c r="X101" s="78" t="e">
        <f>VLOOKUP(CONCATENATE(J97,"-",R101),$C$2:$G$136,3,FALSE)</f>
        <v>#N/A</v>
      </c>
      <c r="Y101" s="78" t="e">
        <f>VLOOKUP(CONCATENATE(J97,"-",R101),$C$2:$G$136,4,FALSE)</f>
        <v>#N/A</v>
      </c>
      <c r="Z101" s="78" t="e">
        <f>VLOOKUP(CONCATENATE(J97,"-",R101),$C$2:$G$136,5,FALSE)</f>
        <v>#N/A</v>
      </c>
    </row>
    <row r="102" spans="1:26" ht="15" hidden="1" customHeight="1" x14ac:dyDescent="0.2">
      <c r="A102"/>
      <c r="B102"/>
      <c r="C102"/>
      <c r="D102"/>
      <c r="E102"/>
      <c r="F102"/>
      <c r="G102"/>
      <c r="I102" t="str">
        <f t="shared" ca="1" si="2"/>
        <v/>
      </c>
      <c r="J102" s="708" t="str">
        <f>IF($J$17=$A$146,"Administração Central da empresa ou consultoria - overhead","Seguro e Garantia")</f>
        <v>Seguro e Garantia</v>
      </c>
      <c r="K102" s="708"/>
      <c r="L102" s="708"/>
      <c r="M102" s="708"/>
      <c r="N102" s="708"/>
      <c r="O102" s="708"/>
      <c r="P102" s="708"/>
      <c r="Q102" s="708"/>
      <c r="R102" s="76" t="str">
        <f>IF($J97=$A$146,"K2","SG")</f>
        <v>SG</v>
      </c>
      <c r="S102" s="77"/>
      <c r="U102" s="709" t="s">
        <v>166</v>
      </c>
      <c r="V102" s="709"/>
      <c r="W102" s="709"/>
      <c r="X102" s="78" t="e">
        <f>VLOOKUP(CONCATENATE(J97,"-",R102),$C$2:$G$136,3,FALSE)</f>
        <v>#N/A</v>
      </c>
      <c r="Y102" s="78" t="e">
        <f>VLOOKUP(CONCATENATE(J97,"-",R102),$C$2:$G$136,4,FALSE)</f>
        <v>#N/A</v>
      </c>
      <c r="Z102" s="78" t="e">
        <f>VLOOKUP(CONCATENATE(J97,"-",R102),$C$2:$G$136,5,FALSE)</f>
        <v>#N/A</v>
      </c>
    </row>
    <row r="103" spans="1:26" ht="15" hidden="1" customHeight="1" x14ac:dyDescent="0.2">
      <c r="A103"/>
      <c r="B103"/>
      <c r="C103"/>
      <c r="D103"/>
      <c r="E103"/>
      <c r="F103"/>
      <c r="G103"/>
      <c r="I103" t="str">
        <f t="shared" ca="1" si="2"/>
        <v/>
      </c>
      <c r="J103" s="708" t="str">
        <f>IF($J$17=$A$146,"","Risco")</f>
        <v>Risco</v>
      </c>
      <c r="K103" s="708"/>
      <c r="L103" s="708"/>
      <c r="M103" s="708"/>
      <c r="N103" s="708"/>
      <c r="O103" s="708"/>
      <c r="P103" s="708"/>
      <c r="Q103" s="708"/>
      <c r="R103" s="76" t="str">
        <f>IF($J97=$A$146,"","R")</f>
        <v>R</v>
      </c>
      <c r="S103" s="77"/>
      <c r="U103" s="709" t="s">
        <v>166</v>
      </c>
      <c r="V103" s="709"/>
      <c r="W103" s="709"/>
      <c r="X103" s="78" t="e">
        <f>VLOOKUP(CONCATENATE(J97,"-",R103),$C$2:$G$136,3,FALSE)</f>
        <v>#N/A</v>
      </c>
      <c r="Y103" s="78" t="e">
        <f>VLOOKUP(CONCATENATE(J97,"-",R103),$C$2:$G$136,4,FALSE)</f>
        <v>#N/A</v>
      </c>
      <c r="Z103" s="78" t="e">
        <f>VLOOKUP(CONCATENATE(J97,"-",R103),$C$2:$G$136,5,FALSE)</f>
        <v>#N/A</v>
      </c>
    </row>
    <row r="104" spans="1:26" ht="15" hidden="1" customHeight="1" x14ac:dyDescent="0.2">
      <c r="A104"/>
      <c r="B104"/>
      <c r="C104"/>
      <c r="D104"/>
      <c r="E104"/>
      <c r="F104"/>
      <c r="G104"/>
      <c r="I104" t="str">
        <f t="shared" ca="1" si="2"/>
        <v/>
      </c>
      <c r="J104" s="708" t="str">
        <f>IF($J$17=$A$146,"","Despesas Financeiras")</f>
        <v>Despesas Financeiras</v>
      </c>
      <c r="K104" s="708"/>
      <c r="L104" s="708"/>
      <c r="M104" s="708"/>
      <c r="N104" s="708"/>
      <c r="O104" s="708"/>
      <c r="P104" s="708"/>
      <c r="Q104" s="708"/>
      <c r="R104" s="76" t="str">
        <f>IF($J97=$A$146,"","DF")</f>
        <v>DF</v>
      </c>
      <c r="S104" s="77"/>
      <c r="U104" s="709" t="s">
        <v>166</v>
      </c>
      <c r="V104" s="709"/>
      <c r="W104" s="709"/>
      <c r="X104" s="78" t="e">
        <f>VLOOKUP(CONCATENATE(J97,"-",R104),$C$2:$G$136,3,FALSE)</f>
        <v>#N/A</v>
      </c>
      <c r="Y104" s="78" t="e">
        <f>VLOOKUP(CONCATENATE(J97,"-",R104),$C$2:$G$136,4,FALSE)</f>
        <v>#N/A</v>
      </c>
      <c r="Z104" s="78" t="e">
        <f>VLOOKUP(CONCATENATE(J97,"-",R104),$C$2:$G$136,5,FALSE)</f>
        <v>#N/A</v>
      </c>
    </row>
    <row r="105" spans="1:26" ht="15" hidden="1" customHeight="1" x14ac:dyDescent="0.2">
      <c r="A105"/>
      <c r="B105"/>
      <c r="C105"/>
      <c r="D105"/>
      <c r="E105"/>
      <c r="F105"/>
      <c r="G105"/>
      <c r="I105" t="str">
        <f t="shared" ca="1" si="2"/>
        <v/>
      </c>
      <c r="J105" s="708" t="str">
        <f>IF($J$17=$A$146,"Margem bruta da empresa de consultoria","Lucro")</f>
        <v>Lucro</v>
      </c>
      <c r="K105" s="708"/>
      <c r="L105" s="708"/>
      <c r="M105" s="708"/>
      <c r="N105" s="708"/>
      <c r="O105" s="708"/>
      <c r="P105" s="708"/>
      <c r="Q105" s="708"/>
      <c r="R105" s="76" t="str">
        <f>IF($J97=$A$146,"K3","L")</f>
        <v>L</v>
      </c>
      <c r="S105" s="77"/>
      <c r="U105" s="709" t="s">
        <v>166</v>
      </c>
      <c r="V105" s="709"/>
      <c r="W105" s="709"/>
      <c r="X105" s="78" t="e">
        <f>VLOOKUP(CONCATENATE(J97,"-",R105),$C$2:$G$136,3,FALSE)</f>
        <v>#N/A</v>
      </c>
      <c r="Y105" s="78" t="e">
        <f>VLOOKUP(CONCATENATE(J97,"-",R105),$C$2:$G$136,4,FALSE)</f>
        <v>#N/A</v>
      </c>
      <c r="Z105" s="78" t="e">
        <f>VLOOKUP(CONCATENATE(J97,"-",R105),$C$2:$G$136,5,FALSE)</f>
        <v>#N/A</v>
      </c>
    </row>
    <row r="106" spans="1:26" ht="15" hidden="1" customHeight="1" x14ac:dyDescent="0.2">
      <c r="A106"/>
      <c r="B106"/>
      <c r="C106"/>
      <c r="D106"/>
      <c r="E106"/>
      <c r="F106"/>
      <c r="G106"/>
      <c r="I106" t="str">
        <f t="shared" ca="1" si="2"/>
        <v/>
      </c>
      <c r="J106" s="708" t="s">
        <v>168</v>
      </c>
      <c r="K106" s="708"/>
      <c r="L106" s="708"/>
      <c r="M106" s="708"/>
      <c r="N106" s="708"/>
      <c r="O106" s="708"/>
      <c r="P106" s="708"/>
      <c r="Q106" s="708"/>
      <c r="R106" s="76" t="s">
        <v>169</v>
      </c>
      <c r="S106" s="77"/>
      <c r="U106" s="709" t="s">
        <v>166</v>
      </c>
      <c r="V106" s="709"/>
      <c r="W106" s="709"/>
      <c r="X106" s="78">
        <v>3.6499999999999998E-2</v>
      </c>
      <c r="Y106" s="78">
        <v>3.6499999999999998E-2</v>
      </c>
      <c r="Z106" s="78">
        <v>3.6499999999999998E-2</v>
      </c>
    </row>
    <row r="107" spans="1:26" ht="15" hidden="1" customHeight="1" x14ac:dyDescent="0.2">
      <c r="A107"/>
      <c r="B107"/>
      <c r="C107"/>
      <c r="D107"/>
      <c r="E107"/>
      <c r="F107"/>
      <c r="G107"/>
      <c r="I107" t="str">
        <f t="shared" ca="1" si="2"/>
        <v/>
      </c>
      <c r="J107" s="708" t="s">
        <v>170</v>
      </c>
      <c r="K107" s="708"/>
      <c r="L107" s="708"/>
      <c r="M107" s="708"/>
      <c r="N107" s="708"/>
      <c r="O107" s="708"/>
      <c r="P107" s="708"/>
      <c r="Q107" s="708"/>
      <c r="R107" s="76" t="s">
        <v>171</v>
      </c>
      <c r="S107" s="78">
        <f ca="1">IF(AND($J97&lt;&gt;$A$145,COUNTA(OFFSET(S100,1,0,6))&gt;0),$R$11*$R$10,0)</f>
        <v>0</v>
      </c>
      <c r="U107" s="709" t="s">
        <v>166</v>
      </c>
      <c r="V107" s="709"/>
      <c r="W107" s="709"/>
      <c r="X107" s="78">
        <v>0</v>
      </c>
      <c r="Y107" s="78">
        <v>2.5000000000000001E-2</v>
      </c>
      <c r="Z107" s="78">
        <v>0.05</v>
      </c>
    </row>
    <row r="108" spans="1:26" ht="15" hidden="1" customHeight="1" x14ac:dyDescent="0.2">
      <c r="A108"/>
      <c r="B108"/>
      <c r="C108"/>
      <c r="D108"/>
      <c r="E108"/>
      <c r="F108"/>
      <c r="G108"/>
      <c r="I108" t="str">
        <f t="shared" ca="1" si="2"/>
        <v/>
      </c>
      <c r="J108" s="708" t="s">
        <v>172</v>
      </c>
      <c r="K108" s="708"/>
      <c r="L108" s="708"/>
      <c r="M108" s="708"/>
      <c r="N108" s="708"/>
      <c r="O108" s="708"/>
      <c r="P108" s="708"/>
      <c r="Q108" s="708"/>
      <c r="R108" s="76" t="s">
        <v>173</v>
      </c>
      <c r="S108" s="78">
        <f ca="1">IF(BDI.Opcao&lt;&gt;"Desonerado",0,IF(AND($J97&lt;&gt;$A$145,COUNTA(OFFSET(S100,1,0,6))&gt;0),4.5%,0%))</f>
        <v>0</v>
      </c>
      <c r="U108" s="709" t="s">
        <v>166</v>
      </c>
      <c r="V108" s="709"/>
      <c r="W108" s="709"/>
      <c r="X108" s="79">
        <v>0</v>
      </c>
      <c r="Y108" s="79">
        <v>4.4999999999999998E-2</v>
      </c>
      <c r="Z108" s="79">
        <v>4.4999999999999998E-2</v>
      </c>
    </row>
    <row r="109" spans="1:26" ht="15" hidden="1" customHeight="1" x14ac:dyDescent="0.2">
      <c r="A109"/>
      <c r="B109"/>
      <c r="C109"/>
      <c r="D109"/>
      <c r="E109"/>
      <c r="F109"/>
      <c r="G109"/>
      <c r="I109" t="str">
        <f t="shared" ca="1" si="2"/>
        <v/>
      </c>
      <c r="J109" s="708" t="s">
        <v>174</v>
      </c>
      <c r="K109" s="708"/>
      <c r="L109" s="708"/>
      <c r="M109" s="708"/>
      <c r="N109" s="708"/>
      <c r="O109" s="708"/>
      <c r="P109" s="708"/>
      <c r="Q109" s="708"/>
      <c r="R109" s="80" t="s">
        <v>150</v>
      </c>
      <c r="S109" s="78">
        <f ca="1">IF($J97=$A$145,0,ROUND((((1+S101+S102+S103)*(1+S104)*(1+S105)/(1-(S106+S107)))-1),4))</f>
        <v>0</v>
      </c>
      <c r="U109" s="710" t="e">
        <f ca="1">IF(OR($J$17=$A$146,$J$17=$A$145,AND(S109&gt;=X109,S109&lt;=Z109)),"OK","FORA DO INTERVALO")</f>
        <v>#N/A</v>
      </c>
      <c r="V109" s="710"/>
      <c r="W109" s="710"/>
      <c r="X109" s="78" t="e">
        <f>IF($J97=$A$145,0,VLOOKUP(CONCATENATE($J97,"-",$R109),$C$2:$G$136,3,FALSE))</f>
        <v>#N/A</v>
      </c>
      <c r="Y109" s="78" t="e">
        <f>IF($J97=$A$145,0,VLOOKUP(CONCATENATE($J97,"-",$R109),$C$2:$G$136,4,FALSE))</f>
        <v>#N/A</v>
      </c>
      <c r="Z109" s="78" t="e">
        <f>IF($J97=$A$145,0,VLOOKUP(CONCATENATE($J97,"-",$R109),$C$2:$G$136,5,FALSE))</f>
        <v>#N/A</v>
      </c>
    </row>
    <row r="110" spans="1:26" ht="15" hidden="1" customHeight="1" x14ac:dyDescent="0.2">
      <c r="A110"/>
      <c r="B110"/>
      <c r="C110"/>
      <c r="D110"/>
      <c r="E110"/>
      <c r="F110"/>
      <c r="G110"/>
      <c r="I110" t="str">
        <f t="shared" ca="1" si="2"/>
        <v/>
      </c>
      <c r="J110" s="711" t="s">
        <v>175</v>
      </c>
      <c r="K110" s="711"/>
      <c r="L110" s="711"/>
      <c r="M110" s="711"/>
      <c r="N110" s="711"/>
      <c r="O110" s="711"/>
      <c r="P110" s="711"/>
      <c r="Q110" s="711"/>
      <c r="R110" s="81" t="s">
        <v>176</v>
      </c>
      <c r="S110" s="82">
        <f ca="1">IF($J97=$A$145,0,ROUND((((1+S101+S102+S103)*(1+S104)*(1+S105)/(1-(S106+S107+S108)))-1),4))</f>
        <v>0</v>
      </c>
    </row>
    <row r="111" spans="1:26" ht="25.5" hidden="1" customHeight="1" x14ac:dyDescent="0.2">
      <c r="A111"/>
      <c r="B111"/>
      <c r="C111"/>
      <c r="D111"/>
      <c r="E111"/>
      <c r="F111"/>
      <c r="G111"/>
      <c r="I111" t="str">
        <f t="shared" ca="1" si="2"/>
        <v/>
      </c>
    </row>
    <row r="112" spans="1:26" ht="15.75" hidden="1" x14ac:dyDescent="0.2">
      <c r="A112"/>
      <c r="B112"/>
      <c r="C112"/>
      <c r="D112"/>
      <c r="E112"/>
      <c r="F112"/>
      <c r="G112"/>
      <c r="I112" t="str">
        <f t="shared" ca="1" si="2"/>
        <v/>
      </c>
      <c r="J112" s="83" t="e">
        <f ca="1">IF(U109&lt;&gt;"ok","X","")</f>
        <v>#N/A</v>
      </c>
      <c r="K112" s="712" t="e">
        <f ca="1">IF(U109&lt;&gt;"ok","Anexo: Relatório Técnico Circunstanciado justificando a adoção do percentual de cada parcela do BDI.","")</f>
        <v>#N/A</v>
      </c>
      <c r="L112" s="712"/>
      <c r="M112" s="712"/>
      <c r="N112" s="712"/>
      <c r="O112" s="712"/>
      <c r="P112" s="712"/>
      <c r="Q112" s="712"/>
      <c r="R112" s="712"/>
      <c r="S112" s="712"/>
    </row>
    <row r="113" spans="1:19" hidden="1" x14ac:dyDescent="0.2">
      <c r="A113"/>
      <c r="B113"/>
      <c r="C113"/>
      <c r="D113"/>
      <c r="E113"/>
      <c r="F113"/>
      <c r="G113"/>
      <c r="I113" t="str">
        <f t="shared" ca="1" si="2"/>
        <v/>
      </c>
    </row>
    <row r="114" spans="1:19" hidden="1" x14ac:dyDescent="0.2">
      <c r="A114"/>
      <c r="B114"/>
      <c r="C114"/>
      <c r="D114"/>
      <c r="E114"/>
      <c r="F114"/>
      <c r="G114"/>
      <c r="I114" t="str">
        <f t="shared" ca="1" si="2"/>
        <v/>
      </c>
      <c r="J114" s="714" t="s">
        <v>178</v>
      </c>
      <c r="K114" s="714"/>
      <c r="L114" s="714"/>
      <c r="M114" s="714"/>
      <c r="N114" s="714"/>
      <c r="O114" s="714"/>
      <c r="P114" s="714"/>
      <c r="Q114" s="714"/>
      <c r="R114" s="714"/>
      <c r="S114" s="714"/>
    </row>
    <row r="115" spans="1:19" ht="15.75" hidden="1" x14ac:dyDescent="0.25">
      <c r="A115"/>
      <c r="B115"/>
      <c r="C115"/>
      <c r="D115"/>
      <c r="E115"/>
      <c r="F115"/>
      <c r="G115"/>
      <c r="I115" t="str">
        <f t="shared" ca="1" si="2"/>
        <v/>
      </c>
      <c r="J115" s="84"/>
      <c r="K115" s="84"/>
      <c r="L115" s="84"/>
      <c r="M115" s="715" t="s">
        <v>179</v>
      </c>
      <c r="N115" s="716" t="str">
        <f>IF($J97=$A$146,"(1+K1+K2)*(1+K3)","(1+AC + S + R + G)*(1 + DF)*(1+L)")</f>
        <v>(1+AC + S + R + G)*(1 + DF)*(1+L)</v>
      </c>
      <c r="O115" s="716"/>
      <c r="P115" s="716"/>
      <c r="Q115" s="717" t="s">
        <v>180</v>
      </c>
      <c r="R115" s="84"/>
      <c r="S115" s="84"/>
    </row>
    <row r="116" spans="1:19" ht="15.75" hidden="1" x14ac:dyDescent="0.2">
      <c r="A116"/>
      <c r="B116"/>
      <c r="C116"/>
      <c r="D116"/>
      <c r="E116"/>
      <c r="F116"/>
      <c r="G116"/>
      <c r="I116" t="str">
        <f t="shared" ca="1" si="2"/>
        <v/>
      </c>
      <c r="J116" s="84"/>
      <c r="K116" s="84"/>
      <c r="L116" s="84"/>
      <c r="M116" s="715"/>
      <c r="N116" s="707" t="s">
        <v>181</v>
      </c>
      <c r="O116" s="707"/>
      <c r="P116" s="707"/>
      <c r="Q116" s="717"/>
      <c r="R116" s="84"/>
      <c r="S116" s="84"/>
    </row>
    <row r="117" spans="1:19" ht="15" hidden="1" customHeight="1" x14ac:dyDescent="0.2">
      <c r="A117"/>
      <c r="B117"/>
      <c r="C117"/>
      <c r="D117"/>
      <c r="E117"/>
      <c r="F117"/>
      <c r="G117"/>
      <c r="I117" t="str">
        <f t="shared" ca="1" si="2"/>
        <v/>
      </c>
      <c r="J117" s="84"/>
      <c r="K117" s="84"/>
      <c r="L117" s="84"/>
      <c r="M117" s="85"/>
      <c r="N117" s="87"/>
      <c r="O117" s="87"/>
      <c r="P117" s="87"/>
      <c r="Q117" s="86"/>
      <c r="R117" s="84"/>
      <c r="S117" s="84"/>
    </row>
    <row r="118" spans="1:19" ht="50.1" hidden="1" customHeight="1" x14ac:dyDescent="0.2">
      <c r="A118"/>
      <c r="B118"/>
      <c r="C118"/>
      <c r="D118"/>
      <c r="E118"/>
      <c r="F118"/>
      <c r="G118"/>
      <c r="I118" t="str">
        <f t="shared" ca="1" si="2"/>
        <v/>
      </c>
      <c r="J118" s="701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3%.</v>
      </c>
      <c r="K118" s="701"/>
      <c r="L118" s="701"/>
      <c r="M118" s="701"/>
      <c r="N118" s="701"/>
      <c r="O118" s="701"/>
      <c r="P118" s="701"/>
      <c r="Q118" s="701"/>
      <c r="R118" s="701"/>
      <c r="S118" s="701"/>
    </row>
    <row r="119" spans="1:19" hidden="1" x14ac:dyDescent="0.2">
      <c r="A119"/>
      <c r="B119"/>
      <c r="C119"/>
      <c r="D119"/>
      <c r="E119"/>
      <c r="F119"/>
      <c r="G119"/>
      <c r="I119" t="str">
        <f t="shared" ca="1" si="2"/>
        <v/>
      </c>
    </row>
    <row r="120" spans="1:19" ht="50.1" hidden="1" customHeight="1" x14ac:dyDescent="0.2">
      <c r="A120"/>
      <c r="B120"/>
      <c r="C120"/>
      <c r="D120"/>
      <c r="E120"/>
      <c r="F120"/>
      <c r="G120"/>
      <c r="I120" t="str">
        <f t="shared" ca="1" si="2"/>
        <v/>
      </c>
      <c r="J120" s="701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120" s="701"/>
      <c r="L120" s="701"/>
      <c r="M120" s="701"/>
      <c r="N120" s="701"/>
      <c r="O120" s="701"/>
      <c r="P120" s="701"/>
      <c r="Q120" s="701"/>
      <c r="R120" s="701"/>
      <c r="S120" s="701"/>
    </row>
    <row r="121" spans="1:19" hidden="1" x14ac:dyDescent="0.2">
      <c r="A121"/>
      <c r="B121"/>
      <c r="C121"/>
      <c r="D121"/>
      <c r="E121"/>
      <c r="F121"/>
      <c r="G121"/>
      <c r="I121" t="str">
        <f t="shared" ca="1" si="2"/>
        <v/>
      </c>
    </row>
    <row r="122" spans="1:19" hidden="1" x14ac:dyDescent="0.2">
      <c r="A122"/>
      <c r="B122"/>
      <c r="C122"/>
      <c r="D122"/>
      <c r="E122"/>
      <c r="F122"/>
      <c r="G122"/>
      <c r="I122" t="str">
        <f t="shared" ca="1" si="2"/>
        <v/>
      </c>
      <c r="J122" s="65" t="s">
        <v>187</v>
      </c>
    </row>
    <row r="123" spans="1:19" ht="110.1" hidden="1" customHeight="1" x14ac:dyDescent="0.2">
      <c r="A123"/>
      <c r="B123"/>
      <c r="C123"/>
      <c r="D123"/>
      <c r="E123"/>
      <c r="F123"/>
      <c r="G123"/>
      <c r="I123" t="str">
        <f t="shared" ca="1" si="2"/>
        <v/>
      </c>
      <c r="J123" s="702"/>
      <c r="K123" s="702"/>
      <c r="L123" s="702"/>
      <c r="M123" s="702"/>
      <c r="N123" s="702"/>
      <c r="O123" s="702"/>
      <c r="P123" s="702"/>
      <c r="Q123" s="702"/>
      <c r="R123" s="702"/>
      <c r="S123" s="702"/>
    </row>
    <row r="124" spans="1:19" hidden="1" x14ac:dyDescent="0.2">
      <c r="A124"/>
      <c r="B124"/>
      <c r="C124"/>
      <c r="D124"/>
      <c r="E124"/>
      <c r="F124"/>
      <c r="G124"/>
      <c r="I124" t="str">
        <f t="shared" ca="1" si="2"/>
        <v/>
      </c>
    </row>
    <row r="125" spans="1:19" hidden="1" x14ac:dyDescent="0.2">
      <c r="A125"/>
      <c r="B125"/>
      <c r="C125"/>
      <c r="D125"/>
      <c r="E125"/>
      <c r="F125"/>
      <c r="G125"/>
      <c r="I125" t="str">
        <f t="shared" ca="1" si="2"/>
        <v/>
      </c>
      <c r="J125" s="703" t="str">
        <f>Import.Município</f>
        <v>SANTO ÂNGELO - RS</v>
      </c>
      <c r="K125" s="703"/>
      <c r="L125" s="703"/>
      <c r="M125" s="703"/>
      <c r="P125" s="704">
        <f ca="1">DADOS!$F$25</f>
        <v>45573</v>
      </c>
      <c r="Q125" s="704"/>
      <c r="R125" s="704"/>
      <c r="S125" s="704"/>
    </row>
    <row r="126" spans="1:19" hidden="1" x14ac:dyDescent="0.2">
      <c r="A126"/>
      <c r="B126"/>
      <c r="C126"/>
      <c r="D126"/>
      <c r="E126"/>
      <c r="F126"/>
      <c r="G126"/>
      <c r="I126" t="str">
        <f t="shared" ca="1" si="2"/>
        <v/>
      </c>
      <c r="J126" s="705" t="s">
        <v>188</v>
      </c>
      <c r="K126" s="705"/>
      <c r="L126" s="705"/>
      <c r="M126" s="705"/>
      <c r="O126" s="89"/>
      <c r="P126" s="90" t="s">
        <v>189</v>
      </c>
      <c r="Q126" s="91"/>
      <c r="R126" s="91"/>
      <c r="S126" s="91"/>
    </row>
    <row r="127" spans="1:19" ht="30" hidden="1" customHeight="1" x14ac:dyDescent="0.2">
      <c r="A127"/>
      <c r="B127"/>
      <c r="C127"/>
      <c r="D127"/>
      <c r="E127"/>
      <c r="F127"/>
      <c r="G127"/>
      <c r="I127" t="str">
        <f t="shared" ca="1" si="2"/>
        <v/>
      </c>
    </row>
    <row r="128" spans="1:19" ht="15" hidden="1" x14ac:dyDescent="0.2">
      <c r="A128"/>
      <c r="B128"/>
      <c r="C128"/>
      <c r="D128"/>
      <c r="E128"/>
      <c r="F128"/>
      <c r="G128"/>
      <c r="I128" t="str">
        <f t="shared" ca="1" si="2"/>
        <v/>
      </c>
      <c r="J128" s="706"/>
      <c r="K128" s="706"/>
      <c r="L128" s="706"/>
      <c r="M128" s="706"/>
      <c r="N128" s="92"/>
    </row>
    <row r="129" spans="1:14" hidden="1" x14ac:dyDescent="0.2">
      <c r="A129"/>
      <c r="B129"/>
      <c r="C129"/>
      <c r="D129"/>
      <c r="E129"/>
      <c r="F129"/>
      <c r="G129"/>
      <c r="I129" t="str">
        <f t="shared" ca="1" si="2"/>
        <v/>
      </c>
      <c r="J129" s="700" t="s">
        <v>190</v>
      </c>
      <c r="K129" s="700"/>
      <c r="L129" s="700"/>
      <c r="M129" s="700"/>
      <c r="N129" s="93"/>
    </row>
    <row r="130" spans="1:14" ht="14.25" hidden="1" x14ac:dyDescent="0.2">
      <c r="A130"/>
      <c r="B130"/>
      <c r="C130"/>
      <c r="D130"/>
      <c r="E130"/>
      <c r="F130"/>
      <c r="G130"/>
      <c r="I130" t="str">
        <f t="shared" ca="1" si="2"/>
        <v/>
      </c>
      <c r="J130" s="94" t="s">
        <v>108</v>
      </c>
      <c r="K130" s="95" t="str">
        <f t="array" ref="K130:K132">Import.RespOrçamento</f>
        <v>NILSON DO PRADO RODRIGUES</v>
      </c>
      <c r="L130" s="96"/>
      <c r="M130" s="96"/>
      <c r="N130" s="97"/>
    </row>
    <row r="131" spans="1:14" ht="14.25" hidden="1" x14ac:dyDescent="0.2">
      <c r="A131"/>
      <c r="B131"/>
      <c r="C131"/>
      <c r="D131"/>
      <c r="E131"/>
      <c r="F131"/>
      <c r="G131"/>
      <c r="I131" t="str">
        <f t="shared" ca="1" si="2"/>
        <v/>
      </c>
      <c r="J131" s="94" t="s">
        <v>109</v>
      </c>
      <c r="K131" s="95" t="str">
        <v>172357-5</v>
      </c>
      <c r="L131" s="96"/>
      <c r="M131" s="96"/>
      <c r="N131" s="97"/>
    </row>
    <row r="132" spans="1:14" ht="14.25" hidden="1" x14ac:dyDescent="0.2">
      <c r="A132"/>
      <c r="B132"/>
      <c r="C132"/>
      <c r="D132"/>
      <c r="E132"/>
      <c r="F132"/>
      <c r="G132"/>
      <c r="I132" t="str">
        <f t="shared" ca="1" si="2"/>
        <v/>
      </c>
      <c r="J132" s="94" t="s">
        <v>110</v>
      </c>
      <c r="K132" s="95">
        <v>0</v>
      </c>
      <c r="L132" s="96"/>
      <c r="M132" s="96"/>
      <c r="N132" s="97"/>
    </row>
    <row r="133" spans="1:14" x14ac:dyDescent="0.2">
      <c r="A133"/>
      <c r="B133"/>
      <c r="C133"/>
      <c r="D133"/>
      <c r="E133"/>
      <c r="F133"/>
      <c r="G133"/>
    </row>
    <row r="134" spans="1:14" x14ac:dyDescent="0.2">
      <c r="A134"/>
      <c r="B134"/>
      <c r="C134"/>
      <c r="D134"/>
      <c r="E134"/>
      <c r="F134"/>
      <c r="G134"/>
    </row>
    <row r="135" spans="1:14" x14ac:dyDescent="0.2">
      <c r="A135"/>
      <c r="B135"/>
      <c r="C135"/>
      <c r="D135"/>
      <c r="E135"/>
      <c r="F135"/>
      <c r="G135"/>
    </row>
    <row r="136" spans="1:14" x14ac:dyDescent="0.2">
      <c r="A136"/>
      <c r="B136"/>
      <c r="C136"/>
      <c r="D136"/>
      <c r="E136"/>
      <c r="F136"/>
      <c r="G136"/>
    </row>
    <row r="137" spans="1:14" x14ac:dyDescent="0.2">
      <c r="A137"/>
      <c r="B137"/>
      <c r="C137"/>
      <c r="D137"/>
      <c r="E137"/>
      <c r="F137"/>
      <c r="G137"/>
    </row>
    <row r="138" spans="1:14" x14ac:dyDescent="0.2">
      <c r="A138" s="65" t="s">
        <v>409</v>
      </c>
    </row>
    <row r="139" spans="1:14" x14ac:dyDescent="0.2">
      <c r="A139" s="65" t="s">
        <v>141</v>
      </c>
    </row>
    <row r="140" spans="1:14" x14ac:dyDescent="0.2">
      <c r="A140" s="65" t="s">
        <v>152</v>
      </c>
    </row>
    <row r="141" spans="1:14" x14ac:dyDescent="0.2">
      <c r="A141" s="65" t="s">
        <v>155</v>
      </c>
    </row>
    <row r="142" spans="1:14" x14ac:dyDescent="0.2">
      <c r="A142" s="65" t="s">
        <v>165</v>
      </c>
    </row>
    <row r="143" spans="1:14" x14ac:dyDescent="0.2">
      <c r="A143" s="65" t="s">
        <v>167</v>
      </c>
    </row>
    <row r="144" spans="1:14" x14ac:dyDescent="0.2">
      <c r="A144" s="65" t="s">
        <v>177</v>
      </c>
    </row>
    <row r="145" spans="1:1" x14ac:dyDescent="0.2">
      <c r="A145" s="65" t="s">
        <v>182</v>
      </c>
    </row>
    <row r="146" spans="1:1" x14ac:dyDescent="0.2">
      <c r="A146" s="65" t="s">
        <v>183</v>
      </c>
    </row>
  </sheetData>
  <sheetProtection algorithmName="SHA-512" hashValue="KMNwpBBG6J+u9Qp6xRxYYcUBxU0UcvfvF9Hv2H6bR2Xyq/cpGhInf+dYgqe/7BAs3CJ+pzFgqUehauwI1A/kfw==" saltValue="0giPuxVGRKIBmbbTsKjy0Q==" spinCount="100000" sheet="1" objects="1" scenarios="1" autoFilter="0"/>
  <autoFilter ref="I11:I132">
    <filterColumn colId="0">
      <customFilters>
        <customFilter operator="notEqual" val=" "/>
      </customFilters>
    </filterColumn>
  </autoFilter>
  <mergeCells count="144">
    <mergeCell ref="J5:K5"/>
    <mergeCell ref="L5:M5"/>
    <mergeCell ref="N5:S5"/>
    <mergeCell ref="R1:S1"/>
    <mergeCell ref="R2:S2"/>
    <mergeCell ref="J4:K4"/>
    <mergeCell ref="L4:M4"/>
    <mergeCell ref="N4:S4"/>
    <mergeCell ref="J11:Q11"/>
    <mergeCell ref="R11:S11"/>
    <mergeCell ref="J7:S7"/>
    <mergeCell ref="J8:S8"/>
    <mergeCell ref="J10:Q10"/>
    <mergeCell ref="R10:S10"/>
    <mergeCell ref="X19:X20"/>
    <mergeCell ref="Y19:Y20"/>
    <mergeCell ref="J17:S17"/>
    <mergeCell ref="Z19:Z20"/>
    <mergeCell ref="U19:W20"/>
    <mergeCell ref="J19:Q20"/>
    <mergeCell ref="R19:R20"/>
    <mergeCell ref="S19:S20"/>
    <mergeCell ref="J14:S14"/>
    <mergeCell ref="J16:S16"/>
    <mergeCell ref="J23:Q23"/>
    <mergeCell ref="U23:W23"/>
    <mergeCell ref="J21:Q21"/>
    <mergeCell ref="U21:W21"/>
    <mergeCell ref="J22:Q22"/>
    <mergeCell ref="U22:W22"/>
    <mergeCell ref="J25:Q25"/>
    <mergeCell ref="U25:W25"/>
    <mergeCell ref="J26:Q26"/>
    <mergeCell ref="U26:W26"/>
    <mergeCell ref="J27:Q27"/>
    <mergeCell ref="U27:W27"/>
    <mergeCell ref="J28:Q28"/>
    <mergeCell ref="U28:W28"/>
    <mergeCell ref="J24:Q24"/>
    <mergeCell ref="U24:W24"/>
    <mergeCell ref="N36:P36"/>
    <mergeCell ref="J38:S38"/>
    <mergeCell ref="J30:Q30"/>
    <mergeCell ref="K32:S32"/>
    <mergeCell ref="J29:Q29"/>
    <mergeCell ref="U29:W29"/>
    <mergeCell ref="J34:S34"/>
    <mergeCell ref="M35:M36"/>
    <mergeCell ref="J49:M49"/>
    <mergeCell ref="J54:S54"/>
    <mergeCell ref="J45:M45"/>
    <mergeCell ref="P45:S45"/>
    <mergeCell ref="J46:M46"/>
    <mergeCell ref="J48:M48"/>
    <mergeCell ref="N35:P35"/>
    <mergeCell ref="Q35:Q36"/>
    <mergeCell ref="J40:S40"/>
    <mergeCell ref="J43:S43"/>
    <mergeCell ref="Y59:Y60"/>
    <mergeCell ref="Z59:Z60"/>
    <mergeCell ref="J59:Q60"/>
    <mergeCell ref="R59:R60"/>
    <mergeCell ref="S59:S60"/>
    <mergeCell ref="U59:W60"/>
    <mergeCell ref="X59:X60"/>
    <mergeCell ref="J61:Q61"/>
    <mergeCell ref="U61:W61"/>
    <mergeCell ref="J56:S56"/>
    <mergeCell ref="J57:S57"/>
    <mergeCell ref="J64:Q64"/>
    <mergeCell ref="U64:W64"/>
    <mergeCell ref="J62:Q62"/>
    <mergeCell ref="U62:W62"/>
    <mergeCell ref="J63:Q63"/>
    <mergeCell ref="U63:W63"/>
    <mergeCell ref="J65:Q65"/>
    <mergeCell ref="U65:W65"/>
    <mergeCell ref="J66:Q66"/>
    <mergeCell ref="U66:W66"/>
    <mergeCell ref="U67:W67"/>
    <mergeCell ref="J68:Q68"/>
    <mergeCell ref="U68:W68"/>
    <mergeCell ref="J94:S94"/>
    <mergeCell ref="J85:M85"/>
    <mergeCell ref="P85:S85"/>
    <mergeCell ref="J67:Q67"/>
    <mergeCell ref="J78:S78"/>
    <mergeCell ref="J70:Q70"/>
    <mergeCell ref="K72:S72"/>
    <mergeCell ref="J89:M89"/>
    <mergeCell ref="U69:W69"/>
    <mergeCell ref="J86:M86"/>
    <mergeCell ref="J88:M88"/>
    <mergeCell ref="J74:S74"/>
    <mergeCell ref="M75:M76"/>
    <mergeCell ref="J80:S80"/>
    <mergeCell ref="J83:S83"/>
    <mergeCell ref="N76:P76"/>
    <mergeCell ref="N75:P75"/>
    <mergeCell ref="Q75:Q76"/>
    <mergeCell ref="Y99:Y100"/>
    <mergeCell ref="Z99:Z100"/>
    <mergeCell ref="J99:Q100"/>
    <mergeCell ref="R99:R100"/>
    <mergeCell ref="S99:S100"/>
    <mergeCell ref="X99:X100"/>
    <mergeCell ref="J101:Q101"/>
    <mergeCell ref="U101:W101"/>
    <mergeCell ref="J96:S96"/>
    <mergeCell ref="J97:S97"/>
    <mergeCell ref="U99:W100"/>
    <mergeCell ref="U108:W108"/>
    <mergeCell ref="J109:Q109"/>
    <mergeCell ref="U109:W109"/>
    <mergeCell ref="J110:Q110"/>
    <mergeCell ref="K112:S112"/>
    <mergeCell ref="J118:S118"/>
    <mergeCell ref="I6:I10"/>
    <mergeCell ref="J114:S114"/>
    <mergeCell ref="J107:Q107"/>
    <mergeCell ref="M115:M116"/>
    <mergeCell ref="J105:Q105"/>
    <mergeCell ref="J103:Q103"/>
    <mergeCell ref="J69:Q69"/>
    <mergeCell ref="N115:P115"/>
    <mergeCell ref="Q115:Q116"/>
    <mergeCell ref="J102:Q102"/>
    <mergeCell ref="U102:W102"/>
    <mergeCell ref="U105:W105"/>
    <mergeCell ref="J106:Q106"/>
    <mergeCell ref="U106:W106"/>
    <mergeCell ref="J104:Q104"/>
    <mergeCell ref="U104:W104"/>
    <mergeCell ref="U103:W103"/>
    <mergeCell ref="U107:W107"/>
    <mergeCell ref="J129:M129"/>
    <mergeCell ref="J120:S120"/>
    <mergeCell ref="J123:S123"/>
    <mergeCell ref="J125:M125"/>
    <mergeCell ref="P125:S125"/>
    <mergeCell ref="J126:M126"/>
    <mergeCell ref="J128:M128"/>
    <mergeCell ref="N116:P116"/>
    <mergeCell ref="J108:Q108"/>
  </mergeCells>
  <phoneticPr fontId="38" type="noConversion"/>
  <conditionalFormatting sqref="J30:S30 J70:S70 J110:S110">
    <cfRule type="expression" dxfId="1485" priority="2" stopIfTrue="1">
      <formula>DESONERACAO="não"</formula>
    </cfRule>
  </conditionalFormatting>
  <conditionalFormatting sqref="U29:W29 U69:W69 U109:W109">
    <cfRule type="expression" dxfId="1484" priority="3" stopIfTrue="1">
      <formula>AND(U29&lt;&gt;"OK",U29&lt;&gt;"-",U29&lt;&gt;"")</formula>
    </cfRule>
    <cfRule type="cellIs" dxfId="1483" priority="4" stopIfTrue="1" operator="equal">
      <formula>"OK"</formula>
    </cfRule>
  </conditionalFormatting>
  <conditionalFormatting sqref="S29 S69 S109">
    <cfRule type="expression" dxfId="1482" priority="5" stopIfTrue="1">
      <formula>DESONERACAO="não"</formula>
    </cfRule>
  </conditionalFormatting>
  <dataValidations count="6">
    <dataValidation type="decimal" allowBlank="1" showErrorMessage="1" errorTitle="Erro de valores" error="Digite um valor entre 0% e 100%" sqref="S21:S26 S61:S66 S101:S106">
      <formula1>0</formula1>
      <formula2>1</formula2>
    </dataValidation>
    <dataValidation type="decimal" allowBlank="1" showErrorMessage="1" errorTitle="Erro de valores" error="Digite um valor maior do que 0." sqref="S27 S67 S107">
      <formula1>0</formula1>
      <formula2>1</formula2>
    </dataValidation>
    <dataValidation operator="greaterThanOrEqual" allowBlank="1" showErrorMessage="1" errorTitle="Erro de valores" error="Digite um valor igual a 0% ou 2%." sqref="S28 S68 S108">
      <formula1>0</formula1>
      <formula2>0</formula2>
    </dataValidation>
    <dataValidation type="decimal" operator="greaterThanOrEqual" allowBlank="1" showInputMessage="1" showErrorMessage="1" errorTitle="Valor não permitido" error="Digite um percentual entre 0% e 100%." promptTitle="Valores comuns:" prompt="Normalmente entre 2 e 5%." sqref="R11:S11">
      <formula1>0</formula1>
      <formula2>0</formula2>
    </dataValidation>
    <dataValidation type="decimal" allowBlank="1" showInputMessage="1" showErrorMessage="1" errorTitle="Valor não permitido" error="Digite um percentual entre 0% e 100%." promptTitle="Valores admissíveis:" prompt="Insira valores entre 0 e 100%." sqref="R10:S10">
      <formula1>0</formula1>
      <formula2>1</formula2>
    </dataValidation>
    <dataValidation type="list" allowBlank="1" showErrorMessage="1" sqref="J17:S17 J57:S57 J97:S97">
      <formula1>BDI.TipoObra</formula1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79" firstPageNumber="0" fitToHeight="0" orientation="portrait" horizontalDpi="300" verticalDpi="300" r:id="rId1"/>
  <headerFooter alignWithMargins="0">
    <oddHeader>&amp;L_</oddHeader>
    <oddFooter>&amp;LPMv3.0.6&amp;R&amp;P / 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5">
    <pageSetUpPr fitToPage="1"/>
  </sheetPr>
  <dimension ref="A1:AN209"/>
  <sheetViews>
    <sheetView showGridLines="0" tabSelected="1" zoomScale="80" zoomScaleNormal="80" zoomScaleSheetLayoutView="90" workbookViewId="0">
      <pane xSplit="19" ySplit="15" topLeftCell="T46" activePane="bottomRight" state="frozen"/>
      <selection activeCell="L1" sqref="L1"/>
      <selection pane="topRight" activeCell="T1" sqref="T1"/>
      <selection pane="bottomLeft" activeCell="L16" sqref="L16"/>
      <selection pane="bottomRight" activeCell="R20" sqref="R20"/>
    </sheetView>
  </sheetViews>
  <sheetFormatPr defaultRowHeight="12.75" x14ac:dyDescent="0.2"/>
  <cols>
    <col min="1" max="1" width="5.5703125" hidden="1" customWidth="1"/>
    <col min="2" max="2" width="10.42578125" hidden="1" customWidth="1"/>
    <col min="3" max="3" width="5.5703125" hidden="1" customWidth="1"/>
    <col min="4" max="4" width="12.85546875" hidden="1" customWidth="1"/>
    <col min="5" max="5" width="8.7109375" hidden="1" customWidth="1"/>
    <col min="6" max="6" width="12.42578125" hidden="1" customWidth="1"/>
    <col min="7" max="7" width="14.5703125" hidden="1" customWidth="1"/>
    <col min="8" max="8" width="11.28515625" hidden="1" customWidth="1"/>
    <col min="9" max="9" width="13.42578125" hidden="1" customWidth="1"/>
    <col min="10" max="10" width="7.28515625" hidden="1" customWidth="1"/>
    <col min="11" max="11" width="7.5703125" hidden="1" customWidth="1"/>
    <col min="12" max="12" width="3.7109375" customWidth="1"/>
    <col min="13" max="14" width="8.7109375" customWidth="1"/>
    <col min="15" max="15" width="12.7109375" customWidth="1"/>
    <col min="16" max="17" width="15.7109375" customWidth="1"/>
    <col min="18" max="18" width="65.7109375" customWidth="1"/>
    <col min="19" max="19" width="10.7109375" customWidth="1"/>
    <col min="20" max="21" width="14.7109375" customWidth="1"/>
    <col min="22" max="22" width="10.7109375" customWidth="1"/>
    <col min="23" max="23" width="14.7109375" customWidth="1"/>
    <col min="24" max="24" width="15.7109375" customWidth="1"/>
    <col min="25" max="25" width="3.7109375" customWidth="1"/>
    <col min="26" max="26" width="3.7109375" hidden="1" customWidth="1"/>
    <col min="27" max="28" width="14.7109375" hidden="1" customWidth="1"/>
    <col min="29" max="29" width="15.7109375" customWidth="1"/>
    <col min="30" max="31" width="9.140625" hidden="1" customWidth="1"/>
    <col min="32" max="32" width="15.5703125" hidden="1" customWidth="1"/>
    <col min="33" max="33" width="15.7109375" customWidth="1"/>
    <col min="35" max="35" width="1.7109375" customWidth="1"/>
    <col min="36" max="36" width="14.7109375" customWidth="1"/>
    <col min="37" max="37" width="1.7109375" customWidth="1"/>
    <col min="38" max="38" width="14.7109375" customWidth="1"/>
    <col min="39" max="40" width="15.7109375" customWidth="1"/>
  </cols>
  <sheetData>
    <row r="1" spans="1:40" ht="18" x14ac:dyDescent="0.2">
      <c r="A1" s="99"/>
      <c r="B1" s="99"/>
      <c r="C1" s="99"/>
      <c r="D1" s="99"/>
      <c r="F1" s="100"/>
      <c r="G1" s="3"/>
      <c r="H1" s="99"/>
      <c r="I1" s="99"/>
      <c r="J1" s="99"/>
      <c r="K1" s="99"/>
      <c r="L1" s="99"/>
      <c r="M1" s="101"/>
      <c r="N1" s="101"/>
      <c r="O1" s="99"/>
      <c r="P1" s="99"/>
      <c r="Q1" s="99"/>
      <c r="R1" s="102" t="s">
        <v>193</v>
      </c>
      <c r="S1" s="99"/>
      <c r="T1" s="102"/>
      <c r="U1" s="99"/>
      <c r="V1" s="99"/>
      <c r="W1" s="99"/>
      <c r="X1" s="68" t="s">
        <v>140</v>
      </c>
      <c r="Y1" s="103"/>
      <c r="Z1" s="103"/>
      <c r="AA1" s="103"/>
      <c r="AB1" s="103"/>
      <c r="AC1" s="104"/>
      <c r="AD1" s="104"/>
      <c r="AG1" s="104"/>
      <c r="AH1" s="104"/>
      <c r="AN1" s="104"/>
    </row>
    <row r="2" spans="1:40" ht="15" x14ac:dyDescent="0.2">
      <c r="A2" s="104"/>
      <c r="B2" s="104"/>
      <c r="C2" s="104"/>
      <c r="D2" s="105" t="s">
        <v>194</v>
      </c>
      <c r="E2" s="105" t="s">
        <v>195</v>
      </c>
      <c r="F2" s="105" t="s">
        <v>196</v>
      </c>
      <c r="G2" s="105" t="s">
        <v>197</v>
      </c>
      <c r="H2" s="105" t="s">
        <v>198</v>
      </c>
      <c r="I2" s="105" t="s">
        <v>199</v>
      </c>
      <c r="J2" s="104"/>
      <c r="K2" s="104"/>
      <c r="L2" s="104"/>
      <c r="M2" s="104"/>
      <c r="N2" s="104"/>
      <c r="O2" s="104"/>
      <c r="P2" s="104"/>
      <c r="Q2" s="104"/>
      <c r="R2" s="106" t="str">
        <f>IF(TIPOORCAMENTO="licitado","Orçamento Licitado","Orçamento Base para Licitação")&amp;" - "&amp;import.recurso</f>
        <v>Orçamento Base para Licitação - OGU</v>
      </c>
      <c r="S2" s="104"/>
      <c r="T2" s="104"/>
      <c r="U2" s="104"/>
      <c r="V2" s="104"/>
      <c r="W2" s="104"/>
      <c r="X2" s="14" t="s">
        <v>143</v>
      </c>
      <c r="Y2" s="107"/>
      <c r="Z2" s="107"/>
      <c r="AA2" s="107"/>
      <c r="AB2" s="107"/>
      <c r="AC2" s="104"/>
      <c r="AD2" s="104"/>
      <c r="AH2" s="104"/>
    </row>
    <row r="3" spans="1:40" x14ac:dyDescent="0.2">
      <c r="A3" s="104"/>
      <c r="B3" s="104"/>
      <c r="C3" s="104"/>
      <c r="D3" s="104"/>
      <c r="F3" s="100"/>
      <c r="H3" s="108"/>
      <c r="I3" s="104"/>
      <c r="J3" s="104"/>
      <c r="K3" s="104"/>
      <c r="L3" s="104"/>
      <c r="M3" s="104"/>
      <c r="N3" s="104"/>
      <c r="O3" s="104"/>
      <c r="P3" s="104"/>
      <c r="Q3" s="104"/>
      <c r="R3" s="109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G3" s="104"/>
      <c r="AH3" s="104"/>
      <c r="AN3" s="104"/>
    </row>
    <row r="4" spans="1:40" x14ac:dyDescent="0.2">
      <c r="A4" s="104" t="s">
        <v>201</v>
      </c>
      <c r="B4" s="104"/>
      <c r="C4" s="104"/>
      <c r="D4" s="104"/>
      <c r="F4" s="100" t="s">
        <v>156</v>
      </c>
      <c r="G4" s="100" t="s">
        <v>191</v>
      </c>
      <c r="H4" s="100" t="s">
        <v>192</v>
      </c>
      <c r="I4" s="110">
        <v>0</v>
      </c>
      <c r="J4" s="104"/>
      <c r="K4" s="104"/>
      <c r="L4" s="104"/>
      <c r="M4" s="104"/>
      <c r="N4" s="104"/>
      <c r="O4" s="720" t="s">
        <v>146</v>
      </c>
      <c r="P4" s="720"/>
      <c r="Q4" s="111" t="s">
        <v>443</v>
      </c>
      <c r="R4" s="111" t="s">
        <v>147</v>
      </c>
      <c r="S4" s="720" t="s">
        <v>202</v>
      </c>
      <c r="T4" s="720"/>
      <c r="U4" s="720"/>
      <c r="V4" s="720"/>
      <c r="W4" s="720"/>
      <c r="X4" s="720"/>
      <c r="Y4" s="94"/>
      <c r="Z4" s="94"/>
      <c r="AA4" s="94"/>
      <c r="AB4" s="94"/>
      <c r="AC4" s="104"/>
      <c r="AG4" s="104"/>
      <c r="AH4" s="104"/>
      <c r="AN4" s="104"/>
    </row>
    <row r="5" spans="1:40" ht="12.75" customHeight="1" x14ac:dyDescent="0.2">
      <c r="A5" s="114">
        <f ca="1">MAX($C$15:$C$192)</f>
        <v>2</v>
      </c>
      <c r="B5" s="114"/>
      <c r="C5" s="114"/>
      <c r="D5" s="104"/>
      <c r="F5" s="115">
        <f ca="1">IF(BDI.Opcao="DESONERADO",BDI!$S$30,BDI!$S$29)</f>
        <v>0.2034</v>
      </c>
      <c r="G5" s="116">
        <f ca="1">IF(BDI.Opcao="DESONERADO",BDI!$S$70,BDI!$S$69)</f>
        <v>0</v>
      </c>
      <c r="H5" s="116">
        <f ca="1">IF(BDI.Opcao="DESONERADO",BDI!$S$110,BDI!$S$109)</f>
        <v>0</v>
      </c>
      <c r="I5" s="104"/>
      <c r="J5" s="104"/>
      <c r="K5" s="104"/>
      <c r="L5" s="104"/>
      <c r="M5" s="104"/>
      <c r="N5" s="104"/>
      <c r="O5" s="723">
        <f>Import.CR</f>
        <v>0</v>
      </c>
      <c r="P5" s="723"/>
      <c r="Q5" s="117">
        <f t="array" ref="Q5">Import.TransfereGOV</f>
        <v>0</v>
      </c>
      <c r="R5" s="118" t="str">
        <f>Import.Proponente</f>
        <v>INSTITUTO FEDERAL FARROUPILHA</v>
      </c>
      <c r="S5" s="723" t="str">
        <f>Import.Apelido</f>
        <v>BIBLIOTECA  ÉRICO VERISSIMO</v>
      </c>
      <c r="T5" s="723"/>
      <c r="U5" s="723"/>
      <c r="V5" s="723"/>
      <c r="W5" s="723"/>
      <c r="X5" s="723"/>
      <c r="Y5" s="119"/>
      <c r="Z5" s="119"/>
      <c r="AA5" s="119"/>
      <c r="AB5" s="119"/>
      <c r="AC5" s="104"/>
      <c r="AE5" s="730" t="s">
        <v>200</v>
      </c>
      <c r="AF5" s="730"/>
    </row>
    <row r="6" spans="1:40" ht="5.0999999999999996" customHeight="1" x14ac:dyDescent="0.2">
      <c r="A6" s="114"/>
      <c r="B6" s="114"/>
      <c r="C6" s="114"/>
      <c r="D6" s="104"/>
      <c r="F6" s="100"/>
      <c r="H6" s="108"/>
      <c r="I6" s="104"/>
      <c r="J6" s="104"/>
      <c r="K6" s="104"/>
      <c r="L6" s="104"/>
      <c r="M6" s="104"/>
      <c r="N6" s="104"/>
      <c r="O6" s="121"/>
      <c r="P6" s="121"/>
      <c r="Q6" s="122"/>
      <c r="R6" s="122"/>
      <c r="S6" s="121"/>
      <c r="T6" s="121"/>
      <c r="U6" s="121"/>
      <c r="V6" s="121"/>
      <c r="W6" s="121"/>
      <c r="X6" s="121"/>
      <c r="Y6" s="119"/>
      <c r="Z6" s="119"/>
      <c r="AA6" s="119"/>
      <c r="AB6" s="119"/>
      <c r="AC6" s="123"/>
      <c r="AE6" s="112"/>
      <c r="AF6" s="113"/>
      <c r="AG6" s="104"/>
      <c r="AH6" s="104"/>
      <c r="AN6" s="104"/>
    </row>
    <row r="7" spans="1:40" ht="12.75" customHeight="1" x14ac:dyDescent="0.2">
      <c r="A7" s="104"/>
      <c r="B7" s="104"/>
      <c r="C7" s="104"/>
      <c r="D7" s="104"/>
      <c r="F7" s="100"/>
      <c r="H7" s="108"/>
      <c r="I7" s="104"/>
      <c r="J7" s="104"/>
      <c r="K7" s="104"/>
      <c r="L7" s="104"/>
      <c r="M7" s="104"/>
      <c r="N7" s="104"/>
      <c r="O7" s="720" t="s">
        <v>204</v>
      </c>
      <c r="P7" s="720"/>
      <c r="Q7" s="111" t="s">
        <v>205</v>
      </c>
      <c r="R7" s="111" t="str">
        <f>IF(TIPOORCAMENTO="Licitado","NOME DA EMPRESA","DESCRIÇÃO DO LOTE")</f>
        <v>DESCRIÇÃO DO LOTE</v>
      </c>
      <c r="S7" s="731" t="str">
        <f>IF(TIPOORCAMENTO="Licitado","REGIME DE EXECUÇÃO","MUNICÍPIO / UF")</f>
        <v>MUNICÍPIO / UF</v>
      </c>
      <c r="T7" s="731"/>
      <c r="U7" s="731"/>
      <c r="V7" s="125" t="str">
        <f>IF(TIPOORCAMENTO="Licitado","","BDI 1")</f>
        <v>BDI 1</v>
      </c>
      <c r="W7" s="125" t="str">
        <f>IF(TIPOORCAMENTO="Licitado","","BDI 2")</f>
        <v>BDI 2</v>
      </c>
      <c r="X7" s="126" t="str">
        <f>IF(TIPOORCAMENTO="Licitado","Nº CTEF","BDI 3")</f>
        <v>BDI 3</v>
      </c>
      <c r="Y7" s="125"/>
      <c r="Z7" s="125"/>
      <c r="AA7" s="127"/>
      <c r="AB7" s="127"/>
      <c r="AC7" s="100"/>
      <c r="AE7" s="112" t="s">
        <v>203</v>
      </c>
      <c r="AF7" s="120" t="b">
        <v>1</v>
      </c>
      <c r="AJ7" s="734" t="s">
        <v>207</v>
      </c>
      <c r="AL7" s="732" t="s">
        <v>208</v>
      </c>
    </row>
    <row r="8" spans="1:40" ht="12.75" customHeight="1" x14ac:dyDescent="0.2">
      <c r="A8" s="114"/>
      <c r="B8" s="114"/>
      <c r="C8" s="114"/>
      <c r="D8" s="104"/>
      <c r="F8" s="735" t="str">
        <f ca="1">IF(LEN(INFO("release"))&gt;5,"'Referência "&amp;Excel_BuiltIn_Database&amp;".xlsm'#Banco.$a5:$a$65536","'[Referência "&amp;Excel_BuiltIn_Database&amp;".xlsm]Banco'!$a5:$a$65536")</f>
        <v>'[Referência 07-2024.xlsm]Banco'!$a5:$a$65536</v>
      </c>
      <c r="G8" s="735"/>
      <c r="H8" s="735"/>
      <c r="I8" s="735"/>
      <c r="J8" s="735"/>
      <c r="K8" s="735"/>
      <c r="L8" s="713" t="s">
        <v>209</v>
      </c>
      <c r="M8" s="104"/>
      <c r="N8" s="104"/>
      <c r="O8" s="723" t="str">
        <f ca="1">IF(ISERROR(INDIRECT($F$9)),"(N/D: 'Referência "&amp;Excel_BuiltIn_Database&amp;".xlsm)",INDIRECT($F$9))</f>
        <v>PORTO ALEGRE</v>
      </c>
      <c r="P8" s="723"/>
      <c r="Q8" s="128" t="str">
        <f ca="1">TEXT(Import.DataBase,"mm-aa")&amp;IF(DESONERACAO="Sim"," (DES.)"," (N DES.)")</f>
        <v>07-24 (N DES.)</v>
      </c>
      <c r="R8" s="118" t="str">
        <f>IF(TIPOORCAMENTO="Licitado",Import.empresa,Import.DescLote)</f>
        <v>BIBLIOTECA  ÉRICO VERISSIMO</v>
      </c>
      <c r="S8" s="736" t="str">
        <f>IF(TIPOORCAMENTO="Licitado",Import.RegimeExecução,Import.Município)</f>
        <v>SANTO ÂNGELO - RS</v>
      </c>
      <c r="T8" s="736"/>
      <c r="U8" s="736"/>
      <c r="V8" s="129" t="str">
        <f ca="1">IF(TIPOORCAMENTO="Licitado","",TEXT(F5,"0,00%"))</f>
        <v>20,34%</v>
      </c>
      <c r="W8" s="129" t="str">
        <f ca="1">IF(TIPOORCAMENTO="Licitado","",TEXT(G5,"0,00%"))</f>
        <v>0,00%</v>
      </c>
      <c r="X8" s="130" t="str">
        <f ca="1">IF(TIPOORCAMENTO="Licitado",Import.CTEF,TEXT(H5,"0,00%"))</f>
        <v>0,00%</v>
      </c>
      <c r="Y8" s="713" t="s">
        <v>210</v>
      </c>
      <c r="Z8" s="713" t="s">
        <v>211</v>
      </c>
      <c r="AA8" s="131"/>
      <c r="AB8" s="131"/>
      <c r="AE8" s="112" t="s">
        <v>206</v>
      </c>
      <c r="AF8" s="120" t="b">
        <v>1</v>
      </c>
      <c r="AG8" s="104"/>
      <c r="AH8" s="104"/>
      <c r="AJ8" s="734"/>
      <c r="AL8" s="732"/>
      <c r="AN8" s="104"/>
    </row>
    <row r="9" spans="1:40" ht="12.75" customHeight="1" x14ac:dyDescent="0.2">
      <c r="A9" s="104"/>
      <c r="B9" s="104"/>
      <c r="C9" s="104"/>
      <c r="D9" s="104"/>
      <c r="F9" s="735" t="str">
        <f ca="1">IF(LEN(INFO("release"))&gt;5,"'Referência "&amp;Excel_BuiltIn_Database&amp;".xlsm'#Banco.$d$3","'[Referência "&amp;Excel_BuiltIn_Database&amp;".xlsm]Banco'!$d$3")</f>
        <v>'[Referência 07-2024.xlsm]Banco'!$d$3</v>
      </c>
      <c r="G9" s="735"/>
      <c r="H9" s="735"/>
      <c r="I9" s="735"/>
      <c r="J9" s="735"/>
      <c r="K9" s="735"/>
      <c r="L9" s="713"/>
      <c r="M9" s="104"/>
      <c r="N9" s="104"/>
      <c r="O9" s="16"/>
      <c r="P9" s="104"/>
      <c r="Q9" s="104"/>
      <c r="R9" s="104"/>
      <c r="S9" s="104"/>
      <c r="T9" s="104"/>
      <c r="U9" s="104"/>
      <c r="V9" s="104"/>
      <c r="W9" s="104"/>
      <c r="X9" s="104"/>
      <c r="Y9" s="713"/>
      <c r="Z9" s="713"/>
      <c r="AA9" s="104"/>
      <c r="AB9" s="104"/>
      <c r="AC9" s="104"/>
      <c r="AD9" s="104"/>
      <c r="AE9" s="112" t="s">
        <v>212</v>
      </c>
      <c r="AF9" s="120" t="b">
        <v>1</v>
      </c>
      <c r="AG9" s="104"/>
      <c r="AJ9" s="734"/>
      <c r="AL9" s="732"/>
      <c r="AN9" s="104"/>
    </row>
    <row r="10" spans="1:40" x14ac:dyDescent="0.2">
      <c r="A10" s="104"/>
      <c r="B10" s="104"/>
      <c r="C10" s="104"/>
      <c r="D10" s="104"/>
      <c r="E10" s="105"/>
      <c r="F10" s="105"/>
      <c r="G10" s="108"/>
      <c r="H10" s="108"/>
      <c r="I10" s="104"/>
      <c r="J10" s="104"/>
      <c r="K10" s="104"/>
      <c r="L10" s="713"/>
      <c r="M10" s="104"/>
      <c r="N10" s="104"/>
      <c r="O10" s="16"/>
      <c r="P10" s="104"/>
      <c r="Q10" s="104"/>
      <c r="R10" s="104"/>
      <c r="S10" s="104"/>
      <c r="T10" s="104"/>
      <c r="U10" s="104"/>
      <c r="V10" s="104"/>
      <c r="W10" s="104"/>
      <c r="X10" s="104"/>
      <c r="Y10" s="713"/>
      <c r="Z10" s="713"/>
      <c r="AC10" s="132" t="s">
        <v>214</v>
      </c>
      <c r="AD10" s="104"/>
      <c r="AE10" s="112" t="s">
        <v>213</v>
      </c>
      <c r="AF10" s="120" t="b">
        <v>1</v>
      </c>
      <c r="AG10" s="104"/>
      <c r="AH10" s="104"/>
      <c r="AJ10" s="734"/>
      <c r="AL10" s="732"/>
      <c r="AN10" s="104"/>
    </row>
    <row r="11" spans="1:40" x14ac:dyDescent="0.2">
      <c r="A11" s="104"/>
      <c r="B11" s="104"/>
      <c r="C11" s="104"/>
      <c r="D11" s="104"/>
      <c r="E11" s="105"/>
      <c r="F11" s="105"/>
      <c r="G11" s="108"/>
      <c r="H11" s="133"/>
      <c r="I11" s="104"/>
      <c r="J11" s="104"/>
      <c r="K11" s="104"/>
      <c r="L11" s="713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713"/>
      <c r="Z11" s="713"/>
      <c r="AC11" s="134" t="str">
        <f ca="1">IF(COUNTIF($AC$15:OFFSET($AC$192,-1,0),"DESCRIÇÃO")+COUNTIF($AC$15:OFFSET($AC$192,-1,0),"UNIDADE")+COUNTIF($AC$15:OFFSET($AC$192,-1,0),"SEM VALOR")&gt;0,"NÃO OK","OK")</f>
        <v>OK</v>
      </c>
      <c r="AD11" s="104"/>
      <c r="AE11" s="112" t="s">
        <v>215</v>
      </c>
      <c r="AF11" s="120" t="b">
        <v>1</v>
      </c>
      <c r="AG11" s="104"/>
      <c r="AH11" s="104"/>
      <c r="AJ11" s="734"/>
      <c r="AL11" s="732"/>
      <c r="AN11" s="104"/>
    </row>
    <row r="12" spans="1:40" x14ac:dyDescent="0.2">
      <c r="A12" s="104"/>
      <c r="B12" s="104"/>
      <c r="C12" s="104"/>
      <c r="D12" s="104"/>
      <c r="E12" s="105"/>
      <c r="F12" s="105"/>
      <c r="G12" s="108"/>
      <c r="H12" s="108"/>
      <c r="I12" s="104"/>
      <c r="J12" s="104"/>
      <c r="K12" s="104"/>
      <c r="L12" s="713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713"/>
      <c r="Z12" s="713"/>
      <c r="AA12" s="733" t="s">
        <v>216</v>
      </c>
      <c r="AB12" s="733"/>
      <c r="AC12" s="104"/>
      <c r="AD12" s="104"/>
      <c r="AE12" s="104"/>
      <c r="AF12" s="104"/>
      <c r="AG12" s="104"/>
      <c r="AH12" s="104"/>
      <c r="AJ12" s="135" t="s">
        <v>217</v>
      </c>
      <c r="AL12" s="637" t="s">
        <v>217</v>
      </c>
      <c r="AN12" s="104"/>
    </row>
    <row r="13" spans="1:40" ht="35.1" customHeight="1" x14ac:dyDescent="0.2">
      <c r="A13" s="136" t="s">
        <v>218</v>
      </c>
      <c r="B13" s="136" t="s">
        <v>219</v>
      </c>
      <c r="C13" s="136" t="s">
        <v>220</v>
      </c>
      <c r="D13" s="136" t="s">
        <v>221</v>
      </c>
      <c r="E13" s="136" t="s">
        <v>222</v>
      </c>
      <c r="F13" s="136" t="s">
        <v>223</v>
      </c>
      <c r="G13" s="136" t="s">
        <v>224</v>
      </c>
      <c r="H13" s="136" t="s">
        <v>225</v>
      </c>
      <c r="I13" s="136" t="s">
        <v>226</v>
      </c>
      <c r="J13" s="136" t="s">
        <v>227</v>
      </c>
      <c r="K13" s="136" t="s">
        <v>228</v>
      </c>
      <c r="L13" s="135" t="s">
        <v>217</v>
      </c>
      <c r="M13" s="136" t="s">
        <v>229</v>
      </c>
      <c r="N13" s="137" t="s">
        <v>230</v>
      </c>
      <c r="O13" s="136" t="s">
        <v>231</v>
      </c>
      <c r="P13" s="136" t="s">
        <v>232</v>
      </c>
      <c r="Q13" s="136" t="s">
        <v>233</v>
      </c>
      <c r="R13" s="136" t="s">
        <v>234</v>
      </c>
      <c r="S13" s="138" t="s">
        <v>235</v>
      </c>
      <c r="T13" s="136" t="s">
        <v>203</v>
      </c>
      <c r="U13" s="136" t="str">
        <f>IF(TIPOORCAMENTO="Licitado","","Custo Unitário (sem BDI) (R$)")</f>
        <v>Custo Unitário (sem BDI) (R$)</v>
      </c>
      <c r="V13" s="136" t="str">
        <f>IF(TIPOORCAMENTO="Licitado","","BDI
(%)")</f>
        <v>BDI
(%)</v>
      </c>
      <c r="W13" s="136" t="s">
        <v>236</v>
      </c>
      <c r="X13" s="136" t="s">
        <v>237</v>
      </c>
      <c r="Y13" s="135" t="s">
        <v>217</v>
      </c>
      <c r="Z13" s="135" t="s">
        <v>217</v>
      </c>
      <c r="AA13" s="139" t="s">
        <v>238</v>
      </c>
      <c r="AB13" s="140" t="s">
        <v>239</v>
      </c>
      <c r="AC13" s="136" t="s">
        <v>240</v>
      </c>
      <c r="AD13" s="141" t="s">
        <v>241</v>
      </c>
      <c r="AE13" s="141" t="s">
        <v>242</v>
      </c>
      <c r="AF13" s="141" t="s">
        <v>243</v>
      </c>
      <c r="AG13" s="201" t="s">
        <v>418</v>
      </c>
      <c r="AH13" s="577" t="str">
        <f>IF(TIPOORCAMENTO="LICITADO","Valor BDI Edital","Valor BDI")</f>
        <v>Valor BDI</v>
      </c>
      <c r="AJ13" s="383" t="s">
        <v>203</v>
      </c>
      <c r="AL13" s="383" t="s">
        <v>236</v>
      </c>
      <c r="AM13" s="201" t="s">
        <v>244</v>
      </c>
      <c r="AN13" s="202" t="s">
        <v>414</v>
      </c>
    </row>
    <row r="14" spans="1:40" hidden="1" x14ac:dyDescent="0.2">
      <c r="A14" t="str">
        <f>CHOOSE(1+LOG(1+2*(ORÇAMENTO.Nivel="Meta")+4*(ORÇAMENTO.Nivel="Nível 2")+8*(ORÇAMENTO.Nivel="Nível 3")+16*(ORÇAMENTO.Nivel="Nível 4")+32*(ORÇAMENTO.Nivel="Serviço"),2),0,1,2,3,4,"S")</f>
        <v>S</v>
      </c>
      <c r="B14" t="str">
        <f ca="1">IF(OR(C14="s",C14=0),OFFSET(B14,-1,0),C14)</f>
        <v>Save Nivel</v>
      </c>
      <c r="C14" t="str">
        <f ca="1">IF(OFFSET(C14,-1,0)="L",1,IF(OFFSET(C14,-1,0)=1,2,IF(OR(A14="s",A14=0),"S",IF(AND(OFFSET(C14,-1,0)=2,A14=4),3,IF(AND(OR(OFFSET(C14,-1,0)="s",OFFSET(C14,-1,0)=0),A14&lt;&gt;"s",A14&gt;OFFSET(B14,-1,0)),OFFSET(B14,-1,0),A14)))))</f>
        <v>S</v>
      </c>
      <c r="D14">
        <f ca="1">IF(OR(C14="S",C14=0),0,IF(ISERROR(K14),J14,SMALL(J14:K14,1)))</f>
        <v>0</v>
      </c>
      <c r="E14" t="str">
        <f ca="1">IF($C14=1,OFFSET(E14,-1,0)+MAX(1,COUNTIF(QCI!$A$13:$A$24,OFFSET(ORÇAMENTO!E14,-1,0))),OFFSET(E14,-1,0))</f>
        <v>n1</v>
      </c>
      <c r="F14" t="str">
        <f ca="1">IF($C14=1,0,IF($C14=2,OFFSET(F14,-1,0)+1,OFFSET(F14,-1,0)))</f>
        <v>n2</v>
      </c>
      <c r="G14" t="str">
        <f ca="1">IF(AND($C14&lt;=2,$C14&lt;&gt;0),0,IF($C14=3,OFFSET(G14,-1,0)+1,OFFSET(G14,-1,0)))</f>
        <v>n3</v>
      </c>
      <c r="H14" t="str">
        <f ca="1">IF(AND($C14&lt;=3,$C14&lt;&gt;0),0,IF($C14=4,OFFSET(H14,-1,0)+1,OFFSET(H14,-1,0)))</f>
        <v>n4</v>
      </c>
      <c r="I14" t="str">
        <f ca="1">IF(AND($C14&lt;=4,$C14&lt;&gt;0),0,IF(AND($C14="S",$X14&gt;0),OFFSET(I14,-1,0)+1,OFFSET(I14,-1,0)))</f>
        <v>n5</v>
      </c>
      <c r="J14">
        <f ca="1">IF(OR($C14="S",$C14=0),0,MATCH(0,OFFSET($D14,1,$C14,ROW($C$192)-ROW($C14)),0))</f>
        <v>0</v>
      </c>
      <c r="K14">
        <f ca="1">IF(OR($C14="S",$C14=0),0,MATCH(OFFSET($D14,0,$C14)+IF($C14&lt;&gt;1,1,COUNTIF(QCI!$A$13:$A$24,ORÇAMENTO!E14)),OFFSET($D14,1,$C14,ROW($C$192)-ROW($C14)),0))</f>
        <v>0</v>
      </c>
      <c r="L14" s="143" t="str">
        <f ca="1">IF(OR($X14&gt;0,$C14=1,$C14=2,$C14=3,$C14=4),"F","")</f>
        <v/>
      </c>
      <c r="M14" s="144" t="s">
        <v>199</v>
      </c>
      <c r="N14" s="145" t="str">
        <f ca="1">CHOOSE(1+LOG(1+2*(C14=1)+4*(C14=2)+8*(C14=3)+16*(C14=4)+32*(C14="S"),2),"","Meta","Nível 2","Nível 3","Nível 4","Serviço")</f>
        <v>Serviço</v>
      </c>
      <c r="O14" s="146" t="str">
        <f ca="1">IF(OR($C14=0,$L14=""),"-",CONCATENATE(E14&amp;".",IF(AND($A$5&gt;=2,$C14&gt;=2),F14&amp;".",""),IF(AND($A$5&gt;=3,$C14&gt;=3),G14&amp;".",""),IF(AND($A$5&gt;=4,$C14&gt;=4),H14&amp;".",""),IF($C14="S",I14&amp;".","")))</f>
        <v>-</v>
      </c>
      <c r="P14" s="147" t="s">
        <v>247</v>
      </c>
      <c r="Q14" s="148"/>
      <c r="R14" s="149" t="str">
        <f ca="1">IF($C14="S",REFERENCIA.Descricao,"(digite a descrição aqui)")</f>
        <v>(Sem Código)</v>
      </c>
      <c r="S14" s="150" t="str">
        <f ca="1">REFERENCIA.Unidade</f>
        <v>-</v>
      </c>
      <c r="T14" s="151">
        <f ca="1">OFFSET(CÁLCULO!H$15,ROW($T14)-ROW(T$15),0)</f>
        <v>0</v>
      </c>
      <c r="U14" s="152"/>
      <c r="V14" s="153" t="s">
        <v>156</v>
      </c>
      <c r="W14" s="151">
        <f ca="1">IF($C14="S",ROUND(IF(TIPOORCAMENTO="Proposto",ORÇAMENTO.CustoUnitario*(1+$AH14),ORÇAMENTO.PrecoUnitarioLicitado),15-13*$AF$10),0)</f>
        <v>0</v>
      </c>
      <c r="X14" s="154">
        <f ca="1">IF($C14="S",IF(Import.TipoArredondamento&lt;&gt;"TransfereGOV",VTOTAL1,SUM(OFFSET(CÁLCULO!$AA$15,ROW($X14)-ROW($X$15),1):OFFSET(CÁLCULO!$AL$15,ROW($X14)-ROW($X$15),-1))),IF($C14=0,0,ROUND(SomaAgrup,15-13*$AF$11)))</f>
        <v>0</v>
      </c>
      <c r="Y14" s="155" t="s">
        <v>245</v>
      </c>
      <c r="Z14" t="str">
        <f ca="1">IF(AND($C14="S",$X14&gt;0),IF(ISBLANK($Y14),"RA",LEFT($Y14,2)),"")</f>
        <v/>
      </c>
      <c r="AA14" s="156">
        <f ca="1">IF($C14="S",IF($Z14="CP",$X14,IF($Z14="RA",(($X14)*QCI!$AA$3),0)),SomaAgrup)</f>
        <v>0</v>
      </c>
      <c r="AB14" s="157">
        <f ca="1">IF($C14="S",IF($Z14="OU",ROUND($X14,2),0),SomaAgrup)</f>
        <v>0</v>
      </c>
      <c r="AC14" s="158" t="str">
        <f ca="1">IF($N14="","",IF(ORÇAMENTO.Descricao="","DESCRIÇÃO",IF(AND($C14="S",ORÇAMENTO.Unidade=""),"UNIDADE",IF($X14&lt;0,"VALOR NEGATIVO",IF(OR(AND(TIPOORCAMENTO="Proposto",$AG14&lt;&gt;"",$AG14&gt;0,ORÇAMENTO.CustoUnitario&gt;$AG14),AND(TIPOORCAMENTO="LICITADO",ORÇAMENTO.PrecoUnitarioLicitado&gt;$AN14)),"ACIMA REF.","")))))</f>
        <v/>
      </c>
      <c r="AD14" s="104" t="str">
        <f ca="1">IF(C14&lt;=CRONO.NivelExibicao,MAX($AD$15:OFFSET(AD14,-1,0))+IF($C14&lt;&gt;1,1,MAX(1,COUNTIF(QCI!$A$13:$A$24,OFFSET($E14,-1,0)))),"")</f>
        <v/>
      </c>
      <c r="AE14" s="114" t="b">
        <f ca="1">IF(AND($C14="S",ORÇAMENTO.CodBarra&lt;&gt;""),IF(ORÇAMENTO.Fonte="",ORÇAMENTO.CodBarra,CONCATENATE(ORÇAMENTO.Fonte," ",ORÇAMENTO.CodBarra)))</f>
        <v>0</v>
      </c>
      <c r="AF14" s="159" t="str">
        <f ca="1">IF(ISERROR(INDIRECT(ORÇAMENTO.BancoRef)),"(abra o arquivo 'Referência "&amp;Excel_BuiltIn_Database&amp;".xlsm)",IF(OR($C14&lt;&gt;"S",ORÇAMENTO.CodBarra=""),"(Sem Código)",IF(ISERROR(MATCH($AE14,INDIRECT(ORÇAMENTO.BancoRef),0)),"(Código não identificado nas referências)",MATCH($AE14,INDIRECT(ORÇAMENTO.BancoRef),0))))</f>
        <v>(Sem Código)</v>
      </c>
      <c r="AG14" s="578">
        <f ca="1">ROUND(IF(DESONERACAO="sim",REFERENCIA.Desonerado,REFERENCIA.NaoDesonerado),2)</f>
        <v>0</v>
      </c>
      <c r="AH14" s="579">
        <f ca="1">ROUND(IF(ISNUMBER(ORÇAMENTO.OpcaoBDI),ORÇAMENTO.OpcaoBDI,IF(LEFT(ORÇAMENTO.OpcaoBDI,3)="BDI",HLOOKUP(ORÇAMENTO.OpcaoBDI,$F$4:$H$5,2,FALSE),0)),15-11*$AF$9)</f>
        <v>0.2034</v>
      </c>
      <c r="AJ14" s="581"/>
      <c r="AL14" s="611"/>
      <c r="AM14" s="430">
        <f t="shared" ref="AM14:AM103" ca="1" si="0">$X14</f>
        <v>0</v>
      </c>
      <c r="AN14" s="654">
        <f ca="1">ROUND(ORÇAMENTO.CustoUnitario*(1+$AH14),2)</f>
        <v>0</v>
      </c>
    </row>
    <row r="15" spans="1:40" x14ac:dyDescent="0.2">
      <c r="A15">
        <v>0</v>
      </c>
      <c r="C15" t="s">
        <v>149</v>
      </c>
      <c r="D15">
        <f ca="1">COUNTA(OFFSET(D15,1,0):D$192)</f>
        <v>176</v>
      </c>
      <c r="E15">
        <v>0</v>
      </c>
      <c r="L15" s="143" t="s">
        <v>246</v>
      </c>
      <c r="M15" s="160" t="str">
        <f>IF(TIPOORCAMENTO="LICITADO","CTEF","LOTE")</f>
        <v>LOTE</v>
      </c>
      <c r="N15" s="160" t="str">
        <f>IF(TIPOORCAMENTO="LICITADO","CTEF","LOTE")</f>
        <v>LOTE</v>
      </c>
      <c r="O15" s="738" t="str">
        <f>Import.DescLote</f>
        <v>BIBLIOTECA  ÉRICO VERISSIMO</v>
      </c>
      <c r="P15" s="738"/>
      <c r="Q15" s="738"/>
      <c r="R15" s="738"/>
      <c r="S15" s="161"/>
      <c r="T15" s="162"/>
      <c r="U15" s="162"/>
      <c r="V15" s="163"/>
      <c r="W15" s="162"/>
      <c r="X15" s="164">
        <f ca="1">SUMIF(OFFSET($C15,1,0,ROW(X192)-ROW(X15)-1),"S",OFFSET(X15,1,0,ROW(X192)-ROW(X15)-1))</f>
        <v>0</v>
      </c>
      <c r="Y15" s="114"/>
      <c r="Z15" t="str">
        <f ca="1">IF(AND($C15="S",$X15&gt;0),LEFT($Y15,2),"")</f>
        <v/>
      </c>
      <c r="AA15" s="576">
        <f ca="1">SUMIF(OFFSET($C15,1,0,ROW(AA192)-ROW(AA15)-1),"S",OFFSET(AA15,1,0,ROW(AA192)-ROW(AA15)-1))</f>
        <v>0</v>
      </c>
      <c r="AB15" s="165">
        <f ca="1">SUMIF(OFFSET($C15,1,0,ROW(AB192)-ROW(AB15)-1),"S",OFFSET(AB15,1,0,ROW(AB192)-ROW(AB15)-1))</f>
        <v>0</v>
      </c>
      <c r="AC15" s="166"/>
      <c r="AD15" s="104"/>
      <c r="AE15" s="104"/>
      <c r="AF15" s="104"/>
      <c r="AG15" s="613"/>
      <c r="AH15" s="614"/>
      <c r="AJ15" s="580"/>
      <c r="AL15" s="612"/>
      <c r="AM15" s="655">
        <f t="shared" ca="1" si="0"/>
        <v>0</v>
      </c>
      <c r="AN15" s="656"/>
    </row>
    <row r="16" spans="1:40" x14ac:dyDescent="0.2">
      <c r="A16">
        <f t="shared" ref="A16:A60" si="1">CHOOSE(1+LOG(1+2*(ORÇAMENTO.Nivel="Meta")+4*(ORÇAMENTO.Nivel="Nível 2")+8*(ORÇAMENTO.Nivel="Nível 3")+16*(ORÇAMENTO.Nivel="Nível 4")+32*(ORÇAMENTO.Nivel="Serviço"),2),0,1,2,3,4,"S")</f>
        <v>1</v>
      </c>
      <c r="B16">
        <f ca="1">IF(OR(C16="s",C16=0),OFFSET(B16,-1,0),C16)</f>
        <v>1</v>
      </c>
      <c r="C16">
        <f ca="1">IF(OFFSET(C16,-1,0)="L",1,IF(OFFSET(C16,-1,0)=1,2,IF(OR(A16="s",A16=0),"S",IF(AND(OFFSET(C16,-1,0)=2,A16=4),3,IF(AND(OR(OFFSET(C16,-1,0)="s",OFFSET(C16,-1,0)=0),A16&lt;&gt;"s",A16&gt;OFFSET(B16,-1,0)),OFFSET(B16,-1,0),A16)))))</f>
        <v>1</v>
      </c>
      <c r="D16">
        <f ca="1">IF(OR(C16="S",C16=0),0,IF(ISERROR(K16),J16,SMALL(J16:K16,1)))</f>
        <v>176</v>
      </c>
      <c r="E16">
        <f ca="1">IF($C16=1,OFFSET(E16,-1,0)+MAX(1,COUNTIF(QCI!$A$13:$A$24,OFFSET(ORÇAMENTO!E16,-1,0))),OFFSET(E16,-1,0))</f>
        <v>1</v>
      </c>
      <c r="F16">
        <f ca="1">IF($C16=1,0,IF($C16=2,OFFSET(F16,-1,0)+1,OFFSET(F16,-1,0)))</f>
        <v>0</v>
      </c>
      <c r="G16">
        <f ca="1">IF(AND($C16&lt;=2,$C16&lt;&gt;0),0,IF($C16=3,OFFSET(G16,-1,0)+1,OFFSET(G16,-1,0)))</f>
        <v>0</v>
      </c>
      <c r="H16">
        <f ca="1">IF(AND($C16&lt;=3,$C16&lt;&gt;0),0,IF($C16=4,OFFSET(H16,-1,0)+1,OFFSET(H16,-1,0)))</f>
        <v>0</v>
      </c>
      <c r="I16">
        <f ca="1">IF(AND($C16&lt;=4,$C16&lt;&gt;0),0,IF(AND($C16="S",$X16&gt;0),OFFSET(I16,-1,0)+1,OFFSET(I16,-1,0)))</f>
        <v>0</v>
      </c>
      <c r="J16">
        <f t="shared" ref="J16:J47" ca="1" si="2">IF(OR($C16="S",$C16=0),0,MATCH(0,OFFSET($D16,1,$C16,ROW($C$192)-ROW($C16)),0))</f>
        <v>176</v>
      </c>
      <c r="K16" t="e">
        <f ca="1">IF(OR($C16="S",$C16=0),0,MATCH(OFFSET($D16,0,$C16)+IF($C16&lt;&gt;1,1,COUNTIF(QCI!$A$13:$A$24,ORÇAMENTO!E16)),OFFSET($D16,1,$C16,ROW($C$192)-ROW($C16)),0))</f>
        <v>#N/A</v>
      </c>
      <c r="L16" s="143" t="str">
        <f ca="1">IF(OR($X16&gt;0,$C16=1,$C16=2,$C16=3,$C16=4),"F","")</f>
        <v>F</v>
      </c>
      <c r="M16" s="144" t="s">
        <v>195</v>
      </c>
      <c r="N16" s="145" t="str">
        <f ca="1">CHOOSE(1+LOG(1+2*(C16=1)+4*(C16=2)+8*(C16=3)+16*(C16=4)+32*(C16="S"),2),"","Meta","Nível 2","Nível 3","Nível 4","Serviço")</f>
        <v>Meta</v>
      </c>
      <c r="O16" s="146" t="str">
        <f ca="1">IF(OR($C16=0,$L16=""),"-",CONCATENATE(E16&amp;".",IF(AND($A$5&gt;=2,$C16&gt;=2),F16&amp;".",""),IF(AND($A$5&gt;=3,$C16&gt;=3),G16&amp;".",""),IF(AND($A$5&gt;=4,$C16&gt;=4),H16&amp;".",""),IF($C16="S",I16&amp;".","")))</f>
        <v>1.</v>
      </c>
      <c r="P16" s="147" t="s">
        <v>247</v>
      </c>
      <c r="Q16" s="148"/>
      <c r="R16" s="149" t="s">
        <v>553</v>
      </c>
      <c r="S16" s="150" t="s">
        <v>166</v>
      </c>
      <c r="T16" s="151">
        <f ca="1">OFFSET(CÁLCULO!H$15,ROW($T16)-ROW(T$15),0)</f>
        <v>0</v>
      </c>
      <c r="U16" s="152"/>
      <c r="V16" s="153" t="s">
        <v>156</v>
      </c>
      <c r="W16" s="151">
        <f ca="1">IF($C16="S",ROUND(IF(TIPOORCAMENTO="Proposto",ORÇAMENTO.CustoUnitario*(1+$AH16),ORÇAMENTO.PrecoUnitarioLicitado),15-13*$AF$10),0)</f>
        <v>0</v>
      </c>
      <c r="X16" s="154">
        <f ca="1">IF($C16="S",IF(Import.TipoArredondamento&lt;&gt;"TransfereGOV",VTOTAL1,SUM(OFFSET(CÁLCULO!$AA$15,ROW($X16)-ROW($X$15),1):OFFSET(CÁLCULO!$AL$15,ROW($X16)-ROW($X$15),-1))),IF($C16=0,0,ROUND(SomaAgrup,15-13*$AF$11)))</f>
        <v>0</v>
      </c>
      <c r="Y16" s="155" t="s">
        <v>245</v>
      </c>
      <c r="Z16" t="str">
        <f ca="1">IF(AND($C16="S",$X16&gt;0),IF(ISBLANK($Y16),"RA",LEFT($Y16,2)),"")</f>
        <v/>
      </c>
      <c r="AA16" s="156">
        <f ca="1">IF($C16="S",IF($Z16="CP",$X16,IF($Z16="RA",(($X16)*QCI!$AA$3),0)),SomaAgrup)</f>
        <v>0</v>
      </c>
      <c r="AB16" s="157">
        <f t="shared" ref="AB16:AB60" ca="1" si="3">IF($C16="S",IF($Z16="OU",ROUND($X16,2),0),SomaAgrup)</f>
        <v>0</v>
      </c>
      <c r="AC16" s="158" t="str">
        <f ca="1">IF($N16="","",IF(ORÇAMENTO.Descricao="","DESCRIÇÃO",IF(AND($C16="S",ORÇAMENTO.Unidade=""),"UNIDADE",IF($X16&lt;0,"VALOR NEGATIVO",IF(OR(AND(TIPOORCAMENTO="Proposto",$AG16&lt;&gt;"",$AG16&gt;0,ORÇAMENTO.CustoUnitario&gt;$AG16),AND(TIPOORCAMENTO="LICITADO",ORÇAMENTO.PrecoUnitarioLicitado&gt;$AN16)),"ACIMA REF.","")))))</f>
        <v/>
      </c>
      <c r="AD16" s="104">
        <f ca="1">IF(C16&lt;=CRONO.NivelExibicao,MAX($AD$15:OFFSET(AD16,-1,0))+IF($C16&lt;&gt;1,1,MAX(1,COUNTIF(QCI!$A$13:$A$24,OFFSET($E16,-1,0)))),"")</f>
        <v>1</v>
      </c>
      <c r="AE16" s="114" t="b">
        <f ca="1">IF(AND($C16="S",ORÇAMENTO.CodBarra&lt;&gt;""),IF(ORÇAMENTO.Fonte="",ORÇAMENTO.CodBarra,CONCATENATE(ORÇAMENTO.Fonte," ",ORÇAMENTO.CodBarra)))</f>
        <v>0</v>
      </c>
      <c r="AF16" s="159" t="str">
        <f ca="1">IF(ISERROR(INDIRECT(ORÇAMENTO.BancoRef)),"(abra o arquivo 'Referência "&amp;Excel_BuiltIn_Database&amp;".xlsm)",IF(OR($C16&lt;&gt;"S",ORÇAMENTO.CodBarra=""),"(Sem Código)",IF(ISERROR(MATCH($AE16,INDIRECT(ORÇAMENTO.BancoRef),0)),"(Código não identificado nas referências)",MATCH($AE16,INDIRECT(ORÇAMENTO.BancoRef),0))))</f>
        <v>(Sem Código)</v>
      </c>
      <c r="AG16" s="578">
        <f ca="1">ROUND(IF(DESONERACAO="sim",REFERENCIA.Desonerado,REFERENCIA.NaoDesonerado),2)</f>
        <v>0</v>
      </c>
      <c r="AH16" s="579">
        <f t="shared" ref="AH16:AH60" ca="1" si="4">ROUND(IF(ISNUMBER(ORÇAMENTO.OpcaoBDI),ORÇAMENTO.OpcaoBDI,IF(LEFT(ORÇAMENTO.OpcaoBDI,3)="BDI",HLOOKUP(ORÇAMENTO.OpcaoBDI,$F$4:$H$5,2,FALSE),0)),15-11*$AF$9)</f>
        <v>0.2034</v>
      </c>
      <c r="AJ16" s="581"/>
      <c r="AL16" s="611"/>
      <c r="AM16" s="430">
        <f t="shared" ca="1" si="0"/>
        <v>0</v>
      </c>
      <c r="AN16" s="654">
        <f t="shared" ref="AN16:AN60" ca="1" si="5">ROUND(ORÇAMENTO.CustoUnitario*(1+$AH16),2)</f>
        <v>0</v>
      </c>
    </row>
    <row r="17" spans="1:40" x14ac:dyDescent="0.2">
      <c r="A17">
        <f t="shared" si="1"/>
        <v>2</v>
      </c>
      <c r="B17">
        <f t="shared" ref="B17:B23" ca="1" si="6">IF(OR(C17="s",C17=0),OFFSET(B17,-1,0),C17)</f>
        <v>2</v>
      </c>
      <c r="C17">
        <f t="shared" ref="C17:C23" ca="1" si="7">IF(OFFSET(C17,-1,0)="L",1,IF(OFFSET(C17,-1,0)=1,2,IF(OR(A17="s",A17=0),"S",IF(AND(OFFSET(C17,-1,0)=2,A17=4),3,IF(AND(OR(OFFSET(C17,-1,0)="s",OFFSET(C17,-1,0)=0),A17&lt;&gt;"s",A17&gt;OFFSET(B17,-1,0)),OFFSET(B17,-1,0),A17)))))</f>
        <v>2</v>
      </c>
      <c r="D17">
        <f t="shared" ref="D17:D23" ca="1" si="8">IF(OR(C17="S",C17=0),0,IF(ISERROR(K17),J17,SMALL(J17:K17,1)))</f>
        <v>9</v>
      </c>
      <c r="E17">
        <f ca="1">IF($C17=1,OFFSET(E17,-1,0)+MAX(1,COUNTIF(QCI!$A$13:$A$24,OFFSET(ORÇAMENTO!E17,-1,0))),OFFSET(E17,-1,0))</f>
        <v>1</v>
      </c>
      <c r="F17">
        <f t="shared" ref="F17:F23" ca="1" si="9">IF($C17=1,0,IF($C17=2,OFFSET(F17,-1,0)+1,OFFSET(F17,-1,0)))</f>
        <v>1</v>
      </c>
      <c r="G17">
        <f t="shared" ref="G17:G23" ca="1" si="10">IF(AND($C17&lt;=2,$C17&lt;&gt;0),0,IF($C17=3,OFFSET(G17,-1,0)+1,OFFSET(G17,-1,0)))</f>
        <v>0</v>
      </c>
      <c r="H17">
        <f t="shared" ref="H17:H23" ca="1" si="11">IF(AND($C17&lt;=3,$C17&lt;&gt;0),0,IF($C17=4,OFFSET(H17,-1,0)+1,OFFSET(H17,-1,0)))</f>
        <v>0</v>
      </c>
      <c r="I17">
        <f t="shared" ref="I17:I23" ca="1" si="12">IF(AND($C17&lt;=4,$C17&lt;&gt;0),0,IF(AND($C17="S",$X17&gt;0),OFFSET(I17,-1,0)+1,OFFSET(I17,-1,0)))</f>
        <v>0</v>
      </c>
      <c r="J17">
        <f t="shared" ca="1" si="2"/>
        <v>175</v>
      </c>
      <c r="K17">
        <f ca="1">IF(OR($C17="S",$C17=0),0,MATCH(OFFSET($D17,0,$C17)+IF($C17&lt;&gt;1,1,COUNTIF(QCI!$A$13:$A$24,ORÇAMENTO!E17)),OFFSET($D17,1,$C17,ROW($C$192)-ROW($C17)),0))</f>
        <v>9</v>
      </c>
      <c r="L17" s="143" t="str">
        <f t="shared" ref="L17:L23" ca="1" si="13">IF(OR($X17&gt;0,$C17=1,$C17=2,$C17=3,$C17=4),"F","")</f>
        <v>F</v>
      </c>
      <c r="M17" s="144" t="s">
        <v>196</v>
      </c>
      <c r="N17" s="145" t="str">
        <f t="shared" ref="N17:N23" ca="1" si="14">CHOOSE(1+LOG(1+2*(C17=1)+4*(C17=2)+8*(C17=3)+16*(C17=4)+32*(C17="S"),2),"","Meta","Nível 2","Nível 3","Nível 4","Serviço")</f>
        <v>Nível 2</v>
      </c>
      <c r="O17" s="146" t="str">
        <f t="shared" ref="O17:O23" ca="1" si="15">IF(OR($C17=0,$L17=""),"-",CONCATENATE(E17&amp;".",IF(AND($A$5&gt;=2,$C17&gt;=2),F17&amp;".",""),IF(AND($A$5&gt;=3,$C17&gt;=3),G17&amp;".",""),IF(AND($A$5&gt;=4,$C17&gt;=4),H17&amp;".",""),IF($C17="S",I17&amp;".","")))</f>
        <v>1.1.</v>
      </c>
      <c r="P17" s="147" t="s">
        <v>247</v>
      </c>
      <c r="Q17" s="148"/>
      <c r="R17" s="149" t="s">
        <v>575</v>
      </c>
      <c r="S17" s="150" t="s">
        <v>166</v>
      </c>
      <c r="T17" s="151">
        <f ca="1">OFFSET(CÁLCULO!H$15,ROW($T17)-ROW(T$15),0)</f>
        <v>0</v>
      </c>
      <c r="U17" s="152"/>
      <c r="V17" s="153" t="s">
        <v>156</v>
      </c>
      <c r="W17" s="151">
        <f ca="1">IF($C17="S",ROUND(IF(TIPOORCAMENTO="Proposto",ORÇAMENTO.CustoUnitario*(1+$AH17),ORÇAMENTO.PrecoUnitarioLicitado),15-13*$AF$10),0)</f>
        <v>0</v>
      </c>
      <c r="X17" s="154">
        <f ca="1">IF($C17="S",IF(Import.TipoArredondamento&lt;&gt;"TransfereGOV",VTOTAL1,SUM(OFFSET(CÁLCULO!$AA$15,ROW($X17)-ROW($X$15),1):OFFSET(CÁLCULO!$AL$15,ROW($X17)-ROW($X$15),-1))),IF($C17=0,0,ROUND(SomaAgrup,15-13*$AF$11)))</f>
        <v>0</v>
      </c>
      <c r="Y17" s="155" t="s">
        <v>245</v>
      </c>
      <c r="Z17" t="str">
        <f t="shared" ref="Z17:Z23" ca="1" si="16">IF(AND($C17="S",$X17&gt;0),IF(ISBLANK($Y17),"RA",LEFT($Y17,2)),"")</f>
        <v/>
      </c>
      <c r="AA17" s="156">
        <f ca="1">IF($C17="S",IF($Z17="CP",$X17,IF($Z17="RA",(($X17)*QCI!$AA$3),0)),SomaAgrup)</f>
        <v>0</v>
      </c>
      <c r="AB17" s="157">
        <f t="shared" ca="1" si="3"/>
        <v>0</v>
      </c>
      <c r="AC17" s="158" t="str">
        <f ca="1">IF($N17="","",IF(ORÇAMENTO.Descricao="","DESCRIÇÃO",IF(AND($C17="S",ORÇAMENTO.Unidade=""),"UNIDADE",IF($X17&lt;0,"VALOR NEGATIVO",IF(OR(AND(TIPOORCAMENTO="Proposto",$AG17&lt;&gt;"",$AG17&gt;0,ORÇAMENTO.CustoUnitario&gt;$AG17),AND(TIPOORCAMENTO="LICITADO",ORÇAMENTO.PrecoUnitarioLicitado&gt;$AN17)),"ACIMA REF.","")))))</f>
        <v/>
      </c>
      <c r="AD17" s="686">
        <f ca="1">IF(C17&lt;=CRONO.NivelExibicao,MAX($AD$15:OFFSET(AD17,-1,0))+IF($C17&lt;&gt;1,1,MAX(1,COUNTIF(QCI!$A$13:$A$24,OFFSET($E17,-1,0)))),"")</f>
        <v>2</v>
      </c>
      <c r="AE17" s="114" t="b">
        <f ca="1">IF(AND($C17="S",ORÇAMENTO.CodBarra&lt;&gt;""),IF(ORÇAMENTO.Fonte="",ORÇAMENTO.CodBarra,CONCATENATE(ORÇAMENTO.Fonte," ",ORÇAMENTO.CodBarra)))</f>
        <v>0</v>
      </c>
      <c r="AF17" s="159" t="str">
        <f ca="1">IF(ISERROR(INDIRECT(ORÇAMENTO.BancoRef)),"(abra o arquivo 'Referência "&amp;Excel_BuiltIn_Database&amp;".xlsm)",IF(OR($C17&lt;&gt;"S",ORÇAMENTO.CodBarra=""),"(Sem Código)",IF(ISERROR(MATCH($AE17,INDIRECT(ORÇAMENTO.BancoRef),0)),"(Código não identificado nas referências)",MATCH($AE17,INDIRECT(ORÇAMENTO.BancoRef),0))))</f>
        <v>(Sem Código)</v>
      </c>
      <c r="AG17" s="578">
        <f ca="1">ROUND(IF(DESONERACAO="sim",REFERENCIA.Desonerado,REFERENCIA.NaoDesonerado),2)</f>
        <v>0</v>
      </c>
      <c r="AH17" s="579">
        <f t="shared" ca="1" si="4"/>
        <v>0.2034</v>
      </c>
      <c r="AJ17" s="581"/>
      <c r="AL17" s="611"/>
      <c r="AM17" s="430">
        <f t="shared" ca="1" si="0"/>
        <v>0</v>
      </c>
      <c r="AN17" s="654">
        <f t="shared" ca="1" si="5"/>
        <v>0</v>
      </c>
    </row>
    <row r="18" spans="1:40" ht="38.25" x14ac:dyDescent="0.2">
      <c r="A18" t="str">
        <f t="shared" si="1"/>
        <v>S</v>
      </c>
      <c r="B18">
        <f t="shared" ca="1" si="6"/>
        <v>2</v>
      </c>
      <c r="C18" t="str">
        <f t="shared" ca="1" si="7"/>
        <v>S</v>
      </c>
      <c r="D18">
        <f t="shared" ca="1" si="8"/>
        <v>0</v>
      </c>
      <c r="E18">
        <f ca="1">IF($C18=1,OFFSET(E18,-1,0)+MAX(1,COUNTIF(QCI!$A$13:$A$24,OFFSET(ORÇAMENTO!E18,-1,0))),OFFSET(E18,-1,0))</f>
        <v>1</v>
      </c>
      <c r="F18">
        <f t="shared" ca="1" si="9"/>
        <v>1</v>
      </c>
      <c r="G18">
        <f t="shared" ca="1" si="10"/>
        <v>0</v>
      </c>
      <c r="H18">
        <f t="shared" ca="1" si="11"/>
        <v>0</v>
      </c>
      <c r="I18">
        <f t="shared" ca="1" si="12"/>
        <v>0</v>
      </c>
      <c r="J18">
        <f t="shared" ca="1" si="2"/>
        <v>0</v>
      </c>
      <c r="K18">
        <f ca="1">IF(OR($C18="S",$C18=0),0,MATCH(OFFSET($D18,0,$C18)+IF($C18&lt;&gt;1,1,COUNTIF(QCI!$A$13:$A$24,ORÇAMENTO!E18)),OFFSET($D18,1,$C18,ROW($C$192)-ROW($C18)),0))</f>
        <v>0</v>
      </c>
      <c r="L18" s="143" t="str">
        <f t="shared" ca="1" si="13"/>
        <v/>
      </c>
      <c r="M18" s="144" t="s">
        <v>199</v>
      </c>
      <c r="N18" s="145" t="str">
        <f t="shared" ca="1" si="14"/>
        <v>Serviço</v>
      </c>
      <c r="O18" s="146" t="str">
        <f t="shared" ca="1" si="15"/>
        <v>-</v>
      </c>
      <c r="P18" s="147" t="s">
        <v>497</v>
      </c>
      <c r="Q18" s="148" t="s">
        <v>578</v>
      </c>
      <c r="R18" s="149" t="s">
        <v>633</v>
      </c>
      <c r="S18" s="150" t="s">
        <v>776</v>
      </c>
      <c r="T18" s="151">
        <f ca="1">OFFSET(CÁLCULO!H$15,ROW($T18)-ROW(T$15),0)</f>
        <v>8</v>
      </c>
      <c r="U18" s="152"/>
      <c r="V18" s="153" t="s">
        <v>156</v>
      </c>
      <c r="W18" s="151">
        <f ca="1">IF($C18="S",ROUND(IF(TIPOORCAMENTO="Proposto",ORÇAMENTO.CustoUnitario*(1+$AH18),ORÇAMENTO.PrecoUnitarioLicitado),15-13*$AF$10),0)</f>
        <v>0</v>
      </c>
      <c r="X18" s="154">
        <f ca="1">IF($C18="S",IF(Import.TipoArredondamento&lt;&gt;"TransfereGOV",VTOTAL1,SUM(OFFSET(CÁLCULO!$AA$15,ROW($X18)-ROW($X$15),1):OFFSET(CÁLCULO!$AL$15,ROW($X18)-ROW($X$15),-1))),IF($C18=0,0,ROUND(SomaAgrup,15-13*$AF$11)))</f>
        <v>0</v>
      </c>
      <c r="Y18" s="155" t="s">
        <v>245</v>
      </c>
      <c r="Z18" t="str">
        <f t="shared" ca="1" si="16"/>
        <v/>
      </c>
      <c r="AA18" s="156">
        <f ca="1">IF($C18="S",IF($Z18="CP",$X18,IF($Z18="RA",(($X18)*QCI!$AA$3),0)),SomaAgrup)</f>
        <v>0</v>
      </c>
      <c r="AB18" s="157">
        <f t="shared" ca="1" si="3"/>
        <v>0</v>
      </c>
      <c r="AC18" s="158" t="str">
        <f ca="1">IF($N18="","",IF(ORÇAMENTO.Descricao="","DESCRIÇÃO",IF(AND($C18="S",ORÇAMENTO.Unidade=""),"UNIDADE",IF($X18&lt;0,"VALOR NEGATIVO",IF(OR(AND(TIPOORCAMENTO="Proposto",$AG18&lt;&gt;"",$AG18&gt;0,ORÇAMENTO.CustoUnitario&gt;$AG18),AND(TIPOORCAMENTO="LICITADO",ORÇAMENTO.PrecoUnitarioLicitado&gt;$AN18)),"ACIMA REF.","")))))</f>
        <v/>
      </c>
      <c r="AD18" s="686" t="str">
        <f ca="1">IF(C18&lt;=CRONO.NivelExibicao,MAX($AD$15:OFFSET(AD18,-1,0))+IF($C18&lt;&gt;1,1,MAX(1,COUNTIF(QCI!$A$13:$A$24,OFFSET($E18,-1,0)))),"")</f>
        <v/>
      </c>
      <c r="AE18" s="114" t="str">
        <f ca="1">IF(AND($C18="S",ORÇAMENTO.CodBarra&lt;&gt;""),IF(ORÇAMENTO.Fonte="",ORÇAMENTO.CodBarra,CONCATENATE(ORÇAMENTO.Fonte," ",ORÇAMENTO.CodBarra)))</f>
        <v>COMPOSIÇÃO C002</v>
      </c>
      <c r="AF18" s="159">
        <f ca="1">IF(ISERROR(INDIRECT(ORÇAMENTO.BancoRef)),"(abra o arquivo 'Referência "&amp;Excel_BuiltIn_Database&amp;".xlsm)",IF(OR($C18&lt;&gt;"S",ORÇAMENTO.CodBarra=""),"(Sem Código)",IF(ISERROR(MATCH($AE18,INDIRECT(ORÇAMENTO.BancoRef),0)),"(Código não identificado nas referências)",MATCH($AE18,INDIRECT(ORÇAMENTO.BancoRef),0))))</f>
        <v>4</v>
      </c>
      <c r="AG18" s="578">
        <f ca="1">ROUND(IF(DESONERACAO="sim",REFERENCIA.Desonerado,REFERENCIA.NaoDesonerado),2)</f>
        <v>262.55</v>
      </c>
      <c r="AH18" s="579">
        <f t="shared" ca="1" si="4"/>
        <v>0.2034</v>
      </c>
      <c r="AJ18" s="581">
        <v>8</v>
      </c>
      <c r="AL18" s="611"/>
      <c r="AM18" s="430">
        <f t="shared" ca="1" si="0"/>
        <v>0</v>
      </c>
      <c r="AN18" s="654">
        <f t="shared" ca="1" si="5"/>
        <v>0</v>
      </c>
    </row>
    <row r="19" spans="1:40" ht="25.5" x14ac:dyDescent="0.2">
      <c r="A19" t="str">
        <f t="shared" si="1"/>
        <v>S</v>
      </c>
      <c r="B19">
        <f t="shared" ca="1" si="6"/>
        <v>2</v>
      </c>
      <c r="C19" t="str">
        <f t="shared" ca="1" si="7"/>
        <v>S</v>
      </c>
      <c r="D19">
        <f t="shared" ca="1" si="8"/>
        <v>0</v>
      </c>
      <c r="E19">
        <f ca="1">IF($C19=1,OFFSET(E19,-1,0)+MAX(1,COUNTIF(QCI!$A$13:$A$24,OFFSET(ORÇAMENTO!E19,-1,0))),OFFSET(E19,-1,0))</f>
        <v>1</v>
      </c>
      <c r="F19">
        <f t="shared" ca="1" si="9"/>
        <v>1</v>
      </c>
      <c r="G19">
        <f t="shared" ca="1" si="10"/>
        <v>0</v>
      </c>
      <c r="H19">
        <f t="shared" ca="1" si="11"/>
        <v>0</v>
      </c>
      <c r="I19">
        <f t="shared" ca="1" si="12"/>
        <v>0</v>
      </c>
      <c r="J19">
        <f t="shared" ca="1" si="2"/>
        <v>0</v>
      </c>
      <c r="K19">
        <f ca="1">IF(OR($C19="S",$C19=0),0,MATCH(OFFSET($D19,0,$C19)+IF($C19&lt;&gt;1,1,COUNTIF(QCI!$A$13:$A$24,ORÇAMENTO!E19)),OFFSET($D19,1,$C19,ROW($C$192)-ROW($C19)),0))</f>
        <v>0</v>
      </c>
      <c r="L19" s="143" t="str">
        <f t="shared" ca="1" si="13"/>
        <v/>
      </c>
      <c r="M19" s="144" t="s">
        <v>199</v>
      </c>
      <c r="N19" s="145" t="str">
        <f t="shared" ca="1" si="14"/>
        <v>Serviço</v>
      </c>
      <c r="O19" s="146" t="str">
        <f t="shared" ca="1" si="15"/>
        <v>-</v>
      </c>
      <c r="P19" s="147" t="s">
        <v>247</v>
      </c>
      <c r="Q19" s="148" t="s">
        <v>466</v>
      </c>
      <c r="R19" s="149" t="s">
        <v>634</v>
      </c>
      <c r="S19" s="150" t="s">
        <v>777</v>
      </c>
      <c r="T19" s="151">
        <f ca="1">OFFSET(CÁLCULO!H$15,ROW($T19)-ROW(T$15),0)</f>
        <v>6.4</v>
      </c>
      <c r="U19" s="152"/>
      <c r="V19" s="153" t="s">
        <v>156</v>
      </c>
      <c r="W19" s="151">
        <f ca="1">IF($C19="S",ROUND(IF(TIPOORCAMENTO="Proposto",ORÇAMENTO.CustoUnitario*(1+$AH19),ORÇAMENTO.PrecoUnitarioLicitado),15-13*$AF$10),0)</f>
        <v>0</v>
      </c>
      <c r="X19" s="154">
        <f ca="1">IF($C19="S",IF(Import.TipoArredondamento&lt;&gt;"TransfereGOV",VTOTAL1,SUM(OFFSET(CÁLCULO!$AA$15,ROW($X19)-ROW($X$15),1):OFFSET(CÁLCULO!$AL$15,ROW($X19)-ROW($X$15),-1))),IF($C19=0,0,ROUND(SomaAgrup,15-13*$AF$11)))</f>
        <v>0</v>
      </c>
      <c r="Y19" s="155" t="s">
        <v>245</v>
      </c>
      <c r="Z19" t="str">
        <f t="shared" ca="1" si="16"/>
        <v/>
      </c>
      <c r="AA19" s="156">
        <f ca="1">IF($C19="S",IF($Z19="CP",$X19,IF($Z19="RA",(($X19)*QCI!$AA$3),0)),SomaAgrup)</f>
        <v>0</v>
      </c>
      <c r="AB19" s="157">
        <f t="shared" ca="1" si="3"/>
        <v>0</v>
      </c>
      <c r="AC19" s="158" t="str">
        <f ca="1">IF($N19="","",IF(ORÇAMENTO.Descricao="","DESCRIÇÃO",IF(AND($C19="S",ORÇAMENTO.Unidade=""),"UNIDADE",IF($X19&lt;0,"VALOR NEGATIVO",IF(OR(AND(TIPOORCAMENTO="Proposto",$AG19&lt;&gt;"",$AG19&gt;0,ORÇAMENTO.CustoUnitario&gt;$AG19),AND(TIPOORCAMENTO="LICITADO",ORÇAMENTO.PrecoUnitarioLicitado&gt;$AN19)),"ACIMA REF.","")))))</f>
        <v/>
      </c>
      <c r="AD19" s="686" t="str">
        <f ca="1">IF(C19&lt;=CRONO.NivelExibicao,MAX($AD$15:OFFSET(AD19,-1,0))+IF($C19&lt;&gt;1,1,MAX(1,COUNTIF(QCI!$A$13:$A$24,OFFSET($E19,-1,0)))),"")</f>
        <v/>
      </c>
      <c r="AE19" s="114" t="str">
        <f ca="1">IF(AND($C19="S",ORÇAMENTO.CodBarra&lt;&gt;""),IF(ORÇAMENTO.Fonte="",ORÇAMENTO.CodBarra,CONCATENATE(ORÇAMENTO.Fonte," ",ORÇAMENTO.CodBarra)))</f>
        <v>SINAPI 103689</v>
      </c>
      <c r="AF19" s="159">
        <f ca="1">IF(ISERROR(INDIRECT(ORÇAMENTO.BancoRef)),"(abra o arquivo 'Referência "&amp;Excel_BuiltIn_Database&amp;".xlsm)",IF(OR($C19&lt;&gt;"S",ORÇAMENTO.CodBarra=""),"(Sem Código)",IF(ISERROR(MATCH($AE19,INDIRECT(ORÇAMENTO.BancoRef),0)),"(Código não identificado nas referências)",MATCH($AE19,INDIRECT(ORÇAMENTO.BancoRef),0))))</f>
        <v>10992</v>
      </c>
      <c r="AG19" s="578">
        <f ca="1">ROUND(IF(DESONERACAO="sim",REFERENCIA.Desonerado,REFERENCIA.NaoDesonerado),2)</f>
        <v>309.01</v>
      </c>
      <c r="AH19" s="579">
        <f t="shared" ca="1" si="4"/>
        <v>0.2034</v>
      </c>
      <c r="AJ19" s="581">
        <v>6.4</v>
      </c>
      <c r="AL19" s="611"/>
      <c r="AM19" s="430">
        <f t="shared" ca="1" si="0"/>
        <v>0</v>
      </c>
      <c r="AN19" s="654">
        <f t="shared" ca="1" si="5"/>
        <v>0</v>
      </c>
    </row>
    <row r="20" spans="1:40" ht="51" x14ac:dyDescent="0.2">
      <c r="A20" t="str">
        <f t="shared" si="1"/>
        <v>S</v>
      </c>
      <c r="B20">
        <f t="shared" ca="1" si="6"/>
        <v>2</v>
      </c>
      <c r="C20" t="str">
        <f t="shared" ca="1" si="7"/>
        <v>S</v>
      </c>
      <c r="D20">
        <f t="shared" ca="1" si="8"/>
        <v>0</v>
      </c>
      <c r="E20">
        <f ca="1">IF($C20=1,OFFSET(E20,-1,0)+MAX(1,COUNTIF(QCI!$A$13:$A$24,OFFSET(ORÇAMENTO!E20,-1,0))),OFFSET(E20,-1,0))</f>
        <v>1</v>
      </c>
      <c r="F20">
        <f t="shared" ca="1" si="9"/>
        <v>1</v>
      </c>
      <c r="G20">
        <f t="shared" ca="1" si="10"/>
        <v>0</v>
      </c>
      <c r="H20">
        <f t="shared" ca="1" si="11"/>
        <v>0</v>
      </c>
      <c r="I20">
        <f t="shared" ca="1" si="12"/>
        <v>0</v>
      </c>
      <c r="J20">
        <f t="shared" ca="1" si="2"/>
        <v>0</v>
      </c>
      <c r="K20">
        <f ca="1">IF(OR($C20="S",$C20=0),0,MATCH(OFFSET($D20,0,$C20)+IF($C20&lt;&gt;1,1,COUNTIF(QCI!$A$13:$A$24,ORÇAMENTO!E20)),OFFSET($D20,1,$C20,ROW($C$192)-ROW($C20)),0))</f>
        <v>0</v>
      </c>
      <c r="L20" s="143" t="str">
        <f t="shared" ca="1" si="13"/>
        <v/>
      </c>
      <c r="M20" s="144" t="s">
        <v>199</v>
      </c>
      <c r="N20" s="145" t="str">
        <f t="shared" ca="1" si="14"/>
        <v>Serviço</v>
      </c>
      <c r="O20" s="146" t="str">
        <f t="shared" ca="1" si="15"/>
        <v>-</v>
      </c>
      <c r="P20" s="147" t="s">
        <v>577</v>
      </c>
      <c r="Q20" s="148" t="s">
        <v>576</v>
      </c>
      <c r="R20" s="149" t="s">
        <v>635</v>
      </c>
      <c r="S20" s="150" t="s">
        <v>776</v>
      </c>
      <c r="T20" s="151">
        <f ca="1">OFFSET(CÁLCULO!H$15,ROW($T20)-ROW(T$15),0)</f>
        <v>1</v>
      </c>
      <c r="U20" s="152"/>
      <c r="V20" s="153" t="s">
        <v>156</v>
      </c>
      <c r="W20" s="151">
        <f ca="1">IF($C20="S",ROUND(IF(TIPOORCAMENTO="Proposto",ORÇAMENTO.CustoUnitario*(1+$AH20),ORÇAMENTO.PrecoUnitarioLicitado),15-13*$AF$10),0)</f>
        <v>0</v>
      </c>
      <c r="X20" s="154">
        <f ca="1">IF($C20="S",IF(Import.TipoArredondamento&lt;&gt;"TransfereGOV",VTOTAL1,SUM(OFFSET(CÁLCULO!$AA$15,ROW($X20)-ROW($X$15),1):OFFSET(CÁLCULO!$AL$15,ROW($X20)-ROW($X$15),-1))),IF($C20=0,0,ROUND(SomaAgrup,15-13*$AF$11)))</f>
        <v>0</v>
      </c>
      <c r="Y20" s="155" t="s">
        <v>245</v>
      </c>
      <c r="Z20" t="str">
        <f t="shared" ca="1" si="16"/>
        <v/>
      </c>
      <c r="AA20" s="156">
        <f ca="1">IF($C20="S",IF($Z20="CP",$X20,IF($Z20="RA",(($X20)*QCI!$AA$3),0)),SomaAgrup)</f>
        <v>0</v>
      </c>
      <c r="AB20" s="157">
        <f t="shared" ca="1" si="3"/>
        <v>0</v>
      </c>
      <c r="AC20" s="158" t="str">
        <f ca="1">IF($N20="","",IF(ORÇAMENTO.Descricao="","DESCRIÇÃO",IF(AND($C20="S",ORÇAMENTO.Unidade=""),"UNIDADE",IF($X20&lt;0,"VALOR NEGATIVO",IF(OR(AND(TIPOORCAMENTO="Proposto",$AG20&lt;&gt;"",$AG20&gt;0,ORÇAMENTO.CustoUnitario&gt;$AG20),AND(TIPOORCAMENTO="LICITADO",ORÇAMENTO.PrecoUnitarioLicitado&gt;$AN20)),"ACIMA REF.","")))))</f>
        <v/>
      </c>
      <c r="AD20" s="686" t="str">
        <f ca="1">IF(C20&lt;=CRONO.NivelExibicao,MAX($AD$15:OFFSET(AD20,-1,0))+IF($C20&lt;&gt;1,1,MAX(1,COUNTIF(QCI!$A$13:$A$24,OFFSET($E20,-1,0)))),"")</f>
        <v/>
      </c>
      <c r="AE20" s="114" t="str">
        <f ca="1">IF(AND($C20="S",ORÇAMENTO.CodBarra&lt;&gt;""),IF(ORÇAMENTO.Fonte="",ORÇAMENTO.CodBarra,CONCATENATE(ORÇAMENTO.Fonte," ",ORÇAMENTO.CodBarra)))</f>
        <v>COMPOSIÇÃO  C001</v>
      </c>
      <c r="AF20" s="159">
        <f ca="1">IF(ISERROR(INDIRECT(ORÇAMENTO.BancoRef)),"(abra o arquivo 'Referência "&amp;Excel_BuiltIn_Database&amp;".xlsm)",IF(OR($C20&lt;&gt;"S",ORÇAMENTO.CodBarra=""),"(Sem Código)",IF(ISERROR(MATCH($AE20,INDIRECT(ORÇAMENTO.BancoRef),0)),"(Código não identificado nas referências)",MATCH($AE20,INDIRECT(ORÇAMENTO.BancoRef),0))))</f>
        <v>3</v>
      </c>
      <c r="AG20" s="578">
        <f ca="1">ROUND(IF(DESONERACAO="sim",REFERENCIA.Desonerado,REFERENCIA.NaoDesonerado),2)</f>
        <v>24166.22</v>
      </c>
      <c r="AH20" s="579">
        <f t="shared" ca="1" si="4"/>
        <v>0.2034</v>
      </c>
      <c r="AJ20" s="581">
        <v>1</v>
      </c>
      <c r="AL20" s="611"/>
      <c r="AM20" s="430">
        <f t="shared" ca="1" si="0"/>
        <v>0</v>
      </c>
      <c r="AN20" s="654">
        <f t="shared" ca="1" si="5"/>
        <v>0</v>
      </c>
    </row>
    <row r="21" spans="1:40" x14ac:dyDescent="0.2">
      <c r="A21" t="str">
        <f t="shared" si="1"/>
        <v>S</v>
      </c>
      <c r="B21">
        <f t="shared" ca="1" si="6"/>
        <v>2</v>
      </c>
      <c r="C21" t="str">
        <f t="shared" ca="1" si="7"/>
        <v>S</v>
      </c>
      <c r="D21">
        <f t="shared" ca="1" si="8"/>
        <v>0</v>
      </c>
      <c r="E21">
        <f ca="1">IF($C21=1,OFFSET(E21,-1,0)+MAX(1,COUNTIF(QCI!$A$13:$A$24,OFFSET(ORÇAMENTO!E21,-1,0))),OFFSET(E21,-1,0))</f>
        <v>1</v>
      </c>
      <c r="F21">
        <f t="shared" ca="1" si="9"/>
        <v>1</v>
      </c>
      <c r="G21">
        <f t="shared" ca="1" si="10"/>
        <v>0</v>
      </c>
      <c r="H21">
        <f t="shared" ca="1" si="11"/>
        <v>0</v>
      </c>
      <c r="I21">
        <f t="shared" ca="1" si="12"/>
        <v>0</v>
      </c>
      <c r="J21">
        <f t="shared" ca="1" si="2"/>
        <v>0</v>
      </c>
      <c r="K21">
        <f ca="1">IF(OR($C21="S",$C21=0),0,MATCH(OFFSET($D21,0,$C21)+IF($C21&lt;&gt;1,1,COUNTIF(QCI!$A$13:$A$24,ORÇAMENTO!E21)),OFFSET($D21,1,$C21,ROW($C$192)-ROW($C21)),0))</f>
        <v>0</v>
      </c>
      <c r="L21" s="143" t="str">
        <f t="shared" ca="1" si="13"/>
        <v/>
      </c>
      <c r="M21" s="144" t="s">
        <v>199</v>
      </c>
      <c r="N21" s="145" t="str">
        <f t="shared" ca="1" si="14"/>
        <v>Serviço</v>
      </c>
      <c r="O21" s="146" t="str">
        <f t="shared" ca="1" si="15"/>
        <v>-</v>
      </c>
      <c r="P21" s="147" t="s">
        <v>247</v>
      </c>
      <c r="Q21" s="148" t="s">
        <v>522</v>
      </c>
      <c r="R21" s="149" t="s">
        <v>636</v>
      </c>
      <c r="S21" s="150" t="s">
        <v>777</v>
      </c>
      <c r="T21" s="151">
        <f ca="1">OFFSET(CÁLCULO!H$15,ROW($T21)-ROW(T$15),0)</f>
        <v>250</v>
      </c>
      <c r="U21" s="152"/>
      <c r="V21" s="153" t="s">
        <v>156</v>
      </c>
      <c r="W21" s="151">
        <f ca="1">IF($C21="S",ROUND(IF(TIPOORCAMENTO="Proposto",ORÇAMENTO.CustoUnitario*(1+$AH21),ORÇAMENTO.PrecoUnitarioLicitado),15-13*$AF$10),0)</f>
        <v>0</v>
      </c>
      <c r="X21" s="154">
        <f ca="1">IF($C21="S",IF(Import.TipoArredondamento&lt;&gt;"TransfereGOV",VTOTAL1,SUM(OFFSET(CÁLCULO!$AA$15,ROW($X21)-ROW($X$15),1):OFFSET(CÁLCULO!$AL$15,ROW($X21)-ROW($X$15),-1))),IF($C21=0,0,ROUND(SomaAgrup,15-13*$AF$11)))</f>
        <v>0</v>
      </c>
      <c r="Y21" s="155" t="s">
        <v>245</v>
      </c>
      <c r="Z21" t="str">
        <f t="shared" ca="1" si="16"/>
        <v/>
      </c>
      <c r="AA21" s="156">
        <f ca="1">IF($C21="S",IF($Z21="CP",$X21,IF($Z21="RA",(($X21)*QCI!$AA$3),0)),SomaAgrup)</f>
        <v>0</v>
      </c>
      <c r="AB21" s="157">
        <f t="shared" ca="1" si="3"/>
        <v>0</v>
      </c>
      <c r="AC21" s="158" t="str">
        <f ca="1">IF($N21="","",IF(ORÇAMENTO.Descricao="","DESCRIÇÃO",IF(AND($C21="S",ORÇAMENTO.Unidade=""),"UNIDADE",IF($X21&lt;0,"VALOR NEGATIVO",IF(OR(AND(TIPOORCAMENTO="Proposto",$AG21&lt;&gt;"",$AG21&gt;0,ORÇAMENTO.CustoUnitario&gt;$AG21),AND(TIPOORCAMENTO="LICITADO",ORÇAMENTO.PrecoUnitarioLicitado&gt;$AN21)),"ACIMA REF.","")))))</f>
        <v/>
      </c>
      <c r="AD21" s="686" t="str">
        <f ca="1">IF(C21&lt;=CRONO.NivelExibicao,MAX($AD$15:OFFSET(AD21,-1,0))+IF($C21&lt;&gt;1,1,MAX(1,COUNTIF(QCI!$A$13:$A$24,OFFSET($E21,-1,0)))),"")</f>
        <v/>
      </c>
      <c r="AE21" s="114" t="str">
        <f ca="1">IF(AND($C21="S",ORÇAMENTO.CodBarra&lt;&gt;""),IF(ORÇAMENTO.Fonte="",ORÇAMENTO.CodBarra,CONCATENATE(ORÇAMENTO.Fonte," ",ORÇAMENTO.CodBarra)))</f>
        <v>SINAPI 98459</v>
      </c>
      <c r="AF21" s="159">
        <f ca="1">IF(ISERROR(INDIRECT(ORÇAMENTO.BancoRef)),"(abra o arquivo 'Referência "&amp;Excel_BuiltIn_Database&amp;".xlsm)",IF(OR($C21&lt;&gt;"S",ORÇAMENTO.CodBarra=""),"(Sem Código)",IF(ISERROR(MATCH($AE21,INDIRECT(ORÇAMENTO.BancoRef),0)),"(Código não identificado nas referências)",MATCH($AE21,INDIRECT(ORÇAMENTO.BancoRef),0))))</f>
        <v>5343</v>
      </c>
      <c r="AG21" s="578">
        <f ca="1">ROUND(IF(DESONERACAO="sim",REFERENCIA.Desonerado,REFERENCIA.NaoDesonerado),2)</f>
        <v>78.58</v>
      </c>
      <c r="AH21" s="579">
        <f t="shared" ca="1" si="4"/>
        <v>0.2034</v>
      </c>
      <c r="AJ21" s="581">
        <v>250</v>
      </c>
      <c r="AL21" s="611"/>
      <c r="AM21" s="430">
        <f t="shared" ca="1" si="0"/>
        <v>0</v>
      </c>
      <c r="AN21" s="654">
        <f t="shared" ca="1" si="5"/>
        <v>0</v>
      </c>
    </row>
    <row r="22" spans="1:40" ht="51" x14ac:dyDescent="0.2">
      <c r="A22" t="str">
        <f t="shared" si="1"/>
        <v>S</v>
      </c>
      <c r="B22">
        <f t="shared" ca="1" si="6"/>
        <v>2</v>
      </c>
      <c r="C22" t="str">
        <f t="shared" ca="1" si="7"/>
        <v>S</v>
      </c>
      <c r="D22">
        <f t="shared" ca="1" si="8"/>
        <v>0</v>
      </c>
      <c r="E22">
        <f ca="1">IF($C22=1,OFFSET(E22,-1,0)+MAX(1,COUNTIF(QCI!$A$13:$A$24,OFFSET(ORÇAMENTO!E22,-1,0))),OFFSET(E22,-1,0))</f>
        <v>1</v>
      </c>
      <c r="F22">
        <f t="shared" ca="1" si="9"/>
        <v>1</v>
      </c>
      <c r="G22">
        <f t="shared" ca="1" si="10"/>
        <v>0</v>
      </c>
      <c r="H22">
        <f t="shared" ca="1" si="11"/>
        <v>0</v>
      </c>
      <c r="I22">
        <f t="shared" ca="1" si="12"/>
        <v>0</v>
      </c>
      <c r="J22">
        <f t="shared" ca="1" si="2"/>
        <v>0</v>
      </c>
      <c r="K22">
        <f ca="1">IF(OR($C22="S",$C22=0),0,MATCH(OFFSET($D22,0,$C22)+IF($C22&lt;&gt;1,1,COUNTIF(QCI!$A$13:$A$24,ORÇAMENTO!E22)),OFFSET($D22,1,$C22,ROW($C$192)-ROW($C22)),0))</f>
        <v>0</v>
      </c>
      <c r="L22" s="143" t="str">
        <f t="shared" ca="1" si="13"/>
        <v/>
      </c>
      <c r="M22" s="144" t="s">
        <v>199</v>
      </c>
      <c r="N22" s="145" t="str">
        <f t="shared" ca="1" si="14"/>
        <v>Serviço</v>
      </c>
      <c r="O22" s="146" t="str">
        <f t="shared" ca="1" si="15"/>
        <v>-</v>
      </c>
      <c r="P22" s="147" t="s">
        <v>247</v>
      </c>
      <c r="Q22" s="148" t="s">
        <v>574</v>
      </c>
      <c r="R22" s="149" t="s">
        <v>637</v>
      </c>
      <c r="S22" s="150" t="s">
        <v>778</v>
      </c>
      <c r="T22" s="151">
        <f ca="1">OFFSET(CÁLCULO!H$15,ROW($T22)-ROW(T$15),0)</f>
        <v>1</v>
      </c>
      <c r="U22" s="152"/>
      <c r="V22" s="153" t="s">
        <v>156</v>
      </c>
      <c r="W22" s="151">
        <f ca="1">IF($C22="S",ROUND(IF(TIPOORCAMENTO="Proposto",ORÇAMENTO.CustoUnitario*(1+$AH22),ORÇAMENTO.PrecoUnitarioLicitado),15-13*$AF$10),0)</f>
        <v>0</v>
      </c>
      <c r="X22" s="154">
        <f ca="1">IF($C22="S",IF(Import.TipoArredondamento&lt;&gt;"TransfereGOV",VTOTAL1,SUM(OFFSET(CÁLCULO!$AA$15,ROW($X22)-ROW($X$15),1):OFFSET(CÁLCULO!$AL$15,ROW($X22)-ROW($X$15),-1))),IF($C22=0,0,ROUND(SomaAgrup,15-13*$AF$11)))</f>
        <v>0</v>
      </c>
      <c r="Y22" s="155" t="s">
        <v>245</v>
      </c>
      <c r="Z22" t="str">
        <f t="shared" ca="1" si="16"/>
        <v/>
      </c>
      <c r="AA22" s="156">
        <f ca="1">IF($C22="S",IF($Z22="CP",$X22,IF($Z22="RA",(($X22)*QCI!$AA$3),0)),SomaAgrup)</f>
        <v>0</v>
      </c>
      <c r="AB22" s="157">
        <f t="shared" ca="1" si="3"/>
        <v>0</v>
      </c>
      <c r="AC22" s="158" t="str">
        <f ca="1">IF($N22="","",IF(ORÇAMENTO.Descricao="","DESCRIÇÃO",IF(AND($C22="S",ORÇAMENTO.Unidade=""),"UNIDADE",IF($X22&lt;0,"VALOR NEGATIVO",IF(OR(AND(TIPOORCAMENTO="Proposto",$AG22&lt;&gt;"",$AG22&gt;0,ORÇAMENTO.CustoUnitario&gt;$AG22),AND(TIPOORCAMENTO="LICITADO",ORÇAMENTO.PrecoUnitarioLicitado&gt;$AN22)),"ACIMA REF.","")))))</f>
        <v/>
      </c>
      <c r="AD22" s="686" t="str">
        <f ca="1">IF(C22&lt;=CRONO.NivelExibicao,MAX($AD$15:OFFSET(AD22,-1,0))+IF($C22&lt;&gt;1,1,MAX(1,COUNTIF(QCI!$A$13:$A$24,OFFSET($E22,-1,0)))),"")</f>
        <v/>
      </c>
      <c r="AE22" s="114" t="str">
        <f ca="1">IF(AND($C22="S",ORÇAMENTO.CodBarra&lt;&gt;""),IF(ORÇAMENTO.Fonte="",ORÇAMENTO.CodBarra,CONCATENATE(ORÇAMENTO.Fonte," ",ORÇAMENTO.CodBarra)))</f>
        <v>SINAPI 95644</v>
      </c>
      <c r="AF22" s="159">
        <f ca="1">IF(ISERROR(INDIRECT(ORÇAMENTO.BancoRef)),"(abra o arquivo 'Referência "&amp;Excel_BuiltIn_Database&amp;".xlsm)",IF(OR($C22&lt;&gt;"S",ORÇAMENTO.CodBarra=""),"(Sem Código)",IF(ISERROR(MATCH($AE22,INDIRECT(ORÇAMENTO.BancoRef),0)),"(Código não identificado nas referências)",MATCH($AE22,INDIRECT(ORÇAMENTO.BancoRef),0))))</f>
        <v>10346</v>
      </c>
      <c r="AG22" s="578">
        <f ca="1">ROUND(IF(DESONERACAO="sim",REFERENCIA.Desonerado,REFERENCIA.NaoDesonerado),2)</f>
        <v>237.6</v>
      </c>
      <c r="AH22" s="579">
        <f t="shared" ca="1" si="4"/>
        <v>0.2034</v>
      </c>
      <c r="AJ22" s="581">
        <v>1</v>
      </c>
      <c r="AL22" s="611"/>
      <c r="AM22" s="430">
        <f t="shared" ca="1" si="0"/>
        <v>0</v>
      </c>
      <c r="AN22" s="654">
        <f t="shared" ca="1" si="5"/>
        <v>0</v>
      </c>
    </row>
    <row r="23" spans="1:40" ht="38.25" x14ac:dyDescent="0.2">
      <c r="A23" t="str">
        <f t="shared" si="1"/>
        <v>S</v>
      </c>
      <c r="B23">
        <f t="shared" ca="1" si="6"/>
        <v>2</v>
      </c>
      <c r="C23" t="str">
        <f t="shared" ca="1" si="7"/>
        <v>S</v>
      </c>
      <c r="D23">
        <f t="shared" ca="1" si="8"/>
        <v>0</v>
      </c>
      <c r="E23">
        <f ca="1">IF($C23=1,OFFSET(E23,-1,0)+MAX(1,COUNTIF(QCI!$A$13:$A$24,OFFSET(ORÇAMENTO!E23,-1,0))),OFFSET(E23,-1,0))</f>
        <v>1</v>
      </c>
      <c r="F23">
        <f t="shared" ca="1" si="9"/>
        <v>1</v>
      </c>
      <c r="G23">
        <f t="shared" ca="1" si="10"/>
        <v>0</v>
      </c>
      <c r="H23">
        <f t="shared" ca="1" si="11"/>
        <v>0</v>
      </c>
      <c r="I23">
        <f t="shared" ca="1" si="12"/>
        <v>0</v>
      </c>
      <c r="J23">
        <f t="shared" ca="1" si="2"/>
        <v>0</v>
      </c>
      <c r="K23">
        <f ca="1">IF(OR($C23="S",$C23=0),0,MATCH(OFFSET($D23,0,$C23)+IF($C23&lt;&gt;1,1,COUNTIF(QCI!$A$13:$A$24,ORÇAMENTO!E23)),OFFSET($D23,1,$C23,ROW($C$192)-ROW($C23)),0))</f>
        <v>0</v>
      </c>
      <c r="L23" s="143" t="str">
        <f t="shared" ca="1" si="13"/>
        <v/>
      </c>
      <c r="M23" s="144" t="s">
        <v>199</v>
      </c>
      <c r="N23" s="145" t="str">
        <f t="shared" ca="1" si="14"/>
        <v>Serviço</v>
      </c>
      <c r="O23" s="146" t="str">
        <f t="shared" ca="1" si="15"/>
        <v>-</v>
      </c>
      <c r="P23" s="147" t="s">
        <v>247</v>
      </c>
      <c r="Q23" s="148" t="s">
        <v>521</v>
      </c>
      <c r="R23" s="149" t="s">
        <v>638</v>
      </c>
      <c r="S23" s="150" t="s">
        <v>779</v>
      </c>
      <c r="T23" s="151">
        <f ca="1">OFFSET(CÁLCULO!H$15,ROW($T23)-ROW(T$15),0)</f>
        <v>116</v>
      </c>
      <c r="U23" s="152"/>
      <c r="V23" s="153" t="s">
        <v>156</v>
      </c>
      <c r="W23" s="151">
        <f ca="1">IF($C23="S",ROUND(IF(TIPOORCAMENTO="Proposto",ORÇAMENTO.CustoUnitario*(1+$AH23),ORÇAMENTO.PrecoUnitarioLicitado),15-13*$AF$10),0)</f>
        <v>0</v>
      </c>
      <c r="X23" s="154">
        <f ca="1">IF($C23="S",IF(Import.TipoArredondamento&lt;&gt;"TransfereGOV",VTOTAL1,SUM(OFFSET(CÁLCULO!$AA$15,ROW($X23)-ROW($X$15),1):OFFSET(CÁLCULO!$AL$15,ROW($X23)-ROW($X$15),-1))),IF($C23=0,0,ROUND(SomaAgrup,15-13*$AF$11)))</f>
        <v>0</v>
      </c>
      <c r="Y23" s="155" t="s">
        <v>245</v>
      </c>
      <c r="Z23" t="str">
        <f t="shared" ca="1" si="16"/>
        <v/>
      </c>
      <c r="AA23" s="156">
        <f ca="1">IF($C23="S",IF($Z23="CP",$X23,IF($Z23="RA",(($X23)*QCI!$AA$3),0)),SomaAgrup)</f>
        <v>0</v>
      </c>
      <c r="AB23" s="157">
        <f t="shared" ca="1" si="3"/>
        <v>0</v>
      </c>
      <c r="AC23" s="158" t="str">
        <f ca="1">IF($N23="","",IF(ORÇAMENTO.Descricao="","DESCRIÇÃO",IF(AND($C23="S",ORÇAMENTO.Unidade=""),"UNIDADE",IF($X23&lt;0,"VALOR NEGATIVO",IF(OR(AND(TIPOORCAMENTO="Proposto",$AG23&lt;&gt;"",$AG23&gt;0,ORÇAMENTO.CustoUnitario&gt;$AG23),AND(TIPOORCAMENTO="LICITADO",ORÇAMENTO.PrecoUnitarioLicitado&gt;$AN23)),"ACIMA REF.","")))))</f>
        <v/>
      </c>
      <c r="AD23" s="686" t="str">
        <f ca="1">IF(C23&lt;=CRONO.NivelExibicao,MAX($AD$15:OFFSET(AD23,-1,0))+IF($C23&lt;&gt;1,1,MAX(1,COUNTIF(QCI!$A$13:$A$24,OFFSET($E23,-1,0)))),"")</f>
        <v/>
      </c>
      <c r="AE23" s="114" t="str">
        <f ca="1">IF(AND($C23="S",ORÇAMENTO.CodBarra&lt;&gt;""),IF(ORÇAMENTO.Fonte="",ORÇAMENTO.CodBarra,CONCATENATE(ORÇAMENTO.Fonte," ",ORÇAMENTO.CodBarra)))</f>
        <v>SINAPI 105009</v>
      </c>
      <c r="AF23" s="159">
        <f ca="1">IF(ISERROR(INDIRECT(ORÇAMENTO.BancoRef)),"(abra o arquivo 'Referência "&amp;Excel_BuiltIn_Database&amp;".xlsm)",IF(OR($C23&lt;&gt;"S",ORÇAMENTO.CodBarra=""),"(Sem Código)",IF(ISERROR(MATCH($AE23,INDIRECT(ORÇAMENTO.BancoRef),0)),"(Código não identificado nas referências)",MATCH($AE23,INDIRECT(ORÇAMENTO.BancoRef),0))))</f>
        <v>11916</v>
      </c>
      <c r="AG23" s="578">
        <f ca="1">ROUND(IF(DESONERACAO="sim",REFERENCIA.Desonerado,REFERENCIA.NaoDesonerado),2)</f>
        <v>68.7</v>
      </c>
      <c r="AH23" s="579">
        <f t="shared" ca="1" si="4"/>
        <v>0.2034</v>
      </c>
      <c r="AJ23" s="581">
        <v>116</v>
      </c>
      <c r="AL23" s="611"/>
      <c r="AM23" s="430">
        <f t="shared" ca="1" si="0"/>
        <v>0</v>
      </c>
      <c r="AN23" s="654">
        <f t="shared" ca="1" si="5"/>
        <v>0</v>
      </c>
    </row>
    <row r="24" spans="1:40" ht="38.25" x14ac:dyDescent="0.2">
      <c r="A24" t="str">
        <f>CHOOSE(1+LOG(1+2*(ORÇAMENTO.Nivel="Meta")+4*(ORÇAMENTO.Nivel="Nível 2")+8*(ORÇAMENTO.Nivel="Nível 3")+16*(ORÇAMENTO.Nivel="Nível 4")+32*(ORÇAMENTO.Nivel="Serviço"),2),0,1,2,3,4,"S")</f>
        <v>S</v>
      </c>
      <c r="B24">
        <f ca="1">IF(OR(C24="s",C24=0),OFFSET(B24,-1,0),C24)</f>
        <v>2</v>
      </c>
      <c r="C24" t="str">
        <f ca="1">IF(OFFSET(C24,-1,0)="L",1,IF(OFFSET(C24,-1,0)=1,2,IF(OR(A24="s",A24=0),"S",IF(AND(OFFSET(C24,-1,0)=2,A24=4),3,IF(AND(OR(OFFSET(C24,-1,0)="s",OFFSET(C24,-1,0)=0),A24&lt;&gt;"s",A24&gt;OFFSET(B24,-1,0)),OFFSET(B24,-1,0),A24)))))</f>
        <v>S</v>
      </c>
      <c r="D24">
        <f ca="1">IF(OR(C24="S",C24=0),0,IF(ISERROR(K24),J24,SMALL(J24:K24,1)))</f>
        <v>0</v>
      </c>
      <c r="E24">
        <f ca="1">IF($C24=1,OFFSET(E24,-1,0)+MAX(1,COUNTIF(QCI!$A$13:$A$24,OFFSET(ORÇAMENTO!E24,-1,0))),OFFSET(E24,-1,0))</f>
        <v>1</v>
      </c>
      <c r="F24">
        <f ca="1">IF($C24=1,0,IF($C24=2,OFFSET(F24,-1,0)+1,OFFSET(F24,-1,0)))</f>
        <v>1</v>
      </c>
      <c r="G24">
        <f ca="1">IF(AND($C24&lt;=2,$C24&lt;&gt;0),0,IF($C24=3,OFFSET(G24,-1,0)+1,OFFSET(G24,-1,0)))</f>
        <v>0</v>
      </c>
      <c r="H24">
        <f ca="1">IF(AND($C24&lt;=3,$C24&lt;&gt;0),0,IF($C24=4,OFFSET(H24,-1,0)+1,OFFSET(H24,-1,0)))</f>
        <v>0</v>
      </c>
      <c r="I24">
        <f ca="1">IF(AND($C24&lt;=4,$C24&lt;&gt;0),0,IF(AND($C24="S",$X24&gt;0),OFFSET(I24,-1,0)+1,OFFSET(I24,-1,0)))</f>
        <v>0</v>
      </c>
      <c r="J24">
        <f t="shared" ca="1" si="2"/>
        <v>0</v>
      </c>
      <c r="K24">
        <f ca="1">IF(OR($C24="S",$C24=0),0,MATCH(OFFSET($D24,0,$C24)+IF($C24&lt;&gt;1,1,COUNTIF(QCI!$A$13:$A$24,ORÇAMENTO!E24)),OFFSET($D24,1,$C24,ROW($C$192)-ROW($C24)),0))</f>
        <v>0</v>
      </c>
      <c r="L24" s="143" t="str">
        <f ca="1">IF(OR($X24&gt;0,$C24=1,$C24=2,$C24=3,$C24=4),"F","")</f>
        <v/>
      </c>
      <c r="M24" s="144" t="s">
        <v>199</v>
      </c>
      <c r="N24" s="145" t="str">
        <f ca="1">CHOOSE(1+LOG(1+2*(C24=1)+4*(C24=2)+8*(C24=3)+16*(C24=4)+32*(C24="S"),2),"","Meta","Nível 2","Nível 3","Nível 4","Serviço")</f>
        <v>Serviço</v>
      </c>
      <c r="O24" s="146" t="str">
        <f ca="1">IF(OR($C24=0,$L24=""),"-",CONCATENATE(E24&amp;".",IF(AND($A$5&gt;=2,$C24&gt;=2),F24&amp;".",""),IF(AND($A$5&gt;=3,$C24&gt;=3),G24&amp;".",""),IF(AND($A$5&gt;=4,$C24&gt;=4),H24&amp;".",""),IF($C24="S",I24&amp;".","")))</f>
        <v>-</v>
      </c>
      <c r="P24" s="147" t="s">
        <v>247</v>
      </c>
      <c r="Q24" s="148" t="s">
        <v>573</v>
      </c>
      <c r="R24" s="149" t="s">
        <v>639</v>
      </c>
      <c r="S24" s="150" t="s">
        <v>778</v>
      </c>
      <c r="T24" s="151">
        <f ca="1">OFFSET(CÁLCULO!H$15,ROW($T24)-ROW(T$15),0)</f>
        <v>1</v>
      </c>
      <c r="U24" s="152"/>
      <c r="V24" s="153" t="s">
        <v>156</v>
      </c>
      <c r="W24" s="151">
        <f ca="1">IF($C24="S",ROUND(IF(TIPOORCAMENTO="Proposto",ORÇAMENTO.CustoUnitario*(1+$AH24),ORÇAMENTO.PrecoUnitarioLicitado),15-13*$AF$10),0)</f>
        <v>0</v>
      </c>
      <c r="X24" s="154">
        <f ca="1">IF($C24="S",IF(Import.TipoArredondamento&lt;&gt;"TransfereGOV",VTOTAL1,SUM(OFFSET(CÁLCULO!$AA$15,ROW($X24)-ROW($X$15),1):OFFSET(CÁLCULO!$AL$15,ROW($X24)-ROW($X$15),-1))),IF($C24=0,0,ROUND(SomaAgrup,15-13*$AF$11)))</f>
        <v>0</v>
      </c>
      <c r="Y24" s="155" t="s">
        <v>245</v>
      </c>
      <c r="Z24" t="str">
        <f ca="1">IF(AND($C24="S",$X24&gt;0),IF(ISBLANK($Y24),"RA",LEFT($Y24,2)),"")</f>
        <v/>
      </c>
      <c r="AA24" s="156">
        <f ca="1">IF($C24="S",IF($Z24="CP",$X24,IF($Z24="RA",(($X24)*QCI!$AA$3),0)),SomaAgrup)</f>
        <v>0</v>
      </c>
      <c r="AB24" s="157">
        <f ca="1">IF($C24="S",IF($Z24="OU",ROUND($X24,2),0),SomaAgrup)</f>
        <v>0</v>
      </c>
      <c r="AC24" s="158" t="str">
        <f ca="1">IF($N24="","",IF(ORÇAMENTO.Descricao="","DESCRIÇÃO",IF(AND($C24="S",ORÇAMENTO.Unidade=""),"UNIDADE",IF($X24&lt;0,"VALOR NEGATIVO",IF(OR(AND(TIPOORCAMENTO="Proposto",$AG24&lt;&gt;"",$AG24&gt;0,ORÇAMENTO.CustoUnitario&gt;$AG24),AND(TIPOORCAMENTO="LICITADO",ORÇAMENTO.PrecoUnitarioLicitado&gt;$AN24)),"ACIMA REF.","")))))</f>
        <v/>
      </c>
      <c r="AD24" s="686" t="str">
        <f ca="1">IF(C24&lt;=CRONO.NivelExibicao,MAX($AD$15:OFFSET(AD24,-1,0))+IF($C24&lt;&gt;1,1,MAX(1,COUNTIF(QCI!$A$13:$A$24,OFFSET($E24,-1,0)))),"")</f>
        <v/>
      </c>
      <c r="AE24" s="114" t="str">
        <f ca="1">IF(AND($C24="S",ORÇAMENTO.CodBarra&lt;&gt;""),IF(ORÇAMENTO.Fonte="",ORÇAMENTO.CodBarra,CONCATENATE(ORÇAMENTO.Fonte," ",ORÇAMENTO.CodBarra)))</f>
        <v>SINAPI 101510</v>
      </c>
      <c r="AF24" s="159">
        <f ca="1">IF(ISERROR(INDIRECT(ORÇAMENTO.BancoRef)),"(abra o arquivo 'Referência "&amp;Excel_BuiltIn_Database&amp;".xlsm)",IF(OR($C24&lt;&gt;"S",ORÇAMENTO.CodBarra=""),"(Sem Código)",IF(ISERROR(MATCH($AE24,INDIRECT(ORÇAMENTO.BancoRef),0)),"(Código não identificado nas referências)",MATCH($AE24,INDIRECT(ORÇAMENTO.BancoRef),0))))</f>
        <v>8131</v>
      </c>
      <c r="AG24" s="578">
        <f ca="1">ROUND(IF(DESONERACAO="sim",REFERENCIA.Desonerado,REFERENCIA.NaoDesonerado),2)</f>
        <v>2050.59</v>
      </c>
      <c r="AH24" s="579">
        <f ca="1">ROUND(IF(ISNUMBER(ORÇAMENTO.OpcaoBDI),ORÇAMENTO.OpcaoBDI,IF(LEFT(ORÇAMENTO.OpcaoBDI,3)="BDI",HLOOKUP(ORÇAMENTO.OpcaoBDI,$F$4:$H$5,2,FALSE),0)),15-11*$AF$9)</f>
        <v>0.2034</v>
      </c>
      <c r="AJ24" s="581">
        <v>1</v>
      </c>
      <c r="AL24" s="611"/>
      <c r="AM24" s="430">
        <f t="shared" ca="1" si="0"/>
        <v>0</v>
      </c>
      <c r="AN24" s="654">
        <f ca="1">ROUND(ORÇAMENTO.CustoUnitario*(1+$AH24),2)</f>
        <v>0</v>
      </c>
    </row>
    <row r="25" spans="1:40" ht="38.25" x14ac:dyDescent="0.2">
      <c r="A25" t="str">
        <f>CHOOSE(1+LOG(1+2*(ORÇAMENTO.Nivel="Meta")+4*(ORÇAMENTO.Nivel="Nível 2")+8*(ORÇAMENTO.Nivel="Nível 3")+16*(ORÇAMENTO.Nivel="Nível 4")+32*(ORÇAMENTO.Nivel="Serviço"),2),0,1,2,3,4,"S")</f>
        <v>S</v>
      </c>
      <c r="B25">
        <f ca="1">IF(OR(C25="s",C25=0),OFFSET(B25,-1,0),C25)</f>
        <v>2</v>
      </c>
      <c r="C25" t="str">
        <f ca="1">IF(OFFSET(C25,-1,0)="L",1,IF(OFFSET(C25,-1,0)=1,2,IF(OR(A25="s",A25=0),"S",IF(AND(OFFSET(C25,-1,0)=2,A25=4),3,IF(AND(OR(OFFSET(C25,-1,0)="s",OFFSET(C25,-1,0)=0),A25&lt;&gt;"s",A25&gt;OFFSET(B25,-1,0)),OFFSET(B25,-1,0),A25)))))</f>
        <v>S</v>
      </c>
      <c r="D25">
        <f ca="1">IF(OR(C25="S",C25=0),0,IF(ISERROR(K25),J25,SMALL(J25:K25,1)))</f>
        <v>0</v>
      </c>
      <c r="E25">
        <f ca="1">IF($C25=1,OFFSET(E25,-1,0)+MAX(1,COUNTIF(QCI!$A$13:$A$24,OFFSET(ORÇAMENTO!E25,-1,0))),OFFSET(E25,-1,0))</f>
        <v>1</v>
      </c>
      <c r="F25">
        <f ca="1">IF($C25=1,0,IF($C25=2,OFFSET(F25,-1,0)+1,OFFSET(F25,-1,0)))</f>
        <v>1</v>
      </c>
      <c r="G25">
        <f ca="1">IF(AND($C25&lt;=2,$C25&lt;&gt;0),0,IF($C25=3,OFFSET(G25,-1,0)+1,OFFSET(G25,-1,0)))</f>
        <v>0</v>
      </c>
      <c r="H25">
        <f ca="1">IF(AND($C25&lt;=3,$C25&lt;&gt;0),0,IF($C25=4,OFFSET(H25,-1,0)+1,OFFSET(H25,-1,0)))</f>
        <v>0</v>
      </c>
      <c r="I25">
        <f ca="1">IF(AND($C25&lt;=4,$C25&lt;&gt;0),0,IF(AND($C25="S",$X25&gt;0),OFFSET(I25,-1,0)+1,OFFSET(I25,-1,0)))</f>
        <v>0</v>
      </c>
      <c r="J25">
        <f t="shared" ca="1" si="2"/>
        <v>0</v>
      </c>
      <c r="K25">
        <f ca="1">IF(OR($C25="S",$C25=0),0,MATCH(OFFSET($D25,0,$C25)+IF($C25&lt;&gt;1,1,COUNTIF(QCI!$A$13:$A$24,ORÇAMENTO!E25)),OFFSET($D25,1,$C25,ROW($C$192)-ROW($C25)),0))</f>
        <v>0</v>
      </c>
      <c r="L25" s="143" t="str">
        <f ca="1">IF(OR($X25&gt;0,$C25=1,$C25=2,$C25=3,$C25=4),"F","")</f>
        <v/>
      </c>
      <c r="M25" s="144" t="s">
        <v>199</v>
      </c>
      <c r="N25" s="145" t="str">
        <f ca="1">CHOOSE(1+LOG(1+2*(C25=1)+4*(C25=2)+8*(C25=3)+16*(C25=4)+32*(C25="S"),2),"","Meta","Nível 2","Nível 3","Nível 4","Serviço")</f>
        <v>Serviço</v>
      </c>
      <c r="O25" s="146" t="str">
        <f ca="1">IF(OR($C25=0,$L25=""),"-",CONCATENATE(E25&amp;".",IF(AND($A$5&gt;=2,$C25&gt;=2),F25&amp;".",""),IF(AND($A$5&gt;=3,$C25&gt;=3),G25&amp;".",""),IF(AND($A$5&gt;=4,$C25&gt;=4),H25&amp;".",""),IF($C25="S",I25&amp;".","")))</f>
        <v>-</v>
      </c>
      <c r="P25" s="147" t="s">
        <v>247</v>
      </c>
      <c r="Q25" s="148" t="s">
        <v>520</v>
      </c>
      <c r="R25" s="149" t="s">
        <v>640</v>
      </c>
      <c r="S25" s="150" t="s">
        <v>777</v>
      </c>
      <c r="T25" s="151">
        <f ca="1">OFFSET(CÁLCULO!H$15,ROW($T25)-ROW(T$15),0)</f>
        <v>800</v>
      </c>
      <c r="U25" s="152"/>
      <c r="V25" s="153" t="s">
        <v>156</v>
      </c>
      <c r="W25" s="151">
        <f ca="1">IF($C25="S",ROUND(IF(TIPOORCAMENTO="Proposto",ORÇAMENTO.CustoUnitario*(1+$AH25),ORÇAMENTO.PrecoUnitarioLicitado),15-13*$AF$10),0)</f>
        <v>0</v>
      </c>
      <c r="X25" s="154">
        <f ca="1">IF($C25="S",IF(Import.TipoArredondamento&lt;&gt;"TransfereGOV",VTOTAL1,SUM(OFFSET(CÁLCULO!$AA$15,ROW($X25)-ROW($X$15),1):OFFSET(CÁLCULO!$AL$15,ROW($X25)-ROW($X$15),-1))),IF($C25=0,0,ROUND(SomaAgrup,15-13*$AF$11)))</f>
        <v>0</v>
      </c>
      <c r="Y25" s="155" t="s">
        <v>245</v>
      </c>
      <c r="Z25" t="str">
        <f ca="1">IF(AND($C25="S",$X25&gt;0),IF(ISBLANK($Y25),"RA",LEFT($Y25,2)),"")</f>
        <v/>
      </c>
      <c r="AA25" s="156">
        <f ca="1">IF($C25="S",IF($Z25="CP",$X25,IF($Z25="RA",(($X25)*QCI!$AA$3),0)),SomaAgrup)</f>
        <v>0</v>
      </c>
      <c r="AB25" s="157">
        <f ca="1">IF($C25="S",IF($Z25="OU",ROUND($X25,2),0),SomaAgrup)</f>
        <v>0</v>
      </c>
      <c r="AC25" s="158" t="str">
        <f ca="1">IF($N25="","",IF(ORÇAMENTO.Descricao="","DESCRIÇÃO",IF(AND($C25="S",ORÇAMENTO.Unidade=""),"UNIDADE",IF($X25&lt;0,"VALOR NEGATIVO",IF(OR(AND(TIPOORCAMENTO="Proposto",$AG25&lt;&gt;"",$AG25&gt;0,ORÇAMENTO.CustoUnitario&gt;$AG25),AND(TIPOORCAMENTO="LICITADO",ORÇAMENTO.PrecoUnitarioLicitado&gt;$AN25)),"ACIMA REF.","")))))</f>
        <v/>
      </c>
      <c r="AD25" s="686" t="str">
        <f ca="1">IF(C25&lt;=CRONO.NivelExibicao,MAX($AD$15:OFFSET(AD25,-1,0))+IF($C25&lt;&gt;1,1,MAX(1,COUNTIF(QCI!$A$13:$A$24,OFFSET($E25,-1,0)))),"")</f>
        <v/>
      </c>
      <c r="AE25" s="114" t="str">
        <f ca="1">IF(AND($C25="S",ORÇAMENTO.CodBarra&lt;&gt;""),IF(ORÇAMENTO.Fonte="",ORÇAMENTO.CodBarra,CONCATENATE(ORÇAMENTO.Fonte," ",ORÇAMENTO.CodBarra)))</f>
        <v>SINAPI 98525</v>
      </c>
      <c r="AF25" s="159">
        <f ca="1">IF(ISERROR(INDIRECT(ORÇAMENTO.BancoRef)),"(abra o arquivo 'Referência "&amp;Excel_BuiltIn_Database&amp;".xlsm)",IF(OR($C25&lt;&gt;"S",ORÇAMENTO.CodBarra=""),"(Sem Código)",IF(ISERROR(MATCH($AE25,INDIRECT(ORÇAMENTO.BancoRef),0)),"(Código não identificado nas referências)",MATCH($AE25,INDIRECT(ORÇAMENTO.BancoRef),0))))</f>
        <v>12116</v>
      </c>
      <c r="AG25" s="578">
        <f ca="1">ROUND(IF(DESONERACAO="sim",REFERENCIA.Desonerado,REFERENCIA.NaoDesonerado),2)</f>
        <v>0.7</v>
      </c>
      <c r="AH25" s="579">
        <f ca="1">ROUND(IF(ISNUMBER(ORÇAMENTO.OpcaoBDI),ORÇAMENTO.OpcaoBDI,IF(LEFT(ORÇAMENTO.OpcaoBDI,3)="BDI",HLOOKUP(ORÇAMENTO.OpcaoBDI,$F$4:$H$5,2,FALSE),0)),15-11*$AF$9)</f>
        <v>0.2034</v>
      </c>
      <c r="AJ25" s="581">
        <v>800</v>
      </c>
      <c r="AL25" s="611"/>
      <c r="AM25" s="430">
        <f t="shared" ca="1" si="0"/>
        <v>0</v>
      </c>
      <c r="AN25" s="654">
        <f ca="1">ROUND(ORÇAMENTO.CustoUnitario*(1+$AH25),2)</f>
        <v>0</v>
      </c>
    </row>
    <row r="26" spans="1:40" x14ac:dyDescent="0.2">
      <c r="A26">
        <f t="shared" si="1"/>
        <v>2</v>
      </c>
      <c r="B26">
        <f ca="1">IF(OR(C26="s",C26=0),OFFSET(B26,-1,0),C26)</f>
        <v>2</v>
      </c>
      <c r="C26">
        <f ca="1">IF(OFFSET(C26,-1,0)="L",1,IF(OFFSET(C26,-1,0)=1,2,IF(OR(A26="s",A26=0),"S",IF(AND(OFFSET(C26,-1,0)=2,A26=4),3,IF(AND(OR(OFFSET(C26,-1,0)="s",OFFSET(C26,-1,0)=0),A26&lt;&gt;"s",A26&gt;OFFSET(B26,-1,0)),OFFSET(B26,-1,0),A26)))))</f>
        <v>2</v>
      </c>
      <c r="D26">
        <f ca="1">IF(OR(C26="S",C26=0),0,IF(ISERROR(K26),J26,SMALL(J26:K26,1)))</f>
        <v>2</v>
      </c>
      <c r="E26">
        <f ca="1">IF($C26=1,OFFSET(E26,-1,0)+MAX(1,COUNTIF(QCI!$A$13:$A$24,OFFSET(ORÇAMENTO!E26,-1,0))),OFFSET(E26,-1,0))</f>
        <v>1</v>
      </c>
      <c r="F26">
        <f ca="1">IF($C26=1,0,IF($C26=2,OFFSET(F26,-1,0)+1,OFFSET(F26,-1,0)))</f>
        <v>2</v>
      </c>
      <c r="G26">
        <f ca="1">IF(AND($C26&lt;=2,$C26&lt;&gt;0),0,IF($C26=3,OFFSET(G26,-1,0)+1,OFFSET(G26,-1,0)))</f>
        <v>0</v>
      </c>
      <c r="H26">
        <f ca="1">IF(AND($C26&lt;=3,$C26&lt;&gt;0),0,IF($C26=4,OFFSET(H26,-1,0)+1,OFFSET(H26,-1,0)))</f>
        <v>0</v>
      </c>
      <c r="I26">
        <f ca="1">IF(AND($C26&lt;=4,$C26&lt;&gt;0),0,IF(AND($C26="S",$X26&gt;0),OFFSET(I26,-1,0)+1,OFFSET(I26,-1,0)))</f>
        <v>0</v>
      </c>
      <c r="J26">
        <f t="shared" ca="1" si="2"/>
        <v>166</v>
      </c>
      <c r="K26">
        <f ca="1">IF(OR($C26="S",$C26=0),0,MATCH(OFFSET($D26,0,$C26)+IF($C26&lt;&gt;1,1,COUNTIF(QCI!$A$13:$A$24,ORÇAMENTO!E26)),OFFSET($D26,1,$C26,ROW($C$192)-ROW($C26)),0))</f>
        <v>2</v>
      </c>
      <c r="L26" s="143" t="str">
        <f ca="1">IF(OR($X26&gt;0,$C26=1,$C26=2,$C26=3,$C26=4),"F","")</f>
        <v>F</v>
      </c>
      <c r="M26" s="144" t="s">
        <v>196</v>
      </c>
      <c r="N26" s="145" t="str">
        <f ca="1">CHOOSE(1+LOG(1+2*(C26=1)+4*(C26=2)+8*(C26=3)+16*(C26=4)+32*(C26="S"),2),"","Meta","Nível 2","Nível 3","Nível 4","Serviço")</f>
        <v>Nível 2</v>
      </c>
      <c r="O26" s="146" t="str">
        <f ca="1">IF(OR($C26=0,$L26=""),"-",CONCATENATE(E26&amp;".",IF(AND($A$5&gt;=2,$C26&gt;=2),F26&amp;".",""),IF(AND($A$5&gt;=3,$C26&gt;=3),G26&amp;".",""),IF(AND($A$5&gt;=4,$C26&gt;=4),H26&amp;".",""),IF($C26="S",I26&amp;".","")))</f>
        <v>1.2.</v>
      </c>
      <c r="P26" s="147" t="s">
        <v>247</v>
      </c>
      <c r="Q26" s="148"/>
      <c r="R26" s="149" t="s">
        <v>451</v>
      </c>
      <c r="S26" s="150" t="s">
        <v>166</v>
      </c>
      <c r="T26" s="151">
        <f ca="1">OFFSET(CÁLCULO!H$15,ROW($T26)-ROW(T$15),0)</f>
        <v>0</v>
      </c>
      <c r="U26" s="152"/>
      <c r="V26" s="153" t="s">
        <v>156</v>
      </c>
      <c r="W26" s="151">
        <f ca="1">IF($C26="S",ROUND(IF(TIPOORCAMENTO="Proposto",ORÇAMENTO.CustoUnitario*(1+$AH26),ORÇAMENTO.PrecoUnitarioLicitado),15-13*$AF$10),0)</f>
        <v>0</v>
      </c>
      <c r="X26" s="154">
        <f ca="1">IF($C26="S",IF(Import.TipoArredondamento&lt;&gt;"TransfereGOV",VTOTAL1,SUM(OFFSET(CÁLCULO!$AA$15,ROW($X26)-ROW($X$15),1):OFFSET(CÁLCULO!$AL$15,ROW($X26)-ROW($X$15),-1))),IF($C26=0,0,ROUND(SomaAgrup,15-13*$AF$11)))</f>
        <v>0</v>
      </c>
      <c r="Y26" s="155" t="s">
        <v>245</v>
      </c>
      <c r="Z26" t="str">
        <f ca="1">IF(AND($C26="S",$X26&gt;0),IF(ISBLANK($Y26),"RA",LEFT($Y26,2)),"")</f>
        <v/>
      </c>
      <c r="AA26" s="156">
        <f ca="1">IF($C26="S",IF($Z26="CP",$X26,IF($Z26="RA",(($X26)*QCI!$AA$3),0)),SomaAgrup)</f>
        <v>0</v>
      </c>
      <c r="AB26" s="157">
        <f t="shared" ca="1" si="3"/>
        <v>0</v>
      </c>
      <c r="AC26" s="158" t="str">
        <f ca="1">IF($N26="","",IF(ORÇAMENTO.Descricao="","DESCRIÇÃO",IF(AND($C26="S",ORÇAMENTO.Unidade=""),"UNIDADE",IF($X26&lt;0,"VALOR NEGATIVO",IF(OR(AND(TIPOORCAMENTO="Proposto",$AG26&lt;&gt;"",$AG26&gt;0,ORÇAMENTO.CustoUnitario&gt;$AG26),AND(TIPOORCAMENTO="LICITADO",ORÇAMENTO.PrecoUnitarioLicitado&gt;$AN26)),"ACIMA REF.","")))))</f>
        <v/>
      </c>
      <c r="AD26" s="664">
        <f ca="1">IF(C26&lt;=CRONO.NivelExibicao,MAX($AD$15:OFFSET(AD26,-1,0))+IF($C26&lt;&gt;1,1,MAX(1,COUNTIF(QCI!$A$13:$A$24,OFFSET($E26,-1,0)))),"")</f>
        <v>3</v>
      </c>
      <c r="AE26" s="114" t="b">
        <f ca="1">IF(AND($C26="S",ORÇAMENTO.CodBarra&lt;&gt;""),IF(ORÇAMENTO.Fonte="",ORÇAMENTO.CodBarra,CONCATENATE(ORÇAMENTO.Fonte," ",ORÇAMENTO.CodBarra)))</f>
        <v>0</v>
      </c>
      <c r="AF26" s="159" t="str">
        <f ca="1">IF(ISERROR(INDIRECT(ORÇAMENTO.BancoRef)),"(abra o arquivo 'Referência "&amp;Excel_BuiltIn_Database&amp;".xlsm)",IF(OR($C26&lt;&gt;"S",ORÇAMENTO.CodBarra=""),"(Sem Código)",IF(ISERROR(MATCH($AE26,INDIRECT(ORÇAMENTO.BancoRef),0)),"(Código não identificado nas referências)",MATCH($AE26,INDIRECT(ORÇAMENTO.BancoRef),0))))</f>
        <v>(Sem Código)</v>
      </c>
      <c r="AG26" s="578">
        <f ca="1">ROUND(IF(DESONERACAO="sim",REFERENCIA.Desonerado,REFERENCIA.NaoDesonerado),2)</f>
        <v>0</v>
      </c>
      <c r="AH26" s="579">
        <f t="shared" ca="1" si="4"/>
        <v>0.2034</v>
      </c>
      <c r="AJ26" s="581"/>
      <c r="AL26" s="611"/>
      <c r="AM26" s="430">
        <f t="shared" ca="1" si="0"/>
        <v>0</v>
      </c>
      <c r="AN26" s="654">
        <f t="shared" ca="1" si="5"/>
        <v>0</v>
      </c>
    </row>
    <row r="27" spans="1:40" ht="51" x14ac:dyDescent="0.2">
      <c r="A27" t="str">
        <f t="shared" si="1"/>
        <v>S</v>
      </c>
      <c r="B27">
        <f ca="1">IF(OR(C27="s",C27=0),OFFSET(B27,-1,0),C27)</f>
        <v>2</v>
      </c>
      <c r="C27" t="str">
        <f ca="1">IF(OFFSET(C27,-1,0)="L",1,IF(OFFSET(C27,-1,0)=1,2,IF(OR(A27="s",A27=0),"S",IF(AND(OFFSET(C27,-1,0)=2,A27=4),3,IF(AND(OR(OFFSET(C27,-1,0)="s",OFFSET(C27,-1,0)=0),A27&lt;&gt;"s",A27&gt;OFFSET(B27,-1,0)),OFFSET(B27,-1,0),A27)))))</f>
        <v>S</v>
      </c>
      <c r="D27">
        <f ca="1">IF(OR(C27="S",C27=0),0,IF(ISERROR(K27),J27,SMALL(J27:K27,1)))</f>
        <v>0</v>
      </c>
      <c r="E27">
        <f ca="1">IF($C27=1,OFFSET(E27,-1,0)+MAX(1,COUNTIF(QCI!$A$13:$A$24,OFFSET(ORÇAMENTO!E27,-1,0))),OFFSET(E27,-1,0))</f>
        <v>1</v>
      </c>
      <c r="F27">
        <f ca="1">IF($C27=1,0,IF($C27=2,OFFSET(F27,-1,0)+1,OFFSET(F27,-1,0)))</f>
        <v>2</v>
      </c>
      <c r="G27">
        <f ca="1">IF(AND($C27&lt;=2,$C27&lt;&gt;0),0,IF($C27=3,OFFSET(G27,-1,0)+1,OFFSET(G27,-1,0)))</f>
        <v>0</v>
      </c>
      <c r="H27">
        <f ca="1">IF(AND($C27&lt;=3,$C27&lt;&gt;0),0,IF($C27=4,OFFSET(H27,-1,0)+1,OFFSET(H27,-1,0)))</f>
        <v>0</v>
      </c>
      <c r="I27">
        <f ca="1">IF(AND($C27&lt;=4,$C27&lt;&gt;0),0,IF(AND($C27="S",$X27&gt;0),OFFSET(I27,-1,0)+1,OFFSET(I27,-1,0)))</f>
        <v>0</v>
      </c>
      <c r="J27">
        <f t="shared" ca="1" si="2"/>
        <v>0</v>
      </c>
      <c r="K27">
        <f ca="1">IF(OR($C27="S",$C27=0),0,MATCH(OFFSET($D27,0,$C27)+IF($C27&lt;&gt;1,1,COUNTIF(QCI!$A$13:$A$24,ORÇAMENTO!E27)),OFFSET($D27,1,$C27,ROW($C$192)-ROW($C27)),0))</f>
        <v>0</v>
      </c>
      <c r="L27" s="143" t="str">
        <f ca="1">IF(OR($X27&gt;0,$C27=1,$C27=2,$C27=3,$C27=4),"F","")</f>
        <v/>
      </c>
      <c r="M27" s="144" t="s">
        <v>199</v>
      </c>
      <c r="N27" s="145" t="str">
        <f ca="1">CHOOSE(1+LOG(1+2*(C27=1)+4*(C27=2)+8*(C27=3)+16*(C27=4)+32*(C27="S"),2),"","Meta","Nível 2","Nível 3","Nível 4","Serviço")</f>
        <v>Serviço</v>
      </c>
      <c r="O27" s="146" t="str">
        <f ca="1">IF(OR($C27=0,$L27=""),"-",CONCATENATE(E27&amp;".",IF(AND($A$5&gt;=2,$C27&gt;=2),F27&amp;".",""),IF(AND($A$5&gt;=3,$C27&gt;=3),G27&amp;".",""),IF(AND($A$5&gt;=4,$C27&gt;=4),H27&amp;".",""),IF($C27="S",I27&amp;".","")))</f>
        <v>-</v>
      </c>
      <c r="P27" s="147" t="s">
        <v>497</v>
      </c>
      <c r="Q27" s="148" t="s">
        <v>579</v>
      </c>
      <c r="R27" s="149" t="s">
        <v>641</v>
      </c>
      <c r="S27" s="150" t="s">
        <v>776</v>
      </c>
      <c r="T27" s="151">
        <f ca="1">OFFSET(CÁLCULO!H$15,ROW($T27)-ROW(T$15),0)</f>
        <v>1</v>
      </c>
      <c r="U27" s="152"/>
      <c r="V27" s="153" t="s">
        <v>156</v>
      </c>
      <c r="W27" s="151">
        <f ca="1">IF($C27="S",ROUND(IF(TIPOORCAMENTO="Proposto",ORÇAMENTO.CustoUnitario*(1+$AH27),ORÇAMENTO.PrecoUnitarioLicitado),15-13*$AF$10),0)</f>
        <v>0</v>
      </c>
      <c r="X27" s="154">
        <f ca="1">IF($C27="S",IF(Import.TipoArredondamento&lt;&gt;"TransfereGOV",VTOTAL1,SUM(OFFSET(CÁLCULO!$AA$15,ROW($X27)-ROW($X$15),1):OFFSET(CÁLCULO!$AL$15,ROW($X27)-ROW($X$15),-1))),IF($C27=0,0,ROUND(SomaAgrup,15-13*$AF$11)))</f>
        <v>0</v>
      </c>
      <c r="Y27" s="155" t="s">
        <v>245</v>
      </c>
      <c r="Z27" t="str">
        <f ca="1">IF(AND($C27="S",$X27&gt;0),IF(ISBLANK($Y27),"RA",LEFT($Y27,2)),"")</f>
        <v/>
      </c>
      <c r="AA27" s="156">
        <f ca="1">IF($C27="S",IF($Z27="CP",$X27,IF($Z27="RA",(($X27)*QCI!$AA$3),0)),SomaAgrup)</f>
        <v>0</v>
      </c>
      <c r="AB27" s="157">
        <f t="shared" ca="1" si="3"/>
        <v>0</v>
      </c>
      <c r="AC27" s="158" t="str">
        <f ca="1">IF($N27="","",IF(ORÇAMENTO.Descricao="","DESCRIÇÃO",IF(AND($C27="S",ORÇAMENTO.Unidade=""),"UNIDADE",IF($X27&lt;0,"VALOR NEGATIVO",IF(OR(AND(TIPOORCAMENTO="Proposto",$AG27&lt;&gt;"",$AG27&gt;0,ORÇAMENTO.CustoUnitario&gt;$AG27),AND(TIPOORCAMENTO="LICITADO",ORÇAMENTO.PrecoUnitarioLicitado&gt;$AN27)),"ACIMA REF.","")))))</f>
        <v/>
      </c>
      <c r="AD27" s="664" t="str">
        <f ca="1">IF(C27&lt;=CRONO.NivelExibicao,MAX($AD$15:OFFSET(AD27,-1,0))+IF($C27&lt;&gt;1,1,MAX(1,COUNTIF(QCI!$A$13:$A$24,OFFSET($E27,-1,0)))),"")</f>
        <v/>
      </c>
      <c r="AE27" s="114" t="str">
        <f ca="1">IF(AND($C27="S",ORÇAMENTO.CodBarra&lt;&gt;""),IF(ORÇAMENTO.Fonte="",ORÇAMENTO.CodBarra,CONCATENATE(ORÇAMENTO.Fonte," ",ORÇAMENTO.CodBarra)))</f>
        <v>COMPOSIÇÃO C005</v>
      </c>
      <c r="AF27" s="159">
        <f ca="1">IF(ISERROR(INDIRECT(ORÇAMENTO.BancoRef)),"(abra o arquivo 'Referência "&amp;Excel_BuiltIn_Database&amp;".xlsm)",IF(OR($C27&lt;&gt;"S",ORÇAMENTO.CodBarra=""),"(Sem Código)",IF(ISERROR(MATCH($AE27,INDIRECT(ORÇAMENTO.BancoRef),0)),"(Código não identificado nas referências)",MATCH($AE27,INDIRECT(ORÇAMENTO.BancoRef),0))))</f>
        <v>5</v>
      </c>
      <c r="AG27" s="578">
        <f ca="1">ROUND(IF(DESONERACAO="sim",REFERENCIA.Desonerado,REFERENCIA.NaoDesonerado),2)</f>
        <v>114501.8</v>
      </c>
      <c r="AH27" s="579">
        <f t="shared" ca="1" si="4"/>
        <v>0.2034</v>
      </c>
      <c r="AJ27" s="581">
        <v>1</v>
      </c>
      <c r="AL27" s="611"/>
      <c r="AM27" s="430">
        <f t="shared" ca="1" si="0"/>
        <v>0</v>
      </c>
      <c r="AN27" s="654">
        <f t="shared" ca="1" si="5"/>
        <v>0</v>
      </c>
    </row>
    <row r="28" spans="1:40" x14ac:dyDescent="0.2">
      <c r="A28">
        <f t="shared" si="1"/>
        <v>2</v>
      </c>
      <c r="B28">
        <f t="shared" ref="B28:B36" ca="1" si="17">IF(OR(C28="s",C28=0),OFFSET(B28,-1,0),C28)</f>
        <v>2</v>
      </c>
      <c r="C28">
        <f t="shared" ref="C28:C36" ca="1" si="18">IF(OFFSET(C28,-1,0)="L",1,IF(OFFSET(C28,-1,0)=1,2,IF(OR(A28="s",A28=0),"S",IF(AND(OFFSET(C28,-1,0)=2,A28=4),3,IF(AND(OR(OFFSET(C28,-1,0)="s",OFFSET(C28,-1,0)=0),A28&lt;&gt;"s",A28&gt;OFFSET(B28,-1,0)),OFFSET(B28,-1,0),A28)))))</f>
        <v>2</v>
      </c>
      <c r="D28">
        <f t="shared" ref="D28:D36" ca="1" si="19">IF(OR(C28="S",C28=0),0,IF(ISERROR(K28),J28,SMALL(J28:K28,1)))</f>
        <v>3</v>
      </c>
      <c r="E28">
        <f ca="1">IF($C28=1,OFFSET(E28,-1,0)+MAX(1,COUNTIF(QCI!$A$13:$A$24,OFFSET(ORÇAMENTO!E28,-1,0))),OFFSET(E28,-1,0))</f>
        <v>1</v>
      </c>
      <c r="F28">
        <f t="shared" ref="F28:F36" ca="1" si="20">IF($C28=1,0,IF($C28=2,OFFSET(F28,-1,0)+1,OFFSET(F28,-1,0)))</f>
        <v>3</v>
      </c>
      <c r="G28">
        <f t="shared" ref="G28:G36" ca="1" si="21">IF(AND($C28&lt;=2,$C28&lt;&gt;0),0,IF($C28=3,OFFSET(G28,-1,0)+1,OFFSET(G28,-1,0)))</f>
        <v>0</v>
      </c>
      <c r="H28">
        <f t="shared" ref="H28:H36" ca="1" si="22">IF(AND($C28&lt;=3,$C28&lt;&gt;0),0,IF($C28=4,OFFSET(H28,-1,0)+1,OFFSET(H28,-1,0)))</f>
        <v>0</v>
      </c>
      <c r="I28">
        <f t="shared" ref="I28:I36" ca="1" si="23">IF(AND($C28&lt;=4,$C28&lt;&gt;0),0,IF(AND($C28="S",$X28&gt;0),OFFSET(I28,-1,0)+1,OFFSET(I28,-1,0)))</f>
        <v>0</v>
      </c>
      <c r="J28">
        <f t="shared" ca="1" si="2"/>
        <v>164</v>
      </c>
      <c r="K28">
        <f ca="1">IF(OR($C28="S",$C28=0),0,MATCH(OFFSET($D28,0,$C28)+IF($C28&lt;&gt;1,1,COUNTIF(QCI!$A$13:$A$24,ORÇAMENTO!E28)),OFFSET($D28,1,$C28,ROW($C$192)-ROW($C28)),0))</f>
        <v>3</v>
      </c>
      <c r="L28" s="143" t="str">
        <f t="shared" ref="L28:L36" ca="1" si="24">IF(OR($X28&gt;0,$C28=1,$C28=2,$C28=3,$C28=4),"F","")</f>
        <v>F</v>
      </c>
      <c r="M28" s="144" t="s">
        <v>196</v>
      </c>
      <c r="N28" s="145" t="str">
        <f t="shared" ref="N28:N36" ca="1" si="25">CHOOSE(1+LOG(1+2*(C28=1)+4*(C28=2)+8*(C28=3)+16*(C28=4)+32*(C28="S"),2),"","Meta","Nível 2","Nível 3","Nível 4","Serviço")</f>
        <v>Nível 2</v>
      </c>
      <c r="O28" s="146" t="str">
        <f t="shared" ref="O28:O36" ca="1" si="26">IF(OR($C28=0,$L28=""),"-",CONCATENATE(E28&amp;".",IF(AND($A$5&gt;=2,$C28&gt;=2),F28&amp;".",""),IF(AND($A$5&gt;=3,$C28&gt;=3),G28&amp;".",""),IF(AND($A$5&gt;=4,$C28&gt;=4),H28&amp;".",""),IF($C28="S",I28&amp;".","")))</f>
        <v>1.3.</v>
      </c>
      <c r="P28" s="147" t="s">
        <v>247</v>
      </c>
      <c r="Q28" s="148"/>
      <c r="R28" s="149" t="s">
        <v>469</v>
      </c>
      <c r="S28" s="150" t="s">
        <v>166</v>
      </c>
      <c r="T28" s="151">
        <f ca="1">OFFSET(CÁLCULO!H$15,ROW($T28)-ROW(T$15),0)</f>
        <v>0</v>
      </c>
      <c r="U28" s="152"/>
      <c r="V28" s="153" t="s">
        <v>156</v>
      </c>
      <c r="W28" s="151">
        <f ca="1">IF($C28="S",ROUND(IF(TIPOORCAMENTO="Proposto",ORÇAMENTO.CustoUnitario*(1+$AH28),ORÇAMENTO.PrecoUnitarioLicitado),15-13*$AF$10),0)</f>
        <v>0</v>
      </c>
      <c r="X28" s="154">
        <f ca="1">IF($C28="S",IF(Import.TipoArredondamento&lt;&gt;"TransfereGOV",VTOTAL1,SUM(OFFSET(CÁLCULO!$AA$15,ROW($X28)-ROW($X$15),1):OFFSET(CÁLCULO!$AL$15,ROW($X28)-ROW($X$15),-1))),IF($C28=0,0,ROUND(SomaAgrup,15-13*$AF$11)))</f>
        <v>0</v>
      </c>
      <c r="Y28" s="155" t="s">
        <v>245</v>
      </c>
      <c r="Z28" t="str">
        <f t="shared" ref="Z28:Z36" ca="1" si="27">IF(AND($C28="S",$X28&gt;0),IF(ISBLANK($Y28),"RA",LEFT($Y28,2)),"")</f>
        <v/>
      </c>
      <c r="AA28" s="156">
        <f ca="1">IF($C28="S",IF($Z28="CP",$X28,IF($Z28="RA",(($X28)*QCI!$AA$3),0)),SomaAgrup)</f>
        <v>0</v>
      </c>
      <c r="AB28" s="157">
        <f t="shared" ca="1" si="3"/>
        <v>0</v>
      </c>
      <c r="AC28" s="158" t="str">
        <f ca="1">IF($N28="","",IF(ORÇAMENTO.Descricao="","DESCRIÇÃO",IF(AND($C28="S",ORÇAMENTO.Unidade=""),"UNIDADE",IF($X28&lt;0,"VALOR NEGATIVO",IF(OR(AND(TIPOORCAMENTO="Proposto",$AG28&lt;&gt;"",$AG28&gt;0,ORÇAMENTO.CustoUnitario&gt;$AG28),AND(TIPOORCAMENTO="LICITADO",ORÇAMENTO.PrecoUnitarioLicitado&gt;$AN28)),"ACIMA REF.","")))))</f>
        <v/>
      </c>
      <c r="AD28" s="668">
        <f ca="1">IF(C28&lt;=CRONO.NivelExibicao,MAX($AD$15:OFFSET(AD28,-1,0))+IF($C28&lt;&gt;1,1,MAX(1,COUNTIF(QCI!$A$13:$A$24,OFFSET($E28,-1,0)))),"")</f>
        <v>4</v>
      </c>
      <c r="AE28" s="114" t="b">
        <f ca="1">IF(AND($C28="S",ORÇAMENTO.CodBarra&lt;&gt;""),IF(ORÇAMENTO.Fonte="",ORÇAMENTO.CodBarra,CONCATENATE(ORÇAMENTO.Fonte," ",ORÇAMENTO.CodBarra)))</f>
        <v>0</v>
      </c>
      <c r="AF28" s="159" t="str">
        <f ca="1">IF(ISERROR(INDIRECT(ORÇAMENTO.BancoRef)),"(abra o arquivo 'Referência "&amp;Excel_BuiltIn_Database&amp;".xlsm)",IF(OR($C28&lt;&gt;"S",ORÇAMENTO.CodBarra=""),"(Sem Código)",IF(ISERROR(MATCH($AE28,INDIRECT(ORÇAMENTO.BancoRef),0)),"(Código não identificado nas referências)",MATCH($AE28,INDIRECT(ORÇAMENTO.BancoRef),0))))</f>
        <v>(Sem Código)</v>
      </c>
      <c r="AG28" s="578">
        <f ca="1">ROUND(IF(DESONERACAO="sim",REFERENCIA.Desonerado,REFERENCIA.NaoDesonerado),2)</f>
        <v>0</v>
      </c>
      <c r="AH28" s="579">
        <f t="shared" ca="1" si="4"/>
        <v>0.2034</v>
      </c>
      <c r="AJ28" s="581"/>
      <c r="AL28" s="611"/>
      <c r="AM28" s="430">
        <f t="shared" ca="1" si="0"/>
        <v>0</v>
      </c>
      <c r="AN28" s="654">
        <f t="shared" ca="1" si="5"/>
        <v>0</v>
      </c>
    </row>
    <row r="29" spans="1:40" ht="51" x14ac:dyDescent="0.2">
      <c r="A29" t="str">
        <f t="shared" si="1"/>
        <v>S</v>
      </c>
      <c r="B29">
        <f t="shared" ca="1" si="17"/>
        <v>2</v>
      </c>
      <c r="C29" t="str">
        <f t="shared" ca="1" si="18"/>
        <v>S</v>
      </c>
      <c r="D29">
        <f t="shared" ca="1" si="19"/>
        <v>0</v>
      </c>
      <c r="E29">
        <f ca="1">IF($C29=1,OFFSET(E29,-1,0)+MAX(1,COUNTIF(QCI!$A$13:$A$24,OFFSET(ORÇAMENTO!E29,-1,0))),OFFSET(E29,-1,0))</f>
        <v>1</v>
      </c>
      <c r="F29">
        <f t="shared" ca="1" si="20"/>
        <v>3</v>
      </c>
      <c r="G29">
        <f t="shared" ca="1" si="21"/>
        <v>0</v>
      </c>
      <c r="H29">
        <f t="shared" ca="1" si="22"/>
        <v>0</v>
      </c>
      <c r="I29">
        <f t="shared" ca="1" si="23"/>
        <v>0</v>
      </c>
      <c r="J29">
        <f t="shared" ca="1" si="2"/>
        <v>0</v>
      </c>
      <c r="K29">
        <f ca="1">IF(OR($C29="S",$C29=0),0,MATCH(OFFSET($D29,0,$C29)+IF($C29&lt;&gt;1,1,COUNTIF(QCI!$A$13:$A$24,ORÇAMENTO!E29)),OFFSET($D29,1,$C29,ROW($C$192)-ROW($C29)),0))</f>
        <v>0</v>
      </c>
      <c r="L29" s="143" t="str">
        <f t="shared" ca="1" si="24"/>
        <v/>
      </c>
      <c r="M29" s="144" t="s">
        <v>199</v>
      </c>
      <c r="N29" s="145" t="str">
        <f t="shared" ca="1" si="25"/>
        <v>Serviço</v>
      </c>
      <c r="O29" s="146" t="str">
        <f t="shared" ca="1" si="26"/>
        <v>-</v>
      </c>
      <c r="P29" s="147" t="s">
        <v>247</v>
      </c>
      <c r="Q29" s="148" t="s">
        <v>467</v>
      </c>
      <c r="R29" s="149" t="s">
        <v>642</v>
      </c>
      <c r="S29" s="150" t="s">
        <v>780</v>
      </c>
      <c r="T29" s="151">
        <f ca="1">OFFSET(CÁLCULO!H$15,ROW($T29)-ROW(T$15),0)</f>
        <v>350</v>
      </c>
      <c r="U29" s="152"/>
      <c r="V29" s="153" t="s">
        <v>156</v>
      </c>
      <c r="W29" s="151">
        <f ca="1">IF($C29="S",ROUND(IF(TIPOORCAMENTO="Proposto",ORÇAMENTO.CustoUnitario*(1+$AH29),ORÇAMENTO.PrecoUnitarioLicitado),15-13*$AF$10),0)</f>
        <v>0</v>
      </c>
      <c r="X29" s="154">
        <f ca="1">IF($C29="S",IF(Import.TipoArredondamento&lt;&gt;"TransfereGOV",VTOTAL1,SUM(OFFSET(CÁLCULO!$AA$15,ROW($X29)-ROW($X$15),1):OFFSET(CÁLCULO!$AL$15,ROW($X29)-ROW($X$15),-1))),IF($C29=0,0,ROUND(SomaAgrup,15-13*$AF$11)))</f>
        <v>0</v>
      </c>
      <c r="Y29" s="155" t="s">
        <v>245</v>
      </c>
      <c r="Z29" t="str">
        <f t="shared" ca="1" si="27"/>
        <v/>
      </c>
      <c r="AA29" s="156">
        <f ca="1">IF($C29="S",IF($Z29="CP",$X29,IF($Z29="RA",(($X29)*QCI!$AA$3),0)),SomaAgrup)</f>
        <v>0</v>
      </c>
      <c r="AB29" s="157">
        <f t="shared" ca="1" si="3"/>
        <v>0</v>
      </c>
      <c r="AC29" s="158" t="str">
        <f ca="1">IF($N29="","",IF(ORÇAMENTO.Descricao="","DESCRIÇÃO",IF(AND($C29="S",ORÇAMENTO.Unidade=""),"UNIDADE",IF($X29&lt;0,"VALOR NEGATIVO",IF(OR(AND(TIPOORCAMENTO="Proposto",$AG29&lt;&gt;"",$AG29&gt;0,ORÇAMENTO.CustoUnitario&gt;$AG29),AND(TIPOORCAMENTO="LICITADO",ORÇAMENTO.PrecoUnitarioLicitado&gt;$AN29)),"ACIMA REF.","")))))</f>
        <v/>
      </c>
      <c r="AD29" s="668" t="str">
        <f ca="1">IF(C29&lt;=CRONO.NivelExibicao,MAX($AD$15:OFFSET(AD29,-1,0))+IF($C29&lt;&gt;1,1,MAX(1,COUNTIF(QCI!$A$13:$A$24,OFFSET($E29,-1,0)))),"")</f>
        <v/>
      </c>
      <c r="AE29" s="114" t="str">
        <f ca="1">IF(AND($C29="S",ORÇAMENTO.CodBarra&lt;&gt;""),IF(ORÇAMENTO.Fonte="",ORÇAMENTO.CodBarra,CONCATENATE(ORÇAMENTO.Fonte," ",ORÇAMENTO.CodBarra)))</f>
        <v>SINAPI 101153</v>
      </c>
      <c r="AF29" s="159">
        <f ca="1">IF(ISERROR(INDIRECT(ORÇAMENTO.BancoRef)),"(abra o arquivo 'Referência "&amp;Excel_BuiltIn_Database&amp;".xlsm)",IF(OR($C29&lt;&gt;"S",ORÇAMENTO.CodBarra=""),"(Sem Código)",IF(ISERROR(MATCH($AE29,INDIRECT(ORÇAMENTO.BancoRef),0)),"(Código não identificado nas referências)",MATCH($AE29,INDIRECT(ORÇAMENTO.BancoRef),0))))</f>
        <v>10569</v>
      </c>
      <c r="AG29" s="578">
        <f ca="1">ROUND(IF(DESONERACAO="sim",REFERENCIA.Desonerado,REFERENCIA.NaoDesonerado),2)</f>
        <v>20.54</v>
      </c>
      <c r="AH29" s="579">
        <f t="shared" ca="1" si="4"/>
        <v>0.2034</v>
      </c>
      <c r="AJ29" s="581">
        <v>350</v>
      </c>
      <c r="AL29" s="611"/>
      <c r="AM29" s="430">
        <f t="shared" ca="1" si="0"/>
        <v>0</v>
      </c>
      <c r="AN29" s="654">
        <f t="shared" ca="1" si="5"/>
        <v>0</v>
      </c>
    </row>
    <row r="30" spans="1:40" ht="63.75" x14ac:dyDescent="0.2">
      <c r="A30" t="str">
        <f t="shared" si="1"/>
        <v>S</v>
      </c>
      <c r="B30">
        <f t="shared" ca="1" si="17"/>
        <v>2</v>
      </c>
      <c r="C30" t="str">
        <f t="shared" ca="1" si="18"/>
        <v>S</v>
      </c>
      <c r="D30">
        <f t="shared" ca="1" si="19"/>
        <v>0</v>
      </c>
      <c r="E30">
        <f ca="1">IF($C30=1,OFFSET(E30,-1,0)+MAX(1,COUNTIF(QCI!$A$13:$A$24,OFFSET(ORÇAMENTO!E30,-1,0))),OFFSET(E30,-1,0))</f>
        <v>1</v>
      </c>
      <c r="F30">
        <f t="shared" ca="1" si="20"/>
        <v>3</v>
      </c>
      <c r="G30">
        <f t="shared" ca="1" si="21"/>
        <v>0</v>
      </c>
      <c r="H30">
        <f t="shared" ca="1" si="22"/>
        <v>0</v>
      </c>
      <c r="I30">
        <f t="shared" ca="1" si="23"/>
        <v>0</v>
      </c>
      <c r="J30">
        <f t="shared" ca="1" si="2"/>
        <v>0</v>
      </c>
      <c r="K30">
        <f ca="1">IF(OR($C30="S",$C30=0),0,MATCH(OFFSET($D30,0,$C30)+IF($C30&lt;&gt;1,1,COUNTIF(QCI!$A$13:$A$24,ORÇAMENTO!E30)),OFFSET($D30,1,$C30,ROW($C$192)-ROW($C30)),0))</f>
        <v>0</v>
      </c>
      <c r="L30" s="143" t="str">
        <f t="shared" ca="1" si="24"/>
        <v/>
      </c>
      <c r="M30" s="144" t="s">
        <v>199</v>
      </c>
      <c r="N30" s="145" t="str">
        <f t="shared" ca="1" si="25"/>
        <v>Serviço</v>
      </c>
      <c r="O30" s="146" t="str">
        <f t="shared" ca="1" si="26"/>
        <v>-</v>
      </c>
      <c r="P30" s="147" t="s">
        <v>247</v>
      </c>
      <c r="Q30" s="148" t="s">
        <v>468</v>
      </c>
      <c r="R30" s="149" t="s">
        <v>643</v>
      </c>
      <c r="S30" s="150" t="s">
        <v>780</v>
      </c>
      <c r="T30" s="151">
        <f ca="1">OFFSET(CÁLCULO!H$15,ROW($T30)-ROW(T$15),0)</f>
        <v>350</v>
      </c>
      <c r="U30" s="152"/>
      <c r="V30" s="153" t="s">
        <v>156</v>
      </c>
      <c r="W30" s="151">
        <f ca="1">IF($C30="S",ROUND(IF(TIPOORCAMENTO="Proposto",ORÇAMENTO.CustoUnitario*(1+$AH30),ORÇAMENTO.PrecoUnitarioLicitado),15-13*$AF$10),0)</f>
        <v>0</v>
      </c>
      <c r="X30" s="154">
        <f ca="1">IF($C30="S",IF(Import.TipoArredondamento&lt;&gt;"TransfereGOV",VTOTAL1,SUM(OFFSET(CÁLCULO!$AA$15,ROW($X30)-ROW($X$15),1):OFFSET(CÁLCULO!$AL$15,ROW($X30)-ROW($X$15),-1))),IF($C30=0,0,ROUND(SomaAgrup,15-13*$AF$11)))</f>
        <v>0</v>
      </c>
      <c r="Y30" s="155" t="s">
        <v>245</v>
      </c>
      <c r="Z30" t="str">
        <f t="shared" ca="1" si="27"/>
        <v/>
      </c>
      <c r="AA30" s="156">
        <f ca="1">IF($C30="S",IF($Z30="CP",$X30,IF($Z30="RA",(($X30)*QCI!$AA$3),0)),SomaAgrup)</f>
        <v>0</v>
      </c>
      <c r="AB30" s="157">
        <f t="shared" ca="1" si="3"/>
        <v>0</v>
      </c>
      <c r="AC30" s="158" t="str">
        <f ca="1">IF($N30="","",IF(ORÇAMENTO.Descricao="","DESCRIÇÃO",IF(AND($C30="S",ORÇAMENTO.Unidade=""),"UNIDADE",IF($X30&lt;0,"VALOR NEGATIVO",IF(OR(AND(TIPOORCAMENTO="Proposto",$AG30&lt;&gt;"",$AG30&gt;0,ORÇAMENTO.CustoUnitario&gt;$AG30),AND(TIPOORCAMENTO="LICITADO",ORÇAMENTO.PrecoUnitarioLicitado&gt;$AN30)),"ACIMA REF.","")))))</f>
        <v/>
      </c>
      <c r="AD30" s="668" t="str">
        <f ca="1">IF(C30&lt;=CRONO.NivelExibicao,MAX($AD$15:OFFSET(AD30,-1,0))+IF($C30&lt;&gt;1,1,MAX(1,COUNTIF(QCI!$A$13:$A$24,OFFSET($E30,-1,0)))),"")</f>
        <v/>
      </c>
      <c r="AE30" s="114" t="str">
        <f ca="1">IF(AND($C30="S",ORÇAMENTO.CodBarra&lt;&gt;""),IF(ORÇAMENTO.Fonte="",ORÇAMENTO.CodBarra,CONCATENATE(ORÇAMENTO.Fonte," ",ORÇAMENTO.CodBarra)))</f>
        <v>SINAPI 93368</v>
      </c>
      <c r="AF30" s="159">
        <f ca="1">IF(ISERROR(INDIRECT(ORÇAMENTO.BancoRef)),"(abra o arquivo 'Referência "&amp;Excel_BuiltIn_Database&amp;".xlsm)",IF(OR($C30&lt;&gt;"S",ORÇAMENTO.CodBarra=""),"(Sem Código)",IF(ISERROR(MATCH($AE30,INDIRECT(ORÇAMENTO.BancoRef),0)),"(Código não identificado nas referências)",MATCH($AE30,INDIRECT(ORÇAMENTO.BancoRef),0))))</f>
        <v>10734</v>
      </c>
      <c r="AG30" s="578">
        <f ca="1">ROUND(IF(DESONERACAO="sim",REFERENCIA.Desonerado,REFERENCIA.NaoDesonerado),2)</f>
        <v>23.13</v>
      </c>
      <c r="AH30" s="579">
        <f t="shared" ca="1" si="4"/>
        <v>0.2034</v>
      </c>
      <c r="AJ30" s="581">
        <v>350</v>
      </c>
      <c r="AL30" s="611"/>
      <c r="AM30" s="430">
        <f t="shared" ca="1" si="0"/>
        <v>0</v>
      </c>
      <c r="AN30" s="654">
        <f t="shared" ca="1" si="5"/>
        <v>0</v>
      </c>
    </row>
    <row r="31" spans="1:40" x14ac:dyDescent="0.2">
      <c r="A31">
        <f t="shared" si="1"/>
        <v>2</v>
      </c>
      <c r="B31">
        <f t="shared" ca="1" si="17"/>
        <v>2</v>
      </c>
      <c r="C31">
        <f t="shared" ca="1" si="18"/>
        <v>2</v>
      </c>
      <c r="D31">
        <f t="shared" ca="1" si="19"/>
        <v>11</v>
      </c>
      <c r="E31">
        <f ca="1">IF($C31=1,OFFSET(E31,-1,0)+MAX(1,COUNTIF(QCI!$A$13:$A$24,OFFSET(ORÇAMENTO!E31,-1,0))),OFFSET(E31,-1,0))</f>
        <v>1</v>
      </c>
      <c r="F31">
        <f t="shared" ca="1" si="20"/>
        <v>4</v>
      </c>
      <c r="G31">
        <f t="shared" ca="1" si="21"/>
        <v>0</v>
      </c>
      <c r="H31">
        <f t="shared" ca="1" si="22"/>
        <v>0</v>
      </c>
      <c r="I31">
        <f t="shared" ca="1" si="23"/>
        <v>0</v>
      </c>
      <c r="J31">
        <f t="shared" ca="1" si="2"/>
        <v>161</v>
      </c>
      <c r="K31">
        <f ca="1">IF(OR($C31="S",$C31=0),0,MATCH(OFFSET($D31,0,$C31)+IF($C31&lt;&gt;1,1,COUNTIF(QCI!$A$13:$A$24,ORÇAMENTO!E31)),OFFSET($D31,1,$C31,ROW($C$192)-ROW($C31)),0))</f>
        <v>11</v>
      </c>
      <c r="L31" s="143" t="str">
        <f t="shared" ca="1" si="24"/>
        <v>F</v>
      </c>
      <c r="M31" s="144" t="s">
        <v>196</v>
      </c>
      <c r="N31" s="145" t="str">
        <f t="shared" ca="1" si="25"/>
        <v>Nível 2</v>
      </c>
      <c r="O31" s="146" t="str">
        <f t="shared" ca="1" si="26"/>
        <v>1.4.</v>
      </c>
      <c r="P31" s="147" t="s">
        <v>247</v>
      </c>
      <c r="Q31" s="148"/>
      <c r="R31" s="149" t="s">
        <v>508</v>
      </c>
      <c r="S31" s="150" t="s">
        <v>166</v>
      </c>
      <c r="T31" s="151">
        <f ca="1">OFFSET(CÁLCULO!H$15,ROW($T31)-ROW(T$15),0)</f>
        <v>0</v>
      </c>
      <c r="U31" s="152"/>
      <c r="V31" s="153" t="s">
        <v>156</v>
      </c>
      <c r="W31" s="151">
        <f ca="1">IF($C31="S",ROUND(IF(TIPOORCAMENTO="Proposto",ORÇAMENTO.CustoUnitario*(1+$AH31),ORÇAMENTO.PrecoUnitarioLicitado),15-13*$AF$10),0)</f>
        <v>0</v>
      </c>
      <c r="X31" s="154">
        <f ca="1">IF($C31="S",IF(Import.TipoArredondamento&lt;&gt;"TransfereGOV",VTOTAL1,SUM(OFFSET(CÁLCULO!$AA$15,ROW($X31)-ROW($X$15),1):OFFSET(CÁLCULO!$AL$15,ROW($X31)-ROW($X$15),-1))),IF($C31=0,0,ROUND(SomaAgrup,15-13*$AF$11)))</f>
        <v>0</v>
      </c>
      <c r="Y31" s="155" t="s">
        <v>245</v>
      </c>
      <c r="Z31" t="str">
        <f t="shared" ca="1" si="27"/>
        <v/>
      </c>
      <c r="AA31" s="156">
        <f ca="1">IF($C31="S",IF($Z31="CP",$X31,IF($Z31="RA",(($X31)*QCI!$AA$3),0)),SomaAgrup)</f>
        <v>0</v>
      </c>
      <c r="AB31" s="157">
        <f t="shared" ca="1" si="3"/>
        <v>0</v>
      </c>
      <c r="AC31" s="158" t="str">
        <f ca="1">IF($N31="","",IF(ORÇAMENTO.Descricao="","DESCRIÇÃO",IF(AND($C31="S",ORÇAMENTO.Unidade=""),"UNIDADE",IF($X31&lt;0,"VALOR NEGATIVO",IF(OR(AND(TIPOORCAMENTO="Proposto",$AG31&lt;&gt;"",$AG31&gt;0,ORÇAMENTO.CustoUnitario&gt;$AG31),AND(TIPOORCAMENTO="LICITADO",ORÇAMENTO.PrecoUnitarioLicitado&gt;$AN31)),"ACIMA REF.","")))))</f>
        <v/>
      </c>
      <c r="AD31" s="668">
        <f ca="1">IF(C31&lt;=CRONO.NivelExibicao,MAX($AD$15:OFFSET(AD31,-1,0))+IF($C31&lt;&gt;1,1,MAX(1,COUNTIF(QCI!$A$13:$A$24,OFFSET($E31,-1,0)))),"")</f>
        <v>5</v>
      </c>
      <c r="AE31" s="114" t="b">
        <f ca="1">IF(AND($C31="S",ORÇAMENTO.CodBarra&lt;&gt;""),IF(ORÇAMENTO.Fonte="",ORÇAMENTO.CodBarra,CONCATENATE(ORÇAMENTO.Fonte," ",ORÇAMENTO.CodBarra)))</f>
        <v>0</v>
      </c>
      <c r="AF31" s="159" t="str">
        <f ca="1">IF(ISERROR(INDIRECT(ORÇAMENTO.BancoRef)),"(abra o arquivo 'Referência "&amp;Excel_BuiltIn_Database&amp;".xlsm)",IF(OR($C31&lt;&gt;"S",ORÇAMENTO.CodBarra=""),"(Sem Código)",IF(ISERROR(MATCH($AE31,INDIRECT(ORÇAMENTO.BancoRef),0)),"(Código não identificado nas referências)",MATCH($AE31,INDIRECT(ORÇAMENTO.BancoRef),0))))</f>
        <v>(Sem Código)</v>
      </c>
      <c r="AG31" s="578">
        <f ca="1">ROUND(IF(DESONERACAO="sim",REFERENCIA.Desonerado,REFERENCIA.NaoDesonerado),2)</f>
        <v>0</v>
      </c>
      <c r="AH31" s="579">
        <f t="shared" ca="1" si="4"/>
        <v>0.2034</v>
      </c>
      <c r="AJ31" s="581"/>
      <c r="AL31" s="611"/>
      <c r="AM31" s="430">
        <f t="shared" ca="1" si="0"/>
        <v>0</v>
      </c>
      <c r="AN31" s="654">
        <f t="shared" ca="1" si="5"/>
        <v>0</v>
      </c>
    </row>
    <row r="32" spans="1:40" ht="38.25" x14ac:dyDescent="0.2">
      <c r="A32" t="str">
        <f t="shared" si="1"/>
        <v>S</v>
      </c>
      <c r="B32">
        <f t="shared" ca="1" si="17"/>
        <v>2</v>
      </c>
      <c r="C32" t="str">
        <f t="shared" ca="1" si="18"/>
        <v>S</v>
      </c>
      <c r="D32">
        <f t="shared" ca="1" si="19"/>
        <v>0</v>
      </c>
      <c r="E32">
        <f ca="1">IF($C32=1,OFFSET(E32,-1,0)+MAX(1,COUNTIF(QCI!$A$13:$A$24,OFFSET(ORÇAMENTO!E32,-1,0))),OFFSET(E32,-1,0))</f>
        <v>1</v>
      </c>
      <c r="F32">
        <f t="shared" ca="1" si="20"/>
        <v>4</v>
      </c>
      <c r="G32">
        <f t="shared" ca="1" si="21"/>
        <v>0</v>
      </c>
      <c r="H32">
        <f t="shared" ca="1" si="22"/>
        <v>0</v>
      </c>
      <c r="I32">
        <f t="shared" ca="1" si="23"/>
        <v>0</v>
      </c>
      <c r="J32">
        <f t="shared" ca="1" si="2"/>
        <v>0</v>
      </c>
      <c r="K32">
        <f ca="1">IF(OR($C32="S",$C32=0),0,MATCH(OFFSET($D32,0,$C32)+IF($C32&lt;&gt;1,1,COUNTIF(QCI!$A$13:$A$24,ORÇAMENTO!E32)),OFFSET($D32,1,$C32,ROW($C$192)-ROW($C32)),0))</f>
        <v>0</v>
      </c>
      <c r="L32" s="143" t="str">
        <f t="shared" ca="1" si="24"/>
        <v/>
      </c>
      <c r="M32" s="144" t="s">
        <v>199</v>
      </c>
      <c r="N32" s="145" t="str">
        <f t="shared" ca="1" si="25"/>
        <v>Serviço</v>
      </c>
      <c r="O32" s="146" t="str">
        <f t="shared" ca="1" si="26"/>
        <v>-</v>
      </c>
      <c r="P32" s="147" t="s">
        <v>247</v>
      </c>
      <c r="Q32" s="148" t="s">
        <v>470</v>
      </c>
      <c r="R32" s="149" t="s">
        <v>644</v>
      </c>
      <c r="S32" s="150" t="s">
        <v>780</v>
      </c>
      <c r="T32" s="151">
        <f ca="1">OFFSET(CÁLCULO!H$15,ROW($T32)-ROW(T$15),0)</f>
        <v>247.5</v>
      </c>
      <c r="U32" s="152"/>
      <c r="V32" s="153" t="s">
        <v>156</v>
      </c>
      <c r="W32" s="151">
        <f ca="1">IF($C32="S",ROUND(IF(TIPOORCAMENTO="Proposto",ORÇAMENTO.CustoUnitario*(1+$AH32),ORÇAMENTO.PrecoUnitarioLicitado),15-13*$AF$10),0)</f>
        <v>0</v>
      </c>
      <c r="X32" s="154">
        <f ca="1">IF($C32="S",IF(Import.TipoArredondamento&lt;&gt;"TransfereGOV",VTOTAL1,SUM(OFFSET(CÁLCULO!$AA$15,ROW($X32)-ROW($X$15),1):OFFSET(CÁLCULO!$AL$15,ROW($X32)-ROW($X$15),-1))),IF($C32=0,0,ROUND(SomaAgrup,15-13*$AF$11)))</f>
        <v>0</v>
      </c>
      <c r="Y32" s="155" t="s">
        <v>245</v>
      </c>
      <c r="Z32" t="str">
        <f t="shared" ca="1" si="27"/>
        <v/>
      </c>
      <c r="AA32" s="156">
        <f ca="1">IF($C32="S",IF($Z32="CP",$X32,IF($Z32="RA",(($X32)*QCI!$AA$3),0)),SomaAgrup)</f>
        <v>0</v>
      </c>
      <c r="AB32" s="157">
        <f t="shared" ca="1" si="3"/>
        <v>0</v>
      </c>
      <c r="AC32" s="158" t="str">
        <f ca="1">IF($N32="","",IF(ORÇAMENTO.Descricao="","DESCRIÇÃO",IF(AND($C32="S",ORÇAMENTO.Unidade=""),"UNIDADE",IF($X32&lt;0,"VALOR NEGATIVO",IF(OR(AND(TIPOORCAMENTO="Proposto",$AG32&lt;&gt;"",$AG32&gt;0,ORÇAMENTO.CustoUnitario&gt;$AG32),AND(TIPOORCAMENTO="LICITADO",ORÇAMENTO.PrecoUnitarioLicitado&gt;$AN32)),"ACIMA REF.","")))))</f>
        <v/>
      </c>
      <c r="AD32" s="668" t="str">
        <f ca="1">IF(C32&lt;=CRONO.NivelExibicao,MAX($AD$15:OFFSET(AD32,-1,0))+IF($C32&lt;&gt;1,1,MAX(1,COUNTIF(QCI!$A$13:$A$24,OFFSET($E32,-1,0)))),"")</f>
        <v/>
      </c>
      <c r="AE32" s="114" t="str">
        <f ca="1">IF(AND($C32="S",ORÇAMENTO.CodBarra&lt;&gt;""),IF(ORÇAMENTO.Fonte="",ORÇAMENTO.CodBarra,CONCATENATE(ORÇAMENTO.Fonte," ",ORÇAMENTO.CodBarra)))</f>
        <v>SINAPI 96521</v>
      </c>
      <c r="AF32" s="159">
        <f ca="1">IF(ISERROR(INDIRECT(ORÇAMENTO.BancoRef)),"(abra o arquivo 'Referência "&amp;Excel_BuiltIn_Database&amp;".xlsm)",IF(OR($C32&lt;&gt;"S",ORÇAMENTO.CodBarra=""),"(Sem Código)",IF(ISERROR(MATCH($AE32,INDIRECT(ORÇAMENTO.BancoRef),0)),"(Código não identificado nas referências)",MATCH($AE32,INDIRECT(ORÇAMENTO.BancoRef),0))))</f>
        <v>10522</v>
      </c>
      <c r="AG32" s="578">
        <f ca="1">ROUND(IF(DESONERACAO="sim",REFERENCIA.Desonerado,REFERENCIA.NaoDesonerado),2)</f>
        <v>42.67</v>
      </c>
      <c r="AH32" s="579">
        <f t="shared" ca="1" si="4"/>
        <v>0.2034</v>
      </c>
      <c r="AJ32" s="581">
        <f>1.5*1.5*55*2</f>
        <v>247.5</v>
      </c>
      <c r="AL32" s="611"/>
      <c r="AM32" s="430">
        <f t="shared" ca="1" si="0"/>
        <v>0</v>
      </c>
      <c r="AN32" s="654">
        <f t="shared" ca="1" si="5"/>
        <v>0</v>
      </c>
    </row>
    <row r="33" spans="1:40" ht="25.5" x14ac:dyDescent="0.2">
      <c r="A33" t="str">
        <f t="shared" si="1"/>
        <v>S</v>
      </c>
      <c r="B33">
        <f t="shared" ca="1" si="17"/>
        <v>2</v>
      </c>
      <c r="C33" t="str">
        <f t="shared" ca="1" si="18"/>
        <v>S</v>
      </c>
      <c r="D33">
        <f t="shared" ca="1" si="19"/>
        <v>0</v>
      </c>
      <c r="E33">
        <f ca="1">IF($C33=1,OFFSET(E33,-1,0)+MAX(1,COUNTIF(QCI!$A$13:$A$24,OFFSET(ORÇAMENTO!E33,-1,0))),OFFSET(E33,-1,0))</f>
        <v>1</v>
      </c>
      <c r="F33">
        <f t="shared" ca="1" si="20"/>
        <v>4</v>
      </c>
      <c r="G33">
        <f t="shared" ca="1" si="21"/>
        <v>0</v>
      </c>
      <c r="H33">
        <f t="shared" ca="1" si="22"/>
        <v>0</v>
      </c>
      <c r="I33">
        <f t="shared" ca="1" si="23"/>
        <v>0</v>
      </c>
      <c r="J33">
        <f t="shared" ca="1" si="2"/>
        <v>0</v>
      </c>
      <c r="K33">
        <f ca="1">IF(OR($C33="S",$C33=0),0,MATCH(OFFSET($D33,0,$C33)+IF($C33&lt;&gt;1,1,COUNTIF(QCI!$A$13:$A$24,ORÇAMENTO!E33)),OFFSET($D33,1,$C33,ROW($C$192)-ROW($C33)),0))</f>
        <v>0</v>
      </c>
      <c r="L33" s="143" t="str">
        <f t="shared" ca="1" si="24"/>
        <v/>
      </c>
      <c r="M33" s="144" t="s">
        <v>199</v>
      </c>
      <c r="N33" s="145" t="str">
        <f t="shared" ca="1" si="25"/>
        <v>Serviço</v>
      </c>
      <c r="O33" s="146" t="str">
        <f t="shared" ca="1" si="26"/>
        <v>-</v>
      </c>
      <c r="P33" s="147" t="s">
        <v>247</v>
      </c>
      <c r="Q33" s="148" t="s">
        <v>471</v>
      </c>
      <c r="R33" s="149" t="s">
        <v>645</v>
      </c>
      <c r="S33" s="150" t="s">
        <v>780</v>
      </c>
      <c r="T33" s="151">
        <f ca="1">OFFSET(CÁLCULO!H$15,ROW($T33)-ROW(T$15),0)</f>
        <v>247.5</v>
      </c>
      <c r="U33" s="152"/>
      <c r="V33" s="153" t="s">
        <v>156</v>
      </c>
      <c r="W33" s="151">
        <f ca="1">IF($C33="S",ROUND(IF(TIPOORCAMENTO="Proposto",ORÇAMENTO.CustoUnitario*(1+$AH33),ORÇAMENTO.PrecoUnitarioLicitado),15-13*$AF$10),0)</f>
        <v>0</v>
      </c>
      <c r="X33" s="154">
        <f ca="1">IF($C33="S",IF(Import.TipoArredondamento&lt;&gt;"TransfereGOV",VTOTAL1,SUM(OFFSET(CÁLCULO!$AA$15,ROW($X33)-ROW($X$15),1):OFFSET(CÁLCULO!$AL$15,ROW($X33)-ROW($X$15),-1))),IF($C33=0,0,ROUND(SomaAgrup,15-13*$AF$11)))</f>
        <v>0</v>
      </c>
      <c r="Y33" s="155" t="s">
        <v>245</v>
      </c>
      <c r="Z33" t="str">
        <f t="shared" ca="1" si="27"/>
        <v/>
      </c>
      <c r="AA33" s="156">
        <f ca="1">IF($C33="S",IF($Z33="CP",$X33,IF($Z33="RA",(($X33)*QCI!$AA$3),0)),SomaAgrup)</f>
        <v>0</v>
      </c>
      <c r="AB33" s="157">
        <f t="shared" ca="1" si="3"/>
        <v>0</v>
      </c>
      <c r="AC33" s="158" t="str">
        <f ca="1">IF($N33="","",IF(ORÇAMENTO.Descricao="","DESCRIÇÃO",IF(AND($C33="S",ORÇAMENTO.Unidade=""),"UNIDADE",IF($X33&lt;0,"VALOR NEGATIVO",IF(OR(AND(TIPOORCAMENTO="Proposto",$AG33&lt;&gt;"",$AG33&gt;0,ORÇAMENTO.CustoUnitario&gt;$AG33),AND(TIPOORCAMENTO="LICITADO",ORÇAMENTO.PrecoUnitarioLicitado&gt;$AN33)),"ACIMA REF.","")))))</f>
        <v/>
      </c>
      <c r="AD33" s="668" t="str">
        <f ca="1">IF(C33&lt;=CRONO.NivelExibicao,MAX($AD$15:OFFSET(AD33,-1,0))+IF($C33&lt;&gt;1,1,MAX(1,COUNTIF(QCI!$A$13:$A$24,OFFSET($E33,-1,0)))),"")</f>
        <v/>
      </c>
      <c r="AE33" s="114" t="str">
        <f ca="1">IF(AND($C33="S",ORÇAMENTO.CodBarra&lt;&gt;""),IF(ORÇAMENTO.Fonte="",ORÇAMENTO.CodBarra,CONCATENATE(ORÇAMENTO.Fonte," ",ORÇAMENTO.CodBarra)))</f>
        <v>SINAPI 93382</v>
      </c>
      <c r="AF33" s="159">
        <f ca="1">IF(ISERROR(INDIRECT(ORÇAMENTO.BancoRef)),"(abra o arquivo 'Referência "&amp;Excel_BuiltIn_Database&amp;".xlsm)",IF(OR($C33&lt;&gt;"S",ORÇAMENTO.CodBarra=""),"(Sem Código)",IF(ISERROR(MATCH($AE33,INDIRECT(ORÇAMENTO.BancoRef),0)),"(Código não identificado nas referências)",MATCH($AE33,INDIRECT(ORÇAMENTO.BancoRef),0))))</f>
        <v>10742</v>
      </c>
      <c r="AG33" s="578">
        <f ca="1">ROUND(IF(DESONERACAO="sim",REFERENCIA.Desonerado,REFERENCIA.NaoDesonerado),2)</f>
        <v>28.84</v>
      </c>
      <c r="AH33" s="579">
        <f t="shared" ca="1" si="4"/>
        <v>0.2034</v>
      </c>
      <c r="AJ33" s="581">
        <f>1.5*1.5*55*2</f>
        <v>247.5</v>
      </c>
      <c r="AL33" s="611"/>
      <c r="AM33" s="430">
        <f t="shared" ca="1" si="0"/>
        <v>0</v>
      </c>
      <c r="AN33" s="654">
        <f t="shared" ca="1" si="5"/>
        <v>0</v>
      </c>
    </row>
    <row r="34" spans="1:40" ht="38.25" x14ac:dyDescent="0.2">
      <c r="A34" t="str">
        <f t="shared" si="1"/>
        <v>S</v>
      </c>
      <c r="B34">
        <f t="shared" ca="1" si="17"/>
        <v>2</v>
      </c>
      <c r="C34" t="str">
        <f t="shared" ca="1" si="18"/>
        <v>S</v>
      </c>
      <c r="D34">
        <f t="shared" ca="1" si="19"/>
        <v>0</v>
      </c>
      <c r="E34">
        <f ca="1">IF($C34=1,OFFSET(E34,-1,0)+MAX(1,COUNTIF(QCI!$A$13:$A$24,OFFSET(ORÇAMENTO!E34,-1,0))),OFFSET(E34,-1,0))</f>
        <v>1</v>
      </c>
      <c r="F34">
        <f t="shared" ca="1" si="20"/>
        <v>4</v>
      </c>
      <c r="G34">
        <f t="shared" ca="1" si="21"/>
        <v>0</v>
      </c>
      <c r="H34">
        <f t="shared" ca="1" si="22"/>
        <v>0</v>
      </c>
      <c r="I34">
        <f t="shared" ca="1" si="23"/>
        <v>0</v>
      </c>
      <c r="J34">
        <f t="shared" ca="1" si="2"/>
        <v>0</v>
      </c>
      <c r="K34">
        <f ca="1">IF(OR($C34="S",$C34=0),0,MATCH(OFFSET($D34,0,$C34)+IF($C34&lt;&gt;1,1,COUNTIF(QCI!$A$13:$A$24,ORÇAMENTO!E34)),OFFSET($D34,1,$C34,ROW($C$192)-ROW($C34)),0))</f>
        <v>0</v>
      </c>
      <c r="L34" s="143" t="str">
        <f t="shared" ca="1" si="24"/>
        <v/>
      </c>
      <c r="M34" s="144" t="s">
        <v>199</v>
      </c>
      <c r="N34" s="145" t="str">
        <f t="shared" ca="1" si="25"/>
        <v>Serviço</v>
      </c>
      <c r="O34" s="146" t="str">
        <f t="shared" ca="1" si="26"/>
        <v>-</v>
      </c>
      <c r="P34" s="147" t="s">
        <v>247</v>
      </c>
      <c r="Q34" s="148" t="s">
        <v>488</v>
      </c>
      <c r="R34" s="149" t="s">
        <v>646</v>
      </c>
      <c r="S34" s="150" t="s">
        <v>777</v>
      </c>
      <c r="T34" s="151">
        <f ca="1">OFFSET(CÁLCULO!H$15,ROW($T34)-ROW(T$15),0)</f>
        <v>143.69999999999999</v>
      </c>
      <c r="U34" s="152"/>
      <c r="V34" s="153" t="s">
        <v>156</v>
      </c>
      <c r="W34" s="151">
        <f ca="1">IF($C34="S",ROUND(IF(TIPOORCAMENTO="Proposto",ORÇAMENTO.CustoUnitario*(1+$AH34),ORÇAMENTO.PrecoUnitarioLicitado),15-13*$AF$10),0)</f>
        <v>0</v>
      </c>
      <c r="X34" s="154">
        <f ca="1">IF($C34="S",IF(Import.TipoArredondamento&lt;&gt;"TransfereGOV",VTOTAL1,SUM(OFFSET(CÁLCULO!$AA$15,ROW($X34)-ROW($X$15),1):OFFSET(CÁLCULO!$AL$15,ROW($X34)-ROW($X$15),-1))),IF($C34=0,0,ROUND(SomaAgrup,15-13*$AF$11)))</f>
        <v>0</v>
      </c>
      <c r="Y34" s="155" t="s">
        <v>245</v>
      </c>
      <c r="Z34" t="str">
        <f t="shared" ca="1" si="27"/>
        <v/>
      </c>
      <c r="AA34" s="156">
        <f ca="1">IF($C34="S",IF($Z34="CP",$X34,IF($Z34="RA",(($X34)*QCI!$AA$3),0)),SomaAgrup)</f>
        <v>0</v>
      </c>
      <c r="AB34" s="157">
        <f t="shared" ca="1" si="3"/>
        <v>0</v>
      </c>
      <c r="AC34" s="158" t="str">
        <f ca="1">IF($N34="","",IF(ORÇAMENTO.Descricao="","DESCRIÇÃO",IF(AND($C34="S",ORÇAMENTO.Unidade=""),"UNIDADE",IF($X34&lt;0,"VALOR NEGATIVO",IF(OR(AND(TIPOORCAMENTO="Proposto",$AG34&lt;&gt;"",$AG34&gt;0,ORÇAMENTO.CustoUnitario&gt;$AG34),AND(TIPOORCAMENTO="LICITADO",ORÇAMENTO.PrecoUnitarioLicitado&gt;$AN34)),"ACIMA REF.","")))))</f>
        <v/>
      </c>
      <c r="AD34" s="668" t="str">
        <f ca="1">IF(C34&lt;=CRONO.NivelExibicao,MAX($AD$15:OFFSET(AD34,-1,0))+IF($C34&lt;&gt;1,1,MAX(1,COUNTIF(QCI!$A$13:$A$24,OFFSET($E34,-1,0)))),"")</f>
        <v/>
      </c>
      <c r="AE34" s="114" t="str">
        <f ca="1">IF(AND($C34="S",ORÇAMENTO.CodBarra&lt;&gt;""),IF(ORÇAMENTO.Fonte="",ORÇAMENTO.CodBarra,CONCATENATE(ORÇAMENTO.Fonte," ",ORÇAMENTO.CodBarra)))</f>
        <v>SINAPI 96534</v>
      </c>
      <c r="AF34" s="159">
        <f ca="1">IF(ISERROR(INDIRECT(ORÇAMENTO.BancoRef)),"(abra o arquivo 'Referência "&amp;Excel_BuiltIn_Database&amp;".xlsm)",IF(OR($C34&lt;&gt;"S",ORÇAMENTO.CodBarra=""),"(Sem Código)",IF(ISERROR(MATCH($AE34,INDIRECT(ORÇAMENTO.BancoRef),0)),"(Código não identificado nas referências)",MATCH($AE34,INDIRECT(ORÇAMENTO.BancoRef),0))))</f>
        <v>7304</v>
      </c>
      <c r="AG34" s="578">
        <f ca="1">ROUND(IF(DESONERACAO="sim",REFERENCIA.Desonerado,REFERENCIA.NaoDesonerado),2)</f>
        <v>72.760000000000005</v>
      </c>
      <c r="AH34" s="579">
        <f t="shared" ca="1" si="4"/>
        <v>0.2034</v>
      </c>
      <c r="AJ34" s="581">
        <v>143.69999999999999</v>
      </c>
      <c r="AL34" s="611"/>
      <c r="AM34" s="430">
        <f t="shared" ca="1" si="0"/>
        <v>0</v>
      </c>
      <c r="AN34" s="654">
        <f t="shared" ca="1" si="5"/>
        <v>0</v>
      </c>
    </row>
    <row r="35" spans="1:40" ht="25.5" x14ac:dyDescent="0.2">
      <c r="A35" t="str">
        <f t="shared" si="1"/>
        <v>S</v>
      </c>
      <c r="B35">
        <f t="shared" ca="1" si="17"/>
        <v>2</v>
      </c>
      <c r="C35" t="str">
        <f t="shared" ca="1" si="18"/>
        <v>S</v>
      </c>
      <c r="D35">
        <f t="shared" ca="1" si="19"/>
        <v>0</v>
      </c>
      <c r="E35">
        <f ca="1">IF($C35=1,OFFSET(E35,-1,0)+MAX(1,COUNTIF(QCI!$A$13:$A$24,OFFSET(ORÇAMENTO!E35,-1,0))),OFFSET(E35,-1,0))</f>
        <v>1</v>
      </c>
      <c r="F35">
        <f t="shared" ca="1" si="20"/>
        <v>4</v>
      </c>
      <c r="G35">
        <f t="shared" ca="1" si="21"/>
        <v>0</v>
      </c>
      <c r="H35">
        <f t="shared" ca="1" si="22"/>
        <v>0</v>
      </c>
      <c r="I35">
        <f t="shared" ca="1" si="23"/>
        <v>0</v>
      </c>
      <c r="J35">
        <f t="shared" ca="1" si="2"/>
        <v>0</v>
      </c>
      <c r="K35">
        <f ca="1">IF(OR($C35="S",$C35=0),0,MATCH(OFFSET($D35,0,$C35)+IF($C35&lt;&gt;1,1,COUNTIF(QCI!$A$13:$A$24,ORÇAMENTO!E35)),OFFSET($D35,1,$C35,ROW($C$192)-ROW($C35)),0))</f>
        <v>0</v>
      </c>
      <c r="L35" s="143" t="str">
        <f t="shared" ca="1" si="24"/>
        <v/>
      </c>
      <c r="M35" s="144" t="s">
        <v>199</v>
      </c>
      <c r="N35" s="145" t="str">
        <f t="shared" ca="1" si="25"/>
        <v>Serviço</v>
      </c>
      <c r="O35" s="146" t="str">
        <f t="shared" ca="1" si="26"/>
        <v>-</v>
      </c>
      <c r="P35" s="147" t="s">
        <v>247</v>
      </c>
      <c r="Q35" s="148" t="s">
        <v>568</v>
      </c>
      <c r="R35" s="149" t="s">
        <v>647</v>
      </c>
      <c r="S35" s="150" t="s">
        <v>781</v>
      </c>
      <c r="T35" s="151">
        <f ca="1">OFFSET(CÁLCULO!H$15,ROW($T35)-ROW(T$15),0)</f>
        <v>31.9</v>
      </c>
      <c r="U35" s="152"/>
      <c r="V35" s="153" t="s">
        <v>156</v>
      </c>
      <c r="W35" s="151">
        <f ca="1">IF($C35="S",ROUND(IF(TIPOORCAMENTO="Proposto",ORÇAMENTO.CustoUnitario*(1+$AH35),ORÇAMENTO.PrecoUnitarioLicitado),15-13*$AF$10),0)</f>
        <v>0</v>
      </c>
      <c r="X35" s="154">
        <f ca="1">IF($C35="S",IF(Import.TipoArredondamento&lt;&gt;"TransfereGOV",VTOTAL1,SUM(OFFSET(CÁLCULO!$AA$15,ROW($X35)-ROW($X$15),1):OFFSET(CÁLCULO!$AL$15,ROW($X35)-ROW($X$15),-1))),IF($C35=0,0,ROUND(SomaAgrup,15-13*$AF$11)))</f>
        <v>0</v>
      </c>
      <c r="Y35" s="155" t="s">
        <v>245</v>
      </c>
      <c r="Z35" t="str">
        <f t="shared" ca="1" si="27"/>
        <v/>
      </c>
      <c r="AA35" s="156">
        <f ca="1">IF($C35="S",IF($Z35="CP",$X35,IF($Z35="RA",(($X35)*QCI!$AA$3),0)),SomaAgrup)</f>
        <v>0</v>
      </c>
      <c r="AB35" s="157">
        <f t="shared" ca="1" si="3"/>
        <v>0</v>
      </c>
      <c r="AC35" s="158" t="str">
        <f ca="1">IF($N35="","",IF(ORÇAMENTO.Descricao="","DESCRIÇÃO",IF(AND($C35="S",ORÇAMENTO.Unidade=""),"UNIDADE",IF($X35&lt;0,"VALOR NEGATIVO",IF(OR(AND(TIPOORCAMENTO="Proposto",$AG35&lt;&gt;"",$AG35&gt;0,ORÇAMENTO.CustoUnitario&gt;$AG35),AND(TIPOORCAMENTO="LICITADO",ORÇAMENTO.PrecoUnitarioLicitado&gt;$AN35)),"ACIMA REF.","")))))</f>
        <v/>
      </c>
      <c r="AD35" s="668" t="str">
        <f ca="1">IF(C35&lt;=CRONO.NivelExibicao,MAX($AD$15:OFFSET(AD35,-1,0))+IF($C35&lt;&gt;1,1,MAX(1,COUNTIF(QCI!$A$13:$A$24,OFFSET($E35,-1,0)))),"")</f>
        <v/>
      </c>
      <c r="AE35" s="114" t="str">
        <f ca="1">IF(AND($C35="S",ORÇAMENTO.CodBarra&lt;&gt;""),IF(ORÇAMENTO.Fonte="",ORÇAMENTO.CodBarra,CONCATENATE(ORÇAMENTO.Fonte," ",ORÇAMENTO.CodBarra)))</f>
        <v>SINAPI 96544</v>
      </c>
      <c r="AF35" s="159">
        <f ca="1">IF(ISERROR(INDIRECT(ORÇAMENTO.BancoRef)),"(abra o arquivo 'Referência "&amp;Excel_BuiltIn_Database&amp;".xlsm)",IF(OR($C35&lt;&gt;"S",ORÇAMENTO.CodBarra=""),"(Sem Código)",IF(ISERROR(MATCH($AE35,INDIRECT(ORÇAMENTO.BancoRef),0)),"(Código não identificado nas referências)",MATCH($AE35,INDIRECT(ORÇAMENTO.BancoRef),0))))</f>
        <v>7497</v>
      </c>
      <c r="AG35" s="578">
        <f ca="1">ROUND(IF(DESONERACAO="sim",REFERENCIA.Desonerado,REFERENCIA.NaoDesonerado),2)</f>
        <v>17.670000000000002</v>
      </c>
      <c r="AH35" s="579">
        <f t="shared" ca="1" si="4"/>
        <v>0.2034</v>
      </c>
      <c r="AJ35" s="673">
        <v>31.9</v>
      </c>
      <c r="AL35" s="611"/>
      <c r="AM35" s="430">
        <f t="shared" ca="1" si="0"/>
        <v>0</v>
      </c>
      <c r="AN35" s="654">
        <f t="shared" ca="1" si="5"/>
        <v>0</v>
      </c>
    </row>
    <row r="36" spans="1:40" ht="25.5" x14ac:dyDescent="0.2">
      <c r="A36" t="str">
        <f t="shared" si="1"/>
        <v>S</v>
      </c>
      <c r="B36">
        <f t="shared" ca="1" si="17"/>
        <v>2</v>
      </c>
      <c r="C36" t="str">
        <f t="shared" ca="1" si="18"/>
        <v>S</v>
      </c>
      <c r="D36">
        <f t="shared" ca="1" si="19"/>
        <v>0</v>
      </c>
      <c r="E36">
        <f ca="1">IF($C36=1,OFFSET(E36,-1,0)+MAX(1,COUNTIF(QCI!$A$13:$A$24,OFFSET(ORÇAMENTO!E36,-1,0))),OFFSET(E36,-1,0))</f>
        <v>1</v>
      </c>
      <c r="F36">
        <f t="shared" ca="1" si="20"/>
        <v>4</v>
      </c>
      <c r="G36">
        <f t="shared" ca="1" si="21"/>
        <v>0</v>
      </c>
      <c r="H36">
        <f t="shared" ca="1" si="22"/>
        <v>0</v>
      </c>
      <c r="I36">
        <f t="shared" ca="1" si="23"/>
        <v>0</v>
      </c>
      <c r="J36">
        <f t="shared" ca="1" si="2"/>
        <v>0</v>
      </c>
      <c r="K36">
        <f ca="1">IF(OR($C36="S",$C36=0),0,MATCH(OFFSET($D36,0,$C36)+IF($C36&lt;&gt;1,1,COUNTIF(QCI!$A$13:$A$24,ORÇAMENTO!E36)),OFFSET($D36,1,$C36,ROW($C$192)-ROW($C36)),0))</f>
        <v>0</v>
      </c>
      <c r="L36" s="143" t="str">
        <f t="shared" ca="1" si="24"/>
        <v/>
      </c>
      <c r="M36" s="144" t="s">
        <v>199</v>
      </c>
      <c r="N36" s="145" t="str">
        <f t="shared" ca="1" si="25"/>
        <v>Serviço</v>
      </c>
      <c r="O36" s="146" t="str">
        <f t="shared" ca="1" si="26"/>
        <v>-</v>
      </c>
      <c r="P36" s="147" t="s">
        <v>247</v>
      </c>
      <c r="Q36" s="148" t="s">
        <v>570</v>
      </c>
      <c r="R36" s="149" t="s">
        <v>648</v>
      </c>
      <c r="S36" s="150" t="s">
        <v>781</v>
      </c>
      <c r="T36" s="151">
        <f ca="1">OFFSET(CÁLCULO!H$15,ROW($T36)-ROW(T$15),0)</f>
        <v>183.8</v>
      </c>
      <c r="U36" s="152"/>
      <c r="V36" s="153" t="s">
        <v>156</v>
      </c>
      <c r="W36" s="151">
        <f ca="1">IF($C36="S",ROUND(IF(TIPOORCAMENTO="Proposto",ORÇAMENTO.CustoUnitario*(1+$AH36),ORÇAMENTO.PrecoUnitarioLicitado),15-13*$AF$10),0)</f>
        <v>0</v>
      </c>
      <c r="X36" s="154">
        <f ca="1">IF($C36="S",IF(Import.TipoArredondamento&lt;&gt;"TransfereGOV",VTOTAL1,SUM(OFFSET(CÁLCULO!$AA$15,ROW($X36)-ROW($X$15),1):OFFSET(CÁLCULO!$AL$15,ROW($X36)-ROW($X$15),-1))),IF($C36=0,0,ROUND(SomaAgrup,15-13*$AF$11)))</f>
        <v>0</v>
      </c>
      <c r="Y36" s="155" t="s">
        <v>245</v>
      </c>
      <c r="Z36" t="str">
        <f t="shared" ca="1" si="27"/>
        <v/>
      </c>
      <c r="AA36" s="156">
        <f ca="1">IF($C36="S",IF($Z36="CP",$X36,IF($Z36="RA",(($X36)*QCI!$AA$3),0)),SomaAgrup)</f>
        <v>0</v>
      </c>
      <c r="AB36" s="157">
        <f t="shared" ca="1" si="3"/>
        <v>0</v>
      </c>
      <c r="AC36" s="158" t="str">
        <f ca="1">IF($N36="","",IF(ORÇAMENTO.Descricao="","DESCRIÇÃO",IF(AND($C36="S",ORÇAMENTO.Unidade=""),"UNIDADE",IF($X36&lt;0,"VALOR NEGATIVO",IF(OR(AND(TIPOORCAMENTO="Proposto",$AG36&lt;&gt;"",$AG36&gt;0,ORÇAMENTO.CustoUnitario&gt;$AG36),AND(TIPOORCAMENTO="LICITADO",ORÇAMENTO.PrecoUnitarioLicitado&gt;$AN36)),"ACIMA REF.","")))))</f>
        <v/>
      </c>
      <c r="AD36" s="669" t="str">
        <f ca="1">IF(C36&lt;=CRONO.NivelExibicao,MAX($AD$15:OFFSET(AD36,-1,0))+IF($C36&lt;&gt;1,1,MAX(1,COUNTIF(QCI!$A$13:$A$24,OFFSET($E36,-1,0)))),"")</f>
        <v/>
      </c>
      <c r="AE36" s="114" t="str">
        <f ca="1">IF(AND($C36="S",ORÇAMENTO.CodBarra&lt;&gt;""),IF(ORÇAMENTO.Fonte="",ORÇAMENTO.CodBarra,CONCATENATE(ORÇAMENTO.Fonte," ",ORÇAMENTO.CodBarra)))</f>
        <v>SINAPI 96545</v>
      </c>
      <c r="AF36" s="159">
        <f ca="1">IF(ISERROR(INDIRECT(ORÇAMENTO.BancoRef)),"(abra o arquivo 'Referência "&amp;Excel_BuiltIn_Database&amp;".xlsm)",IF(OR($C36&lt;&gt;"S",ORÇAMENTO.CodBarra=""),"(Sem Código)",IF(ISERROR(MATCH($AE36,INDIRECT(ORÇAMENTO.BancoRef),0)),"(Código não identificado nas referências)",MATCH($AE36,INDIRECT(ORÇAMENTO.BancoRef),0))))</f>
        <v>7498</v>
      </c>
      <c r="AG36" s="578">
        <f ca="1">ROUND(IF(DESONERACAO="sim",REFERENCIA.Desonerado,REFERENCIA.NaoDesonerado),2)</f>
        <v>15.92</v>
      </c>
      <c r="AH36" s="579">
        <f t="shared" ca="1" si="4"/>
        <v>0.2034</v>
      </c>
      <c r="AJ36" s="674">
        <v>183.8</v>
      </c>
      <c r="AL36" s="611"/>
      <c r="AM36" s="430">
        <f t="shared" ca="1" si="0"/>
        <v>0</v>
      </c>
      <c r="AN36" s="654">
        <f t="shared" ca="1" si="5"/>
        <v>0</v>
      </c>
    </row>
    <row r="37" spans="1:40" ht="25.5" x14ac:dyDescent="0.2">
      <c r="A37" t="str">
        <f>CHOOSE(1+LOG(1+2*(ORÇAMENTO.Nivel="Meta")+4*(ORÇAMENTO.Nivel="Nível 2")+8*(ORÇAMENTO.Nivel="Nível 3")+16*(ORÇAMENTO.Nivel="Nível 4")+32*(ORÇAMENTO.Nivel="Serviço"),2),0,1,2,3,4,"S")</f>
        <v>S</v>
      </c>
      <c r="B37">
        <f ca="1">IF(OR(C37="s",C37=0),OFFSET(B37,-1,0),C37)</f>
        <v>2</v>
      </c>
      <c r="C37" t="str">
        <f ca="1">IF(OFFSET(C37,-1,0)="L",1,IF(OFFSET(C37,-1,0)=1,2,IF(OR(A37="s",A37=0),"S",IF(AND(OFFSET(C37,-1,0)=2,A37=4),3,IF(AND(OR(OFFSET(C37,-1,0)="s",OFFSET(C37,-1,0)=0),A37&lt;&gt;"s",A37&gt;OFFSET(B37,-1,0)),OFFSET(B37,-1,0),A37)))))</f>
        <v>S</v>
      </c>
      <c r="D37">
        <f ca="1">IF(OR(C37="S",C37=0),0,IF(ISERROR(K37),J37,SMALL(J37:K37,1)))</f>
        <v>0</v>
      </c>
      <c r="E37">
        <f ca="1">IF($C37=1,OFFSET(E37,-1,0)+MAX(1,COUNTIF(QCI!$A$13:$A$24,OFFSET(ORÇAMENTO!E37,-1,0))),OFFSET(E37,-1,0))</f>
        <v>1</v>
      </c>
      <c r="F37">
        <f ca="1">IF($C37=1,0,IF($C37=2,OFFSET(F37,-1,0)+1,OFFSET(F37,-1,0)))</f>
        <v>4</v>
      </c>
      <c r="G37">
        <f ca="1">IF(AND($C37&lt;=2,$C37&lt;&gt;0),0,IF($C37=3,OFFSET(G37,-1,0)+1,OFFSET(G37,-1,0)))</f>
        <v>0</v>
      </c>
      <c r="H37">
        <f ca="1">IF(AND($C37&lt;=3,$C37&lt;&gt;0),0,IF($C37=4,OFFSET(H37,-1,0)+1,OFFSET(H37,-1,0)))</f>
        <v>0</v>
      </c>
      <c r="I37">
        <f ca="1">IF(AND($C37&lt;=4,$C37&lt;&gt;0),0,IF(AND($C37="S",$X37&gt;0),OFFSET(I37,-1,0)+1,OFFSET(I37,-1,0)))</f>
        <v>0</v>
      </c>
      <c r="J37">
        <f t="shared" ca="1" si="2"/>
        <v>0</v>
      </c>
      <c r="K37">
        <f ca="1">IF(OR($C37="S",$C37=0),0,MATCH(OFFSET($D37,0,$C37)+IF($C37&lt;&gt;1,1,COUNTIF(QCI!$A$13:$A$24,ORÇAMENTO!E37)),OFFSET($D37,1,$C37,ROW($C$192)-ROW($C37)),0))</f>
        <v>0</v>
      </c>
      <c r="L37" s="143" t="str">
        <f ca="1">IF(OR($X37&gt;0,$C37=1,$C37=2,$C37=3,$C37=4),"F","")</f>
        <v/>
      </c>
      <c r="M37" s="144" t="s">
        <v>199</v>
      </c>
      <c r="N37" s="145" t="str">
        <f ca="1">CHOOSE(1+LOG(1+2*(C37=1)+4*(C37=2)+8*(C37=3)+16*(C37=4)+32*(C37="S"),2),"","Meta","Nível 2","Nível 3","Nível 4","Serviço")</f>
        <v>Serviço</v>
      </c>
      <c r="O37" s="146" t="str">
        <f ca="1">IF(OR($C37=0,$L37=""),"-",CONCATENATE(E37&amp;".",IF(AND($A$5&gt;=2,$C37&gt;=2),F37&amp;".",""),IF(AND($A$5&gt;=3,$C37&gt;=3),G37&amp;".",""),IF(AND($A$5&gt;=4,$C37&gt;=4),H37&amp;".",""),IF($C37="S",I37&amp;".","")))</f>
        <v>-</v>
      </c>
      <c r="P37" s="147" t="s">
        <v>247</v>
      </c>
      <c r="Q37" s="148" t="s">
        <v>571</v>
      </c>
      <c r="R37" s="149" t="s">
        <v>649</v>
      </c>
      <c r="S37" s="150" t="s">
        <v>781</v>
      </c>
      <c r="T37" s="151">
        <f ca="1">OFFSET(CÁLCULO!H$15,ROW($T37)-ROW(T$15),0)</f>
        <v>54</v>
      </c>
      <c r="U37" s="152"/>
      <c r="V37" s="153" t="s">
        <v>156</v>
      </c>
      <c r="W37" s="151">
        <f ca="1">IF($C37="S",ROUND(IF(TIPOORCAMENTO="Proposto",ORÇAMENTO.CustoUnitario*(1+$AH37),ORÇAMENTO.PrecoUnitarioLicitado),15-13*$AF$10),0)</f>
        <v>0</v>
      </c>
      <c r="X37" s="154">
        <f ca="1">IF($C37="S",IF(Import.TipoArredondamento&lt;&gt;"TransfereGOV",VTOTAL1,SUM(OFFSET(CÁLCULO!$AA$15,ROW($X37)-ROW($X$15),1):OFFSET(CÁLCULO!$AL$15,ROW($X37)-ROW($X$15),-1))),IF($C37=0,0,ROUND(SomaAgrup,15-13*$AF$11)))</f>
        <v>0</v>
      </c>
      <c r="Y37" s="155" t="s">
        <v>245</v>
      </c>
      <c r="Z37" t="str">
        <f ca="1">IF(AND($C37="S",$X37&gt;0),IF(ISBLANK($Y37),"RA",LEFT($Y37,2)),"")</f>
        <v/>
      </c>
      <c r="AA37" s="156">
        <f ca="1">IF($C37="S",IF($Z37="CP",$X37,IF($Z37="RA",(($X37)*QCI!$AA$3),0)),SomaAgrup)</f>
        <v>0</v>
      </c>
      <c r="AB37" s="157">
        <f ca="1">IF($C37="S",IF($Z37="OU",ROUND($X37,2),0),SomaAgrup)</f>
        <v>0</v>
      </c>
      <c r="AC37" s="158" t="str">
        <f ca="1">IF($N37="","",IF(ORÇAMENTO.Descricao="","DESCRIÇÃO",IF(AND($C37="S",ORÇAMENTO.Unidade=""),"UNIDADE",IF($X37&lt;0,"VALOR NEGATIVO",IF(OR(AND(TIPOORCAMENTO="Proposto",$AG37&lt;&gt;"",$AG37&gt;0,ORÇAMENTO.CustoUnitario&gt;$AG37),AND(TIPOORCAMENTO="LICITADO",ORÇAMENTO.PrecoUnitarioLicitado&gt;$AN37)),"ACIMA REF.","")))))</f>
        <v/>
      </c>
      <c r="AD37" s="670" t="str">
        <f ca="1">IF(C37&lt;=CRONO.NivelExibicao,MAX($AD$15:OFFSET(AD37,-1,0))+IF($C37&lt;&gt;1,1,MAX(1,COUNTIF(QCI!$A$13:$A$24,OFFSET($E37,-1,0)))),"")</f>
        <v/>
      </c>
      <c r="AE37" s="114" t="str">
        <f ca="1">IF(AND($C37="S",ORÇAMENTO.CodBarra&lt;&gt;""),IF(ORÇAMENTO.Fonte="",ORÇAMENTO.CodBarra,CONCATENATE(ORÇAMENTO.Fonte," ",ORÇAMENTO.CodBarra)))</f>
        <v>SINAPI 96546</v>
      </c>
      <c r="AF37" s="159">
        <f ca="1">IF(ISERROR(INDIRECT(ORÇAMENTO.BancoRef)),"(abra o arquivo 'Referência "&amp;Excel_BuiltIn_Database&amp;".xlsm)",IF(OR($C37&lt;&gt;"S",ORÇAMENTO.CodBarra=""),"(Sem Código)",IF(ISERROR(MATCH($AE37,INDIRECT(ORÇAMENTO.BancoRef),0)),"(Código não identificado nas referências)",MATCH($AE37,INDIRECT(ORÇAMENTO.BancoRef),0))))</f>
        <v>7499</v>
      </c>
      <c r="AG37" s="578">
        <f ca="1">ROUND(IF(DESONERACAO="sim",REFERENCIA.Desonerado,REFERENCIA.NaoDesonerado),2)</f>
        <v>13.89</v>
      </c>
      <c r="AH37" s="579">
        <f ca="1">ROUND(IF(ISNUMBER(ORÇAMENTO.OpcaoBDI),ORÇAMENTO.OpcaoBDI,IF(LEFT(ORÇAMENTO.OpcaoBDI,3)="BDI",HLOOKUP(ORÇAMENTO.OpcaoBDI,$F$4:$H$5,2,FALSE),0)),15-11*$AF$9)</f>
        <v>0.2034</v>
      </c>
      <c r="AJ37" s="681">
        <v>54</v>
      </c>
      <c r="AL37" s="611"/>
      <c r="AM37" s="430">
        <f t="shared" ca="1" si="0"/>
        <v>0</v>
      </c>
      <c r="AN37" s="654">
        <f ca="1">ROUND(ORÇAMENTO.CustoUnitario*(1+$AH37),2)</f>
        <v>0</v>
      </c>
    </row>
    <row r="38" spans="1:40" ht="25.5" x14ac:dyDescent="0.2">
      <c r="A38" t="str">
        <f>CHOOSE(1+LOG(1+2*(ORÇAMENTO.Nivel="Meta")+4*(ORÇAMENTO.Nivel="Nível 2")+8*(ORÇAMENTO.Nivel="Nível 3")+16*(ORÇAMENTO.Nivel="Nível 4")+32*(ORÇAMENTO.Nivel="Serviço"),2),0,1,2,3,4,"S")</f>
        <v>S</v>
      </c>
      <c r="B38">
        <f t="shared" ref="B38" ca="1" si="28">IF(OR(C38="s",C38=0),OFFSET(B38,-1,0),C38)</f>
        <v>2</v>
      </c>
      <c r="C38" t="str">
        <f t="shared" ref="C38" ca="1" si="29">IF(OFFSET(C38,-1,0)="L",1,IF(OFFSET(C38,-1,0)=1,2,IF(OR(A38="s",A38=0),"S",IF(AND(OFFSET(C38,-1,0)=2,A38=4),3,IF(AND(OR(OFFSET(C38,-1,0)="s",OFFSET(C38,-1,0)=0),A38&lt;&gt;"s",A38&gt;OFFSET(B38,-1,0)),OFFSET(B38,-1,0),A38)))))</f>
        <v>S</v>
      </c>
      <c r="D38">
        <f t="shared" ref="D38" ca="1" si="30">IF(OR(C38="S",C38=0),0,IF(ISERROR(K38),J38,SMALL(J38:K38,1)))</f>
        <v>0</v>
      </c>
      <c r="E38">
        <f ca="1">IF($C38=1,OFFSET(E38,-1,0)+MAX(1,COUNTIF(QCI!$A$13:$A$24,OFFSET(ORÇAMENTO!E38,-1,0))),OFFSET(E38,-1,0))</f>
        <v>1</v>
      </c>
      <c r="F38">
        <f t="shared" ref="F38" ca="1" si="31">IF($C38=1,0,IF($C38=2,OFFSET(F38,-1,0)+1,OFFSET(F38,-1,0)))</f>
        <v>4</v>
      </c>
      <c r="G38">
        <f t="shared" ref="G38" ca="1" si="32">IF(AND($C38&lt;=2,$C38&lt;&gt;0),0,IF($C38=3,OFFSET(G38,-1,0)+1,OFFSET(G38,-1,0)))</f>
        <v>0</v>
      </c>
      <c r="H38">
        <f t="shared" ref="H38" ca="1" si="33">IF(AND($C38&lt;=3,$C38&lt;&gt;0),0,IF($C38=4,OFFSET(H38,-1,0)+1,OFFSET(H38,-1,0)))</f>
        <v>0</v>
      </c>
      <c r="I38">
        <f t="shared" ref="I38" ca="1" si="34">IF(AND($C38&lt;=4,$C38&lt;&gt;0),0,IF(AND($C38="S",$X38&gt;0),OFFSET(I38,-1,0)+1,OFFSET(I38,-1,0)))</f>
        <v>0</v>
      </c>
      <c r="J38">
        <f t="shared" ca="1" si="2"/>
        <v>0</v>
      </c>
      <c r="K38">
        <f ca="1">IF(OR($C38="S",$C38=0),0,MATCH(OFFSET($D38,0,$C38)+IF($C38&lt;&gt;1,1,COUNTIF(QCI!$A$13:$A$24,ORÇAMENTO!E38)),OFFSET($D38,1,$C38,ROW($C$192)-ROW($C38)),0))</f>
        <v>0</v>
      </c>
      <c r="L38" s="143" t="str">
        <f t="shared" ref="L38" ca="1" si="35">IF(OR($X38&gt;0,$C38=1,$C38=2,$C38=3,$C38=4),"F","")</f>
        <v/>
      </c>
      <c r="M38" s="144" t="s">
        <v>199</v>
      </c>
      <c r="N38" s="145" t="str">
        <f t="shared" ref="N38" ca="1" si="36">CHOOSE(1+LOG(1+2*(C38=1)+4*(C38=2)+8*(C38=3)+16*(C38=4)+32*(C38="S"),2),"","Meta","Nível 2","Nível 3","Nível 4","Serviço")</f>
        <v>Serviço</v>
      </c>
      <c r="O38" s="146" t="str">
        <f t="shared" ref="O38" ca="1" si="37">IF(OR($C38=0,$L38=""),"-",CONCATENATE(E38&amp;".",IF(AND($A$5&gt;=2,$C38&gt;=2),F38&amp;".",""),IF(AND($A$5&gt;=3,$C38&gt;=3),G38&amp;".",""),IF(AND($A$5&gt;=4,$C38&gt;=4),H38&amp;".",""),IF($C38="S",I38&amp;".","")))</f>
        <v>-</v>
      </c>
      <c r="P38" s="147" t="s">
        <v>247</v>
      </c>
      <c r="Q38" s="148" t="s">
        <v>569</v>
      </c>
      <c r="R38" s="149" t="s">
        <v>650</v>
      </c>
      <c r="S38" s="150" t="s">
        <v>781</v>
      </c>
      <c r="T38" s="151">
        <f ca="1">OFFSET(CÁLCULO!H$15,ROW($T38)-ROW(T$15),0)</f>
        <v>295</v>
      </c>
      <c r="U38" s="152"/>
      <c r="V38" s="153" t="s">
        <v>156</v>
      </c>
      <c r="W38" s="151">
        <f ca="1">IF($C38="S",ROUND(IF(TIPOORCAMENTO="Proposto",ORÇAMENTO.CustoUnitario*(1+$AH38),ORÇAMENTO.PrecoUnitarioLicitado),15-13*$AF$10),0)</f>
        <v>0</v>
      </c>
      <c r="X38" s="154">
        <f ca="1">IF($C38="S",IF(Import.TipoArredondamento&lt;&gt;"TransfereGOV",VTOTAL1,SUM(OFFSET(CÁLCULO!$AA$15,ROW($X38)-ROW($X$15),1):OFFSET(CÁLCULO!$AL$15,ROW($X38)-ROW($X$15),-1))),IF($C38=0,0,ROUND(SomaAgrup,15-13*$AF$11)))</f>
        <v>0</v>
      </c>
      <c r="Y38" s="155" t="s">
        <v>245</v>
      </c>
      <c r="Z38" t="str">
        <f t="shared" ref="Z38" ca="1" si="38">IF(AND($C38="S",$X38&gt;0),IF(ISBLANK($Y38),"RA",LEFT($Y38,2)),"")</f>
        <v/>
      </c>
      <c r="AA38" s="156">
        <f ca="1">IF($C38="S",IF($Z38="CP",$X38,IF($Z38="RA",(($X38)*QCI!$AA$3),0)),SomaAgrup)</f>
        <v>0</v>
      </c>
      <c r="AB38" s="157">
        <f ca="1">IF($C38="S",IF($Z38="OU",ROUND($X38,2),0),SomaAgrup)</f>
        <v>0</v>
      </c>
      <c r="AC38" s="158" t="str">
        <f ca="1">IF($N38="","",IF(ORÇAMENTO.Descricao="","DESCRIÇÃO",IF(AND($C38="S",ORÇAMENTO.Unidade=""),"UNIDADE",IF($X38&lt;0,"VALOR NEGATIVO",IF(OR(AND(TIPOORCAMENTO="Proposto",$AG38&lt;&gt;"",$AG38&gt;0,ORÇAMENTO.CustoUnitario&gt;$AG38),AND(TIPOORCAMENTO="LICITADO",ORÇAMENTO.PrecoUnitarioLicitado&gt;$AN38)),"ACIMA REF.","")))))</f>
        <v/>
      </c>
      <c r="AD38" s="683" t="str">
        <f ca="1">IF(C38&lt;=CRONO.NivelExibicao,MAX($AD$15:OFFSET(AD38,-1,0))+IF($C38&lt;&gt;1,1,MAX(1,COUNTIF(QCI!$A$13:$A$24,OFFSET($E38,-1,0)))),"")</f>
        <v/>
      </c>
      <c r="AE38" s="114" t="str">
        <f ca="1">IF(AND($C38="S",ORÇAMENTO.CodBarra&lt;&gt;""),IF(ORÇAMENTO.Fonte="",ORÇAMENTO.CodBarra,CONCATENATE(ORÇAMENTO.Fonte," ",ORÇAMENTO.CodBarra)))</f>
        <v>SINAPI 96543</v>
      </c>
      <c r="AF38" s="159">
        <f ca="1">IF(ISERROR(INDIRECT(ORÇAMENTO.BancoRef)),"(abra o arquivo 'Referência "&amp;Excel_BuiltIn_Database&amp;".xlsm)",IF(OR($C38&lt;&gt;"S",ORÇAMENTO.CodBarra=""),"(Sem Código)",IF(ISERROR(MATCH($AE38,INDIRECT(ORÇAMENTO.BancoRef),0)),"(Código não identificado nas referências)",MATCH($AE38,INDIRECT(ORÇAMENTO.BancoRef),0))))</f>
        <v>7313</v>
      </c>
      <c r="AG38" s="578">
        <f ca="1">ROUND(IF(DESONERACAO="sim",REFERENCIA.Desonerado,REFERENCIA.NaoDesonerado),2)</f>
        <v>19.62</v>
      </c>
      <c r="AH38" s="579">
        <f ca="1">ROUND(IF(ISNUMBER(ORÇAMENTO.OpcaoBDI),ORÇAMENTO.OpcaoBDI,IF(LEFT(ORÇAMENTO.OpcaoBDI,3)="BDI",HLOOKUP(ORÇAMENTO.OpcaoBDI,$F$4:$H$5,2,FALSE),0)),15-11*$AF$9)</f>
        <v>0.2034</v>
      </c>
      <c r="AJ38" s="581">
        <v>295</v>
      </c>
      <c r="AL38" s="611"/>
      <c r="AM38" s="430">
        <f t="shared" ca="1" si="0"/>
        <v>0</v>
      </c>
      <c r="AN38" s="654">
        <f ca="1">ROUND(ORÇAMENTO.CustoUnitario*(1+$AH38),2)</f>
        <v>0</v>
      </c>
    </row>
    <row r="39" spans="1:40" ht="38.25" x14ac:dyDescent="0.2">
      <c r="A39" t="str">
        <f t="shared" si="1"/>
        <v>S</v>
      </c>
      <c r="B39">
        <f ca="1">IF(OR(C39="s",C39=0),OFFSET(B39,-1,0),C39)</f>
        <v>2</v>
      </c>
      <c r="C39" t="str">
        <f ca="1">IF(OFFSET(C39,-1,0)="L",1,IF(OFFSET(C39,-1,0)=1,2,IF(OR(A39="s",A39=0),"S",IF(AND(OFFSET(C39,-1,0)=2,A39=4),3,IF(AND(OR(OFFSET(C39,-1,0)="s",OFFSET(C39,-1,0)=0),A39&lt;&gt;"s",A39&gt;OFFSET(B39,-1,0)),OFFSET(B39,-1,0),A39)))))</f>
        <v>S</v>
      </c>
      <c r="D39">
        <f ca="1">IF(OR(C39="S",C39=0),0,IF(ISERROR(K39),J39,SMALL(J39:K39,1)))</f>
        <v>0</v>
      </c>
      <c r="E39">
        <f ca="1">IF($C39=1,OFFSET(E39,-1,0)+MAX(1,COUNTIF(QCI!$A$13:$A$24,OFFSET(ORÇAMENTO!E39,-1,0))),OFFSET(E39,-1,0))</f>
        <v>1</v>
      </c>
      <c r="F39">
        <f ca="1">IF($C39=1,0,IF($C39=2,OFFSET(F39,-1,0)+1,OFFSET(F39,-1,0)))</f>
        <v>4</v>
      </c>
      <c r="G39">
        <f ca="1">IF(AND($C39&lt;=2,$C39&lt;&gt;0),0,IF($C39=3,OFFSET(G39,-1,0)+1,OFFSET(G39,-1,0)))</f>
        <v>0</v>
      </c>
      <c r="H39">
        <f ca="1">IF(AND($C39&lt;=3,$C39&lt;&gt;0),0,IF($C39=4,OFFSET(H39,-1,0)+1,OFFSET(H39,-1,0)))</f>
        <v>0</v>
      </c>
      <c r="I39">
        <f ca="1">IF(AND($C39&lt;=4,$C39&lt;&gt;0),0,IF(AND($C39="S",$X39&gt;0),OFFSET(I39,-1,0)+1,OFFSET(I39,-1,0)))</f>
        <v>0</v>
      </c>
      <c r="J39">
        <f t="shared" ca="1" si="2"/>
        <v>0</v>
      </c>
      <c r="K39">
        <f ca="1">IF(OR($C39="S",$C39=0),0,MATCH(OFFSET($D39,0,$C39)+IF($C39&lt;&gt;1,1,COUNTIF(QCI!$A$13:$A$24,ORÇAMENTO!E39)),OFFSET($D39,1,$C39,ROW($C$192)-ROW($C39)),0))</f>
        <v>0</v>
      </c>
      <c r="L39" s="143" t="str">
        <f ca="1">IF(OR($X39&gt;0,$C39=1,$C39=2,$C39=3,$C39=4),"F","")</f>
        <v/>
      </c>
      <c r="M39" s="144" t="s">
        <v>199</v>
      </c>
      <c r="N39" s="145" t="str">
        <f ca="1">CHOOSE(1+LOG(1+2*(C39=1)+4*(C39=2)+8*(C39=3)+16*(C39=4)+32*(C39="S"),2),"","Meta","Nível 2","Nível 3","Nível 4","Serviço")</f>
        <v>Serviço</v>
      </c>
      <c r="O39" s="146" t="str">
        <f ca="1">IF(OR($C39=0,$L39=""),"-",CONCATENATE(E39&amp;".",IF(AND($A$5&gt;=2,$C39&gt;=2),F39&amp;".",""),IF(AND($A$5&gt;=3,$C39&gt;=3),G39&amp;".",""),IF(AND($A$5&gt;=4,$C39&gt;=4),H39&amp;".",""),IF($C39="S",I39&amp;".","")))</f>
        <v>-</v>
      </c>
      <c r="P39" s="147" t="s">
        <v>247</v>
      </c>
      <c r="Q39" s="148" t="s">
        <v>487</v>
      </c>
      <c r="R39" s="149" t="s">
        <v>651</v>
      </c>
      <c r="S39" s="150" t="s">
        <v>780</v>
      </c>
      <c r="T39" s="151">
        <f ca="1">OFFSET(CÁLCULO!H$15,ROW($T39)-ROW(T$15),0)</f>
        <v>30.8</v>
      </c>
      <c r="U39" s="152"/>
      <c r="V39" s="153" t="s">
        <v>156</v>
      </c>
      <c r="W39" s="151">
        <f ca="1">IF($C39="S",ROUND(IF(TIPOORCAMENTO="Proposto",ORÇAMENTO.CustoUnitario*(1+$AH39),ORÇAMENTO.PrecoUnitarioLicitado),15-13*$AF$10),0)</f>
        <v>0</v>
      </c>
      <c r="X39" s="154">
        <f ca="1">IF($C39="S",IF(Import.TipoArredondamento&lt;&gt;"TransfereGOV",VTOTAL1,SUM(OFFSET(CÁLCULO!$AA$15,ROW($X39)-ROW($X$15),1):OFFSET(CÁLCULO!$AL$15,ROW($X39)-ROW($X$15),-1))),IF($C39=0,0,ROUND(SomaAgrup,15-13*$AF$11)))</f>
        <v>0</v>
      </c>
      <c r="Y39" s="155" t="s">
        <v>245</v>
      </c>
      <c r="Z39" t="str">
        <f ca="1">IF(AND($C39="S",$X39&gt;0),IF(ISBLANK($Y39),"RA",LEFT($Y39,2)),"")</f>
        <v/>
      </c>
      <c r="AA39" s="156">
        <f ca="1">IF($C39="S",IF($Z39="CP",$X39,IF($Z39="RA",(($X39)*QCI!$AA$3),0)),SomaAgrup)</f>
        <v>0</v>
      </c>
      <c r="AB39" s="157">
        <f t="shared" ca="1" si="3"/>
        <v>0</v>
      </c>
      <c r="AC39" s="158" t="str">
        <f ca="1">IF($N39="","",IF(ORÇAMENTO.Descricao="","DESCRIÇÃO",IF(AND($C39="S",ORÇAMENTO.Unidade=""),"UNIDADE",IF($X39&lt;0,"VALOR NEGATIVO",IF(OR(AND(TIPOORCAMENTO="Proposto",$AG39&lt;&gt;"",$AG39&gt;0,ORÇAMENTO.CustoUnitario&gt;$AG39),AND(TIPOORCAMENTO="LICITADO",ORÇAMENTO.PrecoUnitarioLicitado&gt;$AN39)),"ACIMA REF.","")))))</f>
        <v/>
      </c>
      <c r="AD39" s="668" t="str">
        <f ca="1">IF(C39&lt;=CRONO.NivelExibicao,MAX($AD$15:OFFSET(AD39,-1,0))+IF($C39&lt;&gt;1,1,MAX(1,COUNTIF(QCI!$A$13:$A$24,OFFSET($E39,-1,0)))),"")</f>
        <v/>
      </c>
      <c r="AE39" s="114" t="str">
        <f ca="1">IF(AND($C39="S",ORÇAMENTO.CodBarra&lt;&gt;""),IF(ORÇAMENTO.Fonte="",ORÇAMENTO.CodBarra,CONCATENATE(ORÇAMENTO.Fonte," ",ORÇAMENTO.CodBarra)))</f>
        <v>SINAPI 96557</v>
      </c>
      <c r="AF39" s="159">
        <f ca="1">IF(ISERROR(INDIRECT(ORÇAMENTO.BancoRef)),"(abra o arquivo 'Referência "&amp;Excel_BuiltIn_Database&amp;".xlsm)",IF(OR($C39&lt;&gt;"S",ORÇAMENTO.CodBarra=""),"(Sem Código)",IF(ISERROR(MATCH($AE39,INDIRECT(ORÇAMENTO.BancoRef),0)),"(Código não identificado nas referências)",MATCH($AE39,INDIRECT(ORÇAMENTO.BancoRef),0))))</f>
        <v>7551</v>
      </c>
      <c r="AG39" s="578">
        <f ca="1">ROUND(IF(DESONERACAO="sim",REFERENCIA.Desonerado,REFERENCIA.NaoDesonerado),2)</f>
        <v>737.77</v>
      </c>
      <c r="AH39" s="579">
        <f t="shared" ca="1" si="4"/>
        <v>0.2034</v>
      </c>
      <c r="AJ39" s="581">
        <v>30.8</v>
      </c>
      <c r="AL39" s="611"/>
      <c r="AM39" s="430">
        <f t="shared" ca="1" si="0"/>
        <v>0</v>
      </c>
      <c r="AN39" s="654">
        <f t="shared" ca="1" si="5"/>
        <v>0</v>
      </c>
    </row>
    <row r="40" spans="1:40" ht="38.25" x14ac:dyDescent="0.2">
      <c r="A40" t="str">
        <f t="shared" si="1"/>
        <v>S</v>
      </c>
      <c r="B40">
        <f ca="1">IF(OR(C40="s",C40=0),OFFSET(B40,-1,0),C40)</f>
        <v>2</v>
      </c>
      <c r="C40" t="str">
        <f ca="1">IF(OFFSET(C40,-1,0)="L",1,IF(OFFSET(C40,-1,0)=1,2,IF(OR(A40="s",A40=0),"S",IF(AND(OFFSET(C40,-1,0)=2,A40=4),3,IF(AND(OR(OFFSET(C40,-1,0)="s",OFFSET(C40,-1,0)=0),A40&lt;&gt;"s",A40&gt;OFFSET(B40,-1,0)),OFFSET(B40,-1,0),A40)))))</f>
        <v>S</v>
      </c>
      <c r="D40">
        <f ca="1">IF(OR(C40="S",C40=0),0,IF(ISERROR(K40),J40,SMALL(J40:K40,1)))</f>
        <v>0</v>
      </c>
      <c r="E40">
        <f ca="1">IF($C40=1,OFFSET(E40,-1,0)+MAX(1,COUNTIF(QCI!$A$13:$A$24,OFFSET(ORÇAMENTO!E40,-1,0))),OFFSET(E40,-1,0))</f>
        <v>1</v>
      </c>
      <c r="F40">
        <f ca="1">IF($C40=1,0,IF($C40=2,OFFSET(F40,-1,0)+1,OFFSET(F40,-1,0)))</f>
        <v>4</v>
      </c>
      <c r="G40">
        <f ca="1">IF(AND($C40&lt;=2,$C40&lt;&gt;0),0,IF($C40=3,OFFSET(G40,-1,0)+1,OFFSET(G40,-1,0)))</f>
        <v>0</v>
      </c>
      <c r="H40">
        <f ca="1">IF(AND($C40&lt;=3,$C40&lt;&gt;0),0,IF($C40=4,OFFSET(H40,-1,0)+1,OFFSET(H40,-1,0)))</f>
        <v>0</v>
      </c>
      <c r="I40">
        <f ca="1">IF(AND($C40&lt;=4,$C40&lt;&gt;0),0,IF(AND($C40="S",$X40&gt;0),OFFSET(I40,-1,0)+1,OFFSET(I40,-1,0)))</f>
        <v>0</v>
      </c>
      <c r="J40">
        <f t="shared" ca="1" si="2"/>
        <v>0</v>
      </c>
      <c r="K40">
        <f ca="1">IF(OR($C40="S",$C40=0),0,MATCH(OFFSET($D40,0,$C40)+IF($C40&lt;&gt;1,1,COUNTIF(QCI!$A$13:$A$24,ORÇAMENTO!E40)),OFFSET($D40,1,$C40,ROW($C$192)-ROW($C40)),0))</f>
        <v>0</v>
      </c>
      <c r="L40" s="143" t="str">
        <f ca="1">IF(OR($X40&gt;0,$C40=1,$C40=2,$C40=3,$C40=4),"F","")</f>
        <v/>
      </c>
      <c r="M40" s="144" t="s">
        <v>199</v>
      </c>
      <c r="N40" s="145" t="str">
        <f ca="1">CHOOSE(1+LOG(1+2*(C40=1)+4*(C40=2)+8*(C40=3)+16*(C40=4)+32*(C40="S"),2),"","Meta","Nível 2","Nível 3","Nível 4","Serviço")</f>
        <v>Serviço</v>
      </c>
      <c r="O40" s="146" t="str">
        <f ca="1">IF(OR($C40=0,$L40=""),"-",CONCATENATE(E40&amp;".",IF(AND($A$5&gt;=2,$C40&gt;=2),F40&amp;".",""),IF(AND($A$5&gt;=3,$C40&gt;=3),G40&amp;".",""),IF(AND($A$5&gt;=4,$C40&gt;=4),H40&amp;".",""),IF($C40="S",I40&amp;".","")))</f>
        <v>-</v>
      </c>
      <c r="P40" s="147" t="s">
        <v>247</v>
      </c>
      <c r="Q40" s="148" t="s">
        <v>566</v>
      </c>
      <c r="R40" s="149" t="s">
        <v>652</v>
      </c>
      <c r="S40" s="150" t="s">
        <v>779</v>
      </c>
      <c r="T40" s="151">
        <f ca="1">OFFSET(CÁLCULO!H$15,ROW($T40)-ROW(T$15),0)</f>
        <v>140</v>
      </c>
      <c r="U40" s="152"/>
      <c r="V40" s="153" t="s">
        <v>156</v>
      </c>
      <c r="W40" s="151">
        <f ca="1">IF($C40="S",ROUND(IF(TIPOORCAMENTO="Proposto",ORÇAMENTO.CustoUnitario*(1+$AH40),ORÇAMENTO.PrecoUnitarioLicitado),15-13*$AF$10),0)</f>
        <v>0</v>
      </c>
      <c r="X40" s="154">
        <f ca="1">IF($C40="S",IF(Import.TipoArredondamento&lt;&gt;"TransfereGOV",VTOTAL1,SUM(OFFSET(CÁLCULO!$AA$15,ROW($X40)-ROW($X$15),1):OFFSET(CÁLCULO!$AL$15,ROW($X40)-ROW($X$15),-1))),IF($C40=0,0,ROUND(SomaAgrup,15-13*$AF$11)))</f>
        <v>0</v>
      </c>
      <c r="Y40" s="155" t="s">
        <v>245</v>
      </c>
      <c r="Z40" t="str">
        <f ca="1">IF(AND($C40="S",$X40&gt;0),IF(ISBLANK($Y40),"RA",LEFT($Y40,2)),"")</f>
        <v/>
      </c>
      <c r="AA40" s="156">
        <f ca="1">IF($C40="S",IF($Z40="CP",$X40,IF($Z40="RA",(($X40)*QCI!$AA$3),0)),SomaAgrup)</f>
        <v>0</v>
      </c>
      <c r="AB40" s="157">
        <f t="shared" ca="1" si="3"/>
        <v>0</v>
      </c>
      <c r="AC40" s="158" t="str">
        <f ca="1">IF($N40="","",IF(ORÇAMENTO.Descricao="","DESCRIÇÃO",IF(AND($C40="S",ORÇAMENTO.Unidade=""),"UNIDADE",IF($X40&lt;0,"VALOR NEGATIVO",IF(OR(AND(TIPOORCAMENTO="Proposto",$AG40&lt;&gt;"",$AG40&gt;0,ORÇAMENTO.CustoUnitario&gt;$AG40),AND(TIPOORCAMENTO="LICITADO",ORÇAMENTO.PrecoUnitarioLicitado&gt;$AN40)),"ACIMA REF.","")))))</f>
        <v/>
      </c>
      <c r="AD40" s="668" t="str">
        <f ca="1">IF(C40&lt;=CRONO.NivelExibicao,MAX($AD$15:OFFSET(AD40,-1,0))+IF($C40&lt;&gt;1,1,MAX(1,COUNTIF(QCI!$A$13:$A$24,OFFSET($E40,-1,0)))),"")</f>
        <v/>
      </c>
      <c r="AE40" s="114" t="str">
        <f ca="1">IF(AND($C40="S",ORÇAMENTO.CodBarra&lt;&gt;""),IF(ORÇAMENTO.Fonte="",ORÇAMENTO.CodBarra,CONCATENATE(ORÇAMENTO.Fonte," ",ORÇAMENTO.CodBarra)))</f>
        <v>SINAPI 100651</v>
      </c>
      <c r="AF40" s="159">
        <f ca="1">IF(ISERROR(INDIRECT(ORÇAMENTO.BancoRef)),"(abra o arquivo 'Referência "&amp;Excel_BuiltIn_Database&amp;".xlsm)",IF(OR($C40&lt;&gt;"S",ORÇAMENTO.CodBarra=""),"(Sem Código)",IF(ISERROR(MATCH($AE40,INDIRECT(ORÇAMENTO.BancoRef),0)),"(Código não identificado nas referências)",MATCH($AE40,INDIRECT(ORÇAMENTO.BancoRef),0))))</f>
        <v>7140</v>
      </c>
      <c r="AG40" s="578">
        <f ca="1">ROUND(IF(DESONERACAO="sim",REFERENCIA.Desonerado,REFERENCIA.NaoDesonerado),2)</f>
        <v>146.38</v>
      </c>
      <c r="AH40" s="579">
        <f t="shared" ca="1" si="4"/>
        <v>0.2034</v>
      </c>
      <c r="AJ40" s="581">
        <f>14*10</f>
        <v>140</v>
      </c>
      <c r="AL40" s="611"/>
      <c r="AM40" s="430">
        <f t="shared" ca="1" si="0"/>
        <v>0</v>
      </c>
      <c r="AN40" s="654">
        <f t="shared" ca="1" si="5"/>
        <v>0</v>
      </c>
    </row>
    <row r="41" spans="1:40" ht="38.25" x14ac:dyDescent="0.2">
      <c r="A41" t="str">
        <f t="shared" si="1"/>
        <v>S</v>
      </c>
      <c r="B41">
        <f t="shared" ref="B41" ca="1" si="39">IF(OR(C41="s",C41=0),OFFSET(B41,-1,0),C41)</f>
        <v>2</v>
      </c>
      <c r="C41" t="str">
        <f t="shared" ref="C41" ca="1" si="40">IF(OFFSET(C41,-1,0)="L",1,IF(OFFSET(C41,-1,0)=1,2,IF(OR(A41="s",A41=0),"S",IF(AND(OFFSET(C41,-1,0)=2,A41=4),3,IF(AND(OR(OFFSET(C41,-1,0)="s",OFFSET(C41,-1,0)=0),A41&lt;&gt;"s",A41&gt;OFFSET(B41,-1,0)),OFFSET(B41,-1,0),A41)))))</f>
        <v>S</v>
      </c>
      <c r="D41">
        <f t="shared" ref="D41" ca="1" si="41">IF(OR(C41="S",C41=0),0,IF(ISERROR(K41),J41,SMALL(J41:K41,1)))</f>
        <v>0</v>
      </c>
      <c r="E41">
        <f ca="1">IF($C41=1,OFFSET(E41,-1,0)+MAX(1,COUNTIF(QCI!$A$13:$A$24,OFFSET(ORÇAMENTO!E41,-1,0))),OFFSET(E41,-1,0))</f>
        <v>1</v>
      </c>
      <c r="F41">
        <f t="shared" ref="F41" ca="1" si="42">IF($C41=1,0,IF($C41=2,OFFSET(F41,-1,0)+1,OFFSET(F41,-1,0)))</f>
        <v>4</v>
      </c>
      <c r="G41">
        <f t="shared" ref="G41" ca="1" si="43">IF(AND($C41&lt;=2,$C41&lt;&gt;0),0,IF($C41=3,OFFSET(G41,-1,0)+1,OFFSET(G41,-1,0)))</f>
        <v>0</v>
      </c>
      <c r="H41">
        <f t="shared" ref="H41" ca="1" si="44">IF(AND($C41&lt;=3,$C41&lt;&gt;0),0,IF($C41=4,OFFSET(H41,-1,0)+1,OFFSET(H41,-1,0)))</f>
        <v>0</v>
      </c>
      <c r="I41">
        <f t="shared" ref="I41" ca="1" si="45">IF(AND($C41&lt;=4,$C41&lt;&gt;0),0,IF(AND($C41="S",$X41&gt;0),OFFSET(I41,-1,0)+1,OFFSET(I41,-1,0)))</f>
        <v>0</v>
      </c>
      <c r="J41">
        <f t="shared" ca="1" si="2"/>
        <v>0</v>
      </c>
      <c r="K41">
        <f ca="1">IF(OR($C41="S",$C41=0),0,MATCH(OFFSET($D41,0,$C41)+IF($C41&lt;&gt;1,1,COUNTIF(QCI!$A$13:$A$24,ORÇAMENTO!E41)),OFFSET($D41,1,$C41,ROW($C$192)-ROW($C41)),0))</f>
        <v>0</v>
      </c>
      <c r="L41" s="143" t="str">
        <f t="shared" ref="L41" ca="1" si="46">IF(OR($X41&gt;0,$C41=1,$C41=2,$C41=3,$C41=4),"F","")</f>
        <v/>
      </c>
      <c r="M41" s="144" t="s">
        <v>199</v>
      </c>
      <c r="N41" s="145" t="str">
        <f t="shared" ref="N41" ca="1" si="47">CHOOSE(1+LOG(1+2*(C41=1)+4*(C41=2)+8*(C41=3)+16*(C41=4)+32*(C41="S"),2),"","Meta","Nível 2","Nível 3","Nível 4","Serviço")</f>
        <v>Serviço</v>
      </c>
      <c r="O41" s="146" t="str">
        <f t="shared" ref="O41" ca="1" si="48">IF(OR($C41=0,$L41=""),"-",CONCATENATE(E41&amp;".",IF(AND($A$5&gt;=2,$C41&gt;=2),F41&amp;".",""),IF(AND($A$5&gt;=3,$C41&gt;=3),G41&amp;".",""),IF(AND($A$5&gt;=4,$C41&gt;=4),H41&amp;".",""),IF($C41="S",I41&amp;".","")))</f>
        <v>-</v>
      </c>
      <c r="P41" s="147" t="s">
        <v>247</v>
      </c>
      <c r="Q41" s="148" t="s">
        <v>565</v>
      </c>
      <c r="R41" s="149" t="s">
        <v>653</v>
      </c>
      <c r="S41" s="150" t="s">
        <v>779</v>
      </c>
      <c r="T41" s="151">
        <f ca="1">OFFSET(CÁLCULO!H$15,ROW($T41)-ROW(T$15),0)</f>
        <v>200</v>
      </c>
      <c r="U41" s="152"/>
      <c r="V41" s="153" t="s">
        <v>156</v>
      </c>
      <c r="W41" s="151">
        <f ca="1">IF($C41="S",ROUND(IF(TIPOORCAMENTO="Proposto",ORÇAMENTO.CustoUnitario*(1+$AH41),ORÇAMENTO.PrecoUnitarioLicitado),15-13*$AF$10),0)</f>
        <v>0</v>
      </c>
      <c r="X41" s="154">
        <f ca="1">IF($C41="S",IF(Import.TipoArredondamento&lt;&gt;"TransfereGOV",VTOTAL1,SUM(OFFSET(CÁLCULO!$AA$15,ROW($X41)-ROW($X$15),1):OFFSET(CÁLCULO!$AL$15,ROW($X41)-ROW($X$15),-1))),IF($C41=0,0,ROUND(SomaAgrup,15-13*$AF$11)))</f>
        <v>0</v>
      </c>
      <c r="Y41" s="155" t="s">
        <v>245</v>
      </c>
      <c r="Z41" t="str">
        <f t="shared" ref="Z41" ca="1" si="49">IF(AND($C41="S",$X41&gt;0),IF(ISBLANK($Y41),"RA",LEFT($Y41,2)),"")</f>
        <v/>
      </c>
      <c r="AA41" s="156">
        <f ca="1">IF($C41="S",IF($Z41="CP",$X41,IF($Z41="RA",(($X41)*QCI!$AA$3),0)),SomaAgrup)</f>
        <v>0</v>
      </c>
      <c r="AB41" s="157">
        <f t="shared" ca="1" si="3"/>
        <v>0</v>
      </c>
      <c r="AC41" s="158" t="str">
        <f ca="1">IF($N41="","",IF(ORÇAMENTO.Descricao="","DESCRIÇÃO",IF(AND($C41="S",ORÇAMENTO.Unidade=""),"UNIDADE",IF($X41&lt;0,"VALOR NEGATIVO",IF(OR(AND(TIPOORCAMENTO="Proposto",$AG41&lt;&gt;"",$AG41&gt;0,ORÇAMENTO.CustoUnitario&gt;$AG41),AND(TIPOORCAMENTO="LICITADO",ORÇAMENTO.PrecoUnitarioLicitado&gt;$AN41)),"ACIMA REF.","")))))</f>
        <v/>
      </c>
      <c r="AD41" s="683" t="str">
        <f ca="1">IF(C41&lt;=CRONO.NivelExibicao,MAX($AD$15:OFFSET(AD41,-1,0))+IF($C41&lt;&gt;1,1,MAX(1,COUNTIF(QCI!$A$13:$A$24,OFFSET($E41,-1,0)))),"")</f>
        <v/>
      </c>
      <c r="AE41" s="114" t="str">
        <f ca="1">IF(AND($C41="S",ORÇAMENTO.CodBarra&lt;&gt;""),IF(ORÇAMENTO.Fonte="",ORÇAMENTO.CodBarra,CONCATENATE(ORÇAMENTO.Fonte," ",ORÇAMENTO.CodBarra)))</f>
        <v>SINAPI 100652</v>
      </c>
      <c r="AF41" s="159">
        <f ca="1">IF(ISERROR(INDIRECT(ORÇAMENTO.BancoRef)),"(abra o arquivo 'Referência "&amp;Excel_BuiltIn_Database&amp;".xlsm)",IF(OR($C41&lt;&gt;"S",ORÇAMENTO.CodBarra=""),"(Sem Código)",IF(ISERROR(MATCH($AE41,INDIRECT(ORÇAMENTO.BancoRef),0)),"(Código não identificado nas referências)",MATCH($AE41,INDIRECT(ORÇAMENTO.BancoRef),0))))</f>
        <v>7141</v>
      </c>
      <c r="AG41" s="578">
        <f ca="1">ROUND(IF(DESONERACAO="sim",REFERENCIA.Desonerado,REFERENCIA.NaoDesonerado),2)</f>
        <v>276.55</v>
      </c>
      <c r="AH41" s="579">
        <f t="shared" ca="1" si="4"/>
        <v>0.2034</v>
      </c>
      <c r="AJ41" s="581">
        <f>20*10</f>
        <v>200</v>
      </c>
      <c r="AL41" s="611"/>
      <c r="AM41" s="430">
        <f t="shared" ca="1" si="0"/>
        <v>0</v>
      </c>
      <c r="AN41" s="654">
        <f t="shared" ca="1" si="5"/>
        <v>0</v>
      </c>
    </row>
    <row r="42" spans="1:40" x14ac:dyDescent="0.2">
      <c r="A42">
        <f t="shared" si="1"/>
        <v>2</v>
      </c>
      <c r="B42">
        <f t="shared" ref="B42:B59" ca="1" si="50">IF(OR(C42="s",C42=0),OFFSET(B42,-1,0),C42)</f>
        <v>2</v>
      </c>
      <c r="C42">
        <f t="shared" ref="C42:C59" ca="1" si="51">IF(OFFSET(C42,-1,0)="L",1,IF(OFFSET(C42,-1,0)=1,2,IF(OR(A42="s",A42=0),"S",IF(AND(OFFSET(C42,-1,0)=2,A42=4),3,IF(AND(OR(OFFSET(C42,-1,0)="s",OFFSET(C42,-1,0)=0),A42&lt;&gt;"s",A42&gt;OFFSET(B42,-1,0)),OFFSET(B42,-1,0),A42)))))</f>
        <v>2</v>
      </c>
      <c r="D42">
        <f t="shared" ref="D42:D59" ca="1" si="52">IF(OR(C42="S",C42=0),0,IF(ISERROR(K42),J42,SMALL(J42:K42,1)))</f>
        <v>3</v>
      </c>
      <c r="E42">
        <f ca="1">IF($C42=1,OFFSET(E42,-1,0)+MAX(1,COUNTIF(QCI!$A$13:$A$24,OFFSET(ORÇAMENTO!E42,-1,0))),OFFSET(E42,-1,0))</f>
        <v>1</v>
      </c>
      <c r="F42">
        <f t="shared" ref="F42:F59" ca="1" si="53">IF($C42=1,0,IF($C42=2,OFFSET(F42,-1,0)+1,OFFSET(F42,-1,0)))</f>
        <v>5</v>
      </c>
      <c r="G42">
        <f t="shared" ref="G42:G59" ca="1" si="54">IF(AND($C42&lt;=2,$C42&lt;&gt;0),0,IF($C42=3,OFFSET(G42,-1,0)+1,OFFSET(G42,-1,0)))</f>
        <v>0</v>
      </c>
      <c r="H42">
        <f t="shared" ref="H42:H59" ca="1" si="55">IF(AND($C42&lt;=3,$C42&lt;&gt;0),0,IF($C42=4,OFFSET(H42,-1,0)+1,OFFSET(H42,-1,0)))</f>
        <v>0</v>
      </c>
      <c r="I42">
        <f t="shared" ref="I42:I59" ca="1" si="56">IF(AND($C42&lt;=4,$C42&lt;&gt;0),0,IF(AND($C42="S",$X42&gt;0),OFFSET(I42,-1,0)+1,OFFSET(I42,-1,0)))</f>
        <v>0</v>
      </c>
      <c r="J42">
        <f t="shared" ca="1" si="2"/>
        <v>150</v>
      </c>
      <c r="K42">
        <f ca="1">IF(OR($C42="S",$C42=0),0,MATCH(OFFSET($D42,0,$C42)+IF($C42&lt;&gt;1,1,COUNTIF(QCI!$A$13:$A$24,ORÇAMENTO!E42)),OFFSET($D42,1,$C42,ROW($C$192)-ROW($C42)),0))</f>
        <v>3</v>
      </c>
      <c r="L42" s="143" t="str">
        <f t="shared" ref="L42:L59" ca="1" si="57">IF(OR($X42&gt;0,$C42=1,$C42=2,$C42=3,$C42=4),"F","")</f>
        <v>F</v>
      </c>
      <c r="M42" s="144" t="s">
        <v>196</v>
      </c>
      <c r="N42" s="145" t="str">
        <f t="shared" ref="N42:N59" ca="1" si="58">CHOOSE(1+LOG(1+2*(C42=1)+4*(C42=2)+8*(C42=3)+16*(C42=4)+32*(C42="S"),2),"","Meta","Nível 2","Nível 3","Nível 4","Serviço")</f>
        <v>Nível 2</v>
      </c>
      <c r="O42" s="146" t="str">
        <f t="shared" ref="O42:O59" ca="1" si="59">IF(OR($C42=0,$L42=""),"-",CONCATENATE(E42&amp;".",IF(AND($A$5&gt;=2,$C42&gt;=2),F42&amp;".",""),IF(AND($A$5&gt;=3,$C42&gt;=3),G42&amp;".",""),IF(AND($A$5&gt;=4,$C42&gt;=4),H42&amp;".",""),IF($C42="S",I42&amp;".","")))</f>
        <v>1.5.</v>
      </c>
      <c r="P42" s="147" t="s">
        <v>247</v>
      </c>
      <c r="Q42" s="148"/>
      <c r="R42" s="149" t="s">
        <v>489</v>
      </c>
      <c r="S42" s="150" t="s">
        <v>166</v>
      </c>
      <c r="T42" s="151">
        <f ca="1">OFFSET(CÁLCULO!H$15,ROW($T42)-ROW(T$15),0)</f>
        <v>0</v>
      </c>
      <c r="U42" s="152"/>
      <c r="V42" s="153" t="s">
        <v>156</v>
      </c>
      <c r="W42" s="151">
        <f ca="1">IF($C42="S",ROUND(IF(TIPOORCAMENTO="Proposto",ORÇAMENTO.CustoUnitario*(1+$AH42),ORÇAMENTO.PrecoUnitarioLicitado),15-13*$AF$10),0)</f>
        <v>0</v>
      </c>
      <c r="X42" s="154">
        <f ca="1">IF($C42="S",IF(Import.TipoArredondamento&lt;&gt;"TransfereGOV",VTOTAL1,SUM(OFFSET(CÁLCULO!$AA$15,ROW($X42)-ROW($X$15),1):OFFSET(CÁLCULO!$AL$15,ROW($X42)-ROW($X$15),-1))),IF($C42=0,0,ROUND(SomaAgrup,15-13*$AF$11)))</f>
        <v>0</v>
      </c>
      <c r="Y42" s="155" t="s">
        <v>245</v>
      </c>
      <c r="Z42" t="str">
        <f t="shared" ref="Z42:Z59" ca="1" si="60">IF(AND($C42="S",$X42&gt;0),IF(ISBLANK($Y42),"RA",LEFT($Y42,2)),"")</f>
        <v/>
      </c>
      <c r="AA42" s="156">
        <f ca="1">IF($C42="S",IF($Z42="CP",$X42,IF($Z42="RA",(($X42)*QCI!$AA$3),0)),SomaAgrup)</f>
        <v>0</v>
      </c>
      <c r="AB42" s="157">
        <f t="shared" ca="1" si="3"/>
        <v>0</v>
      </c>
      <c r="AC42" s="158" t="str">
        <f ca="1">IF($N42="","",IF(ORÇAMENTO.Descricao="","DESCRIÇÃO",IF(AND($C42="S",ORÇAMENTO.Unidade=""),"UNIDADE",IF($X42&lt;0,"VALOR NEGATIVO",IF(OR(AND(TIPOORCAMENTO="Proposto",$AG42&lt;&gt;"",$AG42&gt;0,ORÇAMENTO.CustoUnitario&gt;$AG42),AND(TIPOORCAMENTO="LICITADO",ORÇAMENTO.PrecoUnitarioLicitado&gt;$AN42)),"ACIMA REF.","")))))</f>
        <v/>
      </c>
      <c r="AD42" s="668">
        <f ca="1">IF(C42&lt;=CRONO.NivelExibicao,MAX($AD$15:OFFSET(AD42,-1,0))+IF($C42&lt;&gt;1,1,MAX(1,COUNTIF(QCI!$A$13:$A$24,OFFSET($E42,-1,0)))),"")</f>
        <v>6</v>
      </c>
      <c r="AE42" s="114" t="b">
        <f ca="1">IF(AND($C42="S",ORÇAMENTO.CodBarra&lt;&gt;""),IF(ORÇAMENTO.Fonte="",ORÇAMENTO.CodBarra,CONCATENATE(ORÇAMENTO.Fonte," ",ORÇAMENTO.CodBarra)))</f>
        <v>0</v>
      </c>
      <c r="AF42" s="159" t="str">
        <f ca="1">IF(ISERROR(INDIRECT(ORÇAMENTO.BancoRef)),"(abra o arquivo 'Referência "&amp;Excel_BuiltIn_Database&amp;".xlsm)",IF(OR($C42&lt;&gt;"S",ORÇAMENTO.CodBarra=""),"(Sem Código)",IF(ISERROR(MATCH($AE42,INDIRECT(ORÇAMENTO.BancoRef),0)),"(Código não identificado nas referências)",MATCH($AE42,INDIRECT(ORÇAMENTO.BancoRef),0))))</f>
        <v>(Sem Código)</v>
      </c>
      <c r="AG42" s="578">
        <f ca="1">ROUND(IF(DESONERACAO="sim",REFERENCIA.Desonerado,REFERENCIA.NaoDesonerado),2)</f>
        <v>0</v>
      </c>
      <c r="AH42" s="579">
        <f t="shared" ca="1" si="4"/>
        <v>0.2034</v>
      </c>
      <c r="AJ42" s="581"/>
      <c r="AL42" s="611"/>
      <c r="AM42" s="430">
        <f t="shared" ca="1" si="0"/>
        <v>0</v>
      </c>
      <c r="AN42" s="654">
        <f t="shared" ca="1" si="5"/>
        <v>0</v>
      </c>
    </row>
    <row r="43" spans="1:40" ht="38.25" x14ac:dyDescent="0.2">
      <c r="A43" t="str">
        <f t="shared" si="1"/>
        <v>S</v>
      </c>
      <c r="B43">
        <f t="shared" ca="1" si="50"/>
        <v>2</v>
      </c>
      <c r="C43" t="str">
        <f t="shared" ca="1" si="51"/>
        <v>S</v>
      </c>
      <c r="D43">
        <f t="shared" ca="1" si="52"/>
        <v>0</v>
      </c>
      <c r="E43">
        <f ca="1">IF($C43=1,OFFSET(E43,-1,0)+MAX(1,COUNTIF(QCI!$A$13:$A$24,OFFSET(ORÇAMENTO!E43,-1,0))),OFFSET(E43,-1,0))</f>
        <v>1</v>
      </c>
      <c r="F43">
        <f t="shared" ca="1" si="53"/>
        <v>5</v>
      </c>
      <c r="G43">
        <f t="shared" ca="1" si="54"/>
        <v>0</v>
      </c>
      <c r="H43">
        <f t="shared" ca="1" si="55"/>
        <v>0</v>
      </c>
      <c r="I43">
        <f t="shared" ca="1" si="56"/>
        <v>0</v>
      </c>
      <c r="J43">
        <f t="shared" ca="1" si="2"/>
        <v>0</v>
      </c>
      <c r="K43">
        <f ca="1">IF(OR($C43="S",$C43=0),0,MATCH(OFFSET($D43,0,$C43)+IF($C43&lt;&gt;1,1,COUNTIF(QCI!$A$13:$A$24,ORÇAMENTO!E43)),OFFSET($D43,1,$C43,ROW($C$192)-ROW($C43)),0))</f>
        <v>0</v>
      </c>
      <c r="L43" s="143" t="str">
        <f t="shared" ca="1" si="57"/>
        <v/>
      </c>
      <c r="M43" s="144" t="s">
        <v>199</v>
      </c>
      <c r="N43" s="145" t="str">
        <f t="shared" ca="1" si="58"/>
        <v>Serviço</v>
      </c>
      <c r="O43" s="146" t="str">
        <f t="shared" ca="1" si="59"/>
        <v>-</v>
      </c>
      <c r="P43" s="147" t="s">
        <v>247</v>
      </c>
      <c r="Q43" s="148" t="s">
        <v>472</v>
      </c>
      <c r="R43" s="149" t="s">
        <v>654</v>
      </c>
      <c r="S43" s="150" t="s">
        <v>780</v>
      </c>
      <c r="T43" s="151">
        <f ca="1">OFFSET(CÁLCULO!H$15,ROW($T43)-ROW(T$15),0)</f>
        <v>83.5</v>
      </c>
      <c r="U43" s="152"/>
      <c r="V43" s="153" t="s">
        <v>156</v>
      </c>
      <c r="W43" s="151">
        <f ca="1">IF($C43="S",ROUND(IF(TIPOORCAMENTO="Proposto",ORÇAMENTO.CustoUnitario*(1+$AH43),ORÇAMENTO.PrecoUnitarioLicitado),15-13*$AF$10),0)</f>
        <v>0</v>
      </c>
      <c r="X43" s="154">
        <f ca="1">IF($C43="S",IF(Import.TipoArredondamento&lt;&gt;"TransfereGOV",VTOTAL1,SUM(OFFSET(CÁLCULO!$AA$15,ROW($X43)-ROW($X$15),1):OFFSET(CÁLCULO!$AL$15,ROW($X43)-ROW($X$15),-1))),IF($C43=0,0,ROUND(SomaAgrup,15-13*$AF$11)))</f>
        <v>0</v>
      </c>
      <c r="Y43" s="155" t="s">
        <v>245</v>
      </c>
      <c r="Z43" t="str">
        <f t="shared" ca="1" si="60"/>
        <v/>
      </c>
      <c r="AA43" s="156">
        <f ca="1">IF($C43="S",IF($Z43="CP",$X43,IF($Z43="RA",(($X43)*QCI!$AA$3),0)),SomaAgrup)</f>
        <v>0</v>
      </c>
      <c r="AB43" s="157">
        <f t="shared" ca="1" si="3"/>
        <v>0</v>
      </c>
      <c r="AC43" s="158" t="str">
        <f ca="1">IF($N43="","",IF(ORÇAMENTO.Descricao="","DESCRIÇÃO",IF(AND($C43="S",ORÇAMENTO.Unidade=""),"UNIDADE",IF($X43&lt;0,"VALOR NEGATIVO",IF(OR(AND(TIPOORCAMENTO="Proposto",$AG43&lt;&gt;"",$AG43&gt;0,ORÇAMENTO.CustoUnitario&gt;$AG43),AND(TIPOORCAMENTO="LICITADO",ORÇAMENTO.PrecoUnitarioLicitado&gt;$AN43)),"ACIMA REF.","")))))</f>
        <v/>
      </c>
      <c r="AD43" s="668" t="str">
        <f ca="1">IF(C43&lt;=CRONO.NivelExibicao,MAX($AD$15:OFFSET(AD43,-1,0))+IF($C43&lt;&gt;1,1,MAX(1,COUNTIF(QCI!$A$13:$A$24,OFFSET($E43,-1,0)))),"")</f>
        <v/>
      </c>
      <c r="AE43" s="114" t="str">
        <f ca="1">IF(AND($C43="S",ORÇAMENTO.CodBarra&lt;&gt;""),IF(ORÇAMENTO.Fonte="",ORÇAMENTO.CodBarra,CONCATENATE(ORÇAMENTO.Fonte," ",ORÇAMENTO.CodBarra)))</f>
        <v>SINAPI 96527</v>
      </c>
      <c r="AF43" s="159">
        <f ca="1">IF(ISERROR(INDIRECT(ORÇAMENTO.BancoRef)),"(abra o arquivo 'Referência "&amp;Excel_BuiltIn_Database&amp;".xlsm)",IF(OR($C43&lt;&gt;"S",ORÇAMENTO.CodBarra=""),"(Sem Código)",IF(ISERROR(MATCH($AE43,INDIRECT(ORÇAMENTO.BancoRef),0)),"(Código não identificado nas referências)",MATCH($AE43,INDIRECT(ORÇAMENTO.BancoRef),0))))</f>
        <v>10528</v>
      </c>
      <c r="AG43" s="578">
        <f ca="1">ROUND(IF(DESONERACAO="sim",REFERENCIA.Desonerado,REFERENCIA.NaoDesonerado),2)</f>
        <v>105.89</v>
      </c>
      <c r="AH43" s="579">
        <f t="shared" ca="1" si="4"/>
        <v>0.2034</v>
      </c>
      <c r="AJ43" s="581">
        <f>167*0.5</f>
        <v>83.5</v>
      </c>
      <c r="AL43" s="611"/>
      <c r="AM43" s="430">
        <f t="shared" ca="1" si="0"/>
        <v>0</v>
      </c>
      <c r="AN43" s="654">
        <f t="shared" ca="1" si="5"/>
        <v>0</v>
      </c>
    </row>
    <row r="44" spans="1:40" ht="25.5" x14ac:dyDescent="0.2">
      <c r="A44" t="str">
        <f t="shared" si="1"/>
        <v>S</v>
      </c>
      <c r="B44">
        <f t="shared" ca="1" si="50"/>
        <v>2</v>
      </c>
      <c r="C44" t="str">
        <f t="shared" ca="1" si="51"/>
        <v>S</v>
      </c>
      <c r="D44">
        <f t="shared" ca="1" si="52"/>
        <v>0</v>
      </c>
      <c r="E44">
        <f ca="1">IF($C44=1,OFFSET(E44,-1,0)+MAX(1,COUNTIF(QCI!$A$13:$A$24,OFFSET(ORÇAMENTO!E44,-1,0))),OFFSET(E44,-1,0))</f>
        <v>1</v>
      </c>
      <c r="F44">
        <f t="shared" ca="1" si="53"/>
        <v>5</v>
      </c>
      <c r="G44">
        <f t="shared" ca="1" si="54"/>
        <v>0</v>
      </c>
      <c r="H44">
        <f t="shared" ca="1" si="55"/>
        <v>0</v>
      </c>
      <c r="I44">
        <f t="shared" ca="1" si="56"/>
        <v>0</v>
      </c>
      <c r="J44">
        <f t="shared" ca="1" si="2"/>
        <v>0</v>
      </c>
      <c r="K44">
        <f ca="1">IF(OR($C44="S",$C44=0),0,MATCH(OFFSET($D44,0,$C44)+IF($C44&lt;&gt;1,1,COUNTIF(QCI!$A$13:$A$24,ORÇAMENTO!E44)),OFFSET($D44,1,$C44,ROW($C$192)-ROW($C44)),0))</f>
        <v>0</v>
      </c>
      <c r="L44" s="143" t="str">
        <f t="shared" ca="1" si="57"/>
        <v/>
      </c>
      <c r="M44" s="144" t="s">
        <v>199</v>
      </c>
      <c r="N44" s="145" t="str">
        <f t="shared" ca="1" si="58"/>
        <v>Serviço</v>
      </c>
      <c r="O44" s="146" t="str">
        <f t="shared" ca="1" si="59"/>
        <v>-</v>
      </c>
      <c r="P44" s="147" t="s">
        <v>247</v>
      </c>
      <c r="Q44" s="148" t="s">
        <v>471</v>
      </c>
      <c r="R44" s="149" t="s">
        <v>645</v>
      </c>
      <c r="S44" s="150" t="s">
        <v>780</v>
      </c>
      <c r="T44" s="151">
        <f ca="1">OFFSET(CÁLCULO!H$15,ROW($T44)-ROW(T$15),0)</f>
        <v>83.5</v>
      </c>
      <c r="U44" s="152"/>
      <c r="V44" s="153" t="s">
        <v>156</v>
      </c>
      <c r="W44" s="151">
        <f ca="1">IF($C44="S",ROUND(IF(TIPOORCAMENTO="Proposto",ORÇAMENTO.CustoUnitario*(1+$AH44),ORÇAMENTO.PrecoUnitarioLicitado),15-13*$AF$10),0)</f>
        <v>0</v>
      </c>
      <c r="X44" s="154">
        <f ca="1">IF($C44="S",IF(Import.TipoArredondamento&lt;&gt;"TransfereGOV",VTOTAL1,SUM(OFFSET(CÁLCULO!$AA$15,ROW($X44)-ROW($X$15),1):OFFSET(CÁLCULO!$AL$15,ROW($X44)-ROW($X$15),-1))),IF($C44=0,0,ROUND(SomaAgrup,15-13*$AF$11)))</f>
        <v>0</v>
      </c>
      <c r="Y44" s="155" t="s">
        <v>245</v>
      </c>
      <c r="Z44" t="str">
        <f t="shared" ca="1" si="60"/>
        <v/>
      </c>
      <c r="AA44" s="156">
        <f ca="1">IF($C44="S",IF($Z44="CP",$X44,IF($Z44="RA",(($X44)*QCI!$AA$3),0)),SomaAgrup)</f>
        <v>0</v>
      </c>
      <c r="AB44" s="157">
        <f t="shared" ca="1" si="3"/>
        <v>0</v>
      </c>
      <c r="AC44" s="158" t="str">
        <f ca="1">IF($N44="","",IF(ORÇAMENTO.Descricao="","DESCRIÇÃO",IF(AND($C44="S",ORÇAMENTO.Unidade=""),"UNIDADE",IF($X44&lt;0,"VALOR NEGATIVO",IF(OR(AND(TIPOORCAMENTO="Proposto",$AG44&lt;&gt;"",$AG44&gt;0,ORÇAMENTO.CustoUnitario&gt;$AG44),AND(TIPOORCAMENTO="LICITADO",ORÇAMENTO.PrecoUnitarioLicitado&gt;$AN44)),"ACIMA REF.","")))))</f>
        <v/>
      </c>
      <c r="AD44" s="668" t="str">
        <f ca="1">IF(C44&lt;=CRONO.NivelExibicao,MAX($AD$15:OFFSET(AD44,-1,0))+IF($C44&lt;&gt;1,1,MAX(1,COUNTIF(QCI!$A$13:$A$24,OFFSET($E44,-1,0)))),"")</f>
        <v/>
      </c>
      <c r="AE44" s="114" t="str">
        <f ca="1">IF(AND($C44="S",ORÇAMENTO.CodBarra&lt;&gt;""),IF(ORÇAMENTO.Fonte="",ORÇAMENTO.CodBarra,CONCATENATE(ORÇAMENTO.Fonte," ",ORÇAMENTO.CodBarra)))</f>
        <v>SINAPI 93382</v>
      </c>
      <c r="AF44" s="159">
        <f ca="1">IF(ISERROR(INDIRECT(ORÇAMENTO.BancoRef)),"(abra o arquivo 'Referência "&amp;Excel_BuiltIn_Database&amp;".xlsm)",IF(OR($C44&lt;&gt;"S",ORÇAMENTO.CodBarra=""),"(Sem Código)",IF(ISERROR(MATCH($AE44,INDIRECT(ORÇAMENTO.BancoRef),0)),"(Código não identificado nas referências)",MATCH($AE44,INDIRECT(ORÇAMENTO.BancoRef),0))))</f>
        <v>10742</v>
      </c>
      <c r="AG44" s="578">
        <f ca="1">ROUND(IF(DESONERACAO="sim",REFERENCIA.Desonerado,REFERENCIA.NaoDesonerado),2)</f>
        <v>28.84</v>
      </c>
      <c r="AH44" s="579">
        <f t="shared" ca="1" si="4"/>
        <v>0.2034</v>
      </c>
      <c r="AJ44" s="581">
        <f>167*0.5</f>
        <v>83.5</v>
      </c>
      <c r="AL44" s="611"/>
      <c r="AM44" s="430">
        <f t="shared" ca="1" si="0"/>
        <v>0</v>
      </c>
      <c r="AN44" s="654">
        <f t="shared" ca="1" si="5"/>
        <v>0</v>
      </c>
    </row>
    <row r="45" spans="1:40" x14ac:dyDescent="0.2">
      <c r="A45">
        <f t="shared" si="1"/>
        <v>2</v>
      </c>
      <c r="B45">
        <f t="shared" ca="1" si="50"/>
        <v>2</v>
      </c>
      <c r="C45">
        <f t="shared" ca="1" si="51"/>
        <v>2</v>
      </c>
      <c r="D45">
        <f t="shared" ca="1" si="52"/>
        <v>6</v>
      </c>
      <c r="E45">
        <f ca="1">IF($C45=1,OFFSET(E45,-1,0)+MAX(1,COUNTIF(QCI!$A$13:$A$24,OFFSET(ORÇAMENTO!E45,-1,0))),OFFSET(E45,-1,0))</f>
        <v>1</v>
      </c>
      <c r="F45">
        <f t="shared" ca="1" si="53"/>
        <v>6</v>
      </c>
      <c r="G45">
        <f t="shared" ca="1" si="54"/>
        <v>0</v>
      </c>
      <c r="H45">
        <f t="shared" ca="1" si="55"/>
        <v>0</v>
      </c>
      <c r="I45">
        <f t="shared" ca="1" si="56"/>
        <v>0</v>
      </c>
      <c r="J45">
        <f t="shared" ca="1" si="2"/>
        <v>147</v>
      </c>
      <c r="K45">
        <f ca="1">IF(OR($C45="S",$C45=0),0,MATCH(OFFSET($D45,0,$C45)+IF($C45&lt;&gt;1,1,COUNTIF(QCI!$A$13:$A$24,ORÇAMENTO!E45)),OFFSET($D45,1,$C45,ROW($C$192)-ROW($C45)),0))</f>
        <v>6</v>
      </c>
      <c r="L45" s="143" t="str">
        <f t="shared" ca="1" si="57"/>
        <v>F</v>
      </c>
      <c r="M45" s="144" t="s">
        <v>196</v>
      </c>
      <c r="N45" s="145" t="str">
        <f t="shared" ca="1" si="58"/>
        <v>Nível 2</v>
      </c>
      <c r="O45" s="146" t="str">
        <f t="shared" ca="1" si="59"/>
        <v>1.6.</v>
      </c>
      <c r="P45" s="147" t="s">
        <v>247</v>
      </c>
      <c r="Q45" s="148"/>
      <c r="R45" s="149" t="s">
        <v>490</v>
      </c>
      <c r="S45" s="150" t="s">
        <v>166</v>
      </c>
      <c r="T45" s="151">
        <f ca="1">OFFSET(CÁLCULO!H$15,ROW($T45)-ROW(T$15),0)</f>
        <v>0</v>
      </c>
      <c r="U45" s="152"/>
      <c r="V45" s="153" t="s">
        <v>156</v>
      </c>
      <c r="W45" s="151">
        <f ca="1">IF($C45="S",ROUND(IF(TIPOORCAMENTO="Proposto",ORÇAMENTO.CustoUnitario*(1+$AH45),ORÇAMENTO.PrecoUnitarioLicitado),15-13*$AF$10),0)</f>
        <v>0</v>
      </c>
      <c r="X45" s="154">
        <f ca="1">IF($C45="S",IF(Import.TipoArredondamento&lt;&gt;"TransfereGOV",VTOTAL1,SUM(OFFSET(CÁLCULO!$AA$15,ROW($X45)-ROW($X$15),1):OFFSET(CÁLCULO!$AL$15,ROW($X45)-ROW($X$15),-1))),IF($C45=0,0,ROUND(SomaAgrup,15-13*$AF$11)))</f>
        <v>0</v>
      </c>
      <c r="Y45" s="155" t="s">
        <v>245</v>
      </c>
      <c r="Z45" t="str">
        <f t="shared" ca="1" si="60"/>
        <v/>
      </c>
      <c r="AA45" s="156">
        <f ca="1">IF($C45="S",IF($Z45="CP",$X45,IF($Z45="RA",(($X45)*QCI!$AA$3),0)),SomaAgrup)</f>
        <v>0</v>
      </c>
      <c r="AB45" s="157">
        <f t="shared" ca="1" si="3"/>
        <v>0</v>
      </c>
      <c r="AC45" s="158" t="str">
        <f ca="1">IF($N45="","",IF(ORÇAMENTO.Descricao="","DESCRIÇÃO",IF(AND($C45="S",ORÇAMENTO.Unidade=""),"UNIDADE",IF($X45&lt;0,"VALOR NEGATIVO",IF(OR(AND(TIPOORCAMENTO="Proposto",$AG45&lt;&gt;"",$AG45&gt;0,ORÇAMENTO.CustoUnitario&gt;$AG45),AND(TIPOORCAMENTO="LICITADO",ORÇAMENTO.PrecoUnitarioLicitado&gt;$AN45)),"ACIMA REF.","")))))</f>
        <v/>
      </c>
      <c r="AD45" s="668">
        <f ca="1">IF(C45&lt;=CRONO.NivelExibicao,MAX($AD$15:OFFSET(AD45,-1,0))+IF($C45&lt;&gt;1,1,MAX(1,COUNTIF(QCI!$A$13:$A$24,OFFSET($E45,-1,0)))),"")</f>
        <v>7</v>
      </c>
      <c r="AE45" s="114" t="b">
        <f ca="1">IF(AND($C45="S",ORÇAMENTO.CodBarra&lt;&gt;""),IF(ORÇAMENTO.Fonte="",ORÇAMENTO.CodBarra,CONCATENATE(ORÇAMENTO.Fonte," ",ORÇAMENTO.CodBarra)))</f>
        <v>0</v>
      </c>
      <c r="AF45" s="159" t="str">
        <f ca="1">IF(ISERROR(INDIRECT(ORÇAMENTO.BancoRef)),"(abra o arquivo 'Referência "&amp;Excel_BuiltIn_Database&amp;".xlsm)",IF(OR($C45&lt;&gt;"S",ORÇAMENTO.CodBarra=""),"(Sem Código)",IF(ISERROR(MATCH($AE45,INDIRECT(ORÇAMENTO.BancoRef),0)),"(Código não identificado nas referências)",MATCH($AE45,INDIRECT(ORÇAMENTO.BancoRef),0))))</f>
        <v>(Sem Código)</v>
      </c>
      <c r="AG45" s="578">
        <f ca="1">ROUND(IF(DESONERACAO="sim",REFERENCIA.Desonerado,REFERENCIA.NaoDesonerado),2)</f>
        <v>0</v>
      </c>
      <c r="AH45" s="579">
        <f t="shared" ca="1" si="4"/>
        <v>0.2034</v>
      </c>
      <c r="AJ45" s="581"/>
      <c r="AL45" s="611"/>
      <c r="AM45" s="430">
        <f t="shared" ca="1" si="0"/>
        <v>0</v>
      </c>
      <c r="AN45" s="654">
        <f t="shared" ca="1" si="5"/>
        <v>0</v>
      </c>
    </row>
    <row r="46" spans="1:40" ht="51" x14ac:dyDescent="0.2">
      <c r="A46" t="str">
        <f t="shared" si="1"/>
        <v>S</v>
      </c>
      <c r="B46">
        <f t="shared" ca="1" si="50"/>
        <v>2</v>
      </c>
      <c r="C46" t="str">
        <f t="shared" ca="1" si="51"/>
        <v>S</v>
      </c>
      <c r="D46">
        <f t="shared" ca="1" si="52"/>
        <v>0</v>
      </c>
      <c r="E46">
        <f ca="1">IF($C46=1,OFFSET(E46,-1,0)+MAX(1,COUNTIF(QCI!$A$13:$A$24,OFFSET(ORÇAMENTO!E46,-1,0))),OFFSET(E46,-1,0))</f>
        <v>1</v>
      </c>
      <c r="F46">
        <f t="shared" ca="1" si="53"/>
        <v>6</v>
      </c>
      <c r="G46">
        <f t="shared" ca="1" si="54"/>
        <v>0</v>
      </c>
      <c r="H46">
        <f t="shared" ca="1" si="55"/>
        <v>0</v>
      </c>
      <c r="I46">
        <f t="shared" ca="1" si="56"/>
        <v>0</v>
      </c>
      <c r="J46">
        <f t="shared" ca="1" si="2"/>
        <v>0</v>
      </c>
      <c r="K46">
        <f ca="1">IF(OR($C46="S",$C46=0),0,MATCH(OFFSET($D46,0,$C46)+IF($C46&lt;&gt;1,1,COUNTIF(QCI!$A$13:$A$24,ORÇAMENTO!E46)),OFFSET($D46,1,$C46,ROW($C$192)-ROW($C46)),0))</f>
        <v>0</v>
      </c>
      <c r="L46" s="143" t="str">
        <f t="shared" ca="1" si="57"/>
        <v/>
      </c>
      <c r="M46" s="144" t="s">
        <v>199</v>
      </c>
      <c r="N46" s="145" t="str">
        <f t="shared" ca="1" si="58"/>
        <v>Serviço</v>
      </c>
      <c r="O46" s="146" t="str">
        <f t="shared" ca="1" si="59"/>
        <v>-</v>
      </c>
      <c r="P46" s="147" t="s">
        <v>247</v>
      </c>
      <c r="Q46" s="148" t="s">
        <v>509</v>
      </c>
      <c r="R46" s="149" t="s">
        <v>655</v>
      </c>
      <c r="S46" s="150" t="s">
        <v>777</v>
      </c>
      <c r="T46" s="151">
        <f ca="1">OFFSET(CÁLCULO!H$15,ROW($T46)-ROW(T$15),0)</f>
        <v>487</v>
      </c>
      <c r="U46" s="152"/>
      <c r="V46" s="153" t="s">
        <v>156</v>
      </c>
      <c r="W46" s="151">
        <f ca="1">IF($C46="S",ROUND(IF(TIPOORCAMENTO="Proposto",ORÇAMENTO.CustoUnitario*(1+$AH46),ORÇAMENTO.PrecoUnitarioLicitado),15-13*$AF$10),0)</f>
        <v>0</v>
      </c>
      <c r="X46" s="154">
        <f ca="1">IF($C46="S",IF(Import.TipoArredondamento&lt;&gt;"TransfereGOV",VTOTAL1,SUM(OFFSET(CÁLCULO!$AA$15,ROW($X46)-ROW($X$15),1):OFFSET(CÁLCULO!$AL$15,ROW($X46)-ROW($X$15),-1))),IF($C46=0,0,ROUND(SomaAgrup,15-13*$AF$11)))</f>
        <v>0</v>
      </c>
      <c r="Y46" s="155" t="s">
        <v>245</v>
      </c>
      <c r="Z46" t="str">
        <f t="shared" ca="1" si="60"/>
        <v/>
      </c>
      <c r="AA46" s="156">
        <f ca="1">IF($C46="S",IF($Z46="CP",$X46,IF($Z46="RA",(($X46)*QCI!$AA$3),0)),SomaAgrup)</f>
        <v>0</v>
      </c>
      <c r="AB46" s="157">
        <f t="shared" ca="1" si="3"/>
        <v>0</v>
      </c>
      <c r="AC46" s="158" t="str">
        <f ca="1">IF($N46="","",IF(ORÇAMENTO.Descricao="","DESCRIÇÃO",IF(AND($C46="S",ORÇAMENTO.Unidade=""),"UNIDADE",IF($X46&lt;0,"VALOR NEGATIVO",IF(OR(AND(TIPOORCAMENTO="Proposto",$AG46&lt;&gt;"",$AG46&gt;0,ORÇAMENTO.CustoUnitario&gt;$AG46),AND(TIPOORCAMENTO="LICITADO",ORÇAMENTO.PrecoUnitarioLicitado&gt;$AN46)),"ACIMA REF.","")))))</f>
        <v/>
      </c>
      <c r="AD46" s="668" t="str">
        <f ca="1">IF(C46&lt;=CRONO.NivelExibicao,MAX($AD$15:OFFSET(AD46,-1,0))+IF($C46&lt;&gt;1,1,MAX(1,COUNTIF(QCI!$A$13:$A$24,OFFSET($E46,-1,0)))),"")</f>
        <v/>
      </c>
      <c r="AE46" s="114" t="str">
        <f ca="1">IF(AND($C46="S",ORÇAMENTO.CodBarra&lt;&gt;""),IF(ORÇAMENTO.Fonte="",ORÇAMENTO.CodBarra,CONCATENATE(ORÇAMENTO.Fonte," ",ORÇAMENTO.CodBarra)))</f>
        <v>SINAPI 92443</v>
      </c>
      <c r="AF46" s="159">
        <f ca="1">IF(ISERROR(INDIRECT(ORÇAMENTO.BancoRef)),"(abra o arquivo 'Referência "&amp;Excel_BuiltIn_Database&amp;".xlsm)",IF(OR($C46&lt;&gt;"S",ORÇAMENTO.CodBarra=""),"(Sem Código)",IF(ISERROR(MATCH($AE46,INDIRECT(ORÇAMENTO.BancoRef),0)),"(Código não identificado nas referências)",MATCH($AE46,INDIRECT(ORÇAMENTO.BancoRef),0))))</f>
        <v>7231</v>
      </c>
      <c r="AG46" s="578">
        <f ca="1">ROUND(IF(DESONERACAO="sim",REFERENCIA.Desonerado,REFERENCIA.NaoDesonerado),2)</f>
        <v>57.56</v>
      </c>
      <c r="AH46" s="579">
        <f t="shared" ca="1" si="4"/>
        <v>0.2034</v>
      </c>
      <c r="AJ46" s="675">
        <v>487</v>
      </c>
      <c r="AL46" s="611"/>
      <c r="AM46" s="430">
        <f t="shared" ca="1" si="0"/>
        <v>0</v>
      </c>
      <c r="AN46" s="654">
        <f t="shared" ca="1" si="5"/>
        <v>0</v>
      </c>
    </row>
    <row r="47" spans="1:40" ht="25.5" x14ac:dyDescent="0.2">
      <c r="A47" t="str">
        <f t="shared" si="1"/>
        <v>S</v>
      </c>
      <c r="B47">
        <f t="shared" ca="1" si="50"/>
        <v>2</v>
      </c>
      <c r="C47" t="str">
        <f t="shared" ca="1" si="51"/>
        <v>S</v>
      </c>
      <c r="D47">
        <f t="shared" ca="1" si="52"/>
        <v>0</v>
      </c>
      <c r="E47">
        <f ca="1">IF($C47=1,OFFSET(E47,-1,0)+MAX(1,COUNTIF(QCI!$A$13:$A$24,OFFSET(ORÇAMENTO!E47,-1,0))),OFFSET(E47,-1,0))</f>
        <v>1</v>
      </c>
      <c r="F47">
        <f t="shared" ca="1" si="53"/>
        <v>6</v>
      </c>
      <c r="G47">
        <f t="shared" ca="1" si="54"/>
        <v>0</v>
      </c>
      <c r="H47">
        <f t="shared" ca="1" si="55"/>
        <v>0</v>
      </c>
      <c r="I47">
        <f t="shared" ca="1" si="56"/>
        <v>0</v>
      </c>
      <c r="J47">
        <f t="shared" ca="1" si="2"/>
        <v>0</v>
      </c>
      <c r="K47">
        <f ca="1">IF(OR($C47="S",$C47=0),0,MATCH(OFFSET($D47,0,$C47)+IF($C47&lt;&gt;1,1,COUNTIF(QCI!$A$13:$A$24,ORÇAMENTO!E47)),OFFSET($D47,1,$C47,ROW($C$192)-ROW($C47)),0))</f>
        <v>0</v>
      </c>
      <c r="L47" s="143" t="str">
        <f t="shared" ca="1" si="57"/>
        <v/>
      </c>
      <c r="M47" s="144" t="s">
        <v>199</v>
      </c>
      <c r="N47" s="145" t="str">
        <f t="shared" ca="1" si="58"/>
        <v>Serviço</v>
      </c>
      <c r="O47" s="146" t="str">
        <f t="shared" ca="1" si="59"/>
        <v>-</v>
      </c>
      <c r="P47" s="147" t="s">
        <v>247</v>
      </c>
      <c r="Q47" s="148" t="s">
        <v>473</v>
      </c>
      <c r="R47" s="149" t="s">
        <v>656</v>
      </c>
      <c r="S47" s="150" t="s">
        <v>780</v>
      </c>
      <c r="T47" s="151">
        <f ca="1">OFFSET(CÁLCULO!H$15,ROW($T47)-ROW(T$15),0)</f>
        <v>34.700000000000003</v>
      </c>
      <c r="U47" s="152"/>
      <c r="V47" s="153" t="s">
        <v>156</v>
      </c>
      <c r="W47" s="151">
        <f ca="1">IF($C47="S",ROUND(IF(TIPOORCAMENTO="Proposto",ORÇAMENTO.CustoUnitario*(1+$AH47),ORÇAMENTO.PrecoUnitarioLicitado),15-13*$AF$10),0)</f>
        <v>0</v>
      </c>
      <c r="X47" s="154">
        <f ca="1">IF($C47="S",IF(Import.TipoArredondamento&lt;&gt;"TransfereGOV",VTOTAL1,SUM(OFFSET(CÁLCULO!$AA$15,ROW($X47)-ROW($X$15),1):OFFSET(CÁLCULO!$AL$15,ROW($X47)-ROW($X$15),-1))),IF($C47=0,0,ROUND(SomaAgrup,15-13*$AF$11)))</f>
        <v>0</v>
      </c>
      <c r="Y47" s="155" t="s">
        <v>245</v>
      </c>
      <c r="Z47" t="str">
        <f t="shared" ca="1" si="60"/>
        <v/>
      </c>
      <c r="AA47" s="156">
        <f ca="1">IF($C47="S",IF($Z47="CP",$X47,IF($Z47="RA",(($X47)*QCI!$AA$3),0)),SomaAgrup)</f>
        <v>0</v>
      </c>
      <c r="AB47" s="157">
        <f t="shared" ca="1" si="3"/>
        <v>0</v>
      </c>
      <c r="AC47" s="158" t="str">
        <f ca="1">IF($N47="","",IF(ORÇAMENTO.Descricao="","DESCRIÇÃO",IF(AND($C47="S",ORÇAMENTO.Unidade=""),"UNIDADE",IF($X47&lt;0,"VALOR NEGATIVO",IF(OR(AND(TIPOORCAMENTO="Proposto",$AG47&lt;&gt;"",$AG47&gt;0,ORÇAMENTO.CustoUnitario&gt;$AG47),AND(TIPOORCAMENTO="LICITADO",ORÇAMENTO.PrecoUnitarioLicitado&gt;$AN47)),"ACIMA REF.","")))))</f>
        <v/>
      </c>
      <c r="AD47" s="668" t="str">
        <f ca="1">IF(C47&lt;=CRONO.NivelExibicao,MAX($AD$15:OFFSET(AD47,-1,0))+IF($C47&lt;&gt;1,1,MAX(1,COUNTIF(QCI!$A$13:$A$24,OFFSET($E47,-1,0)))),"")</f>
        <v/>
      </c>
      <c r="AE47" s="114" t="str">
        <f ca="1">IF(AND($C47="S",ORÇAMENTO.CodBarra&lt;&gt;""),IF(ORÇAMENTO.Fonte="",ORÇAMENTO.CodBarra,CONCATENATE(ORÇAMENTO.Fonte," ",ORÇAMENTO.CodBarra)))</f>
        <v>SINAPI 103672</v>
      </c>
      <c r="AF47" s="159">
        <f ca="1">IF(ISERROR(INDIRECT(ORÇAMENTO.BancoRef)),"(abra o arquivo 'Referência "&amp;Excel_BuiltIn_Database&amp;".xlsm)",IF(OR($C47&lt;&gt;"S",ORÇAMENTO.CodBarra=""),"(Sem Código)",IF(ISERROR(MATCH($AE47,INDIRECT(ORÇAMENTO.BancoRef),0)),"(Código não identificado nas referências)",MATCH($AE47,INDIRECT(ORÇAMENTO.BancoRef),0))))</f>
        <v>7583</v>
      </c>
      <c r="AG47" s="578">
        <f ca="1">ROUND(IF(DESONERACAO="sim",REFERENCIA.Desonerado,REFERENCIA.NaoDesonerado),2)</f>
        <v>666.43</v>
      </c>
      <c r="AH47" s="579">
        <f t="shared" ca="1" si="4"/>
        <v>0.2034</v>
      </c>
      <c r="AJ47" s="581">
        <v>34.700000000000003</v>
      </c>
      <c r="AL47" s="611"/>
      <c r="AM47" s="430">
        <f t="shared" ca="1" si="0"/>
        <v>0</v>
      </c>
      <c r="AN47" s="654">
        <f t="shared" ca="1" si="5"/>
        <v>0</v>
      </c>
    </row>
    <row r="48" spans="1:40" ht="38.25" x14ac:dyDescent="0.2">
      <c r="A48" t="str">
        <f t="shared" si="1"/>
        <v>S</v>
      </c>
      <c r="B48">
        <f t="shared" ca="1" si="50"/>
        <v>2</v>
      </c>
      <c r="C48" t="str">
        <f t="shared" ca="1" si="51"/>
        <v>S</v>
      </c>
      <c r="D48">
        <f t="shared" ca="1" si="52"/>
        <v>0</v>
      </c>
      <c r="E48">
        <f ca="1">IF($C48=1,OFFSET(E48,-1,0)+MAX(1,COUNTIF(QCI!$A$13:$A$24,OFFSET(ORÇAMENTO!E48,-1,0))),OFFSET(E48,-1,0))</f>
        <v>1</v>
      </c>
      <c r="F48">
        <f t="shared" ca="1" si="53"/>
        <v>6</v>
      </c>
      <c r="G48">
        <f t="shared" ca="1" si="54"/>
        <v>0</v>
      </c>
      <c r="H48">
        <f t="shared" ca="1" si="55"/>
        <v>0</v>
      </c>
      <c r="I48">
        <f t="shared" ca="1" si="56"/>
        <v>0</v>
      </c>
      <c r="J48">
        <f t="shared" ref="J48:J79" ca="1" si="61">IF(OR($C48="S",$C48=0),0,MATCH(0,OFFSET($D48,1,$C48,ROW($C$192)-ROW($C48)),0))</f>
        <v>0</v>
      </c>
      <c r="K48">
        <f ca="1">IF(OR($C48="S",$C48=0),0,MATCH(OFFSET($D48,0,$C48)+IF($C48&lt;&gt;1,1,COUNTIF(QCI!$A$13:$A$24,ORÇAMENTO!E48)),OFFSET($D48,1,$C48,ROW($C$192)-ROW($C48)),0))</f>
        <v>0</v>
      </c>
      <c r="L48" s="143" t="str">
        <f t="shared" ca="1" si="57"/>
        <v/>
      </c>
      <c r="M48" s="144" t="s">
        <v>199</v>
      </c>
      <c r="N48" s="145" t="str">
        <f t="shared" ca="1" si="58"/>
        <v>Serviço</v>
      </c>
      <c r="O48" s="146" t="str">
        <f t="shared" ca="1" si="59"/>
        <v>-</v>
      </c>
      <c r="P48" s="147" t="s">
        <v>247</v>
      </c>
      <c r="Q48" s="148" t="s">
        <v>474</v>
      </c>
      <c r="R48" s="149" t="s">
        <v>657</v>
      </c>
      <c r="S48" s="150" t="s">
        <v>781</v>
      </c>
      <c r="T48" s="151">
        <f ca="1">OFFSET(CÁLCULO!H$15,ROW($T48)-ROW(T$15),0)</f>
        <v>1343</v>
      </c>
      <c r="U48" s="152"/>
      <c r="V48" s="153" t="s">
        <v>156</v>
      </c>
      <c r="W48" s="151">
        <f ca="1">IF($C48="S",ROUND(IF(TIPOORCAMENTO="Proposto",ORÇAMENTO.CustoUnitario*(1+$AH48),ORÇAMENTO.PrecoUnitarioLicitado),15-13*$AF$10),0)</f>
        <v>0</v>
      </c>
      <c r="X48" s="154">
        <f ca="1">IF($C48="S",IF(Import.TipoArredondamento&lt;&gt;"TransfereGOV",VTOTAL1,SUM(OFFSET(CÁLCULO!$AA$15,ROW($X48)-ROW($X$15),1):OFFSET(CÁLCULO!$AL$15,ROW($X48)-ROW($X$15),-1))),IF($C48=0,0,ROUND(SomaAgrup,15-13*$AF$11)))</f>
        <v>0</v>
      </c>
      <c r="Y48" s="155" t="s">
        <v>245</v>
      </c>
      <c r="Z48" t="str">
        <f t="shared" ca="1" si="60"/>
        <v/>
      </c>
      <c r="AA48" s="156">
        <f ca="1">IF($C48="S",IF($Z48="CP",$X48,IF($Z48="RA",(($X48)*QCI!$AA$3),0)),SomaAgrup)</f>
        <v>0</v>
      </c>
      <c r="AB48" s="157">
        <f t="shared" ca="1" si="3"/>
        <v>0</v>
      </c>
      <c r="AC48" s="158" t="str">
        <f ca="1">IF($N48="","",IF(ORÇAMENTO.Descricao="","DESCRIÇÃO",IF(AND($C48="S",ORÇAMENTO.Unidade=""),"UNIDADE",IF($X48&lt;0,"VALOR NEGATIVO",IF(OR(AND(TIPOORCAMENTO="Proposto",$AG48&lt;&gt;"",$AG48&gt;0,ORÇAMENTO.CustoUnitario&gt;$AG48),AND(TIPOORCAMENTO="LICITADO",ORÇAMENTO.PrecoUnitarioLicitado&gt;$AN48)),"ACIMA REF.","")))))</f>
        <v/>
      </c>
      <c r="AD48" s="668" t="str">
        <f ca="1">IF(C48&lt;=CRONO.NivelExibicao,MAX($AD$15:OFFSET(AD48,-1,0))+IF($C48&lt;&gt;1,1,MAX(1,COUNTIF(QCI!$A$13:$A$24,OFFSET($E48,-1,0)))),"")</f>
        <v/>
      </c>
      <c r="AE48" s="114" t="str">
        <f ca="1">IF(AND($C48="S",ORÇAMENTO.CodBarra&lt;&gt;""),IF(ORÇAMENTO.Fonte="",ORÇAMENTO.CodBarra,CONCATENATE(ORÇAMENTO.Fonte," ",ORÇAMENTO.CodBarra)))</f>
        <v>SINAPI 92762</v>
      </c>
      <c r="AF48" s="159">
        <f ca="1">IF(ISERROR(INDIRECT(ORÇAMENTO.BancoRef)),"(abra o arquivo 'Referência "&amp;Excel_BuiltIn_Database&amp;".xlsm)",IF(OR($C48&lt;&gt;"S",ORÇAMENTO.CodBarra=""),"(Sem Código)",IF(ISERROR(MATCH($AE48,INDIRECT(ORÇAMENTO.BancoRef),0)),"(Código não identificado nas referências)",MATCH($AE48,INDIRECT(ORÇAMENTO.BancoRef),0))))</f>
        <v>7435</v>
      </c>
      <c r="AG48" s="578">
        <f ca="1">ROUND(IF(DESONERACAO="sim",REFERENCIA.Desonerado,REFERENCIA.NaoDesonerado),2)</f>
        <v>10.96</v>
      </c>
      <c r="AH48" s="579">
        <f t="shared" ca="1" si="4"/>
        <v>0.2034</v>
      </c>
      <c r="AJ48" s="581">
        <v>1343</v>
      </c>
      <c r="AL48" s="611"/>
      <c r="AM48" s="430">
        <f t="shared" ca="1" si="0"/>
        <v>0</v>
      </c>
      <c r="AN48" s="654">
        <f t="shared" ca="1" si="5"/>
        <v>0</v>
      </c>
    </row>
    <row r="49" spans="1:40" ht="38.25" x14ac:dyDescent="0.2">
      <c r="A49" t="str">
        <f t="shared" si="1"/>
        <v>S</v>
      </c>
      <c r="B49">
        <f t="shared" ca="1" si="50"/>
        <v>2</v>
      </c>
      <c r="C49" t="str">
        <f t="shared" ca="1" si="51"/>
        <v>S</v>
      </c>
      <c r="D49">
        <f t="shared" ca="1" si="52"/>
        <v>0</v>
      </c>
      <c r="E49">
        <f ca="1">IF($C49=1,OFFSET(E49,-1,0)+MAX(1,COUNTIF(QCI!$A$13:$A$24,OFFSET(ORÇAMENTO!E49,-1,0))),OFFSET(E49,-1,0))</f>
        <v>1</v>
      </c>
      <c r="F49">
        <f t="shared" ca="1" si="53"/>
        <v>6</v>
      </c>
      <c r="G49">
        <f t="shared" ca="1" si="54"/>
        <v>0</v>
      </c>
      <c r="H49">
        <f t="shared" ca="1" si="55"/>
        <v>0</v>
      </c>
      <c r="I49">
        <f t="shared" ca="1" si="56"/>
        <v>0</v>
      </c>
      <c r="J49">
        <f t="shared" ca="1" si="61"/>
        <v>0</v>
      </c>
      <c r="K49">
        <f ca="1">IF(OR($C49="S",$C49=0),0,MATCH(OFFSET($D49,0,$C49)+IF($C49&lt;&gt;1,1,COUNTIF(QCI!$A$13:$A$24,ORÇAMENTO!E49)),OFFSET($D49,1,$C49,ROW($C$192)-ROW($C49)),0))</f>
        <v>0</v>
      </c>
      <c r="L49" s="143" t="str">
        <f t="shared" ca="1" si="57"/>
        <v/>
      </c>
      <c r="M49" s="144" t="s">
        <v>199</v>
      </c>
      <c r="N49" s="145" t="str">
        <f t="shared" ca="1" si="58"/>
        <v>Serviço</v>
      </c>
      <c r="O49" s="146" t="str">
        <f t="shared" ca="1" si="59"/>
        <v>-</v>
      </c>
      <c r="P49" s="147" t="s">
        <v>247</v>
      </c>
      <c r="Q49" s="148" t="s">
        <v>491</v>
      </c>
      <c r="R49" s="149" t="s">
        <v>658</v>
      </c>
      <c r="S49" s="150" t="s">
        <v>781</v>
      </c>
      <c r="T49" s="151">
        <f ca="1">OFFSET(CÁLCULO!H$15,ROW($T49)-ROW(T$15),0)</f>
        <v>539.4</v>
      </c>
      <c r="U49" s="152"/>
      <c r="V49" s="153" t="s">
        <v>156</v>
      </c>
      <c r="W49" s="151">
        <f ca="1">IF($C49="S",ROUND(IF(TIPOORCAMENTO="Proposto",ORÇAMENTO.CustoUnitario*(1+$AH49),ORÇAMENTO.PrecoUnitarioLicitado),15-13*$AF$10),0)</f>
        <v>0</v>
      </c>
      <c r="X49" s="154">
        <f ca="1">IF($C49="S",IF(Import.TipoArredondamento&lt;&gt;"TransfereGOV",VTOTAL1,SUM(OFFSET(CÁLCULO!$AA$15,ROW($X49)-ROW($X$15),1):OFFSET(CÁLCULO!$AL$15,ROW($X49)-ROW($X$15),-1))),IF($C49=0,0,ROUND(SomaAgrup,15-13*$AF$11)))</f>
        <v>0</v>
      </c>
      <c r="Y49" s="155" t="s">
        <v>245</v>
      </c>
      <c r="Z49" t="str">
        <f t="shared" ca="1" si="60"/>
        <v/>
      </c>
      <c r="AA49" s="156">
        <f ca="1">IF($C49="S",IF($Z49="CP",$X49,IF($Z49="RA",(($X49)*QCI!$AA$3),0)),SomaAgrup)</f>
        <v>0</v>
      </c>
      <c r="AB49" s="157">
        <f t="shared" ca="1" si="3"/>
        <v>0</v>
      </c>
      <c r="AC49" s="158" t="str">
        <f ca="1">IF($N49="","",IF(ORÇAMENTO.Descricao="","DESCRIÇÃO",IF(AND($C49="S",ORÇAMENTO.Unidade=""),"UNIDADE",IF($X49&lt;0,"VALOR NEGATIVO",IF(OR(AND(TIPOORCAMENTO="Proposto",$AG49&lt;&gt;"",$AG49&gt;0,ORÇAMENTO.CustoUnitario&gt;$AG49),AND(TIPOORCAMENTO="LICITADO",ORÇAMENTO.PrecoUnitarioLicitado&gt;$AN49)),"ACIMA REF.","")))))</f>
        <v/>
      </c>
      <c r="AD49" s="668" t="str">
        <f ca="1">IF(C49&lt;=CRONO.NivelExibicao,MAX($AD$15:OFFSET(AD49,-1,0))+IF($C49&lt;&gt;1,1,MAX(1,COUNTIF(QCI!$A$13:$A$24,OFFSET($E49,-1,0)))),"")</f>
        <v/>
      </c>
      <c r="AE49" s="114" t="str">
        <f ca="1">IF(AND($C49="S",ORÇAMENTO.CodBarra&lt;&gt;""),IF(ORÇAMENTO.Fonte="",ORÇAMENTO.CodBarra,CONCATENATE(ORÇAMENTO.Fonte," ",ORÇAMENTO.CodBarra)))</f>
        <v>SINAPI 92763</v>
      </c>
      <c r="AF49" s="159">
        <f ca="1">IF(ISERROR(INDIRECT(ORÇAMENTO.BancoRef)),"(abra o arquivo 'Referência "&amp;Excel_BuiltIn_Database&amp;".xlsm)",IF(OR($C49&lt;&gt;"S",ORÇAMENTO.CodBarra=""),"(Sem Código)",IF(ISERROR(MATCH($AE49,INDIRECT(ORÇAMENTO.BancoRef),0)),"(Código não identificado nas referências)",MATCH($AE49,INDIRECT(ORÇAMENTO.BancoRef),0))))</f>
        <v>7436</v>
      </c>
      <c r="AG49" s="578">
        <f ca="1">ROUND(IF(DESONERACAO="sim",REFERENCIA.Desonerado,REFERENCIA.NaoDesonerado),2)</f>
        <v>9.17</v>
      </c>
      <c r="AH49" s="579">
        <f t="shared" ca="1" si="4"/>
        <v>0.2034</v>
      </c>
      <c r="AJ49" s="581">
        <v>539.4</v>
      </c>
      <c r="AL49" s="611"/>
      <c r="AM49" s="430">
        <f t="shared" ca="1" si="0"/>
        <v>0</v>
      </c>
      <c r="AN49" s="654">
        <f t="shared" ca="1" si="5"/>
        <v>0</v>
      </c>
    </row>
    <row r="50" spans="1:40" ht="38.25" x14ac:dyDescent="0.2">
      <c r="A50" t="str">
        <f>CHOOSE(1+LOG(1+2*(ORÇAMENTO.Nivel="Meta")+4*(ORÇAMENTO.Nivel="Nível 2")+8*(ORÇAMENTO.Nivel="Nível 3")+16*(ORÇAMENTO.Nivel="Nível 4")+32*(ORÇAMENTO.Nivel="Serviço"),2),0,1,2,3,4,"S")</f>
        <v>S</v>
      </c>
      <c r="B50">
        <f ca="1">IF(OR(C50="s",C50=0),OFFSET(B50,-1,0),C50)</f>
        <v>2</v>
      </c>
      <c r="C50" t="str">
        <f ca="1">IF(OFFSET(C50,-1,0)="L",1,IF(OFFSET(C50,-1,0)=1,2,IF(OR(A50="s",A50=0),"S",IF(AND(OFFSET(C50,-1,0)=2,A50=4),3,IF(AND(OR(OFFSET(C50,-1,0)="s",OFFSET(C50,-1,0)=0),A50&lt;&gt;"s",A50&gt;OFFSET(B50,-1,0)),OFFSET(B50,-1,0),A50)))))</f>
        <v>S</v>
      </c>
      <c r="D50">
        <f ca="1">IF(OR(C50="S",C50=0),0,IF(ISERROR(K50),J50,SMALL(J50:K50,1)))</f>
        <v>0</v>
      </c>
      <c r="E50">
        <f ca="1">IF($C50=1,OFFSET(E50,-1,0)+MAX(1,COUNTIF(QCI!$A$13:$A$24,OFFSET(ORÇAMENTO!E50,-1,0))),OFFSET(E50,-1,0))</f>
        <v>1</v>
      </c>
      <c r="F50">
        <f ca="1">IF($C50=1,0,IF($C50=2,OFFSET(F50,-1,0)+1,OFFSET(F50,-1,0)))</f>
        <v>6</v>
      </c>
      <c r="G50">
        <f ca="1">IF(AND($C50&lt;=2,$C50&lt;&gt;0),0,IF($C50=3,OFFSET(G50,-1,0)+1,OFFSET(G50,-1,0)))</f>
        <v>0</v>
      </c>
      <c r="H50">
        <f ca="1">IF(AND($C50&lt;=3,$C50&lt;&gt;0),0,IF($C50=4,OFFSET(H50,-1,0)+1,OFFSET(H50,-1,0)))</f>
        <v>0</v>
      </c>
      <c r="I50">
        <f ca="1">IF(AND($C50&lt;=4,$C50&lt;&gt;0),0,IF(AND($C50="S",$X50&gt;0),OFFSET(I50,-1,0)+1,OFFSET(I50,-1,0)))</f>
        <v>0</v>
      </c>
      <c r="J50">
        <f t="shared" ca="1" si="61"/>
        <v>0</v>
      </c>
      <c r="K50">
        <f ca="1">IF(OR($C50="S",$C50=0),0,MATCH(OFFSET($D50,0,$C50)+IF($C50&lt;&gt;1,1,COUNTIF(QCI!$A$13:$A$24,ORÇAMENTO!E50)),OFFSET($D50,1,$C50,ROW($C$192)-ROW($C50)),0))</f>
        <v>0</v>
      </c>
      <c r="L50" s="143" t="str">
        <f ca="1">IF(OR($X50&gt;0,$C50=1,$C50=2,$C50=3,$C50=4),"F","")</f>
        <v/>
      </c>
      <c r="M50" s="144" t="s">
        <v>199</v>
      </c>
      <c r="N50" s="145" t="str">
        <f ca="1">CHOOSE(1+LOG(1+2*(C50=1)+4*(C50=2)+8*(C50=3)+16*(C50=4)+32*(C50="S"),2),"","Meta","Nível 2","Nível 3","Nível 4","Serviço")</f>
        <v>Serviço</v>
      </c>
      <c r="O50" s="146" t="str">
        <f ca="1">IF(OR($C50=0,$L50=""),"-",CONCATENATE(E50&amp;".",IF(AND($A$5&gt;=2,$C50&gt;=2),F50&amp;".",""),IF(AND($A$5&gt;=3,$C50&gt;=3),G50&amp;".",""),IF(AND($A$5&gt;=4,$C50&gt;=4),H50&amp;".",""),IF($C50="S",I50&amp;".","")))</f>
        <v>-</v>
      </c>
      <c r="P50" s="147" t="s">
        <v>247</v>
      </c>
      <c r="Q50" s="148" t="s">
        <v>492</v>
      </c>
      <c r="R50" s="149" t="s">
        <v>659</v>
      </c>
      <c r="S50" s="150" t="s">
        <v>781</v>
      </c>
      <c r="T50" s="151">
        <f ca="1">OFFSET(CÁLCULO!H$15,ROW($T50)-ROW(T$15),0)</f>
        <v>831.5</v>
      </c>
      <c r="U50" s="152"/>
      <c r="V50" s="153" t="s">
        <v>156</v>
      </c>
      <c r="W50" s="151">
        <f ca="1">IF($C50="S",ROUND(IF(TIPOORCAMENTO="Proposto",ORÇAMENTO.CustoUnitario*(1+$AH50),ORÇAMENTO.PrecoUnitarioLicitado),15-13*$AF$10),0)</f>
        <v>0</v>
      </c>
      <c r="X50" s="154">
        <f ca="1">IF($C50="S",IF(Import.TipoArredondamento&lt;&gt;"TransfereGOV",VTOTAL1,SUM(OFFSET(CÁLCULO!$AA$15,ROW($X50)-ROW($X$15),1):OFFSET(CÁLCULO!$AL$15,ROW($X50)-ROW($X$15),-1))),IF($C50=0,0,ROUND(SomaAgrup,15-13*$AF$11)))</f>
        <v>0</v>
      </c>
      <c r="Y50" s="155" t="s">
        <v>245</v>
      </c>
      <c r="Z50" t="str">
        <f ca="1">IF(AND($C50="S",$X50&gt;0),IF(ISBLANK($Y50),"RA",LEFT($Y50,2)),"")</f>
        <v/>
      </c>
      <c r="AA50" s="156">
        <f ca="1">IF($C50="S",IF($Z50="CP",$X50,IF($Z50="RA",(($X50)*QCI!$AA$3),0)),SomaAgrup)</f>
        <v>0</v>
      </c>
      <c r="AB50" s="157">
        <f ca="1">IF($C50="S",IF($Z50="OU",ROUND($X50,2),0),SomaAgrup)</f>
        <v>0</v>
      </c>
      <c r="AC50" s="158" t="str">
        <f ca="1">IF($N50="","",IF(ORÇAMENTO.Descricao="","DESCRIÇÃO",IF(AND($C50="S",ORÇAMENTO.Unidade=""),"UNIDADE",IF($X50&lt;0,"VALOR NEGATIVO",IF(OR(AND(TIPOORCAMENTO="Proposto",$AG50&lt;&gt;"",$AG50&gt;0,ORÇAMENTO.CustoUnitario&gt;$AG50),AND(TIPOORCAMENTO="LICITADO",ORÇAMENTO.PrecoUnitarioLicitado&gt;$AN50)),"ACIMA REF.","")))))</f>
        <v/>
      </c>
      <c r="AD50" s="669" t="str">
        <f ca="1">IF(C50&lt;=CRONO.NivelExibicao,MAX($AD$15:OFFSET(AD50,-1,0))+IF($C50&lt;&gt;1,1,MAX(1,COUNTIF(QCI!$A$13:$A$24,OFFSET($E50,-1,0)))),"")</f>
        <v/>
      </c>
      <c r="AE50" s="114" t="str">
        <f ca="1">IF(AND($C50="S",ORÇAMENTO.CodBarra&lt;&gt;""),IF(ORÇAMENTO.Fonte="",ORÇAMENTO.CodBarra,CONCATENATE(ORÇAMENTO.Fonte," ",ORÇAMENTO.CodBarra)))</f>
        <v>SINAPI 92759</v>
      </c>
      <c r="AF50" s="159">
        <f ca="1">IF(ISERROR(INDIRECT(ORÇAMENTO.BancoRef)),"(abra o arquivo 'Referência "&amp;Excel_BuiltIn_Database&amp;".xlsm)",IF(OR($C50&lt;&gt;"S",ORÇAMENTO.CodBarra=""),"(Sem Código)",IF(ISERROR(MATCH($AE50,INDIRECT(ORÇAMENTO.BancoRef),0)),"(Código não identificado nas referências)",MATCH($AE50,INDIRECT(ORÇAMENTO.BancoRef),0))))</f>
        <v>7432</v>
      </c>
      <c r="AG50" s="578">
        <f ca="1">ROUND(IF(DESONERACAO="sim",REFERENCIA.Desonerado,REFERENCIA.NaoDesonerado),2)</f>
        <v>13.86</v>
      </c>
      <c r="AH50" s="579">
        <f ca="1">ROUND(IF(ISNUMBER(ORÇAMENTO.OpcaoBDI),ORÇAMENTO.OpcaoBDI,IF(LEFT(ORÇAMENTO.OpcaoBDI,3)="BDI",HLOOKUP(ORÇAMENTO.OpcaoBDI,$F$4:$H$5,2,FALSE),0)),15-11*$AF$9)</f>
        <v>0.2034</v>
      </c>
      <c r="AJ50" s="672">
        <v>831.5</v>
      </c>
      <c r="AL50" s="611"/>
      <c r="AM50" s="430">
        <f t="shared" ca="1" si="0"/>
        <v>0</v>
      </c>
      <c r="AN50" s="654">
        <f ca="1">ROUND(ORÇAMENTO.CustoUnitario*(1+$AH50),2)</f>
        <v>0</v>
      </c>
    </row>
    <row r="51" spans="1:40" x14ac:dyDescent="0.2">
      <c r="A51">
        <f t="shared" si="1"/>
        <v>2</v>
      </c>
      <c r="B51">
        <f t="shared" ca="1" si="50"/>
        <v>2</v>
      </c>
      <c r="C51">
        <f t="shared" ca="1" si="51"/>
        <v>2</v>
      </c>
      <c r="D51">
        <f t="shared" ca="1" si="52"/>
        <v>7</v>
      </c>
      <c r="E51">
        <f ca="1">IF($C51=1,OFFSET(E51,-1,0)+MAX(1,COUNTIF(QCI!$A$13:$A$24,OFFSET(ORÇAMENTO!E51,-1,0))),OFFSET(E51,-1,0))</f>
        <v>1</v>
      </c>
      <c r="F51">
        <f t="shared" ca="1" si="53"/>
        <v>7</v>
      </c>
      <c r="G51">
        <f t="shared" ca="1" si="54"/>
        <v>0</v>
      </c>
      <c r="H51">
        <f t="shared" ca="1" si="55"/>
        <v>0</v>
      </c>
      <c r="I51">
        <f t="shared" ca="1" si="56"/>
        <v>0</v>
      </c>
      <c r="J51">
        <f t="shared" ca="1" si="61"/>
        <v>141</v>
      </c>
      <c r="K51">
        <f ca="1">IF(OR($C51="S",$C51=0),0,MATCH(OFFSET($D51,0,$C51)+IF($C51&lt;&gt;1,1,COUNTIF(QCI!$A$13:$A$24,ORÇAMENTO!E51)),OFFSET($D51,1,$C51,ROW($C$192)-ROW($C51)),0))</f>
        <v>7</v>
      </c>
      <c r="L51" s="143" t="str">
        <f t="shared" ca="1" si="57"/>
        <v>F</v>
      </c>
      <c r="M51" s="144" t="s">
        <v>196</v>
      </c>
      <c r="N51" s="145" t="str">
        <f t="shared" ca="1" si="58"/>
        <v>Nível 2</v>
      </c>
      <c r="O51" s="146" t="str">
        <f t="shared" ca="1" si="59"/>
        <v>1.7.</v>
      </c>
      <c r="P51" s="147" t="s">
        <v>247</v>
      </c>
      <c r="Q51" s="148"/>
      <c r="R51" s="149" t="s">
        <v>493</v>
      </c>
      <c r="S51" s="150" t="s">
        <v>166</v>
      </c>
      <c r="T51" s="151">
        <f ca="1">OFFSET(CÁLCULO!H$15,ROW($T51)-ROW(T$15),0)</f>
        <v>0</v>
      </c>
      <c r="U51" s="152"/>
      <c r="V51" s="153" t="s">
        <v>156</v>
      </c>
      <c r="W51" s="151">
        <f ca="1">IF($C51="S",ROUND(IF(TIPOORCAMENTO="Proposto",ORÇAMENTO.CustoUnitario*(1+$AH51),ORÇAMENTO.PrecoUnitarioLicitado),15-13*$AF$10),0)</f>
        <v>0</v>
      </c>
      <c r="X51" s="154">
        <f ca="1">IF($C51="S",IF(Import.TipoArredondamento&lt;&gt;"TransfereGOV",VTOTAL1,SUM(OFFSET(CÁLCULO!$AA$15,ROW($X51)-ROW($X$15),1):OFFSET(CÁLCULO!$AL$15,ROW($X51)-ROW($X$15),-1))),IF($C51=0,0,ROUND(SomaAgrup,15-13*$AF$11)))</f>
        <v>0</v>
      </c>
      <c r="Y51" s="155" t="s">
        <v>245</v>
      </c>
      <c r="Z51" t="str">
        <f t="shared" ca="1" si="60"/>
        <v/>
      </c>
      <c r="AA51" s="156">
        <f ca="1">IF($C51="S",IF($Z51="CP",$X51,IF($Z51="RA",(($X51)*QCI!$AA$3),0)),SomaAgrup)</f>
        <v>0</v>
      </c>
      <c r="AB51" s="157">
        <f t="shared" ca="1" si="3"/>
        <v>0</v>
      </c>
      <c r="AC51" s="158" t="str">
        <f ca="1">IF($N51="","",IF(ORÇAMENTO.Descricao="","DESCRIÇÃO",IF(AND($C51="S",ORÇAMENTO.Unidade=""),"UNIDADE",IF($X51&lt;0,"VALOR NEGATIVO",IF(OR(AND(TIPOORCAMENTO="Proposto",$AG51&lt;&gt;"",$AG51&gt;0,ORÇAMENTO.CustoUnitario&gt;$AG51),AND(TIPOORCAMENTO="LICITADO",ORÇAMENTO.PrecoUnitarioLicitado&gt;$AN51)),"ACIMA REF.","")))))</f>
        <v/>
      </c>
      <c r="AD51" s="668">
        <f ca="1">IF(C51&lt;=CRONO.NivelExibicao,MAX($AD$15:OFFSET(AD51,-1,0))+IF($C51&lt;&gt;1,1,MAX(1,COUNTIF(QCI!$A$13:$A$24,OFFSET($E51,-1,0)))),"")</f>
        <v>8</v>
      </c>
      <c r="AE51" s="114" t="b">
        <f ca="1">IF(AND($C51="S",ORÇAMENTO.CodBarra&lt;&gt;""),IF(ORÇAMENTO.Fonte="",ORÇAMENTO.CodBarra,CONCATENATE(ORÇAMENTO.Fonte," ",ORÇAMENTO.CodBarra)))</f>
        <v>0</v>
      </c>
      <c r="AF51" s="159" t="str">
        <f ca="1">IF(ISERROR(INDIRECT(ORÇAMENTO.BancoRef)),"(abra o arquivo 'Referência "&amp;Excel_BuiltIn_Database&amp;".xlsm)",IF(OR($C51&lt;&gt;"S",ORÇAMENTO.CodBarra=""),"(Sem Código)",IF(ISERROR(MATCH($AE51,INDIRECT(ORÇAMENTO.BancoRef),0)),"(Código não identificado nas referências)",MATCH($AE51,INDIRECT(ORÇAMENTO.BancoRef),0))))</f>
        <v>(Sem Código)</v>
      </c>
      <c r="AG51" s="578">
        <f ca="1">ROUND(IF(DESONERACAO="sim",REFERENCIA.Desonerado,REFERENCIA.NaoDesonerado),2)</f>
        <v>0</v>
      </c>
      <c r="AH51" s="579">
        <f t="shared" ca="1" si="4"/>
        <v>0.2034</v>
      </c>
      <c r="AJ51" s="581"/>
      <c r="AL51" s="611"/>
      <c r="AM51" s="430">
        <f t="shared" ca="1" si="0"/>
        <v>0</v>
      </c>
      <c r="AN51" s="654">
        <f t="shared" ca="1" si="5"/>
        <v>0</v>
      </c>
    </row>
    <row r="52" spans="1:40" ht="38.25" x14ac:dyDescent="0.2">
      <c r="A52" t="str">
        <f t="shared" si="1"/>
        <v>S</v>
      </c>
      <c r="B52">
        <f t="shared" ca="1" si="50"/>
        <v>2</v>
      </c>
      <c r="C52" t="str">
        <f t="shared" ca="1" si="51"/>
        <v>S</v>
      </c>
      <c r="D52">
        <f t="shared" ca="1" si="52"/>
        <v>0</v>
      </c>
      <c r="E52">
        <f ca="1">IF($C52=1,OFFSET(E52,-1,0)+MAX(1,COUNTIF(QCI!$A$13:$A$24,OFFSET(ORÇAMENTO!E52,-1,0))),OFFSET(E52,-1,0))</f>
        <v>1</v>
      </c>
      <c r="F52">
        <f t="shared" ca="1" si="53"/>
        <v>7</v>
      </c>
      <c r="G52">
        <f t="shared" ca="1" si="54"/>
        <v>0</v>
      </c>
      <c r="H52">
        <f t="shared" ca="1" si="55"/>
        <v>0</v>
      </c>
      <c r="I52">
        <f t="shared" ca="1" si="56"/>
        <v>0</v>
      </c>
      <c r="J52">
        <f t="shared" ca="1" si="61"/>
        <v>0</v>
      </c>
      <c r="K52">
        <f ca="1">IF(OR($C52="S",$C52=0),0,MATCH(OFFSET($D52,0,$C52)+IF($C52&lt;&gt;1,1,COUNTIF(QCI!$A$13:$A$24,ORÇAMENTO!E52)),OFFSET($D52,1,$C52,ROW($C$192)-ROW($C52)),0))</f>
        <v>0</v>
      </c>
      <c r="L52" s="143" t="str">
        <f t="shared" ca="1" si="57"/>
        <v/>
      </c>
      <c r="M52" s="144" t="s">
        <v>199</v>
      </c>
      <c r="N52" s="145" t="str">
        <f t="shared" ca="1" si="58"/>
        <v>Serviço</v>
      </c>
      <c r="O52" s="146" t="str">
        <f t="shared" ca="1" si="59"/>
        <v>-</v>
      </c>
      <c r="P52" s="147" t="s">
        <v>247</v>
      </c>
      <c r="Q52" s="148" t="s">
        <v>510</v>
      </c>
      <c r="R52" s="149" t="s">
        <v>660</v>
      </c>
      <c r="S52" s="150" t="s">
        <v>777</v>
      </c>
      <c r="T52" s="151">
        <f ca="1">OFFSET(CÁLCULO!H$15,ROW($T52)-ROW(T$15),0)</f>
        <v>529.9</v>
      </c>
      <c r="U52" s="152"/>
      <c r="V52" s="153" t="s">
        <v>156</v>
      </c>
      <c r="W52" s="151">
        <f ca="1">IF($C52="S",ROUND(IF(TIPOORCAMENTO="Proposto",ORÇAMENTO.CustoUnitario*(1+$AH52),ORÇAMENTO.PrecoUnitarioLicitado),15-13*$AF$10),0)</f>
        <v>0</v>
      </c>
      <c r="X52" s="154">
        <f ca="1">IF($C52="S",IF(Import.TipoArredondamento&lt;&gt;"TransfereGOV",VTOTAL1,SUM(OFFSET(CÁLCULO!$AA$15,ROW($X52)-ROW($X$15),1):OFFSET(CÁLCULO!$AL$15,ROW($X52)-ROW($X$15),-1))),IF($C52=0,0,ROUND(SomaAgrup,15-13*$AF$11)))</f>
        <v>0</v>
      </c>
      <c r="Y52" s="155" t="s">
        <v>245</v>
      </c>
      <c r="Z52" t="str">
        <f t="shared" ca="1" si="60"/>
        <v/>
      </c>
      <c r="AA52" s="156">
        <f ca="1">IF($C52="S",IF($Z52="CP",$X52,IF($Z52="RA",(($X52)*QCI!$AA$3),0)),SomaAgrup)</f>
        <v>0</v>
      </c>
      <c r="AB52" s="157">
        <f t="shared" ca="1" si="3"/>
        <v>0</v>
      </c>
      <c r="AC52" s="158" t="str">
        <f ca="1">IF($N52="","",IF(ORÇAMENTO.Descricao="","DESCRIÇÃO",IF(AND($C52="S",ORÇAMENTO.Unidade=""),"UNIDADE",IF($X52&lt;0,"VALOR NEGATIVO",IF(OR(AND(TIPOORCAMENTO="Proposto",$AG52&lt;&gt;"",$AG52&gt;0,ORÇAMENTO.CustoUnitario&gt;$AG52),AND(TIPOORCAMENTO="LICITADO",ORÇAMENTO.PrecoUnitarioLicitado&gt;$AN52)),"ACIMA REF.","")))))</f>
        <v/>
      </c>
      <c r="AD52" s="668" t="str">
        <f ca="1">IF(C52&lt;=CRONO.NivelExibicao,MAX($AD$15:OFFSET(AD52,-1,0))+IF($C52&lt;&gt;1,1,MAX(1,COUNTIF(QCI!$A$13:$A$24,OFFSET($E52,-1,0)))),"")</f>
        <v/>
      </c>
      <c r="AE52" s="114" t="str">
        <f ca="1">IF(AND($C52="S",ORÇAMENTO.CodBarra&lt;&gt;""),IF(ORÇAMENTO.Fonte="",ORÇAMENTO.CodBarra,CONCATENATE(ORÇAMENTO.Fonte," ",ORÇAMENTO.CodBarra)))</f>
        <v>SINAPI 96536</v>
      </c>
      <c r="AF52" s="159">
        <f ca="1">IF(ISERROR(INDIRECT(ORÇAMENTO.BancoRef)),"(abra o arquivo 'Referência "&amp;Excel_BuiltIn_Database&amp;".xlsm)",IF(OR($C52&lt;&gt;"S",ORÇAMENTO.CodBarra=""),"(Sem Código)",IF(ISERROR(MATCH($AE52,INDIRECT(ORÇAMENTO.BancoRef),0)),"(Código não identificado nas referências)",MATCH($AE52,INDIRECT(ORÇAMENTO.BancoRef),0))))</f>
        <v>7306</v>
      </c>
      <c r="AG52" s="578">
        <f ca="1">ROUND(IF(DESONERACAO="sim",REFERENCIA.Desonerado,REFERENCIA.NaoDesonerado),2)</f>
        <v>62.99</v>
      </c>
      <c r="AH52" s="579">
        <f t="shared" ca="1" si="4"/>
        <v>0.2034</v>
      </c>
      <c r="AJ52" s="677">
        <v>529.9</v>
      </c>
      <c r="AL52" s="611"/>
      <c r="AM52" s="430">
        <f t="shared" ca="1" si="0"/>
        <v>0</v>
      </c>
      <c r="AN52" s="654">
        <f t="shared" ca="1" si="5"/>
        <v>0</v>
      </c>
    </row>
    <row r="53" spans="1:40" ht="38.25" x14ac:dyDescent="0.2">
      <c r="A53" t="str">
        <f t="shared" si="1"/>
        <v>S</v>
      </c>
      <c r="B53">
        <f t="shared" ca="1" si="50"/>
        <v>2</v>
      </c>
      <c r="C53" t="str">
        <f t="shared" ca="1" si="51"/>
        <v>S</v>
      </c>
      <c r="D53">
        <f t="shared" ca="1" si="52"/>
        <v>0</v>
      </c>
      <c r="E53">
        <f ca="1">IF($C53=1,OFFSET(E53,-1,0)+MAX(1,COUNTIF(QCI!$A$13:$A$24,OFFSET(ORÇAMENTO!E53,-1,0))),OFFSET(E53,-1,0))</f>
        <v>1</v>
      </c>
      <c r="F53">
        <f t="shared" ca="1" si="53"/>
        <v>7</v>
      </c>
      <c r="G53">
        <f t="shared" ca="1" si="54"/>
        <v>0</v>
      </c>
      <c r="H53">
        <f t="shared" ca="1" si="55"/>
        <v>0</v>
      </c>
      <c r="I53">
        <f t="shared" ca="1" si="56"/>
        <v>0</v>
      </c>
      <c r="J53">
        <f t="shared" ca="1" si="61"/>
        <v>0</v>
      </c>
      <c r="K53">
        <f ca="1">IF(OR($C53="S",$C53=0),0,MATCH(OFFSET($D53,0,$C53)+IF($C53&lt;&gt;1,1,COUNTIF(QCI!$A$13:$A$24,ORÇAMENTO!E53)),OFFSET($D53,1,$C53,ROW($C$192)-ROW($C53)),0))</f>
        <v>0</v>
      </c>
      <c r="L53" s="143" t="str">
        <f t="shared" ca="1" si="57"/>
        <v/>
      </c>
      <c r="M53" s="144" t="s">
        <v>199</v>
      </c>
      <c r="N53" s="145" t="str">
        <f t="shared" ca="1" si="58"/>
        <v>Serviço</v>
      </c>
      <c r="O53" s="146" t="str">
        <f t="shared" ca="1" si="59"/>
        <v>-</v>
      </c>
      <c r="P53" s="147" t="s">
        <v>247</v>
      </c>
      <c r="Q53" s="148" t="s">
        <v>477</v>
      </c>
      <c r="R53" s="149" t="s">
        <v>661</v>
      </c>
      <c r="S53" s="150" t="s">
        <v>780</v>
      </c>
      <c r="T53" s="151">
        <f ca="1">OFFSET(CÁLCULO!H$15,ROW($T53)-ROW(T$15),0)</f>
        <v>49.8</v>
      </c>
      <c r="U53" s="152"/>
      <c r="V53" s="153" t="s">
        <v>156</v>
      </c>
      <c r="W53" s="151">
        <f ca="1">IF($C53="S",ROUND(IF(TIPOORCAMENTO="Proposto",ORÇAMENTO.CustoUnitario*(1+$AH53),ORÇAMENTO.PrecoUnitarioLicitado),15-13*$AF$10),0)</f>
        <v>0</v>
      </c>
      <c r="X53" s="154">
        <f ca="1">IF($C53="S",IF(Import.TipoArredondamento&lt;&gt;"TransfereGOV",VTOTAL1,SUM(OFFSET(CÁLCULO!$AA$15,ROW($X53)-ROW($X$15),1):OFFSET(CÁLCULO!$AL$15,ROW($X53)-ROW($X$15),-1))),IF($C53=0,0,ROUND(SomaAgrup,15-13*$AF$11)))</f>
        <v>0</v>
      </c>
      <c r="Y53" s="155" t="s">
        <v>245</v>
      </c>
      <c r="Z53" t="str">
        <f t="shared" ca="1" si="60"/>
        <v/>
      </c>
      <c r="AA53" s="156">
        <f ca="1">IF($C53="S",IF($Z53="CP",$X53,IF($Z53="RA",(($X53)*QCI!$AA$3),0)),SomaAgrup)</f>
        <v>0</v>
      </c>
      <c r="AB53" s="157">
        <f t="shared" ca="1" si="3"/>
        <v>0</v>
      </c>
      <c r="AC53" s="158" t="str">
        <f ca="1">IF($N53="","",IF(ORÇAMENTO.Descricao="","DESCRIÇÃO",IF(AND($C53="S",ORÇAMENTO.Unidade=""),"UNIDADE",IF($X53&lt;0,"VALOR NEGATIVO",IF(OR(AND(TIPOORCAMENTO="Proposto",$AG53&lt;&gt;"",$AG53&gt;0,ORÇAMENTO.CustoUnitario&gt;$AG53),AND(TIPOORCAMENTO="LICITADO",ORÇAMENTO.PrecoUnitarioLicitado&gt;$AN53)),"ACIMA REF.","")))))</f>
        <v/>
      </c>
      <c r="AD53" s="668" t="str">
        <f ca="1">IF(C53&lt;=CRONO.NivelExibicao,MAX($AD$15:OFFSET(AD53,-1,0))+IF($C53&lt;&gt;1,1,MAX(1,COUNTIF(QCI!$A$13:$A$24,OFFSET($E53,-1,0)))),"")</f>
        <v/>
      </c>
      <c r="AE53" s="114" t="str">
        <f ca="1">IF(AND($C53="S",ORÇAMENTO.CodBarra&lt;&gt;""),IF(ORÇAMENTO.Fonte="",ORÇAMENTO.CodBarra,CONCATENATE(ORÇAMENTO.Fonte," ",ORÇAMENTO.CodBarra)))</f>
        <v>SINAPI 103674</v>
      </c>
      <c r="AF53" s="159">
        <f ca="1">IF(ISERROR(INDIRECT(ORÇAMENTO.BancoRef)),"(abra o arquivo 'Referência "&amp;Excel_BuiltIn_Database&amp;".xlsm)",IF(OR($C53&lt;&gt;"S",ORÇAMENTO.CodBarra=""),"(Sem Código)",IF(ISERROR(MATCH($AE53,INDIRECT(ORÇAMENTO.BancoRef),0)),"(Código não identificado nas referências)",MATCH($AE53,INDIRECT(ORÇAMENTO.BancoRef),0))))</f>
        <v>7585</v>
      </c>
      <c r="AG53" s="578">
        <f ca="1">ROUND(IF(DESONERACAO="sim",REFERENCIA.Desonerado,REFERENCIA.NaoDesonerado),2)</f>
        <v>686.36</v>
      </c>
      <c r="AH53" s="579">
        <f t="shared" ca="1" si="4"/>
        <v>0.2034</v>
      </c>
      <c r="AJ53" s="676">
        <v>49.8</v>
      </c>
      <c r="AL53" s="611"/>
      <c r="AM53" s="430">
        <f t="shared" ca="1" si="0"/>
        <v>0</v>
      </c>
      <c r="AN53" s="654">
        <f t="shared" ca="1" si="5"/>
        <v>0</v>
      </c>
    </row>
    <row r="54" spans="1:40" ht="38.25" x14ac:dyDescent="0.2">
      <c r="A54" t="str">
        <f t="shared" si="1"/>
        <v>S</v>
      </c>
      <c r="B54">
        <f t="shared" ca="1" si="50"/>
        <v>2</v>
      </c>
      <c r="C54" t="str">
        <f t="shared" ca="1" si="51"/>
        <v>S</v>
      </c>
      <c r="D54">
        <f t="shared" ca="1" si="52"/>
        <v>0</v>
      </c>
      <c r="E54">
        <f ca="1">IF($C54=1,OFFSET(E54,-1,0)+MAX(1,COUNTIF(QCI!$A$13:$A$24,OFFSET(ORÇAMENTO!E54,-1,0))),OFFSET(E54,-1,0))</f>
        <v>1</v>
      </c>
      <c r="F54">
        <f t="shared" ca="1" si="53"/>
        <v>7</v>
      </c>
      <c r="G54">
        <f t="shared" ca="1" si="54"/>
        <v>0</v>
      </c>
      <c r="H54">
        <f t="shared" ca="1" si="55"/>
        <v>0</v>
      </c>
      <c r="I54">
        <f t="shared" ca="1" si="56"/>
        <v>0</v>
      </c>
      <c r="J54">
        <f t="shared" ca="1" si="61"/>
        <v>0</v>
      </c>
      <c r="K54">
        <f ca="1">IF(OR($C54="S",$C54=0),0,MATCH(OFFSET($D54,0,$C54)+IF($C54&lt;&gt;1,1,COUNTIF(QCI!$A$13:$A$24,ORÇAMENTO!E54)),OFFSET($D54,1,$C54,ROW($C$192)-ROW($C54)),0))</f>
        <v>0</v>
      </c>
      <c r="L54" s="143" t="str">
        <f t="shared" ca="1" si="57"/>
        <v/>
      </c>
      <c r="M54" s="144" t="s">
        <v>199</v>
      </c>
      <c r="N54" s="145" t="str">
        <f t="shared" ca="1" si="58"/>
        <v>Serviço</v>
      </c>
      <c r="O54" s="146" t="str">
        <f t="shared" ca="1" si="59"/>
        <v>-</v>
      </c>
      <c r="P54" s="147" t="s">
        <v>247</v>
      </c>
      <c r="Q54" s="148" t="s">
        <v>474</v>
      </c>
      <c r="R54" s="149" t="s">
        <v>657</v>
      </c>
      <c r="S54" s="150" t="s">
        <v>781</v>
      </c>
      <c r="T54" s="151">
        <f ca="1">OFFSET(CÁLCULO!H$15,ROW($T54)-ROW(T$15),0)</f>
        <v>465.2</v>
      </c>
      <c r="U54" s="152"/>
      <c r="V54" s="153" t="s">
        <v>156</v>
      </c>
      <c r="W54" s="151">
        <f ca="1">IF($C54="S",ROUND(IF(TIPOORCAMENTO="Proposto",ORÇAMENTO.CustoUnitario*(1+$AH54),ORÇAMENTO.PrecoUnitarioLicitado),15-13*$AF$10),0)</f>
        <v>0</v>
      </c>
      <c r="X54" s="154">
        <f ca="1">IF($C54="S",IF(Import.TipoArredondamento&lt;&gt;"TransfereGOV",VTOTAL1,SUM(OFFSET(CÁLCULO!$AA$15,ROW($X54)-ROW($X$15),1):OFFSET(CÁLCULO!$AL$15,ROW($X54)-ROW($X$15),-1))),IF($C54=0,0,ROUND(SomaAgrup,15-13*$AF$11)))</f>
        <v>0</v>
      </c>
      <c r="Y54" s="155" t="s">
        <v>245</v>
      </c>
      <c r="Z54" t="str">
        <f t="shared" ca="1" si="60"/>
        <v/>
      </c>
      <c r="AA54" s="156">
        <f ca="1">IF($C54="S",IF($Z54="CP",$X54,IF($Z54="RA",(($X54)*QCI!$AA$3),0)),SomaAgrup)</f>
        <v>0</v>
      </c>
      <c r="AB54" s="157">
        <f t="shared" ca="1" si="3"/>
        <v>0</v>
      </c>
      <c r="AC54" s="158" t="str">
        <f ca="1">IF($N54="","",IF(ORÇAMENTO.Descricao="","DESCRIÇÃO",IF(AND($C54="S",ORÇAMENTO.Unidade=""),"UNIDADE",IF($X54&lt;0,"VALOR NEGATIVO",IF(OR(AND(TIPOORCAMENTO="Proposto",$AG54&lt;&gt;"",$AG54&gt;0,ORÇAMENTO.CustoUnitario&gt;$AG54),AND(TIPOORCAMENTO="LICITADO",ORÇAMENTO.PrecoUnitarioLicitado&gt;$AN54)),"ACIMA REF.","")))))</f>
        <v/>
      </c>
      <c r="AD54" s="668" t="str">
        <f ca="1">IF(C54&lt;=CRONO.NivelExibicao,MAX($AD$15:OFFSET(AD54,-1,0))+IF($C54&lt;&gt;1,1,MAX(1,COUNTIF(QCI!$A$13:$A$24,OFFSET($E54,-1,0)))),"")</f>
        <v/>
      </c>
      <c r="AE54" s="114" t="str">
        <f ca="1">IF(AND($C54="S",ORÇAMENTO.CodBarra&lt;&gt;""),IF(ORÇAMENTO.Fonte="",ORÇAMENTO.CodBarra,CONCATENATE(ORÇAMENTO.Fonte," ",ORÇAMENTO.CodBarra)))</f>
        <v>SINAPI 92762</v>
      </c>
      <c r="AF54" s="159">
        <f ca="1">IF(ISERROR(INDIRECT(ORÇAMENTO.BancoRef)),"(abra o arquivo 'Referência "&amp;Excel_BuiltIn_Database&amp;".xlsm)",IF(OR($C54&lt;&gt;"S",ORÇAMENTO.CodBarra=""),"(Sem Código)",IF(ISERROR(MATCH($AE54,INDIRECT(ORÇAMENTO.BancoRef),0)),"(Código não identificado nas referências)",MATCH($AE54,INDIRECT(ORÇAMENTO.BancoRef),0))))</f>
        <v>7435</v>
      </c>
      <c r="AG54" s="578">
        <f ca="1">ROUND(IF(DESONERACAO="sim",REFERENCIA.Desonerado,REFERENCIA.NaoDesonerado),2)</f>
        <v>10.96</v>
      </c>
      <c r="AH54" s="579">
        <f t="shared" ca="1" si="4"/>
        <v>0.2034</v>
      </c>
      <c r="AJ54" s="676">
        <v>465.2</v>
      </c>
      <c r="AL54" s="611"/>
      <c r="AM54" s="430">
        <f t="shared" ca="1" si="0"/>
        <v>0</v>
      </c>
      <c r="AN54" s="654">
        <f t="shared" ca="1" si="5"/>
        <v>0</v>
      </c>
    </row>
    <row r="55" spans="1:40" ht="38.25" x14ac:dyDescent="0.2">
      <c r="A55" t="str">
        <f>CHOOSE(1+LOG(1+2*(ORÇAMENTO.Nivel="Meta")+4*(ORÇAMENTO.Nivel="Nível 2")+8*(ORÇAMENTO.Nivel="Nível 3")+16*(ORÇAMENTO.Nivel="Nível 4")+32*(ORÇAMENTO.Nivel="Serviço"),2),0,1,2,3,4,"S")</f>
        <v>S</v>
      </c>
      <c r="B55">
        <f ca="1">IF(OR(C55="s",C55=0),OFFSET(B55,-1,0),C55)</f>
        <v>2</v>
      </c>
      <c r="C55" t="str">
        <f ca="1">IF(OFFSET(C55,-1,0)="L",1,IF(OFFSET(C55,-1,0)=1,2,IF(OR(A55="s",A55=0),"S",IF(AND(OFFSET(C55,-1,0)=2,A55=4),3,IF(AND(OR(OFFSET(C55,-1,0)="s",OFFSET(C55,-1,0)=0),A55&lt;&gt;"s",A55&gt;OFFSET(B55,-1,0)),OFFSET(B55,-1,0),A55)))))</f>
        <v>S</v>
      </c>
      <c r="D55">
        <f ca="1">IF(OR(C55="S",C55=0),0,IF(ISERROR(K55),J55,SMALL(J55:K55,1)))</f>
        <v>0</v>
      </c>
      <c r="E55">
        <f ca="1">IF($C55=1,OFFSET(E55,-1,0)+MAX(1,COUNTIF(QCI!$A$13:$A$24,OFFSET(ORÇAMENTO!E55,-1,0))),OFFSET(E55,-1,0))</f>
        <v>1</v>
      </c>
      <c r="F55">
        <f ca="1">IF($C55=1,0,IF($C55=2,OFFSET(F55,-1,0)+1,OFFSET(F55,-1,0)))</f>
        <v>7</v>
      </c>
      <c r="G55">
        <f ca="1">IF(AND($C55&lt;=2,$C55&lt;&gt;0),0,IF($C55=3,OFFSET(G55,-1,0)+1,OFFSET(G55,-1,0)))</f>
        <v>0</v>
      </c>
      <c r="H55">
        <f ca="1">IF(AND($C55&lt;=3,$C55&lt;&gt;0),0,IF($C55=4,OFFSET(H55,-1,0)+1,OFFSET(H55,-1,0)))</f>
        <v>0</v>
      </c>
      <c r="I55">
        <f ca="1">IF(AND($C55&lt;=4,$C55&lt;&gt;0),0,IF(AND($C55="S",$X55&gt;0),OFFSET(I55,-1,0)+1,OFFSET(I55,-1,0)))</f>
        <v>0</v>
      </c>
      <c r="J55">
        <f t="shared" ca="1" si="61"/>
        <v>0</v>
      </c>
      <c r="K55">
        <f ca="1">IF(OR($C55="S",$C55=0),0,MATCH(OFFSET($D55,0,$C55)+IF($C55&lt;&gt;1,1,COUNTIF(QCI!$A$13:$A$24,ORÇAMENTO!E55)),OFFSET($D55,1,$C55,ROW($C$192)-ROW($C55)),0))</f>
        <v>0</v>
      </c>
      <c r="L55" s="143" t="str">
        <f ca="1">IF(OR($X55&gt;0,$C55=1,$C55=2,$C55=3,$C55=4),"F","")</f>
        <v/>
      </c>
      <c r="M55" s="144" t="s">
        <v>199</v>
      </c>
      <c r="N55" s="145" t="str">
        <f ca="1">CHOOSE(1+LOG(1+2*(C55=1)+4*(C55=2)+8*(C55=3)+16*(C55=4)+32*(C55="S"),2),"","Meta","Nível 2","Nível 3","Nível 4","Serviço")</f>
        <v>Serviço</v>
      </c>
      <c r="O55" s="146" t="str">
        <f ca="1">IF(OR($C55=0,$L55=""),"-",CONCATENATE(E55&amp;".",IF(AND($A$5&gt;=2,$C55&gt;=2),F55&amp;".",""),IF(AND($A$5&gt;=3,$C55&gt;=3),G55&amp;".",""),IF(AND($A$5&gt;=4,$C55&gt;=4),H55&amp;".",""),IF($C55="S",I55&amp;".","")))</f>
        <v>-</v>
      </c>
      <c r="P55" s="147" t="s">
        <v>247</v>
      </c>
      <c r="Q55" s="148" t="s">
        <v>491</v>
      </c>
      <c r="R55" s="149" t="s">
        <v>658</v>
      </c>
      <c r="S55" s="150" t="s">
        <v>781</v>
      </c>
      <c r="T55" s="151">
        <f ca="1">OFFSET(CÁLCULO!H$15,ROW($T55)-ROW(T$15),0)</f>
        <v>47.9</v>
      </c>
      <c r="U55" s="152"/>
      <c r="V55" s="153" t="s">
        <v>156</v>
      </c>
      <c r="W55" s="151">
        <f ca="1">IF($C55="S",ROUND(IF(TIPOORCAMENTO="Proposto",ORÇAMENTO.CustoUnitario*(1+$AH55),ORÇAMENTO.PrecoUnitarioLicitado),15-13*$AF$10),0)</f>
        <v>0</v>
      </c>
      <c r="X55" s="154">
        <f ca="1">IF($C55="S",IF(Import.TipoArredondamento&lt;&gt;"TransfereGOV",VTOTAL1,SUM(OFFSET(CÁLCULO!$AA$15,ROW($X55)-ROW($X$15),1):OFFSET(CÁLCULO!$AL$15,ROW($X55)-ROW($X$15),-1))),IF($C55=0,0,ROUND(SomaAgrup,15-13*$AF$11)))</f>
        <v>0</v>
      </c>
      <c r="Y55" s="155" t="s">
        <v>245</v>
      </c>
      <c r="Z55" t="str">
        <f ca="1">IF(AND($C55="S",$X55&gt;0),IF(ISBLANK($Y55),"RA",LEFT($Y55,2)),"")</f>
        <v/>
      </c>
      <c r="AA55" s="156">
        <f ca="1">IF($C55="S",IF($Z55="CP",$X55,IF($Z55="RA",(($X55)*QCI!$AA$3),0)),SomaAgrup)</f>
        <v>0</v>
      </c>
      <c r="AB55" s="157">
        <f ca="1">IF($C55="S",IF($Z55="OU",ROUND($X55,2),0),SomaAgrup)</f>
        <v>0</v>
      </c>
      <c r="AC55" s="158" t="str">
        <f ca="1">IF($N55="","",IF(ORÇAMENTO.Descricao="","DESCRIÇÃO",IF(AND($C55="S",ORÇAMENTO.Unidade=""),"UNIDADE",IF($X55&lt;0,"VALOR NEGATIVO",IF(OR(AND(TIPOORCAMENTO="Proposto",$AG55&lt;&gt;"",$AG55&gt;0,ORÇAMENTO.CustoUnitario&gt;$AG55),AND(TIPOORCAMENTO="LICITADO",ORÇAMENTO.PrecoUnitarioLicitado&gt;$AN55)),"ACIMA REF.","")))))</f>
        <v/>
      </c>
      <c r="AD55" s="670" t="str">
        <f ca="1">IF(C55&lt;=CRONO.NivelExibicao,MAX($AD$15:OFFSET(AD55,-1,0))+IF($C55&lt;&gt;1,1,MAX(1,COUNTIF(QCI!$A$13:$A$24,OFFSET($E55,-1,0)))),"")</f>
        <v/>
      </c>
      <c r="AE55" s="114" t="str">
        <f ca="1">IF(AND($C55="S",ORÇAMENTO.CodBarra&lt;&gt;""),IF(ORÇAMENTO.Fonte="",ORÇAMENTO.CodBarra,CONCATENATE(ORÇAMENTO.Fonte," ",ORÇAMENTO.CodBarra)))</f>
        <v>SINAPI 92763</v>
      </c>
      <c r="AF55" s="159">
        <f ca="1">IF(ISERROR(INDIRECT(ORÇAMENTO.BancoRef)),"(abra o arquivo 'Referência "&amp;Excel_BuiltIn_Database&amp;".xlsm)",IF(OR($C55&lt;&gt;"S",ORÇAMENTO.CodBarra=""),"(Sem Código)",IF(ISERROR(MATCH($AE55,INDIRECT(ORÇAMENTO.BancoRef),0)),"(Código não identificado nas referências)",MATCH($AE55,INDIRECT(ORÇAMENTO.BancoRef),0))))</f>
        <v>7436</v>
      </c>
      <c r="AG55" s="578">
        <f ca="1">ROUND(IF(DESONERACAO="sim",REFERENCIA.Desonerado,REFERENCIA.NaoDesonerado),2)</f>
        <v>9.17</v>
      </c>
      <c r="AH55" s="579">
        <f ca="1">ROUND(IF(ISNUMBER(ORÇAMENTO.OpcaoBDI),ORÇAMENTO.OpcaoBDI,IF(LEFT(ORÇAMENTO.OpcaoBDI,3)="BDI",HLOOKUP(ORÇAMENTO.OpcaoBDI,$F$4:$H$5,2,FALSE),0)),15-11*$AF$9)</f>
        <v>0.2034</v>
      </c>
      <c r="AJ55" s="680">
        <v>47.9</v>
      </c>
      <c r="AL55" s="611"/>
      <c r="AM55" s="430">
        <f t="shared" ca="1" si="0"/>
        <v>0</v>
      </c>
      <c r="AN55" s="654">
        <f ca="1">ROUND(ORÇAMENTO.CustoUnitario*(1+$AH55),2)</f>
        <v>0</v>
      </c>
    </row>
    <row r="56" spans="1:40" ht="38.25" x14ac:dyDescent="0.2">
      <c r="A56" t="str">
        <f t="shared" si="1"/>
        <v>S</v>
      </c>
      <c r="B56">
        <f t="shared" ca="1" si="50"/>
        <v>2</v>
      </c>
      <c r="C56" t="str">
        <f t="shared" ca="1" si="51"/>
        <v>S</v>
      </c>
      <c r="D56">
        <f t="shared" ca="1" si="52"/>
        <v>0</v>
      </c>
      <c r="E56">
        <f ca="1">IF($C56=1,OFFSET(E56,-1,0)+MAX(1,COUNTIF(QCI!$A$13:$A$24,OFFSET(ORÇAMENTO!E56,-1,0))),OFFSET(E56,-1,0))</f>
        <v>1</v>
      </c>
      <c r="F56">
        <f t="shared" ca="1" si="53"/>
        <v>7</v>
      </c>
      <c r="G56">
        <f t="shared" ca="1" si="54"/>
        <v>0</v>
      </c>
      <c r="H56">
        <f t="shared" ca="1" si="55"/>
        <v>0</v>
      </c>
      <c r="I56">
        <f t="shared" ca="1" si="56"/>
        <v>0</v>
      </c>
      <c r="J56">
        <f t="shared" ca="1" si="61"/>
        <v>0</v>
      </c>
      <c r="K56">
        <f ca="1">IF(OR($C56="S",$C56=0),0,MATCH(OFFSET($D56,0,$C56)+IF($C56&lt;&gt;1,1,COUNTIF(QCI!$A$13:$A$24,ORÇAMENTO!E56)),OFFSET($D56,1,$C56,ROW($C$192)-ROW($C56)),0))</f>
        <v>0</v>
      </c>
      <c r="L56" s="143" t="str">
        <f t="shared" ca="1" si="57"/>
        <v/>
      </c>
      <c r="M56" s="144" t="s">
        <v>199</v>
      </c>
      <c r="N56" s="145" t="str">
        <f t="shared" ca="1" si="58"/>
        <v>Serviço</v>
      </c>
      <c r="O56" s="146" t="str">
        <f t="shared" ca="1" si="59"/>
        <v>-</v>
      </c>
      <c r="P56" s="147" t="s">
        <v>247</v>
      </c>
      <c r="Q56" s="148" t="s">
        <v>494</v>
      </c>
      <c r="R56" s="149" t="s">
        <v>662</v>
      </c>
      <c r="S56" s="150" t="s">
        <v>781</v>
      </c>
      <c r="T56" s="151">
        <f ca="1">OFFSET(CÁLCULO!H$15,ROW($T56)-ROW(T$15),0)</f>
        <v>1370.5</v>
      </c>
      <c r="U56" s="152"/>
      <c r="V56" s="153" t="s">
        <v>156</v>
      </c>
      <c r="W56" s="151">
        <f ca="1">IF($C56="S",ROUND(IF(TIPOORCAMENTO="Proposto",ORÇAMENTO.CustoUnitario*(1+$AH56),ORÇAMENTO.PrecoUnitarioLicitado),15-13*$AF$10),0)</f>
        <v>0</v>
      </c>
      <c r="X56" s="154">
        <f ca="1">IF($C56="S",IF(Import.TipoArredondamento&lt;&gt;"TransfereGOV",VTOTAL1,SUM(OFFSET(CÁLCULO!$AA$15,ROW($X56)-ROW($X$15),1):OFFSET(CÁLCULO!$AL$15,ROW($X56)-ROW($X$15),-1))),IF($C56=0,0,ROUND(SomaAgrup,15-13*$AF$11)))</f>
        <v>0</v>
      </c>
      <c r="Y56" s="155" t="s">
        <v>245</v>
      </c>
      <c r="Z56" t="str">
        <f t="shared" ca="1" si="60"/>
        <v/>
      </c>
      <c r="AA56" s="156">
        <f ca="1">IF($C56="S",IF($Z56="CP",$X56,IF($Z56="RA",(($X56)*QCI!$AA$3),0)),SomaAgrup)</f>
        <v>0</v>
      </c>
      <c r="AB56" s="157">
        <f t="shared" ca="1" si="3"/>
        <v>0</v>
      </c>
      <c r="AC56" s="158" t="str">
        <f ca="1">IF($N56="","",IF(ORÇAMENTO.Descricao="","DESCRIÇÃO",IF(AND($C56="S",ORÇAMENTO.Unidade=""),"UNIDADE",IF($X56&lt;0,"VALOR NEGATIVO",IF(OR(AND(TIPOORCAMENTO="Proposto",$AG56&lt;&gt;"",$AG56&gt;0,ORÇAMENTO.CustoUnitario&gt;$AG56),AND(TIPOORCAMENTO="LICITADO",ORÇAMENTO.PrecoUnitarioLicitado&gt;$AN56)),"ACIMA REF.","")))))</f>
        <v/>
      </c>
      <c r="AD56" s="668" t="str">
        <f ca="1">IF(C56&lt;=CRONO.NivelExibicao,MAX($AD$15:OFFSET(AD56,-1,0))+IF($C56&lt;&gt;1,1,MAX(1,COUNTIF(QCI!$A$13:$A$24,OFFSET($E56,-1,0)))),"")</f>
        <v/>
      </c>
      <c r="AE56" s="114" t="str">
        <f ca="1">IF(AND($C56="S",ORÇAMENTO.CodBarra&lt;&gt;""),IF(ORÇAMENTO.Fonte="",ORÇAMENTO.CodBarra,CONCATENATE(ORÇAMENTO.Fonte," ",ORÇAMENTO.CodBarra)))</f>
        <v>SINAPI 92761</v>
      </c>
      <c r="AF56" s="159">
        <f ca="1">IF(ISERROR(INDIRECT(ORÇAMENTO.BancoRef)),"(abra o arquivo 'Referência "&amp;Excel_BuiltIn_Database&amp;".xlsm)",IF(OR($C56&lt;&gt;"S",ORÇAMENTO.CodBarra=""),"(Sem Código)",IF(ISERROR(MATCH($AE56,INDIRECT(ORÇAMENTO.BancoRef),0)),"(Código não identificado nas referências)",MATCH($AE56,INDIRECT(ORÇAMENTO.BancoRef),0))))</f>
        <v>7434</v>
      </c>
      <c r="AG56" s="578">
        <f ca="1">ROUND(IF(DESONERACAO="sim",REFERENCIA.Desonerado,REFERENCIA.NaoDesonerado),2)</f>
        <v>12.28</v>
      </c>
      <c r="AH56" s="579">
        <f t="shared" ca="1" si="4"/>
        <v>0.2034</v>
      </c>
      <c r="AJ56" s="678">
        <v>1370.5</v>
      </c>
      <c r="AL56" s="611"/>
      <c r="AM56" s="430">
        <f t="shared" ca="1" si="0"/>
        <v>0</v>
      </c>
      <c r="AN56" s="654">
        <f t="shared" ca="1" si="5"/>
        <v>0</v>
      </c>
    </row>
    <row r="57" spans="1:40" ht="38.25" x14ac:dyDescent="0.2">
      <c r="A57" t="str">
        <f t="shared" si="1"/>
        <v>S</v>
      </c>
      <c r="B57">
        <f t="shared" ca="1" si="50"/>
        <v>2</v>
      </c>
      <c r="C57" t="str">
        <f t="shared" ca="1" si="51"/>
        <v>S</v>
      </c>
      <c r="D57">
        <f t="shared" ca="1" si="52"/>
        <v>0</v>
      </c>
      <c r="E57">
        <f ca="1">IF($C57=1,OFFSET(E57,-1,0)+MAX(1,COUNTIF(QCI!$A$13:$A$24,OFFSET(ORÇAMENTO!E57,-1,0))),OFFSET(E57,-1,0))</f>
        <v>1</v>
      </c>
      <c r="F57">
        <f t="shared" ca="1" si="53"/>
        <v>7</v>
      </c>
      <c r="G57">
        <f t="shared" ca="1" si="54"/>
        <v>0</v>
      </c>
      <c r="H57">
        <f t="shared" ca="1" si="55"/>
        <v>0</v>
      </c>
      <c r="I57">
        <f t="shared" ca="1" si="56"/>
        <v>0</v>
      </c>
      <c r="J57">
        <f t="shared" ca="1" si="61"/>
        <v>0</v>
      </c>
      <c r="K57">
        <f ca="1">IF(OR($C57="S",$C57=0),0,MATCH(OFFSET($D57,0,$C57)+IF($C57&lt;&gt;1,1,COUNTIF(QCI!$A$13:$A$24,ORÇAMENTO!E57)),OFFSET($D57,1,$C57,ROW($C$192)-ROW($C57)),0))</f>
        <v>0</v>
      </c>
      <c r="L57" s="143" t="str">
        <f t="shared" ca="1" si="57"/>
        <v/>
      </c>
      <c r="M57" s="144" t="s">
        <v>199</v>
      </c>
      <c r="N57" s="145" t="str">
        <f t="shared" ca="1" si="58"/>
        <v>Serviço</v>
      </c>
      <c r="O57" s="146" t="str">
        <f t="shared" ca="1" si="59"/>
        <v>-</v>
      </c>
      <c r="P57" s="147" t="s">
        <v>247</v>
      </c>
      <c r="Q57" s="148" t="s">
        <v>492</v>
      </c>
      <c r="R57" s="149" t="s">
        <v>659</v>
      </c>
      <c r="S57" s="150" t="s">
        <v>781</v>
      </c>
      <c r="T57" s="151">
        <f ca="1">OFFSET(CÁLCULO!H$15,ROW($T57)-ROW(T$15),0)</f>
        <v>591.20000000000005</v>
      </c>
      <c r="U57" s="152"/>
      <c r="V57" s="153" t="s">
        <v>156</v>
      </c>
      <c r="W57" s="151">
        <f ca="1">IF($C57="S",ROUND(IF(TIPOORCAMENTO="Proposto",ORÇAMENTO.CustoUnitario*(1+$AH57),ORÇAMENTO.PrecoUnitarioLicitado),15-13*$AF$10),0)</f>
        <v>0</v>
      </c>
      <c r="X57" s="154">
        <f ca="1">IF($C57="S",IF(Import.TipoArredondamento&lt;&gt;"TransfereGOV",VTOTAL1,SUM(OFFSET(CÁLCULO!$AA$15,ROW($X57)-ROW($X$15),1):OFFSET(CÁLCULO!$AL$15,ROW($X57)-ROW($X$15),-1))),IF($C57=0,0,ROUND(SomaAgrup,15-13*$AF$11)))</f>
        <v>0</v>
      </c>
      <c r="Y57" s="155" t="s">
        <v>245</v>
      </c>
      <c r="Z57" t="str">
        <f t="shared" ca="1" si="60"/>
        <v/>
      </c>
      <c r="AA57" s="156">
        <f ca="1">IF($C57="S",IF($Z57="CP",$X57,IF($Z57="RA",(($X57)*QCI!$AA$3),0)),SomaAgrup)</f>
        <v>0</v>
      </c>
      <c r="AB57" s="157">
        <f t="shared" ca="1" si="3"/>
        <v>0</v>
      </c>
      <c r="AC57" s="158" t="str">
        <f ca="1">IF($N57="","",IF(ORÇAMENTO.Descricao="","DESCRIÇÃO",IF(AND($C57="S",ORÇAMENTO.Unidade=""),"UNIDADE",IF($X57&lt;0,"VALOR NEGATIVO",IF(OR(AND(TIPOORCAMENTO="Proposto",$AG57&lt;&gt;"",$AG57&gt;0,ORÇAMENTO.CustoUnitario&gt;$AG57),AND(TIPOORCAMENTO="LICITADO",ORÇAMENTO.PrecoUnitarioLicitado&gt;$AN57)),"ACIMA REF.","")))))</f>
        <v/>
      </c>
      <c r="AD57" s="668" t="str">
        <f ca="1">IF(C57&lt;=CRONO.NivelExibicao,MAX($AD$15:OFFSET(AD57,-1,0))+IF($C57&lt;&gt;1,1,MAX(1,COUNTIF(QCI!$A$13:$A$24,OFFSET($E57,-1,0)))),"")</f>
        <v/>
      </c>
      <c r="AE57" s="114" t="str">
        <f ca="1">IF(AND($C57="S",ORÇAMENTO.CodBarra&lt;&gt;""),IF(ORÇAMENTO.Fonte="",ORÇAMENTO.CodBarra,CONCATENATE(ORÇAMENTO.Fonte," ",ORÇAMENTO.CodBarra)))</f>
        <v>SINAPI 92759</v>
      </c>
      <c r="AF57" s="159">
        <f ca="1">IF(ISERROR(INDIRECT(ORÇAMENTO.BancoRef)),"(abra o arquivo 'Referência "&amp;Excel_BuiltIn_Database&amp;".xlsm)",IF(OR($C57&lt;&gt;"S",ORÇAMENTO.CodBarra=""),"(Sem Código)",IF(ISERROR(MATCH($AE57,INDIRECT(ORÇAMENTO.BancoRef),0)),"(Código não identificado nas referências)",MATCH($AE57,INDIRECT(ORÇAMENTO.BancoRef),0))))</f>
        <v>7432</v>
      </c>
      <c r="AG57" s="578">
        <f ca="1">ROUND(IF(DESONERACAO="sim",REFERENCIA.Desonerado,REFERENCIA.NaoDesonerado),2)</f>
        <v>13.86</v>
      </c>
      <c r="AH57" s="579">
        <f t="shared" ca="1" si="4"/>
        <v>0.2034</v>
      </c>
      <c r="AJ57" s="679">
        <v>591.20000000000005</v>
      </c>
      <c r="AL57" s="611"/>
      <c r="AM57" s="430">
        <f t="shared" ca="1" si="0"/>
        <v>0</v>
      </c>
      <c r="AN57" s="654">
        <f t="shared" ca="1" si="5"/>
        <v>0</v>
      </c>
    </row>
    <row r="58" spans="1:40" x14ac:dyDescent="0.2">
      <c r="A58">
        <f t="shared" si="1"/>
        <v>2</v>
      </c>
      <c r="B58">
        <f t="shared" ca="1" si="50"/>
        <v>2</v>
      </c>
      <c r="C58">
        <f t="shared" ca="1" si="51"/>
        <v>2</v>
      </c>
      <c r="D58">
        <f t="shared" ca="1" si="52"/>
        <v>2</v>
      </c>
      <c r="E58">
        <f ca="1">IF($C58=1,OFFSET(E58,-1,0)+MAX(1,COUNTIF(QCI!$A$13:$A$24,OFFSET(ORÇAMENTO!E58,-1,0))),OFFSET(E58,-1,0))</f>
        <v>1</v>
      </c>
      <c r="F58">
        <f t="shared" ca="1" si="53"/>
        <v>8</v>
      </c>
      <c r="G58">
        <f t="shared" ca="1" si="54"/>
        <v>0</v>
      </c>
      <c r="H58">
        <f t="shared" ca="1" si="55"/>
        <v>0</v>
      </c>
      <c r="I58">
        <f t="shared" ca="1" si="56"/>
        <v>0</v>
      </c>
      <c r="J58">
        <f t="shared" ca="1" si="61"/>
        <v>134</v>
      </c>
      <c r="K58">
        <f ca="1">IF(OR($C58="S",$C58=0),0,MATCH(OFFSET($D58,0,$C58)+IF($C58&lt;&gt;1,1,COUNTIF(QCI!$A$13:$A$24,ORÇAMENTO!E58)),OFFSET($D58,1,$C58,ROW($C$192)-ROW($C58)),0))</f>
        <v>2</v>
      </c>
      <c r="L58" s="143" t="str">
        <f t="shared" ca="1" si="57"/>
        <v>F</v>
      </c>
      <c r="M58" s="144" t="s">
        <v>196</v>
      </c>
      <c r="N58" s="145" t="str">
        <f t="shared" ca="1" si="58"/>
        <v>Nível 2</v>
      </c>
      <c r="O58" s="146" t="str">
        <f t="shared" ca="1" si="59"/>
        <v>1.8.</v>
      </c>
      <c r="P58" s="147" t="s">
        <v>247</v>
      </c>
      <c r="Q58" s="148"/>
      <c r="R58" s="149" t="s">
        <v>496</v>
      </c>
      <c r="S58" s="150" t="s">
        <v>166</v>
      </c>
      <c r="T58" s="151">
        <f ca="1">OFFSET(CÁLCULO!H$15,ROW($T58)-ROW(T$15),0)</f>
        <v>0</v>
      </c>
      <c r="U58" s="152"/>
      <c r="V58" s="153" t="s">
        <v>156</v>
      </c>
      <c r="W58" s="151">
        <f ca="1">IF($C58="S",ROUND(IF(TIPOORCAMENTO="Proposto",ORÇAMENTO.CustoUnitario*(1+$AH58),ORÇAMENTO.PrecoUnitarioLicitado),15-13*$AF$10),0)</f>
        <v>0</v>
      </c>
      <c r="X58" s="154">
        <f ca="1">IF($C58="S",IF(Import.TipoArredondamento&lt;&gt;"TransfereGOV",VTOTAL1,SUM(OFFSET(CÁLCULO!$AA$15,ROW($X58)-ROW($X$15),1):OFFSET(CÁLCULO!$AL$15,ROW($X58)-ROW($X$15),-1))),IF($C58=0,0,ROUND(SomaAgrup,15-13*$AF$11)))</f>
        <v>0</v>
      </c>
      <c r="Y58" s="155" t="s">
        <v>245</v>
      </c>
      <c r="Z58" t="str">
        <f t="shared" ca="1" si="60"/>
        <v/>
      </c>
      <c r="AA58" s="156">
        <f ca="1">IF($C58="S",IF($Z58="CP",$X58,IF($Z58="RA",(($X58)*QCI!$AA$3),0)),SomaAgrup)</f>
        <v>0</v>
      </c>
      <c r="AB58" s="157">
        <f t="shared" ca="1" si="3"/>
        <v>0</v>
      </c>
      <c r="AC58" s="158" t="str">
        <f ca="1">IF($N58="","",IF(ORÇAMENTO.Descricao="","DESCRIÇÃO",IF(AND($C58="S",ORÇAMENTO.Unidade=""),"UNIDADE",IF($X58&lt;0,"VALOR NEGATIVO",IF(OR(AND(TIPOORCAMENTO="Proposto",$AG58&lt;&gt;"",$AG58&gt;0,ORÇAMENTO.CustoUnitario&gt;$AG58),AND(TIPOORCAMENTO="LICITADO",ORÇAMENTO.PrecoUnitarioLicitado&gt;$AN58)),"ACIMA REF.","")))))</f>
        <v/>
      </c>
      <c r="AD58" s="669">
        <f ca="1">IF(C58&lt;=CRONO.NivelExibicao,MAX($AD$15:OFFSET(AD58,-1,0))+IF($C58&lt;&gt;1,1,MAX(1,COUNTIF(QCI!$A$13:$A$24,OFFSET($E58,-1,0)))),"")</f>
        <v>9</v>
      </c>
      <c r="AE58" s="114" t="b">
        <f ca="1">IF(AND($C58="S",ORÇAMENTO.CodBarra&lt;&gt;""),IF(ORÇAMENTO.Fonte="",ORÇAMENTO.CodBarra,CONCATENATE(ORÇAMENTO.Fonte," ",ORÇAMENTO.CodBarra)))</f>
        <v>0</v>
      </c>
      <c r="AF58" s="159" t="str">
        <f ca="1">IF(ISERROR(INDIRECT(ORÇAMENTO.BancoRef)),"(abra o arquivo 'Referência "&amp;Excel_BuiltIn_Database&amp;".xlsm)",IF(OR($C58&lt;&gt;"S",ORÇAMENTO.CodBarra=""),"(Sem Código)",IF(ISERROR(MATCH($AE58,INDIRECT(ORÇAMENTO.BancoRef),0)),"(Código não identificado nas referências)",MATCH($AE58,INDIRECT(ORÇAMENTO.BancoRef),0))))</f>
        <v>(Sem Código)</v>
      </c>
      <c r="AG58" s="578">
        <f ca="1">ROUND(IF(DESONERACAO="sim",REFERENCIA.Desonerado,REFERENCIA.NaoDesonerado),2)</f>
        <v>0</v>
      </c>
      <c r="AH58" s="579">
        <f t="shared" ca="1" si="4"/>
        <v>0.2034</v>
      </c>
      <c r="AJ58" s="581"/>
      <c r="AL58" s="611"/>
      <c r="AM58" s="430">
        <f t="shared" ca="1" si="0"/>
        <v>0</v>
      </c>
      <c r="AN58" s="654">
        <f t="shared" ca="1" si="5"/>
        <v>0</v>
      </c>
    </row>
    <row r="59" spans="1:40" ht="25.5" x14ac:dyDescent="0.2">
      <c r="A59" t="str">
        <f t="shared" si="1"/>
        <v>S</v>
      </c>
      <c r="B59">
        <f t="shared" ca="1" si="50"/>
        <v>2</v>
      </c>
      <c r="C59" t="str">
        <f t="shared" ca="1" si="51"/>
        <v>S</v>
      </c>
      <c r="D59">
        <f t="shared" ca="1" si="52"/>
        <v>0</v>
      </c>
      <c r="E59">
        <f ca="1">IF($C59=1,OFFSET(E59,-1,0)+MAX(1,COUNTIF(QCI!$A$13:$A$24,OFFSET(ORÇAMENTO!E59,-1,0))),OFFSET(E59,-1,0))</f>
        <v>1</v>
      </c>
      <c r="F59">
        <f t="shared" ca="1" si="53"/>
        <v>8</v>
      </c>
      <c r="G59">
        <f t="shared" ca="1" si="54"/>
        <v>0</v>
      </c>
      <c r="H59">
        <f t="shared" ca="1" si="55"/>
        <v>0</v>
      </c>
      <c r="I59">
        <f t="shared" ca="1" si="56"/>
        <v>0</v>
      </c>
      <c r="J59">
        <f t="shared" ca="1" si="61"/>
        <v>0</v>
      </c>
      <c r="K59">
        <f ca="1">IF(OR($C59="S",$C59=0),0,MATCH(OFFSET($D59,0,$C59)+IF($C59&lt;&gt;1,1,COUNTIF(QCI!$A$13:$A$24,ORÇAMENTO!E59)),OFFSET($D59,1,$C59,ROW($C$192)-ROW($C59)),0))</f>
        <v>0</v>
      </c>
      <c r="L59" s="143" t="str">
        <f t="shared" ca="1" si="57"/>
        <v/>
      </c>
      <c r="M59" s="144" t="s">
        <v>199</v>
      </c>
      <c r="N59" s="145" t="str">
        <f t="shared" ca="1" si="58"/>
        <v>Serviço</v>
      </c>
      <c r="O59" s="146" t="str">
        <f t="shared" ca="1" si="59"/>
        <v>-</v>
      </c>
      <c r="P59" s="147" t="s">
        <v>247</v>
      </c>
      <c r="Q59" s="148" t="s">
        <v>499</v>
      </c>
      <c r="R59" s="149" t="s">
        <v>663</v>
      </c>
      <c r="S59" s="150" t="s">
        <v>777</v>
      </c>
      <c r="T59" s="151">
        <f ca="1">OFFSET(CÁLCULO!H$15,ROW($T59)-ROW(T$15),0)</f>
        <v>170</v>
      </c>
      <c r="U59" s="152"/>
      <c r="V59" s="153" t="s">
        <v>156</v>
      </c>
      <c r="W59" s="151">
        <f ca="1">IF($C59="S",ROUND(IF(TIPOORCAMENTO="Proposto",ORÇAMENTO.CustoUnitario*(1+$AH59),ORÇAMENTO.PrecoUnitarioLicitado),15-13*$AF$10),0)</f>
        <v>0</v>
      </c>
      <c r="X59" s="154">
        <f ca="1">IF($C59="S",IF(Import.TipoArredondamento&lt;&gt;"TransfereGOV",VTOTAL1,SUM(OFFSET(CÁLCULO!$AA$15,ROW($X59)-ROW($X$15),1):OFFSET(CÁLCULO!$AL$15,ROW($X59)-ROW($X$15),-1))),IF($C59=0,0,ROUND(SomaAgrup,15-13*$AF$11)))</f>
        <v>0</v>
      </c>
      <c r="Y59" s="155" t="s">
        <v>245</v>
      </c>
      <c r="Z59" t="str">
        <f t="shared" ca="1" si="60"/>
        <v/>
      </c>
      <c r="AA59" s="156">
        <f ca="1">IF($C59="S",IF($Z59="CP",$X59,IF($Z59="RA",(($X59)*QCI!$AA$3),0)),SomaAgrup)</f>
        <v>0</v>
      </c>
      <c r="AB59" s="157">
        <f t="shared" ca="1" si="3"/>
        <v>0</v>
      </c>
      <c r="AC59" s="158" t="str">
        <f ca="1">IF($N59="","",IF(ORÇAMENTO.Descricao="","DESCRIÇÃO",IF(AND($C59="S",ORÇAMENTO.Unidade=""),"UNIDADE",IF($X59&lt;0,"VALOR NEGATIVO",IF(OR(AND(TIPOORCAMENTO="Proposto",$AG59&lt;&gt;"",$AG59&gt;0,ORÇAMENTO.CustoUnitario&gt;$AG59),AND(TIPOORCAMENTO="LICITADO",ORÇAMENTO.PrecoUnitarioLicitado&gt;$AN59)),"ACIMA REF.","")))))</f>
        <v/>
      </c>
      <c r="AD59" s="669" t="str">
        <f ca="1">IF(C59&lt;=CRONO.NivelExibicao,MAX($AD$15:OFFSET(AD59,-1,0))+IF($C59&lt;&gt;1,1,MAX(1,COUNTIF(QCI!$A$13:$A$24,OFFSET($E59,-1,0)))),"")</f>
        <v/>
      </c>
      <c r="AE59" s="114" t="str">
        <f ca="1">IF(AND($C59="S",ORÇAMENTO.CodBarra&lt;&gt;""),IF(ORÇAMENTO.Fonte="",ORÇAMENTO.CodBarra,CONCATENATE(ORÇAMENTO.Fonte," ",ORÇAMENTO.CodBarra)))</f>
        <v>SINAPI 98557</v>
      </c>
      <c r="AF59" s="159">
        <f ca="1">IF(ISERROR(INDIRECT(ORÇAMENTO.BancoRef)),"(abra o arquivo 'Referência "&amp;Excel_BuiltIn_Database&amp;".xlsm)",IF(OR($C59&lt;&gt;"S",ORÇAMENTO.CodBarra=""),"(Sem Código)",IF(ISERROR(MATCH($AE59,INDIRECT(ORÇAMENTO.BancoRef),0)),"(Código não identificado nas referências)",MATCH($AE59,INDIRECT(ORÇAMENTO.BancoRef),0))))</f>
        <v>7745</v>
      </c>
      <c r="AG59" s="578">
        <f ca="1">ROUND(IF(DESONERACAO="sim",REFERENCIA.Desonerado,REFERENCIA.NaoDesonerado),2)</f>
        <v>49.07</v>
      </c>
      <c r="AH59" s="579">
        <f t="shared" ca="1" si="4"/>
        <v>0.2034</v>
      </c>
      <c r="AJ59" s="581">
        <v>170</v>
      </c>
      <c r="AL59" s="611"/>
      <c r="AM59" s="430">
        <f t="shared" ca="1" si="0"/>
        <v>0</v>
      </c>
      <c r="AN59" s="654">
        <f t="shared" ca="1" si="5"/>
        <v>0</v>
      </c>
    </row>
    <row r="60" spans="1:40" x14ac:dyDescent="0.2">
      <c r="A60">
        <f t="shared" si="1"/>
        <v>2</v>
      </c>
      <c r="B60">
        <f ca="1">IF(OR(C60="s",C60=0),OFFSET(B60,-1,0),C60)</f>
        <v>2</v>
      </c>
      <c r="C60">
        <f ca="1">IF(OFFSET(C60,-1,0)="L",1,IF(OFFSET(C60,-1,0)=1,2,IF(OR(A60="s",A60=0),"S",IF(AND(OFFSET(C60,-1,0)=2,A60=4),3,IF(AND(OR(OFFSET(C60,-1,0)="s",OFFSET(C60,-1,0)=0),A60&lt;&gt;"s",A60&gt;OFFSET(B60,-1,0)),OFFSET(B60,-1,0),A60)))))</f>
        <v>2</v>
      </c>
      <c r="D60">
        <f ca="1">IF(OR(C60="S",C60=0),0,IF(ISERROR(K60),J60,SMALL(J60:K60,1)))</f>
        <v>6</v>
      </c>
      <c r="E60">
        <f ca="1">IF($C60=1,OFFSET(E60,-1,0)+MAX(1,COUNTIF(QCI!$A$13:$A$24,OFFSET(ORÇAMENTO!E60,-1,0))),OFFSET(E60,-1,0))</f>
        <v>1</v>
      </c>
      <c r="F60">
        <f ca="1">IF($C60=1,0,IF($C60=2,OFFSET(F60,-1,0)+1,OFFSET(F60,-1,0)))</f>
        <v>9</v>
      </c>
      <c r="G60">
        <f ca="1">IF(AND($C60&lt;=2,$C60&lt;&gt;0),0,IF($C60=3,OFFSET(G60,-1,0)+1,OFFSET(G60,-1,0)))</f>
        <v>0</v>
      </c>
      <c r="H60">
        <f ca="1">IF(AND($C60&lt;=3,$C60&lt;&gt;0),0,IF($C60=4,OFFSET(H60,-1,0)+1,OFFSET(H60,-1,0)))</f>
        <v>0</v>
      </c>
      <c r="I60">
        <f ca="1">IF(AND($C60&lt;=4,$C60&lt;&gt;0),0,IF(AND($C60="S",$X60&gt;0),OFFSET(I60,-1,0)+1,OFFSET(I60,-1,0)))</f>
        <v>0</v>
      </c>
      <c r="J60">
        <f t="shared" ca="1" si="61"/>
        <v>132</v>
      </c>
      <c r="K60">
        <f ca="1">IF(OR($C60="S",$C60=0),0,MATCH(OFFSET($D60,0,$C60)+IF($C60&lt;&gt;1,1,COUNTIF(QCI!$A$13:$A$24,ORÇAMENTO!E60)),OFFSET($D60,1,$C60,ROW($C$192)-ROW($C60)),0))</f>
        <v>6</v>
      </c>
      <c r="L60" s="143" t="str">
        <f ca="1">IF(OR($X60&gt;0,$C60=1,$C60=2,$C60=3,$C60=4),"F","")</f>
        <v>F</v>
      </c>
      <c r="M60" s="144" t="s">
        <v>196</v>
      </c>
      <c r="N60" s="145" t="str">
        <f ca="1">CHOOSE(1+LOG(1+2*(C60=1)+4*(C60=2)+8*(C60=3)+16*(C60=4)+32*(C60="S"),2),"","Meta","Nível 2","Nível 3","Nível 4","Serviço")</f>
        <v>Nível 2</v>
      </c>
      <c r="O60" s="146" t="str">
        <f ca="1">IF(OR($C60=0,$L60=""),"-",CONCATENATE(E60&amp;".",IF(AND($A$5&gt;=2,$C60&gt;=2),F60&amp;".",""),IF(AND($A$5&gt;=3,$C60&gt;=3),G60&amp;".",""),IF(AND($A$5&gt;=4,$C60&gt;=4),H60&amp;".",""),IF($C60="S",I60&amp;".","")))</f>
        <v>1.9.</v>
      </c>
      <c r="P60" s="147" t="s">
        <v>247</v>
      </c>
      <c r="Q60" s="148"/>
      <c r="R60" s="149" t="s">
        <v>495</v>
      </c>
      <c r="S60" s="150" t="s">
        <v>166</v>
      </c>
      <c r="T60" s="151">
        <f ca="1">OFFSET(CÁLCULO!H$15,ROW($T60)-ROW(T$15),0)</f>
        <v>0</v>
      </c>
      <c r="U60" s="152"/>
      <c r="V60" s="153" t="s">
        <v>156</v>
      </c>
      <c r="W60" s="151">
        <f ca="1">IF($C60="S",ROUND(IF(TIPOORCAMENTO="Proposto",ORÇAMENTO.CustoUnitario*(1+$AH60),ORÇAMENTO.PrecoUnitarioLicitado),15-13*$AF$10),0)</f>
        <v>0</v>
      </c>
      <c r="X60" s="154">
        <f ca="1">IF($C60="S",IF(Import.TipoArredondamento&lt;&gt;"TransfereGOV",VTOTAL1,SUM(OFFSET(CÁLCULO!$AA$15,ROW($X60)-ROW($X$15),1):OFFSET(CÁLCULO!$AL$15,ROW($X60)-ROW($X$15),-1))),IF($C60=0,0,ROUND(SomaAgrup,15-13*$AF$11)))</f>
        <v>0</v>
      </c>
      <c r="Y60" s="155" t="s">
        <v>245</v>
      </c>
      <c r="Z60" t="str">
        <f ca="1">IF(AND($C60="S",$X60&gt;0),IF(ISBLANK($Y60),"RA",LEFT($Y60,2)),"")</f>
        <v/>
      </c>
      <c r="AA60" s="156">
        <f ca="1">IF($C60="S",IF($Z60="CP",$X60,IF($Z60="RA",(($X60)*QCI!$AA$3),0)),SomaAgrup)</f>
        <v>0</v>
      </c>
      <c r="AB60" s="157">
        <f t="shared" ca="1" si="3"/>
        <v>0</v>
      </c>
      <c r="AC60" s="158" t="str">
        <f ca="1">IF($N60="","",IF(ORÇAMENTO.Descricao="","DESCRIÇÃO",IF(AND($C60="S",ORÇAMENTO.Unidade=""),"UNIDADE",IF($X60&lt;0,"VALOR NEGATIVO",IF(OR(AND(TIPOORCAMENTO="Proposto",$AG60&lt;&gt;"",$AG60&gt;0,ORÇAMENTO.CustoUnitario&gt;$AG60),AND(TIPOORCAMENTO="LICITADO",ORÇAMENTO.PrecoUnitarioLicitado&gt;$AN60)),"ACIMA REF.","")))))</f>
        <v/>
      </c>
      <c r="AD60" s="665">
        <f ca="1">IF(C60&lt;=CRONO.NivelExibicao,MAX($AD$15:OFFSET(AD60,-1,0))+IF($C60&lt;&gt;1,1,MAX(1,COUNTIF(QCI!$A$13:$A$24,OFFSET($E60,-1,0)))),"")</f>
        <v>10</v>
      </c>
      <c r="AE60" s="114" t="b">
        <f ca="1">IF(AND($C60="S",ORÇAMENTO.CodBarra&lt;&gt;""),IF(ORÇAMENTO.Fonte="",ORÇAMENTO.CodBarra,CONCATENATE(ORÇAMENTO.Fonte," ",ORÇAMENTO.CodBarra)))</f>
        <v>0</v>
      </c>
      <c r="AF60" s="159" t="str">
        <f ca="1">IF(ISERROR(INDIRECT(ORÇAMENTO.BancoRef)),"(abra o arquivo 'Referência "&amp;Excel_BuiltIn_Database&amp;".xlsm)",IF(OR($C60&lt;&gt;"S",ORÇAMENTO.CodBarra=""),"(Sem Código)",IF(ISERROR(MATCH($AE60,INDIRECT(ORÇAMENTO.BancoRef),0)),"(Código não identificado nas referências)",MATCH($AE60,INDIRECT(ORÇAMENTO.BancoRef),0))))</f>
        <v>(Sem Código)</v>
      </c>
      <c r="AG60" s="578">
        <f ca="1">ROUND(IF(DESONERACAO="sim",REFERENCIA.Desonerado,REFERENCIA.NaoDesonerado),2)</f>
        <v>0</v>
      </c>
      <c r="AH60" s="579">
        <f t="shared" ca="1" si="4"/>
        <v>0.2034</v>
      </c>
      <c r="AJ60" s="581"/>
      <c r="AL60" s="611"/>
      <c r="AM60" s="430">
        <f t="shared" ca="1" si="0"/>
        <v>0</v>
      </c>
      <c r="AN60" s="654">
        <f t="shared" ca="1" si="5"/>
        <v>0</v>
      </c>
    </row>
    <row r="61" spans="1:40" ht="38.25" x14ac:dyDescent="0.2">
      <c r="A61" t="str">
        <f t="shared" ref="A61:A100" si="62">CHOOSE(1+LOG(1+2*(ORÇAMENTO.Nivel="Meta")+4*(ORÇAMENTO.Nivel="Nível 2")+8*(ORÇAMENTO.Nivel="Nível 3")+16*(ORÇAMENTO.Nivel="Nível 4")+32*(ORÇAMENTO.Nivel="Serviço"),2),0,1,2,3,4,"S")</f>
        <v>S</v>
      </c>
      <c r="B61">
        <f ca="1">IF(OR(C61="s",C61=0),OFFSET(B61,-1,0),C61)</f>
        <v>2</v>
      </c>
      <c r="C61" t="str">
        <f ca="1">IF(OFFSET(C61,-1,0)="L",1,IF(OFFSET(C61,-1,0)=1,2,IF(OR(A61="s",A61=0),"S",IF(AND(OFFSET(C61,-1,0)=2,A61=4),3,IF(AND(OR(OFFSET(C61,-1,0)="s",OFFSET(C61,-1,0)=0),A61&lt;&gt;"s",A61&gt;OFFSET(B61,-1,0)),OFFSET(B61,-1,0),A61)))))</f>
        <v>S</v>
      </c>
      <c r="D61">
        <f ca="1">IF(OR(C61="S",C61=0),0,IF(ISERROR(K61),J61,SMALL(J61:K61,1)))</f>
        <v>0</v>
      </c>
      <c r="E61">
        <f ca="1">IF($C61=1,OFFSET(E61,-1,0)+MAX(1,COUNTIF(QCI!$A$13:$A$24,OFFSET(ORÇAMENTO!E61,-1,0))),OFFSET(E61,-1,0))</f>
        <v>1</v>
      </c>
      <c r="F61">
        <f ca="1">IF($C61=1,0,IF($C61=2,OFFSET(F61,-1,0)+1,OFFSET(F61,-1,0)))</f>
        <v>9</v>
      </c>
      <c r="G61">
        <f ca="1">IF(AND($C61&lt;=2,$C61&lt;&gt;0),0,IF($C61=3,OFFSET(G61,-1,0)+1,OFFSET(G61,-1,0)))</f>
        <v>0</v>
      </c>
      <c r="H61">
        <f ca="1">IF(AND($C61&lt;=3,$C61&lt;&gt;0),0,IF($C61=4,OFFSET(H61,-1,0)+1,OFFSET(H61,-1,0)))</f>
        <v>0</v>
      </c>
      <c r="I61">
        <f ca="1">IF(AND($C61&lt;=4,$C61&lt;&gt;0),0,IF(AND($C61="S",$X61&gt;0),OFFSET(I61,-1,0)+1,OFFSET(I61,-1,0)))</f>
        <v>0</v>
      </c>
      <c r="J61">
        <f t="shared" ca="1" si="61"/>
        <v>0</v>
      </c>
      <c r="K61">
        <f ca="1">IF(OR($C61="S",$C61=0),0,MATCH(OFFSET($D61,0,$C61)+IF($C61&lt;&gt;1,1,COUNTIF(QCI!$A$13:$A$24,ORÇAMENTO!E61)),OFFSET($D61,1,$C61,ROW($C$192)-ROW($C61)),0))</f>
        <v>0</v>
      </c>
      <c r="L61" s="143" t="str">
        <f ca="1">IF(OR($X61&gt;0,$C61=1,$C61=2,$C61=3,$C61=4),"F","")</f>
        <v/>
      </c>
      <c r="M61" s="144" t="s">
        <v>199</v>
      </c>
      <c r="N61" s="145" t="str">
        <f ca="1">CHOOSE(1+LOG(1+2*(C61=1)+4*(C61=2)+8*(C61=3)+16*(C61=4)+32*(C61="S"),2),"","Meta","Nível 2","Nível 3","Nível 4","Serviço")</f>
        <v>Serviço</v>
      </c>
      <c r="O61" s="146" t="str">
        <f ca="1">IF(OR($C61=0,$L61=""),"-",CONCATENATE(E61&amp;".",IF(AND($A$5&gt;=2,$C61&gt;=2),F61&amp;".",""),IF(AND($A$5&gt;=3,$C61&gt;=3),G61&amp;".",""),IF(AND($A$5&gt;=4,$C61&gt;=4),H61&amp;".",""),IF($C61="S",I61&amp;".","")))</f>
        <v>-</v>
      </c>
      <c r="P61" s="147" t="s">
        <v>247</v>
      </c>
      <c r="Q61" s="148" t="s">
        <v>458</v>
      </c>
      <c r="R61" s="149" t="s">
        <v>664</v>
      </c>
      <c r="S61" s="150" t="s">
        <v>777</v>
      </c>
      <c r="T61" s="151">
        <f ca="1">OFFSET(CÁLCULO!H$15,ROW($T61)-ROW(T$15),0)</f>
        <v>784</v>
      </c>
      <c r="U61" s="152"/>
      <c r="V61" s="153" t="s">
        <v>156</v>
      </c>
      <c r="W61" s="151">
        <f ca="1">IF($C61="S",ROUND(IF(TIPOORCAMENTO="Proposto",ORÇAMENTO.CustoUnitario*(1+$AH61),ORÇAMENTO.PrecoUnitarioLicitado),15-13*$AF$10),0)</f>
        <v>0</v>
      </c>
      <c r="X61" s="154">
        <f ca="1">IF($C61="S",IF(Import.TipoArredondamento&lt;&gt;"TransfereGOV",VTOTAL1,SUM(OFFSET(CÁLCULO!$AA$15,ROW($X61)-ROW($X$15),1):OFFSET(CÁLCULO!$AL$15,ROW($X61)-ROW($X$15),-1))),IF($C61=0,0,ROUND(SomaAgrup,15-13*$AF$11)))</f>
        <v>0</v>
      </c>
      <c r="Y61" s="155" t="s">
        <v>245</v>
      </c>
      <c r="Z61" t="str">
        <f ca="1">IF(AND($C61="S",$X61&gt;0),IF(ISBLANK($Y61),"RA",LEFT($Y61,2)),"")</f>
        <v/>
      </c>
      <c r="AA61" s="156">
        <f ca="1">IF($C61="S",IF($Z61="CP",$X61,IF($Z61="RA",(($X61)*QCI!$AA$3),0)),SomaAgrup)</f>
        <v>0</v>
      </c>
      <c r="AB61" s="157">
        <f t="shared" ref="AB61:AB100" ca="1" si="63">IF($C61="S",IF($Z61="OU",ROUND($X61,2),0),SomaAgrup)</f>
        <v>0</v>
      </c>
      <c r="AC61" s="158" t="str">
        <f ca="1">IF($N61="","",IF(ORÇAMENTO.Descricao="","DESCRIÇÃO",IF(AND($C61="S",ORÇAMENTO.Unidade=""),"UNIDADE",IF($X61&lt;0,"VALOR NEGATIVO",IF(OR(AND(TIPOORCAMENTO="Proposto",$AG61&lt;&gt;"",$AG61&gt;0,ORÇAMENTO.CustoUnitario&gt;$AG61),AND(TIPOORCAMENTO="LICITADO",ORÇAMENTO.PrecoUnitarioLicitado&gt;$AN61)),"ACIMA REF.","")))))</f>
        <v/>
      </c>
      <c r="AD61" s="666" t="str">
        <f ca="1">IF(C61&lt;=CRONO.NivelExibicao,MAX($AD$15:OFFSET(AD61,-1,0))+IF($C61&lt;&gt;1,1,MAX(1,COUNTIF(QCI!$A$13:$A$24,OFFSET($E61,-1,0)))),"")</f>
        <v/>
      </c>
      <c r="AE61" s="114" t="str">
        <f ca="1">IF(AND($C61="S",ORÇAMENTO.CodBarra&lt;&gt;""),IF(ORÇAMENTO.Fonte="",ORÇAMENTO.CodBarra,CONCATENATE(ORÇAMENTO.Fonte," ",ORÇAMENTO.CodBarra)))</f>
        <v>SINAPI 103325</v>
      </c>
      <c r="AF61" s="159">
        <f ca="1">IF(ISERROR(INDIRECT(ORÇAMENTO.BancoRef)),"(abra o arquivo 'Referência "&amp;Excel_BuiltIn_Database&amp;".xlsm)",IF(OR($C61&lt;&gt;"S",ORÇAMENTO.CodBarra=""),"(Sem Código)",IF(ISERROR(MATCH($AE61,INDIRECT(ORÇAMENTO.BancoRef),0)),"(Código não identificado nas referências)",MATCH($AE61,INDIRECT(ORÇAMENTO.BancoRef),0))))</f>
        <v>10776</v>
      </c>
      <c r="AG61" s="578">
        <f ca="1">ROUND(IF(DESONERACAO="sim",REFERENCIA.Desonerado,REFERENCIA.NaoDesonerado),2)</f>
        <v>77.33</v>
      </c>
      <c r="AH61" s="579">
        <f t="shared" ref="AH61:AH100" ca="1" si="64">ROUND(IF(ISNUMBER(ORÇAMENTO.OpcaoBDI),ORÇAMENTO.OpcaoBDI,IF(LEFT(ORÇAMENTO.OpcaoBDI,3)="BDI",HLOOKUP(ORÇAMENTO.OpcaoBDI,$F$4:$H$5,2,FALSE),0)),15-11*$AF$9)</f>
        <v>0.2034</v>
      </c>
      <c r="AJ61" s="581">
        <v>784</v>
      </c>
      <c r="AL61" s="611"/>
      <c r="AM61" s="430">
        <f t="shared" ca="1" si="0"/>
        <v>0</v>
      </c>
      <c r="AN61" s="654">
        <f t="shared" ref="AN61:AN100" ca="1" si="65">ROUND(ORÇAMENTO.CustoUnitario*(1+$AH61),2)</f>
        <v>0</v>
      </c>
    </row>
    <row r="62" spans="1:40" ht="51" x14ac:dyDescent="0.2">
      <c r="A62" t="str">
        <f t="shared" si="62"/>
        <v>S</v>
      </c>
      <c r="B62">
        <f t="shared" ref="B62:B100" ca="1" si="66">IF(OR(C62="s",C62=0),OFFSET(B62,-1,0),C62)</f>
        <v>2</v>
      </c>
      <c r="C62" t="str">
        <f t="shared" ref="C62:C100" ca="1" si="67">IF(OFFSET(C62,-1,0)="L",1,IF(OFFSET(C62,-1,0)=1,2,IF(OR(A62="s",A62=0),"S",IF(AND(OFFSET(C62,-1,0)=2,A62=4),3,IF(AND(OR(OFFSET(C62,-1,0)="s",OFFSET(C62,-1,0)=0),A62&lt;&gt;"s",A62&gt;OFFSET(B62,-1,0)),OFFSET(B62,-1,0),A62)))))</f>
        <v>S</v>
      </c>
      <c r="D62">
        <f t="shared" ref="D62:D100" ca="1" si="68">IF(OR(C62="S",C62=0),0,IF(ISERROR(K62),J62,SMALL(J62:K62,1)))</f>
        <v>0</v>
      </c>
      <c r="E62">
        <f ca="1">IF($C62=1,OFFSET(E62,-1,0)+MAX(1,COUNTIF(QCI!$A$13:$A$24,OFFSET(ORÇAMENTO!E62,-1,0))),OFFSET(E62,-1,0))</f>
        <v>1</v>
      </c>
      <c r="F62">
        <f t="shared" ref="F62:F100" ca="1" si="69">IF($C62=1,0,IF($C62=2,OFFSET(F62,-1,0)+1,OFFSET(F62,-1,0)))</f>
        <v>9</v>
      </c>
      <c r="G62">
        <f t="shared" ref="G62:G100" ca="1" si="70">IF(AND($C62&lt;=2,$C62&lt;&gt;0),0,IF($C62=3,OFFSET(G62,-1,0)+1,OFFSET(G62,-1,0)))</f>
        <v>0</v>
      </c>
      <c r="H62">
        <f t="shared" ref="H62:H100" ca="1" si="71">IF(AND($C62&lt;=3,$C62&lt;&gt;0),0,IF($C62=4,OFFSET(H62,-1,0)+1,OFFSET(H62,-1,0)))</f>
        <v>0</v>
      </c>
      <c r="I62">
        <f t="shared" ref="I62:I100" ca="1" si="72">IF(AND($C62&lt;=4,$C62&lt;&gt;0),0,IF(AND($C62="S",$X62&gt;0),OFFSET(I62,-1,0)+1,OFFSET(I62,-1,0)))</f>
        <v>0</v>
      </c>
      <c r="J62">
        <f t="shared" ca="1" si="61"/>
        <v>0</v>
      </c>
      <c r="K62">
        <f ca="1">IF(OR($C62="S",$C62=0),0,MATCH(OFFSET($D62,0,$C62)+IF($C62&lt;&gt;1,1,COUNTIF(QCI!$A$13:$A$24,ORÇAMENTO!E62)),OFFSET($D62,1,$C62,ROW($C$192)-ROW($C62)),0))</f>
        <v>0</v>
      </c>
      <c r="L62" s="143" t="str">
        <f t="shared" ref="L62:L100" ca="1" si="73">IF(OR($X62&gt;0,$C62=1,$C62=2,$C62=3,$C62=4),"F","")</f>
        <v/>
      </c>
      <c r="M62" s="144" t="s">
        <v>199</v>
      </c>
      <c r="N62" s="145" t="str">
        <f t="shared" ref="N62:N100" ca="1" si="74">CHOOSE(1+LOG(1+2*(C62=1)+4*(C62=2)+8*(C62=3)+16*(C62=4)+32*(C62="S"),2),"","Meta","Nível 2","Nível 3","Nível 4","Serviço")</f>
        <v>Serviço</v>
      </c>
      <c r="O62" s="146" t="str">
        <f t="shared" ref="O62:O100" ca="1" si="75">IF(OR($C62=0,$L62=""),"-",CONCATENATE(E62&amp;".",IF(AND($A$5&gt;=2,$C62&gt;=2),F62&amp;".",""),IF(AND($A$5&gt;=3,$C62&gt;=3),G62&amp;".",""),IF(AND($A$5&gt;=4,$C62&gt;=4),H62&amp;".",""),IF($C62="S",I62&amp;".","")))</f>
        <v>-</v>
      </c>
      <c r="P62" s="147" t="s">
        <v>247</v>
      </c>
      <c r="Q62" s="148" t="s">
        <v>459</v>
      </c>
      <c r="R62" s="149" t="s">
        <v>665</v>
      </c>
      <c r="S62" s="150" t="s">
        <v>777</v>
      </c>
      <c r="T62" s="151">
        <f ca="1">OFFSET(CÁLCULO!H$15,ROW($T62)-ROW(T$15),0)</f>
        <v>1568</v>
      </c>
      <c r="U62" s="152"/>
      <c r="V62" s="153" t="s">
        <v>156</v>
      </c>
      <c r="W62" s="151">
        <f ca="1">IF($C62="S",ROUND(IF(TIPOORCAMENTO="Proposto",ORÇAMENTO.CustoUnitario*(1+$AH62),ORÇAMENTO.PrecoUnitarioLicitado),15-13*$AF$10),0)</f>
        <v>0</v>
      </c>
      <c r="X62" s="154">
        <f ca="1">IF($C62="S",IF(Import.TipoArredondamento&lt;&gt;"TransfereGOV",VTOTAL1,SUM(OFFSET(CÁLCULO!$AA$15,ROW($X62)-ROW($X$15),1):OFFSET(CÁLCULO!$AL$15,ROW($X62)-ROW($X$15),-1))),IF($C62=0,0,ROUND(SomaAgrup,15-13*$AF$11)))</f>
        <v>0</v>
      </c>
      <c r="Y62" s="155" t="s">
        <v>245</v>
      </c>
      <c r="Z62" t="str">
        <f t="shared" ref="Z62:Z100" ca="1" si="76">IF(AND($C62="S",$X62&gt;0),IF(ISBLANK($Y62),"RA",LEFT($Y62,2)),"")</f>
        <v/>
      </c>
      <c r="AA62" s="156">
        <f ca="1">IF($C62="S",IF($Z62="CP",$X62,IF($Z62="RA",(($X62)*QCI!$AA$3),0)),SomaAgrup)</f>
        <v>0</v>
      </c>
      <c r="AB62" s="157">
        <f t="shared" ca="1" si="63"/>
        <v>0</v>
      </c>
      <c r="AC62" s="158" t="str">
        <f ca="1">IF($N62="","",IF(ORÇAMENTO.Descricao="","DESCRIÇÃO",IF(AND($C62="S",ORÇAMENTO.Unidade=""),"UNIDADE",IF($X62&lt;0,"VALOR NEGATIVO",IF(OR(AND(TIPOORCAMENTO="Proposto",$AG62&lt;&gt;"",$AG62&gt;0,ORÇAMENTO.CustoUnitario&gt;$AG62),AND(TIPOORCAMENTO="LICITADO",ORÇAMENTO.PrecoUnitarioLicitado&gt;$AN62)),"ACIMA REF.","")))))</f>
        <v/>
      </c>
      <c r="AD62" s="667" t="str">
        <f ca="1">IF(C62&lt;=CRONO.NivelExibicao,MAX($AD$15:OFFSET(AD62,-1,0))+IF($C62&lt;&gt;1,1,MAX(1,COUNTIF(QCI!$A$13:$A$24,OFFSET($E62,-1,0)))),"")</f>
        <v/>
      </c>
      <c r="AE62" s="114" t="str">
        <f ca="1">IF(AND($C62="S",ORÇAMENTO.CodBarra&lt;&gt;""),IF(ORÇAMENTO.Fonte="",ORÇAMENTO.CodBarra,CONCATENATE(ORÇAMENTO.Fonte," ",ORÇAMENTO.CodBarra)))</f>
        <v>SINAPI 87775</v>
      </c>
      <c r="AF62" s="159">
        <f ca="1">IF(ISERROR(INDIRECT(ORÇAMENTO.BancoRef)),"(abra o arquivo 'Referência "&amp;Excel_BuiltIn_Database&amp;".xlsm)",IF(OR($C62&lt;&gt;"S",ORÇAMENTO.CodBarra=""),"(Sem Código)",IF(ISERROR(MATCH($AE62,INDIRECT(ORÇAMENTO.BancoRef),0)),"(Código não identificado nas referências)",MATCH($AE62,INDIRECT(ORÇAMENTO.BancoRef),0))))</f>
        <v>11341</v>
      </c>
      <c r="AG62" s="578">
        <f ca="1">ROUND(IF(DESONERACAO="sim",REFERENCIA.Desonerado,REFERENCIA.NaoDesonerado),2)</f>
        <v>54.73</v>
      </c>
      <c r="AH62" s="579">
        <f t="shared" ca="1" si="64"/>
        <v>0.2034</v>
      </c>
      <c r="AJ62" s="581">
        <f>AJ61*2</f>
        <v>1568</v>
      </c>
      <c r="AL62" s="611"/>
      <c r="AM62" s="430">
        <f t="shared" ca="1" si="0"/>
        <v>0</v>
      </c>
      <c r="AN62" s="654">
        <f t="shared" ca="1" si="65"/>
        <v>0</v>
      </c>
    </row>
    <row r="63" spans="1:40" ht="51" x14ac:dyDescent="0.2">
      <c r="A63" t="str">
        <f t="shared" si="62"/>
        <v>S</v>
      </c>
      <c r="B63">
        <f t="shared" ca="1" si="66"/>
        <v>2</v>
      </c>
      <c r="C63" t="str">
        <f t="shared" ca="1" si="67"/>
        <v>S</v>
      </c>
      <c r="D63">
        <f t="shared" ca="1" si="68"/>
        <v>0</v>
      </c>
      <c r="E63">
        <f ca="1">IF($C63=1,OFFSET(E63,-1,0)+MAX(1,COUNTIF(QCI!$A$13:$A$24,OFFSET(ORÇAMENTO!E63,-1,0))),OFFSET(E63,-1,0))</f>
        <v>1</v>
      </c>
      <c r="F63">
        <f t="shared" ca="1" si="69"/>
        <v>9</v>
      </c>
      <c r="G63">
        <f t="shared" ca="1" si="70"/>
        <v>0</v>
      </c>
      <c r="H63">
        <f t="shared" ca="1" si="71"/>
        <v>0</v>
      </c>
      <c r="I63">
        <f t="shared" ca="1" si="72"/>
        <v>0</v>
      </c>
      <c r="J63">
        <f t="shared" ca="1" si="61"/>
        <v>0</v>
      </c>
      <c r="K63">
        <f ca="1">IF(OR($C63="S",$C63=0),0,MATCH(OFFSET($D63,0,$C63)+IF($C63&lt;&gt;1,1,COUNTIF(QCI!$A$13:$A$24,ORÇAMENTO!E63)),OFFSET($D63,1,$C63,ROW($C$192)-ROW($C63)),0))</f>
        <v>0</v>
      </c>
      <c r="L63" s="143" t="str">
        <f t="shared" ca="1" si="73"/>
        <v/>
      </c>
      <c r="M63" s="144" t="s">
        <v>199</v>
      </c>
      <c r="N63" s="145" t="str">
        <f t="shared" ca="1" si="74"/>
        <v>Serviço</v>
      </c>
      <c r="O63" s="146" t="str">
        <f t="shared" ca="1" si="75"/>
        <v>-</v>
      </c>
      <c r="P63" s="147" t="s">
        <v>247</v>
      </c>
      <c r="Q63" s="148" t="s">
        <v>462</v>
      </c>
      <c r="R63" s="149" t="s">
        <v>666</v>
      </c>
      <c r="S63" s="150" t="s">
        <v>777</v>
      </c>
      <c r="T63" s="151">
        <f ca="1">OFFSET(CÁLCULO!H$15,ROW($T63)-ROW(T$15),0)</f>
        <v>1568</v>
      </c>
      <c r="U63" s="152"/>
      <c r="V63" s="153" t="s">
        <v>156</v>
      </c>
      <c r="W63" s="151">
        <f ca="1">IF($C63="S",ROUND(IF(TIPOORCAMENTO="Proposto",ORÇAMENTO.CustoUnitario*(1+$AH63),ORÇAMENTO.PrecoUnitarioLicitado),15-13*$AF$10),0)</f>
        <v>0</v>
      </c>
      <c r="X63" s="154">
        <f ca="1">IF($C63="S",IF(Import.TipoArredondamento&lt;&gt;"TransfereGOV",VTOTAL1,SUM(OFFSET(CÁLCULO!$AA$15,ROW($X63)-ROW($X$15),1):OFFSET(CÁLCULO!$AL$15,ROW($X63)-ROW($X$15),-1))),IF($C63=0,0,ROUND(SomaAgrup,15-13*$AF$11)))</f>
        <v>0</v>
      </c>
      <c r="Y63" s="155" t="s">
        <v>245</v>
      </c>
      <c r="Z63" t="str">
        <f t="shared" ca="1" si="76"/>
        <v/>
      </c>
      <c r="AA63" s="156">
        <f ca="1">IF($C63="S",IF($Z63="CP",$X63,IF($Z63="RA",(($X63)*QCI!$AA$3),0)),SomaAgrup)</f>
        <v>0</v>
      </c>
      <c r="AB63" s="157">
        <f t="shared" ca="1" si="63"/>
        <v>0</v>
      </c>
      <c r="AC63" s="158" t="str">
        <f ca="1">IF($N63="","",IF(ORÇAMENTO.Descricao="","DESCRIÇÃO",IF(AND($C63="S",ORÇAMENTO.Unidade=""),"UNIDADE",IF($X63&lt;0,"VALOR NEGATIVO",IF(OR(AND(TIPOORCAMENTO="Proposto",$AG63&lt;&gt;"",$AG63&gt;0,ORÇAMENTO.CustoUnitario&gt;$AG63),AND(TIPOORCAMENTO="LICITADO",ORÇAMENTO.PrecoUnitarioLicitado&gt;$AN63)),"ACIMA REF.","")))))</f>
        <v/>
      </c>
      <c r="AD63" s="667" t="str">
        <f ca="1">IF(C63&lt;=CRONO.NivelExibicao,MAX($AD$15:OFFSET(AD63,-1,0))+IF($C63&lt;&gt;1,1,MAX(1,COUNTIF(QCI!$A$13:$A$24,OFFSET($E63,-1,0)))),"")</f>
        <v/>
      </c>
      <c r="AE63" s="114" t="str">
        <f ca="1">IF(AND($C63="S",ORÇAMENTO.CodBarra&lt;&gt;""),IF(ORÇAMENTO.Fonte="",ORÇAMENTO.CodBarra,CONCATENATE(ORÇAMENTO.Fonte," ",ORÇAMENTO.CodBarra)))</f>
        <v>SINAPI 87905</v>
      </c>
      <c r="AF63" s="159">
        <f ca="1">IF(ISERROR(INDIRECT(ORÇAMENTO.BancoRef)),"(abra o arquivo 'Referência "&amp;Excel_BuiltIn_Database&amp;".xlsm)",IF(OR($C63&lt;&gt;"S",ORÇAMENTO.CodBarra=""),"(Sem Código)",IF(ISERROR(MATCH($AE63,INDIRECT(ORÇAMENTO.BancoRef),0)),"(Código não identificado nas referências)",MATCH($AE63,INDIRECT(ORÇAMENTO.BancoRef),0))))</f>
        <v>11300</v>
      </c>
      <c r="AG63" s="578">
        <f ca="1">ROUND(IF(DESONERACAO="sim",REFERENCIA.Desonerado,REFERENCIA.NaoDesonerado),2)</f>
        <v>8.17</v>
      </c>
      <c r="AH63" s="579">
        <f t="shared" ca="1" si="64"/>
        <v>0.2034</v>
      </c>
      <c r="AJ63" s="581">
        <f>AJ61*2</f>
        <v>1568</v>
      </c>
      <c r="AL63" s="611"/>
      <c r="AM63" s="430">
        <f t="shared" ca="1" si="0"/>
        <v>0</v>
      </c>
      <c r="AN63" s="654">
        <f t="shared" ca="1" si="65"/>
        <v>0</v>
      </c>
    </row>
    <row r="64" spans="1:40" ht="25.5" x14ac:dyDescent="0.2">
      <c r="A64" t="str">
        <f t="shared" si="62"/>
        <v>S</v>
      </c>
      <c r="B64">
        <f t="shared" ca="1" si="66"/>
        <v>2</v>
      </c>
      <c r="C64" t="str">
        <f t="shared" ca="1" si="67"/>
        <v>S</v>
      </c>
      <c r="D64">
        <f t="shared" ca="1" si="68"/>
        <v>0</v>
      </c>
      <c r="E64">
        <f ca="1">IF($C64=1,OFFSET(E64,-1,0)+MAX(1,COUNTIF(QCI!$A$13:$A$24,OFFSET(ORÇAMENTO!E64,-1,0))),OFFSET(E64,-1,0))</f>
        <v>1</v>
      </c>
      <c r="F64">
        <f t="shared" ca="1" si="69"/>
        <v>9</v>
      </c>
      <c r="G64">
        <f t="shared" ca="1" si="70"/>
        <v>0</v>
      </c>
      <c r="H64">
        <f t="shared" ca="1" si="71"/>
        <v>0</v>
      </c>
      <c r="I64">
        <f t="shared" ca="1" si="72"/>
        <v>0</v>
      </c>
      <c r="J64">
        <f t="shared" ca="1" si="61"/>
        <v>0</v>
      </c>
      <c r="K64">
        <f ca="1">IF(OR($C64="S",$C64=0),0,MATCH(OFFSET($D64,0,$C64)+IF($C64&lt;&gt;1,1,COUNTIF(QCI!$A$13:$A$24,ORÇAMENTO!E64)),OFFSET($D64,1,$C64,ROW($C$192)-ROW($C64)),0))</f>
        <v>0</v>
      </c>
      <c r="L64" s="143" t="str">
        <f t="shared" ca="1" si="73"/>
        <v/>
      </c>
      <c r="M64" s="144" t="s">
        <v>199</v>
      </c>
      <c r="N64" s="145" t="str">
        <f t="shared" ca="1" si="74"/>
        <v>Serviço</v>
      </c>
      <c r="O64" s="146" t="str">
        <f t="shared" ca="1" si="75"/>
        <v>-</v>
      </c>
      <c r="P64" s="147" t="s">
        <v>497</v>
      </c>
      <c r="Q64" s="148" t="s">
        <v>498</v>
      </c>
      <c r="R64" s="149" t="s">
        <v>667</v>
      </c>
      <c r="S64" s="150" t="s">
        <v>782</v>
      </c>
      <c r="T64" s="151">
        <f ca="1">OFFSET(CÁLCULO!H$15,ROW($T64)-ROW(T$15),0)</f>
        <v>84</v>
      </c>
      <c r="U64" s="152"/>
      <c r="V64" s="153" t="s">
        <v>156</v>
      </c>
      <c r="W64" s="151">
        <f ca="1">IF($C64="S",ROUND(IF(TIPOORCAMENTO="Proposto",ORÇAMENTO.CustoUnitario*(1+$AH64),ORÇAMENTO.PrecoUnitarioLicitado),15-13*$AF$10),0)</f>
        <v>0</v>
      </c>
      <c r="X64" s="154">
        <f ca="1">IF($C64="S",IF(Import.TipoArredondamento&lt;&gt;"TransfereGOV",VTOTAL1,SUM(OFFSET(CÁLCULO!$AA$15,ROW($X64)-ROW($X$15),1):OFFSET(CÁLCULO!$AL$15,ROW($X64)-ROW($X$15),-1))),IF($C64=0,0,ROUND(SomaAgrup,15-13*$AF$11)))</f>
        <v>0</v>
      </c>
      <c r="Y64" s="155" t="s">
        <v>245</v>
      </c>
      <c r="Z64" t="str">
        <f t="shared" ca="1" si="76"/>
        <v/>
      </c>
      <c r="AA64" s="156">
        <f ca="1">IF($C64="S",IF($Z64="CP",$X64,IF($Z64="RA",(($X64)*QCI!$AA$3),0)),SomaAgrup)</f>
        <v>0</v>
      </c>
      <c r="AB64" s="157">
        <f t="shared" ca="1" si="63"/>
        <v>0</v>
      </c>
      <c r="AC64" s="158" t="str">
        <f ca="1">IF($N64="","",IF(ORÇAMENTO.Descricao="","DESCRIÇÃO",IF(AND($C64="S",ORÇAMENTO.Unidade=""),"UNIDADE",IF($X64&lt;0,"VALOR NEGATIVO",IF(OR(AND(TIPOORCAMENTO="Proposto",$AG64&lt;&gt;"",$AG64&gt;0,ORÇAMENTO.CustoUnitario&gt;$AG64),AND(TIPOORCAMENTO="LICITADO",ORÇAMENTO.PrecoUnitarioLicitado&gt;$AN64)),"ACIMA REF.","")))))</f>
        <v/>
      </c>
      <c r="AD64" s="667" t="str">
        <f ca="1">IF(C64&lt;=CRONO.NivelExibicao,MAX($AD$15:OFFSET(AD64,-1,0))+IF($C64&lt;&gt;1,1,MAX(1,COUNTIF(QCI!$A$13:$A$24,OFFSET($E64,-1,0)))),"")</f>
        <v/>
      </c>
      <c r="AE64" s="114" t="str">
        <f ca="1">IF(AND($C64="S",ORÇAMENTO.CodBarra&lt;&gt;""),IF(ORÇAMENTO.Fonte="",ORÇAMENTO.CodBarra,CONCATENATE(ORÇAMENTO.Fonte," ",ORÇAMENTO.CodBarra)))</f>
        <v>COMPOSIÇÃO C007</v>
      </c>
      <c r="AF64" s="159">
        <f ca="1">IF(ISERROR(INDIRECT(ORÇAMENTO.BancoRef)),"(abra o arquivo 'Referência "&amp;Excel_BuiltIn_Database&amp;".xlsm)",IF(OR($C64&lt;&gt;"S",ORÇAMENTO.CodBarra=""),"(Sem Código)",IF(ISERROR(MATCH($AE64,INDIRECT(ORÇAMENTO.BancoRef),0)),"(Código não identificado nas referências)",MATCH($AE64,INDIRECT(ORÇAMENTO.BancoRef),0))))</f>
        <v>7</v>
      </c>
      <c r="AG64" s="578">
        <f ca="1">ROUND(IF(DESONERACAO="sim",REFERENCIA.Desonerado,REFERENCIA.NaoDesonerado),2)</f>
        <v>341.66</v>
      </c>
      <c r="AH64" s="579">
        <f t="shared" ca="1" si="64"/>
        <v>0.2034</v>
      </c>
      <c r="AJ64" s="581">
        <f>868-AJ61</f>
        <v>84</v>
      </c>
      <c r="AL64" s="611"/>
      <c r="AM64" s="430">
        <f t="shared" ca="1" si="0"/>
        <v>0</v>
      </c>
      <c r="AN64" s="654">
        <f t="shared" ca="1" si="65"/>
        <v>0</v>
      </c>
    </row>
    <row r="65" spans="1:40" ht="38.25" x14ac:dyDescent="0.2">
      <c r="A65" t="str">
        <f>CHOOSE(1+LOG(1+2*(ORÇAMENTO.Nivel="Meta")+4*(ORÇAMENTO.Nivel="Nível 2")+8*(ORÇAMENTO.Nivel="Nível 3")+16*(ORÇAMENTO.Nivel="Nível 4")+32*(ORÇAMENTO.Nivel="Serviço"),2),0,1,2,3,4,"S")</f>
        <v>S</v>
      </c>
      <c r="B65">
        <f ca="1">IF(OR(C65="s",C65=0),OFFSET(B65,-1,0),C65)</f>
        <v>2</v>
      </c>
      <c r="C65" t="str">
        <f ca="1">IF(OFFSET(C65,-1,0)="L",1,IF(OFFSET(C65,-1,0)=1,2,IF(OR(A65="s",A65=0),"S",IF(AND(OFFSET(C65,-1,0)=2,A65=4),3,IF(AND(OR(OFFSET(C65,-1,0)="s",OFFSET(C65,-1,0)=0),A65&lt;&gt;"s",A65&gt;OFFSET(B65,-1,0)),OFFSET(B65,-1,0),A65)))))</f>
        <v>S</v>
      </c>
      <c r="D65">
        <f ca="1">IF(OR(C65="S",C65=0),0,IF(ISERROR(K65),J65,SMALL(J65:K65,1)))</f>
        <v>0</v>
      </c>
      <c r="E65">
        <f ca="1">IF($C65=1,OFFSET(E65,-1,0)+MAX(1,COUNTIF(QCI!$A$13:$A$24,OFFSET(ORÇAMENTO!E65,-1,0))),OFFSET(E65,-1,0))</f>
        <v>1</v>
      </c>
      <c r="F65">
        <f ca="1">IF($C65=1,0,IF($C65=2,OFFSET(F65,-1,0)+1,OFFSET(F65,-1,0)))</f>
        <v>9</v>
      </c>
      <c r="G65">
        <f ca="1">IF(AND($C65&lt;=2,$C65&lt;&gt;0),0,IF($C65=3,OFFSET(G65,-1,0)+1,OFFSET(G65,-1,0)))</f>
        <v>0</v>
      </c>
      <c r="H65">
        <f ca="1">IF(AND($C65&lt;=3,$C65&lt;&gt;0),0,IF($C65=4,OFFSET(H65,-1,0)+1,OFFSET(H65,-1,0)))</f>
        <v>0</v>
      </c>
      <c r="I65">
        <f ca="1">IF(AND($C65&lt;=4,$C65&lt;&gt;0),0,IF(AND($C65="S",$X65&gt;0),OFFSET(I65,-1,0)+1,OFFSET(I65,-1,0)))</f>
        <v>0</v>
      </c>
      <c r="J65">
        <f t="shared" ca="1" si="61"/>
        <v>0</v>
      </c>
      <c r="K65">
        <f ca="1">IF(OR($C65="S",$C65=0),0,MATCH(OFFSET($D65,0,$C65)+IF($C65&lt;&gt;1,1,COUNTIF(QCI!$A$13:$A$24,ORÇAMENTO!E65)),OFFSET($D65,1,$C65,ROW($C$192)-ROW($C65)),0))</f>
        <v>0</v>
      </c>
      <c r="L65" s="143" t="str">
        <f ca="1">IF(OR($X65&gt;0,$C65=1,$C65=2,$C65=3,$C65=4),"F","")</f>
        <v/>
      </c>
      <c r="M65" s="144" t="s">
        <v>199</v>
      </c>
      <c r="N65" s="145" t="str">
        <f ca="1">CHOOSE(1+LOG(1+2*(C65=1)+4*(C65=2)+8*(C65=3)+16*(C65=4)+32*(C65="S"),2),"","Meta","Nível 2","Nível 3","Nível 4","Serviço")</f>
        <v>Serviço</v>
      </c>
      <c r="O65" s="146" t="str">
        <f ca="1">IF(OR($C65=0,$L65=""),"-",CONCATENATE(E65&amp;".",IF(AND($A$5&gt;=2,$C65&gt;=2),F65&amp;".",""),IF(AND($A$5&gt;=3,$C65&gt;=3),G65&amp;".",""),IF(AND($A$5&gt;=4,$C65&gt;=4),H65&amp;".",""),IF($C65="S",I65&amp;".","")))</f>
        <v>-</v>
      </c>
      <c r="P65" s="147" t="s">
        <v>247</v>
      </c>
      <c r="Q65" s="148" t="s">
        <v>572</v>
      </c>
      <c r="R65" s="149" t="s">
        <v>668</v>
      </c>
      <c r="S65" s="150" t="s">
        <v>777</v>
      </c>
      <c r="T65" s="151">
        <f ca="1">OFFSET(CÁLCULO!H$15,ROW($T65)-ROW(T$15),0)</f>
        <v>89.2</v>
      </c>
      <c r="U65" s="152"/>
      <c r="V65" s="153" t="s">
        <v>156</v>
      </c>
      <c r="W65" s="151">
        <f ca="1">IF($C65="S",ROUND(IF(TIPOORCAMENTO="Proposto",ORÇAMENTO.CustoUnitario*(1+$AH65),ORÇAMENTO.PrecoUnitarioLicitado),15-13*$AF$10),0)</f>
        <v>0</v>
      </c>
      <c r="X65" s="154">
        <f ca="1">IF($C65="S",IF(Import.TipoArredondamento&lt;&gt;"TransfereGOV",VTOTAL1,SUM(OFFSET(CÁLCULO!$AA$15,ROW($X65)-ROW($X$15),1):OFFSET(CÁLCULO!$AL$15,ROW($X65)-ROW($X$15),-1))),IF($C65=0,0,ROUND(SomaAgrup,15-13*$AF$11)))</f>
        <v>0</v>
      </c>
      <c r="Y65" s="155" t="s">
        <v>245</v>
      </c>
      <c r="Z65" t="str">
        <f ca="1">IF(AND($C65="S",$X65&gt;0),IF(ISBLANK($Y65),"RA",LEFT($Y65,2)),"")</f>
        <v/>
      </c>
      <c r="AA65" s="156">
        <f ca="1">IF($C65="S",IF($Z65="CP",$X65,IF($Z65="RA",(($X65)*QCI!$AA$3),0)),SomaAgrup)</f>
        <v>0</v>
      </c>
      <c r="AB65" s="157">
        <f ca="1">IF($C65="S",IF($Z65="OU",ROUND($X65,2),0),SomaAgrup)</f>
        <v>0</v>
      </c>
      <c r="AC65" s="158" t="str">
        <f ca="1">IF($N65="","",IF(ORÇAMENTO.Descricao="","DESCRIÇÃO",IF(AND($C65="S",ORÇAMENTO.Unidade=""),"UNIDADE",IF($X65&lt;0,"VALOR NEGATIVO",IF(OR(AND(TIPOORCAMENTO="Proposto",$AG65&lt;&gt;"",$AG65&gt;0,ORÇAMENTO.CustoUnitario&gt;$AG65),AND(TIPOORCAMENTO="LICITADO",ORÇAMENTO.PrecoUnitarioLicitado&gt;$AN65)),"ACIMA REF.","")))))</f>
        <v/>
      </c>
      <c r="AD65" s="683" t="str">
        <f ca="1">IF(C65&lt;=CRONO.NivelExibicao,MAX($AD$15:OFFSET(AD65,-1,0))+IF($C65&lt;&gt;1,1,MAX(1,COUNTIF(QCI!$A$13:$A$24,OFFSET($E65,-1,0)))),"")</f>
        <v/>
      </c>
      <c r="AE65" s="114" t="str">
        <f ca="1">IF(AND($C65="S",ORÇAMENTO.CodBarra&lt;&gt;""),IF(ORÇAMENTO.Fonte="",ORÇAMENTO.CodBarra,CONCATENATE(ORÇAMENTO.Fonte," ",ORÇAMENTO.CodBarra)))</f>
        <v>SINAPI 87273</v>
      </c>
      <c r="AF65" s="159">
        <f ca="1">IF(ISERROR(INDIRECT(ORÇAMENTO.BancoRef)),"(abra o arquivo 'Referência "&amp;Excel_BuiltIn_Database&amp;".xlsm)",IF(OR($C65&lt;&gt;"S",ORÇAMENTO.CodBarra=""),"(Sem Código)",IF(ISERROR(MATCH($AE65,INDIRECT(ORÇAMENTO.BancoRef),0)),"(Código não identificado nas referências)",MATCH($AE65,INDIRECT(ORÇAMENTO.BancoRef),0))))</f>
        <v>11502</v>
      </c>
      <c r="AG65" s="578">
        <f ca="1">ROUND(IF(DESONERACAO="sim",REFERENCIA.Desonerado,REFERENCIA.NaoDesonerado),2)</f>
        <v>66.73</v>
      </c>
      <c r="AH65" s="579">
        <f ca="1">ROUND(IF(ISNUMBER(ORÇAMENTO.OpcaoBDI),ORÇAMENTO.OpcaoBDI,IF(LEFT(ORÇAMENTO.OpcaoBDI,3)="BDI",HLOOKUP(ORÇAMENTO.OpcaoBDI,$F$4:$H$5,2,FALSE),0)),15-11*$AF$9)</f>
        <v>0.2034</v>
      </c>
      <c r="AJ65" s="581">
        <v>89.2</v>
      </c>
      <c r="AL65" s="611"/>
      <c r="AM65" s="430">
        <f t="shared" ca="1" si="0"/>
        <v>0</v>
      </c>
      <c r="AN65" s="654">
        <f ca="1">ROUND(ORÇAMENTO.CustoUnitario*(1+$AH65),2)</f>
        <v>0</v>
      </c>
    </row>
    <row r="66" spans="1:40" x14ac:dyDescent="0.2">
      <c r="A66">
        <f>CHOOSE(1+LOG(1+2*(ORÇAMENTO.Nivel="Meta")+4*(ORÇAMENTO.Nivel="Nível 2")+8*(ORÇAMENTO.Nivel="Nível 3")+16*(ORÇAMENTO.Nivel="Nível 4")+32*(ORÇAMENTO.Nivel="Serviço"),2),0,1,2,3,4,"S")</f>
        <v>2</v>
      </c>
      <c r="B66">
        <f ca="1">IF(OR(C66="s",C66=0),OFFSET(B66,-1,0),C66)</f>
        <v>2</v>
      </c>
      <c r="C66">
        <f ca="1">IF(OFFSET(C66,-1,0)="L",1,IF(OFFSET(C66,-1,0)=1,2,IF(OR(A66="s",A66=0),"S",IF(AND(OFFSET(C66,-1,0)=2,A66=4),3,IF(AND(OR(OFFSET(C66,-1,0)="s",OFFSET(C66,-1,0)=0),A66&lt;&gt;"s",A66&gt;OFFSET(B66,-1,0)),OFFSET(B66,-1,0),A66)))))</f>
        <v>2</v>
      </c>
      <c r="D66">
        <f ca="1">IF(OR(C66="S",C66=0),0,IF(ISERROR(K66),J66,SMALL(J66:K66,1)))</f>
        <v>2</v>
      </c>
      <c r="E66">
        <f ca="1">IF($C66=1,OFFSET(E66,-1,0)+MAX(1,COUNTIF(QCI!$A$13:$A$24,OFFSET(ORÇAMENTO!E66,-1,0))),OFFSET(E66,-1,0))</f>
        <v>1</v>
      </c>
      <c r="F66">
        <f ca="1">IF($C66=1,0,IF($C66=2,OFFSET(F66,-1,0)+1,OFFSET(F66,-1,0)))</f>
        <v>10</v>
      </c>
      <c r="G66">
        <f ca="1">IF(AND($C66&lt;=2,$C66&lt;&gt;0),0,IF($C66=3,OFFSET(G66,-1,0)+1,OFFSET(G66,-1,0)))</f>
        <v>0</v>
      </c>
      <c r="H66">
        <f ca="1">IF(AND($C66&lt;=3,$C66&lt;&gt;0),0,IF($C66=4,OFFSET(H66,-1,0)+1,OFFSET(H66,-1,0)))</f>
        <v>0</v>
      </c>
      <c r="I66">
        <f ca="1">IF(AND($C66&lt;=4,$C66&lt;&gt;0),0,IF(AND($C66="S",$X66&gt;0),OFFSET(I66,-1,0)+1,OFFSET(I66,-1,0)))</f>
        <v>0</v>
      </c>
      <c r="J66">
        <f t="shared" ca="1" si="61"/>
        <v>126</v>
      </c>
      <c r="K66">
        <f ca="1">IF(OR($C66="S",$C66=0),0,MATCH(OFFSET($D66,0,$C66)+IF($C66&lt;&gt;1,1,COUNTIF(QCI!$A$13:$A$24,ORÇAMENTO!E66)),OFFSET($D66,1,$C66,ROW($C$192)-ROW($C66)),0))</f>
        <v>2</v>
      </c>
      <c r="L66" s="143" t="str">
        <f ca="1">IF(OR($X66&gt;0,$C66=1,$C66=2,$C66=3,$C66=4),"F","")</f>
        <v>F</v>
      </c>
      <c r="M66" s="144" t="s">
        <v>196</v>
      </c>
      <c r="N66" s="145" t="str">
        <f ca="1">CHOOSE(1+LOG(1+2*(C66=1)+4*(C66=2)+8*(C66=3)+16*(C66=4)+32*(C66="S"),2),"","Meta","Nível 2","Nível 3","Nível 4","Serviço")</f>
        <v>Nível 2</v>
      </c>
      <c r="O66" s="146" t="str">
        <f ca="1">IF(OR($C66=0,$L66=""),"-",CONCATENATE(E66&amp;".",IF(AND($A$5&gt;=2,$C66&gt;=2),F66&amp;".",""),IF(AND($A$5&gt;=3,$C66&gt;=3),G66&amp;".",""),IF(AND($A$5&gt;=4,$C66&gt;=4),H66&amp;".",""),IF($C66="S",I66&amp;".","")))</f>
        <v>1.10.</v>
      </c>
      <c r="P66" s="147" t="s">
        <v>247</v>
      </c>
      <c r="Q66" s="148"/>
      <c r="R66" s="149" t="s">
        <v>559</v>
      </c>
      <c r="S66" s="150" t="s">
        <v>166</v>
      </c>
      <c r="T66" s="151">
        <f ca="1">OFFSET(CÁLCULO!H$15,ROW($T66)-ROW(T$15),0)</f>
        <v>0</v>
      </c>
      <c r="U66" s="152"/>
      <c r="V66" s="153" t="s">
        <v>156</v>
      </c>
      <c r="W66" s="151">
        <f ca="1">IF($C66="S",ROUND(IF(TIPOORCAMENTO="Proposto",ORÇAMENTO.CustoUnitario*(1+$AH66),ORÇAMENTO.PrecoUnitarioLicitado),15-13*$AF$10),0)</f>
        <v>0</v>
      </c>
      <c r="X66" s="154">
        <f ca="1">IF($C66="S",IF(Import.TipoArredondamento&lt;&gt;"TransfereGOV",VTOTAL1,SUM(OFFSET(CÁLCULO!$AA$15,ROW($X66)-ROW($X$15),1):OFFSET(CÁLCULO!$AL$15,ROW($X66)-ROW($X$15),-1))),IF($C66=0,0,ROUND(SomaAgrup,15-13*$AF$11)))</f>
        <v>0</v>
      </c>
      <c r="Y66" s="155" t="s">
        <v>245</v>
      </c>
      <c r="Z66" t="str">
        <f ca="1">IF(AND($C66="S",$X66&gt;0),IF(ISBLANK($Y66),"RA",LEFT($Y66,2)),"")</f>
        <v/>
      </c>
      <c r="AA66" s="156">
        <f ca="1">IF($C66="S",IF($Z66="CP",$X66,IF($Z66="RA",(($X66)*QCI!$AA$3),0)),SomaAgrup)</f>
        <v>0</v>
      </c>
      <c r="AB66" s="157">
        <f ca="1">IF($C66="S",IF($Z66="OU",ROUND($X66,2),0),SomaAgrup)</f>
        <v>0</v>
      </c>
      <c r="AC66" s="158" t="str">
        <f ca="1">IF($N66="","",IF(ORÇAMENTO.Descricao="","DESCRIÇÃO",IF(AND($C66="S",ORÇAMENTO.Unidade=""),"UNIDADE",IF($X66&lt;0,"VALOR NEGATIVO",IF(OR(AND(TIPOORCAMENTO="Proposto",$AG66&lt;&gt;"",$AG66&gt;0,ORÇAMENTO.CustoUnitario&gt;$AG66),AND(TIPOORCAMENTO="LICITADO",ORÇAMENTO.PrecoUnitarioLicitado&gt;$AN66)),"ACIMA REF.","")))))</f>
        <v/>
      </c>
      <c r="AD66" s="682">
        <f ca="1">IF(C66&lt;=CRONO.NivelExibicao,MAX($AD$15:OFFSET(AD66,-1,0))+IF($C66&lt;&gt;1,1,MAX(1,COUNTIF(QCI!$A$13:$A$24,OFFSET($E66,-1,0)))),"")</f>
        <v>11</v>
      </c>
      <c r="AE66" s="114" t="b">
        <f ca="1">IF(AND($C66="S",ORÇAMENTO.CodBarra&lt;&gt;""),IF(ORÇAMENTO.Fonte="",ORÇAMENTO.CodBarra,CONCATENATE(ORÇAMENTO.Fonte," ",ORÇAMENTO.CodBarra)))</f>
        <v>0</v>
      </c>
      <c r="AF66" s="159" t="str">
        <f ca="1">IF(ISERROR(INDIRECT(ORÇAMENTO.BancoRef)),"(abra o arquivo 'Referência "&amp;Excel_BuiltIn_Database&amp;".xlsm)",IF(OR($C66&lt;&gt;"S",ORÇAMENTO.CodBarra=""),"(Sem Código)",IF(ISERROR(MATCH($AE66,INDIRECT(ORÇAMENTO.BancoRef),0)),"(Código não identificado nas referências)",MATCH($AE66,INDIRECT(ORÇAMENTO.BancoRef),0))))</f>
        <v>(Sem Código)</v>
      </c>
      <c r="AG66" s="578">
        <f ca="1">ROUND(IF(DESONERACAO="sim",REFERENCIA.Desonerado,REFERENCIA.NaoDesonerado),2)</f>
        <v>0</v>
      </c>
      <c r="AH66" s="579">
        <f ca="1">ROUND(IF(ISNUMBER(ORÇAMENTO.OpcaoBDI),ORÇAMENTO.OpcaoBDI,IF(LEFT(ORÇAMENTO.OpcaoBDI,3)="BDI",HLOOKUP(ORÇAMENTO.OpcaoBDI,$F$4:$H$5,2,FALSE),0)),15-11*$AF$9)</f>
        <v>0.2034</v>
      </c>
      <c r="AJ66" s="581">
        <f>47.7+20.9</f>
        <v>68.599999999999994</v>
      </c>
      <c r="AL66" s="611"/>
      <c r="AM66" s="430">
        <f t="shared" ca="1" si="0"/>
        <v>0</v>
      </c>
      <c r="AN66" s="654">
        <f ca="1">ROUND(ORÇAMENTO.CustoUnitario*(1+$AH66),2)</f>
        <v>0</v>
      </c>
    </row>
    <row r="67" spans="1:40" ht="38.25" x14ac:dyDescent="0.2">
      <c r="A67" t="str">
        <f>CHOOSE(1+LOG(1+2*(ORÇAMENTO.Nivel="Meta")+4*(ORÇAMENTO.Nivel="Nível 2")+8*(ORÇAMENTO.Nivel="Nível 3")+16*(ORÇAMENTO.Nivel="Nível 4")+32*(ORÇAMENTO.Nivel="Serviço"),2),0,1,2,3,4,"S")</f>
        <v>S</v>
      </c>
      <c r="B67">
        <f ca="1">IF(OR(C67="s",C67=0),OFFSET(B67,-1,0),C67)</f>
        <v>2</v>
      </c>
      <c r="C67" t="str">
        <f ca="1">IF(OFFSET(C67,-1,0)="L",1,IF(OFFSET(C67,-1,0)=1,2,IF(OR(A67="s",A67=0),"S",IF(AND(OFFSET(C67,-1,0)=2,A67=4),3,IF(AND(OR(OFFSET(C67,-1,0)="s",OFFSET(C67,-1,0)=0),A67&lt;&gt;"s",A67&gt;OFFSET(B67,-1,0)),OFFSET(B67,-1,0),A67)))))</f>
        <v>S</v>
      </c>
      <c r="D67">
        <f ca="1">IF(OR(C67="S",C67=0),0,IF(ISERROR(K67),J67,SMALL(J67:K67,1)))</f>
        <v>0</v>
      </c>
      <c r="E67">
        <f ca="1">IF($C67=1,OFFSET(E67,-1,0)+MAX(1,COUNTIF(QCI!$A$13:$A$24,OFFSET(ORÇAMENTO!E67,-1,0))),OFFSET(E67,-1,0))</f>
        <v>1</v>
      </c>
      <c r="F67">
        <f ca="1">IF($C67=1,0,IF($C67=2,OFFSET(F67,-1,0)+1,OFFSET(F67,-1,0)))</f>
        <v>10</v>
      </c>
      <c r="G67">
        <f ca="1">IF(AND($C67&lt;=2,$C67&lt;&gt;0),0,IF($C67=3,OFFSET(G67,-1,0)+1,OFFSET(G67,-1,0)))</f>
        <v>0</v>
      </c>
      <c r="H67">
        <f ca="1">IF(AND($C67&lt;=3,$C67&lt;&gt;0),0,IF($C67=4,OFFSET(H67,-1,0)+1,OFFSET(H67,-1,0)))</f>
        <v>0</v>
      </c>
      <c r="I67">
        <f ca="1">IF(AND($C67&lt;=4,$C67&lt;&gt;0),0,IF(AND($C67="S",$X67&gt;0),OFFSET(I67,-1,0)+1,OFFSET(I67,-1,0)))</f>
        <v>0</v>
      </c>
      <c r="J67">
        <f t="shared" ca="1" si="61"/>
        <v>0</v>
      </c>
      <c r="K67">
        <f ca="1">IF(OR($C67="S",$C67=0),0,MATCH(OFFSET($D67,0,$C67)+IF($C67&lt;&gt;1,1,COUNTIF(QCI!$A$13:$A$24,ORÇAMENTO!E67)),OFFSET($D67,1,$C67,ROW($C$192)-ROW($C67)),0))</f>
        <v>0</v>
      </c>
      <c r="L67" s="143" t="str">
        <f ca="1">IF(OR($X67&gt;0,$C67=1,$C67=2,$C67=3,$C67=4),"F","")</f>
        <v/>
      </c>
      <c r="M67" s="144" t="s">
        <v>199</v>
      </c>
      <c r="N67" s="145" t="str">
        <f ca="1">CHOOSE(1+LOG(1+2*(C67=1)+4*(C67=2)+8*(C67=3)+16*(C67=4)+32*(C67="S"),2),"","Meta","Nível 2","Nível 3","Nível 4","Serviço")</f>
        <v>Serviço</v>
      </c>
      <c r="O67" s="146" t="str">
        <f ca="1">IF(OR($C67=0,$L67=""),"-",CONCATENATE(E67&amp;".",IF(AND($A$5&gt;=2,$C67&gt;=2),F67&amp;".",""),IF(AND($A$5&gt;=3,$C67&gt;=3),G67&amp;".",""),IF(AND($A$5&gt;=4,$C67&gt;=4),H67&amp;".",""),IF($C67="S",I67&amp;".","")))</f>
        <v>-</v>
      </c>
      <c r="P67" s="147" t="s">
        <v>497</v>
      </c>
      <c r="Q67" s="148" t="s">
        <v>560</v>
      </c>
      <c r="R67" s="149" t="s">
        <v>669</v>
      </c>
      <c r="S67" s="150" t="s">
        <v>777</v>
      </c>
      <c r="T67" s="151">
        <f ca="1">OFFSET(CÁLCULO!H$15,ROW($T67)-ROW(T$15),0)</f>
        <v>68.599999999999994</v>
      </c>
      <c r="U67" s="152"/>
      <c r="V67" s="153" t="s">
        <v>156</v>
      </c>
      <c r="W67" s="151">
        <f ca="1">IF($C67="S",ROUND(IF(TIPOORCAMENTO="Proposto",ORÇAMENTO.CustoUnitario*(1+$AH67),ORÇAMENTO.PrecoUnitarioLicitado),15-13*$AF$10),0)</f>
        <v>0</v>
      </c>
      <c r="X67" s="154">
        <f ca="1">IF($C67="S",IF(Import.TipoArredondamento&lt;&gt;"TransfereGOV",VTOTAL1,SUM(OFFSET(CÁLCULO!$AA$15,ROW($X67)-ROW($X$15),1):OFFSET(CÁLCULO!$AL$15,ROW($X67)-ROW($X$15),-1))),IF($C67=0,0,ROUND(SomaAgrup,15-13*$AF$11)))</f>
        <v>0</v>
      </c>
      <c r="Y67" s="155" t="s">
        <v>245</v>
      </c>
      <c r="Z67" t="str">
        <f ca="1">IF(AND($C67="S",$X67&gt;0),IF(ISBLANK($Y67),"RA",LEFT($Y67,2)),"")</f>
        <v/>
      </c>
      <c r="AA67" s="156">
        <f ca="1">IF($C67="S",IF($Z67="CP",$X67,IF($Z67="RA",(($X67)*QCI!$AA$3),0)),SomaAgrup)</f>
        <v>0</v>
      </c>
      <c r="AB67" s="157">
        <f ca="1">IF($C67="S",IF($Z67="OU",ROUND($X67,2),0),SomaAgrup)</f>
        <v>0</v>
      </c>
      <c r="AC67" s="158" t="str">
        <f ca="1">IF($N67="","",IF(ORÇAMENTO.Descricao="","DESCRIÇÃO",IF(AND($C67="S",ORÇAMENTO.Unidade=""),"UNIDADE",IF($X67&lt;0,"VALOR NEGATIVO",IF(OR(AND(TIPOORCAMENTO="Proposto",$AG67&lt;&gt;"",$AG67&gt;0,ORÇAMENTO.CustoUnitario&gt;$AG67),AND(TIPOORCAMENTO="LICITADO",ORÇAMENTO.PrecoUnitarioLicitado&gt;$AN67)),"ACIMA REF.","")))))</f>
        <v/>
      </c>
      <c r="AD67" s="682" t="str">
        <f ca="1">IF(C67&lt;=CRONO.NivelExibicao,MAX($AD$15:OFFSET(AD67,-1,0))+IF($C67&lt;&gt;1,1,MAX(1,COUNTIF(QCI!$A$13:$A$24,OFFSET($E67,-1,0)))),"")</f>
        <v/>
      </c>
      <c r="AE67" s="114" t="str">
        <f ca="1">IF(AND($C67="S",ORÇAMENTO.CodBarra&lt;&gt;""),IF(ORÇAMENTO.Fonte="",ORÇAMENTO.CodBarra,CONCATENATE(ORÇAMENTO.Fonte," ",ORÇAMENTO.CodBarra)))</f>
        <v>COMPOSIÇÃO C010</v>
      </c>
      <c r="AF67" s="159">
        <f ca="1">IF(ISERROR(INDIRECT(ORÇAMENTO.BancoRef)),"(abra o arquivo 'Referência "&amp;Excel_BuiltIn_Database&amp;".xlsm)",IF(OR($C67&lt;&gt;"S",ORÇAMENTO.CodBarra=""),"(Sem Código)",IF(ISERROR(MATCH($AE67,INDIRECT(ORÇAMENTO.BancoRef),0)),"(Código não identificado nas referências)",MATCH($AE67,INDIRECT(ORÇAMENTO.BancoRef),0))))</f>
        <v>8</v>
      </c>
      <c r="AG67" s="578">
        <f ca="1">ROUND(IF(DESONERACAO="sim",REFERENCIA.Desonerado,REFERENCIA.NaoDesonerado),2)</f>
        <v>907.11</v>
      </c>
      <c r="AH67" s="579">
        <f ca="1">ROUND(IF(ISNUMBER(ORÇAMENTO.OpcaoBDI),ORÇAMENTO.OpcaoBDI,IF(LEFT(ORÇAMENTO.OpcaoBDI,3)="BDI",HLOOKUP(ORÇAMENTO.OpcaoBDI,$F$4:$H$5,2,FALSE),0)),15-11*$AF$9)</f>
        <v>0.2034</v>
      </c>
      <c r="AJ67" s="581">
        <f>47.7+20.9</f>
        <v>68.599999999999994</v>
      </c>
      <c r="AL67" s="611"/>
      <c r="AM67" s="430">
        <f t="shared" ca="1" si="0"/>
        <v>0</v>
      </c>
      <c r="AN67" s="654">
        <f ca="1">ROUND(ORÇAMENTO.CustoUnitario*(1+$AH67),2)</f>
        <v>0</v>
      </c>
    </row>
    <row r="68" spans="1:40" x14ac:dyDescent="0.2">
      <c r="A68">
        <f t="shared" si="62"/>
        <v>2</v>
      </c>
      <c r="B68">
        <f t="shared" ca="1" si="66"/>
        <v>2</v>
      </c>
      <c r="C68">
        <f t="shared" ca="1" si="67"/>
        <v>2</v>
      </c>
      <c r="D68">
        <f t="shared" ca="1" si="68"/>
        <v>7</v>
      </c>
      <c r="E68">
        <f ca="1">IF($C68=1,OFFSET(E68,-1,0)+MAX(1,COUNTIF(QCI!$A$13:$A$24,OFFSET(ORÇAMENTO!E68,-1,0))),OFFSET(E68,-1,0))</f>
        <v>1</v>
      </c>
      <c r="F68">
        <f t="shared" ca="1" si="69"/>
        <v>11</v>
      </c>
      <c r="G68">
        <f t="shared" ca="1" si="70"/>
        <v>0</v>
      </c>
      <c r="H68">
        <f t="shared" ca="1" si="71"/>
        <v>0</v>
      </c>
      <c r="I68">
        <f t="shared" ca="1" si="72"/>
        <v>0</v>
      </c>
      <c r="J68">
        <f t="shared" ca="1" si="61"/>
        <v>124</v>
      </c>
      <c r="K68">
        <f ca="1">IF(OR($C68="S",$C68=0),0,MATCH(OFFSET($D68,0,$C68)+IF($C68&lt;&gt;1,1,COUNTIF(QCI!$A$13:$A$24,ORÇAMENTO!E68)),OFFSET($D68,1,$C68,ROW($C$192)-ROW($C68)),0))</f>
        <v>7</v>
      </c>
      <c r="L68" s="143" t="str">
        <f t="shared" ca="1" si="73"/>
        <v>F</v>
      </c>
      <c r="M68" s="144" t="s">
        <v>196</v>
      </c>
      <c r="N68" s="145" t="str">
        <f t="shared" ca="1" si="74"/>
        <v>Nível 2</v>
      </c>
      <c r="O68" s="146" t="str">
        <f t="shared" ca="1" si="75"/>
        <v>1.11.</v>
      </c>
      <c r="P68" s="147" t="s">
        <v>247</v>
      </c>
      <c r="Q68" s="148"/>
      <c r="R68" s="149" t="s">
        <v>500</v>
      </c>
      <c r="S68" s="150" t="s">
        <v>166</v>
      </c>
      <c r="T68" s="151">
        <f ca="1">OFFSET(CÁLCULO!H$15,ROW($T68)-ROW(T$15),0)</f>
        <v>0</v>
      </c>
      <c r="U68" s="152"/>
      <c r="V68" s="153" t="s">
        <v>156</v>
      </c>
      <c r="W68" s="151">
        <f ca="1">IF($C68="S",ROUND(IF(TIPOORCAMENTO="Proposto",ORÇAMENTO.CustoUnitario*(1+$AH68),ORÇAMENTO.PrecoUnitarioLicitado),15-13*$AF$10),0)</f>
        <v>0</v>
      </c>
      <c r="X68" s="154">
        <f ca="1">IF($C68="S",IF(Import.TipoArredondamento&lt;&gt;"TransfereGOV",VTOTAL1,SUM(OFFSET(CÁLCULO!$AA$15,ROW($X68)-ROW($X$15),1):OFFSET(CÁLCULO!$AL$15,ROW($X68)-ROW($X$15),-1))),IF($C68=0,0,ROUND(SomaAgrup,15-13*$AF$11)))</f>
        <v>0</v>
      </c>
      <c r="Y68" s="155" t="s">
        <v>245</v>
      </c>
      <c r="Z68" t="str">
        <f t="shared" ca="1" si="76"/>
        <v/>
      </c>
      <c r="AA68" s="156">
        <f ca="1">IF($C68="S",IF($Z68="CP",$X68,IF($Z68="RA",(($X68)*QCI!$AA$3),0)),SomaAgrup)</f>
        <v>0</v>
      </c>
      <c r="AB68" s="157">
        <f t="shared" ca="1" si="63"/>
        <v>0</v>
      </c>
      <c r="AC68" s="158" t="str">
        <f ca="1">IF($N68="","",IF(ORÇAMENTO.Descricao="","DESCRIÇÃO",IF(AND($C68="S",ORÇAMENTO.Unidade=""),"UNIDADE",IF($X68&lt;0,"VALOR NEGATIVO",IF(OR(AND(TIPOORCAMENTO="Proposto",$AG68&lt;&gt;"",$AG68&gt;0,ORÇAMENTO.CustoUnitario&gt;$AG68),AND(TIPOORCAMENTO="LICITADO",ORÇAMENTO.PrecoUnitarioLicitado&gt;$AN68)),"ACIMA REF.","")))))</f>
        <v/>
      </c>
      <c r="AD68" s="667">
        <f ca="1">IF(C68&lt;=CRONO.NivelExibicao,MAX($AD$15:OFFSET(AD68,-1,0))+IF($C68&lt;&gt;1,1,MAX(1,COUNTIF(QCI!$A$13:$A$24,OFFSET($E68,-1,0)))),"")</f>
        <v>12</v>
      </c>
      <c r="AE68" s="114" t="b">
        <f ca="1">IF(AND($C68="S",ORÇAMENTO.CodBarra&lt;&gt;""),IF(ORÇAMENTO.Fonte="",ORÇAMENTO.CodBarra,CONCATENATE(ORÇAMENTO.Fonte," ",ORÇAMENTO.CodBarra)))</f>
        <v>0</v>
      </c>
      <c r="AF68" s="159" t="str">
        <f ca="1">IF(ISERROR(INDIRECT(ORÇAMENTO.BancoRef)),"(abra o arquivo 'Referência "&amp;Excel_BuiltIn_Database&amp;".xlsm)",IF(OR($C68&lt;&gt;"S",ORÇAMENTO.CodBarra=""),"(Sem Código)",IF(ISERROR(MATCH($AE68,INDIRECT(ORÇAMENTO.BancoRef),0)),"(Código não identificado nas referências)",MATCH($AE68,INDIRECT(ORÇAMENTO.BancoRef),0))))</f>
        <v>(Sem Código)</v>
      </c>
      <c r="AG68" s="578">
        <f ca="1">ROUND(IF(DESONERACAO="sim",REFERENCIA.Desonerado,REFERENCIA.NaoDesonerado),2)</f>
        <v>0</v>
      </c>
      <c r="AH68" s="579">
        <f t="shared" ca="1" si="64"/>
        <v>0.2034</v>
      </c>
      <c r="AJ68" s="581"/>
      <c r="AL68" s="611"/>
      <c r="AM68" s="430">
        <f t="shared" ca="1" si="0"/>
        <v>0</v>
      </c>
      <c r="AN68" s="654">
        <f t="shared" ca="1" si="65"/>
        <v>0</v>
      </c>
    </row>
    <row r="69" spans="1:40" ht="25.5" x14ac:dyDescent="0.2">
      <c r="A69" t="str">
        <f t="shared" si="62"/>
        <v>S</v>
      </c>
      <c r="B69">
        <f t="shared" ca="1" si="66"/>
        <v>2</v>
      </c>
      <c r="C69" t="str">
        <f t="shared" ca="1" si="67"/>
        <v>S</v>
      </c>
      <c r="D69">
        <f t="shared" ca="1" si="68"/>
        <v>0</v>
      </c>
      <c r="E69">
        <f ca="1">IF($C69=1,OFFSET(E69,-1,0)+MAX(1,COUNTIF(QCI!$A$13:$A$24,OFFSET(ORÇAMENTO!E69,-1,0))),OFFSET(E69,-1,0))</f>
        <v>1</v>
      </c>
      <c r="F69">
        <f t="shared" ca="1" si="69"/>
        <v>11</v>
      </c>
      <c r="G69">
        <f t="shared" ca="1" si="70"/>
        <v>0</v>
      </c>
      <c r="H69">
        <f t="shared" ca="1" si="71"/>
        <v>0</v>
      </c>
      <c r="I69">
        <f t="shared" ca="1" si="72"/>
        <v>0</v>
      </c>
      <c r="J69">
        <f t="shared" ca="1" si="61"/>
        <v>0</v>
      </c>
      <c r="K69">
        <f ca="1">IF(OR($C69="S",$C69=0),0,MATCH(OFFSET($D69,0,$C69)+IF($C69&lt;&gt;1,1,COUNTIF(QCI!$A$13:$A$24,ORÇAMENTO!E69)),OFFSET($D69,1,$C69,ROW($C$192)-ROW($C69)),0))</f>
        <v>0</v>
      </c>
      <c r="L69" s="143" t="str">
        <f t="shared" ca="1" si="73"/>
        <v/>
      </c>
      <c r="M69" s="144" t="s">
        <v>199</v>
      </c>
      <c r="N69" s="145" t="str">
        <f t="shared" ca="1" si="74"/>
        <v>Serviço</v>
      </c>
      <c r="O69" s="146" t="str">
        <f t="shared" ca="1" si="75"/>
        <v>-</v>
      </c>
      <c r="P69" s="147" t="s">
        <v>453</v>
      </c>
      <c r="Q69" s="148" t="s">
        <v>475</v>
      </c>
      <c r="R69" s="149" t="s">
        <v>670</v>
      </c>
      <c r="S69" s="150" t="s">
        <v>783</v>
      </c>
      <c r="T69" s="151">
        <f ca="1">OFFSET(CÁLCULO!H$15,ROW($T69)-ROW(T$15),0)</f>
        <v>340</v>
      </c>
      <c r="U69" s="152"/>
      <c r="V69" s="153" t="s">
        <v>156</v>
      </c>
      <c r="W69" s="151">
        <f ca="1">IF($C69="S",ROUND(IF(TIPOORCAMENTO="Proposto",ORÇAMENTO.CustoUnitario*(1+$AH69),ORÇAMENTO.PrecoUnitarioLicitado),15-13*$AF$10),0)</f>
        <v>0</v>
      </c>
      <c r="X69" s="154">
        <f ca="1">IF($C69="S",IF(Import.TipoArredondamento&lt;&gt;"TransfereGOV",VTOTAL1,SUM(OFFSET(CÁLCULO!$AA$15,ROW($X69)-ROW($X$15),1):OFFSET(CÁLCULO!$AL$15,ROW($X69)-ROW($X$15),-1))),IF($C69=0,0,ROUND(SomaAgrup,15-13*$AF$11)))</f>
        <v>0</v>
      </c>
      <c r="Y69" s="155" t="s">
        <v>245</v>
      </c>
      <c r="Z69" t="str">
        <f t="shared" ca="1" si="76"/>
        <v/>
      </c>
      <c r="AA69" s="156">
        <f ca="1">IF($C69="S",IF($Z69="CP",$X69,IF($Z69="RA",(($X69)*QCI!$AA$3),0)),SomaAgrup)</f>
        <v>0</v>
      </c>
      <c r="AB69" s="157">
        <f t="shared" ca="1" si="63"/>
        <v>0</v>
      </c>
      <c r="AC69" s="158" t="str">
        <f ca="1">IF($N69="","",IF(ORÇAMENTO.Descricao="","DESCRIÇÃO",IF(AND($C69="S",ORÇAMENTO.Unidade=""),"UNIDADE",IF($X69&lt;0,"VALOR NEGATIVO",IF(OR(AND(TIPOORCAMENTO="Proposto",$AG69&lt;&gt;"",$AG69&gt;0,ORÇAMENTO.CustoUnitario&gt;$AG69),AND(TIPOORCAMENTO="LICITADO",ORÇAMENTO.PrecoUnitarioLicitado&gt;$AN69)),"ACIMA REF.","")))))</f>
        <v/>
      </c>
      <c r="AD69" s="667" t="str">
        <f ca="1">IF(C69&lt;=CRONO.NivelExibicao,MAX($AD$15:OFFSET(AD69,-1,0))+IF($C69&lt;&gt;1,1,MAX(1,COUNTIF(QCI!$A$13:$A$24,OFFSET($E69,-1,0)))),"")</f>
        <v/>
      </c>
      <c r="AE69" s="114" t="str">
        <f ca="1">IF(AND($C69="S",ORÇAMENTO.CodBarra&lt;&gt;""),IF(ORÇAMENTO.Fonte="",ORÇAMENTO.CodBarra,CONCATENATE(ORÇAMENTO.Fonte," ",ORÇAMENTO.CodBarra)))</f>
        <v>SINAPI-I 6081</v>
      </c>
      <c r="AF69" s="159">
        <f ca="1">IF(ISERROR(INDIRECT(ORÇAMENTO.BancoRef)),"(abra o arquivo 'Referência "&amp;Excel_BuiltIn_Database&amp;".xlsm)",IF(OR($C69&lt;&gt;"S",ORÇAMENTO.CodBarra=""),"(Sem Código)",IF(ISERROR(MATCH($AE69,INDIRECT(ORÇAMENTO.BancoRef),0)),"(Código não identificado nas referências)",MATCH($AE69,INDIRECT(ORÇAMENTO.BancoRef),0))))</f>
        <v>346</v>
      </c>
      <c r="AG69" s="578">
        <f ca="1">ROUND(IF(DESONERACAO="sim",REFERENCIA.Desonerado,REFERENCIA.NaoDesonerado),2)</f>
        <v>52.3</v>
      </c>
      <c r="AH69" s="579">
        <f t="shared" ca="1" si="64"/>
        <v>0.2034</v>
      </c>
      <c r="AJ69" s="581">
        <f>680/2</f>
        <v>340</v>
      </c>
      <c r="AL69" s="611"/>
      <c r="AM69" s="430">
        <f t="shared" ca="1" si="0"/>
        <v>0</v>
      </c>
      <c r="AN69" s="654">
        <f t="shared" ca="1" si="65"/>
        <v>0</v>
      </c>
    </row>
    <row r="70" spans="1:40" ht="38.25" x14ac:dyDescent="0.2">
      <c r="A70" t="str">
        <f t="shared" si="62"/>
        <v>S</v>
      </c>
      <c r="B70">
        <f t="shared" ca="1" si="66"/>
        <v>2</v>
      </c>
      <c r="C70" t="str">
        <f t="shared" ca="1" si="67"/>
        <v>S</v>
      </c>
      <c r="D70">
        <f t="shared" ca="1" si="68"/>
        <v>0</v>
      </c>
      <c r="E70">
        <f ca="1">IF($C70=1,OFFSET(E70,-1,0)+MAX(1,COUNTIF(QCI!$A$13:$A$24,OFFSET(ORÇAMENTO!E70,-1,0))),OFFSET(E70,-1,0))</f>
        <v>1</v>
      </c>
      <c r="F70">
        <f t="shared" ca="1" si="69"/>
        <v>11</v>
      </c>
      <c r="G70">
        <f t="shared" ca="1" si="70"/>
        <v>0</v>
      </c>
      <c r="H70">
        <f t="shared" ca="1" si="71"/>
        <v>0</v>
      </c>
      <c r="I70">
        <f t="shared" ca="1" si="72"/>
        <v>0</v>
      </c>
      <c r="J70">
        <f t="shared" ca="1" si="61"/>
        <v>0</v>
      </c>
      <c r="K70">
        <f ca="1">IF(OR($C70="S",$C70=0),0,MATCH(OFFSET($D70,0,$C70)+IF($C70&lt;&gt;1,1,COUNTIF(QCI!$A$13:$A$24,ORÇAMENTO!E70)),OFFSET($D70,1,$C70,ROW($C$192)-ROW($C70)),0))</f>
        <v>0</v>
      </c>
      <c r="L70" s="143" t="str">
        <f t="shared" ca="1" si="73"/>
        <v/>
      </c>
      <c r="M70" s="144" t="s">
        <v>199</v>
      </c>
      <c r="N70" s="145" t="str">
        <f t="shared" ca="1" si="74"/>
        <v>Serviço</v>
      </c>
      <c r="O70" s="146" t="str">
        <f t="shared" ca="1" si="75"/>
        <v>-</v>
      </c>
      <c r="P70" s="147" t="s">
        <v>247</v>
      </c>
      <c r="Q70" s="148" t="s">
        <v>476</v>
      </c>
      <c r="R70" s="149" t="s">
        <v>671</v>
      </c>
      <c r="S70" s="150" t="s">
        <v>777</v>
      </c>
      <c r="T70" s="151">
        <f ca="1">OFFSET(CÁLCULO!H$15,ROW($T70)-ROW(T$15),0)</f>
        <v>680</v>
      </c>
      <c r="U70" s="152"/>
      <c r="V70" s="153" t="s">
        <v>156</v>
      </c>
      <c r="W70" s="151">
        <f ca="1">IF($C70="S",ROUND(IF(TIPOORCAMENTO="Proposto",ORÇAMENTO.CustoUnitario*(1+$AH70),ORÇAMENTO.PrecoUnitarioLicitado),15-13*$AF$10),0)</f>
        <v>0</v>
      </c>
      <c r="X70" s="154">
        <f ca="1">IF($C70="S",IF(Import.TipoArredondamento&lt;&gt;"TransfereGOV",VTOTAL1,SUM(OFFSET(CÁLCULO!$AA$15,ROW($X70)-ROW($X$15),1):OFFSET(CÁLCULO!$AL$15,ROW($X70)-ROW($X$15),-1))),IF($C70=0,0,ROUND(SomaAgrup,15-13*$AF$11)))</f>
        <v>0</v>
      </c>
      <c r="Y70" s="155" t="s">
        <v>245</v>
      </c>
      <c r="Z70" t="str">
        <f t="shared" ca="1" si="76"/>
        <v/>
      </c>
      <c r="AA70" s="156">
        <f ca="1">IF($C70="S",IF($Z70="CP",$X70,IF($Z70="RA",(($X70)*QCI!$AA$3),0)),SomaAgrup)</f>
        <v>0</v>
      </c>
      <c r="AB70" s="157">
        <f t="shared" ca="1" si="63"/>
        <v>0</v>
      </c>
      <c r="AC70" s="158" t="str">
        <f ca="1">IF($N70="","",IF(ORÇAMENTO.Descricao="","DESCRIÇÃO",IF(AND($C70="S",ORÇAMENTO.Unidade=""),"UNIDADE",IF($X70&lt;0,"VALOR NEGATIVO",IF(OR(AND(TIPOORCAMENTO="Proposto",$AG70&lt;&gt;"",$AG70&gt;0,ORÇAMENTO.CustoUnitario&gt;$AG70),AND(TIPOORCAMENTO="LICITADO",ORÇAMENTO.PrecoUnitarioLicitado&gt;$AN70)),"ACIMA REF.","")))))</f>
        <v/>
      </c>
      <c r="AD70" s="667" t="str">
        <f ca="1">IF(C70&lt;=CRONO.NivelExibicao,MAX($AD$15:OFFSET(AD70,-1,0))+IF($C70&lt;&gt;1,1,MAX(1,COUNTIF(QCI!$A$13:$A$24,OFFSET($E70,-1,0)))),"")</f>
        <v/>
      </c>
      <c r="AE70" s="114" t="str">
        <f ca="1">IF(AND($C70="S",ORÇAMENTO.CodBarra&lt;&gt;""),IF(ORÇAMENTO.Fonte="",ORÇAMENTO.CodBarra,CONCATENATE(ORÇAMENTO.Fonte," ",ORÇAMENTO.CodBarra)))</f>
        <v>SINAPI 97084</v>
      </c>
      <c r="AF70" s="159">
        <f ca="1">IF(ISERROR(INDIRECT(ORÇAMENTO.BancoRef)),"(abra o arquivo 'Referência "&amp;Excel_BuiltIn_Database&amp;".xlsm)",IF(OR($C70&lt;&gt;"S",ORÇAMENTO.CodBarra=""),"(Sem Código)",IF(ISERROR(MATCH($AE70,INDIRECT(ORÇAMENTO.BancoRef),0)),"(Código não identificado nas referências)",MATCH($AE70,INDIRECT(ORÇAMENTO.BancoRef),0))))</f>
        <v>7177</v>
      </c>
      <c r="AG70" s="578">
        <f ca="1">ROUND(IF(DESONERACAO="sim",REFERENCIA.Desonerado,REFERENCIA.NaoDesonerado),2)</f>
        <v>0.71</v>
      </c>
      <c r="AH70" s="579">
        <f t="shared" ca="1" si="64"/>
        <v>0.2034</v>
      </c>
      <c r="AJ70" s="581">
        <v>680</v>
      </c>
      <c r="AL70" s="611"/>
      <c r="AM70" s="430">
        <f t="shared" ca="1" si="0"/>
        <v>0</v>
      </c>
      <c r="AN70" s="654">
        <f t="shared" ca="1" si="65"/>
        <v>0</v>
      </c>
    </row>
    <row r="71" spans="1:40" ht="38.25" x14ac:dyDescent="0.2">
      <c r="A71" t="str">
        <f t="shared" si="62"/>
        <v>S</v>
      </c>
      <c r="B71">
        <f t="shared" ca="1" si="66"/>
        <v>2</v>
      </c>
      <c r="C71" t="str">
        <f t="shared" ca="1" si="67"/>
        <v>S</v>
      </c>
      <c r="D71">
        <f t="shared" ca="1" si="68"/>
        <v>0</v>
      </c>
      <c r="E71">
        <f ca="1">IF($C71=1,OFFSET(E71,-1,0)+MAX(1,COUNTIF(QCI!$A$13:$A$24,OFFSET(ORÇAMENTO!E71,-1,0))),OFFSET(E71,-1,0))</f>
        <v>1</v>
      </c>
      <c r="F71">
        <f t="shared" ca="1" si="69"/>
        <v>11</v>
      </c>
      <c r="G71">
        <f t="shared" ca="1" si="70"/>
        <v>0</v>
      </c>
      <c r="H71">
        <f t="shared" ca="1" si="71"/>
        <v>0</v>
      </c>
      <c r="I71">
        <f t="shared" ca="1" si="72"/>
        <v>0</v>
      </c>
      <c r="J71">
        <f t="shared" ca="1" si="61"/>
        <v>0</v>
      </c>
      <c r="K71">
        <f ca="1">IF(OR($C71="S",$C71=0),0,MATCH(OFFSET($D71,0,$C71)+IF($C71&lt;&gt;1,1,COUNTIF(QCI!$A$13:$A$24,ORÇAMENTO!E71)),OFFSET($D71,1,$C71,ROW($C$192)-ROW($C71)),0))</f>
        <v>0</v>
      </c>
      <c r="L71" s="143" t="str">
        <f t="shared" ca="1" si="73"/>
        <v/>
      </c>
      <c r="M71" s="144" t="s">
        <v>199</v>
      </c>
      <c r="N71" s="145" t="str">
        <f t="shared" ca="1" si="74"/>
        <v>Serviço</v>
      </c>
      <c r="O71" s="146" t="str">
        <f t="shared" ca="1" si="75"/>
        <v>-</v>
      </c>
      <c r="P71" s="147" t="s">
        <v>247</v>
      </c>
      <c r="Q71" s="148" t="s">
        <v>460</v>
      </c>
      <c r="R71" s="149" t="s">
        <v>672</v>
      </c>
      <c r="S71" s="150" t="s">
        <v>780</v>
      </c>
      <c r="T71" s="151">
        <f ca="1">OFFSET(CÁLCULO!H$15,ROW($T71)-ROW(T$15),0)</f>
        <v>34.03</v>
      </c>
      <c r="U71" s="152"/>
      <c r="V71" s="153" t="s">
        <v>156</v>
      </c>
      <c r="W71" s="151">
        <f ca="1">IF($C71="S",ROUND(IF(TIPOORCAMENTO="Proposto",ORÇAMENTO.CustoUnitario*(1+$AH71),ORÇAMENTO.PrecoUnitarioLicitado),15-13*$AF$10),0)</f>
        <v>0</v>
      </c>
      <c r="X71" s="154">
        <f ca="1">IF($C71="S",IF(Import.TipoArredondamento&lt;&gt;"TransfereGOV",VTOTAL1,SUM(OFFSET(CÁLCULO!$AA$15,ROW($X71)-ROW($X$15),1):OFFSET(CÁLCULO!$AL$15,ROW($X71)-ROW($X$15),-1))),IF($C71=0,0,ROUND(SomaAgrup,15-13*$AF$11)))</f>
        <v>0</v>
      </c>
      <c r="Y71" s="155" t="s">
        <v>245</v>
      </c>
      <c r="Z71" t="str">
        <f t="shared" ca="1" si="76"/>
        <v/>
      </c>
      <c r="AA71" s="156">
        <f ca="1">IF($C71="S",IF($Z71="CP",$X71,IF($Z71="RA",(($X71)*QCI!$AA$3),0)),SomaAgrup)</f>
        <v>0</v>
      </c>
      <c r="AB71" s="157">
        <f t="shared" ca="1" si="63"/>
        <v>0</v>
      </c>
      <c r="AC71" s="158" t="str">
        <f ca="1">IF($N71="","",IF(ORÇAMENTO.Descricao="","DESCRIÇÃO",IF(AND($C71="S",ORÇAMENTO.Unidade=""),"UNIDADE",IF($X71&lt;0,"VALOR NEGATIVO",IF(OR(AND(TIPOORCAMENTO="Proposto",$AG71&lt;&gt;"",$AG71&gt;0,ORÇAMENTO.CustoUnitario&gt;$AG71),AND(TIPOORCAMENTO="LICITADO",ORÇAMENTO.PrecoUnitarioLicitado&gt;$AN71)),"ACIMA REF.","")))))</f>
        <v/>
      </c>
      <c r="AD71" s="667" t="str">
        <f ca="1">IF(C71&lt;=CRONO.NivelExibicao,MAX($AD$15:OFFSET(AD71,-1,0))+IF($C71&lt;&gt;1,1,MAX(1,COUNTIF(QCI!$A$13:$A$24,OFFSET($E71,-1,0)))),"")</f>
        <v/>
      </c>
      <c r="AE71" s="114" t="str">
        <f ca="1">IF(AND($C71="S",ORÇAMENTO.CodBarra&lt;&gt;""),IF(ORÇAMENTO.Fonte="",ORÇAMENTO.CodBarra,CONCATENATE(ORÇAMENTO.Fonte," ",ORÇAMENTO.CodBarra)))</f>
        <v>SINAPI 100324</v>
      </c>
      <c r="AF71" s="159">
        <f ca="1">IF(ISERROR(INDIRECT(ORÇAMENTO.BancoRef)),"(abra o arquivo 'Referência "&amp;Excel_BuiltIn_Database&amp;".xlsm)",IF(OR($C71&lt;&gt;"S",ORÇAMENTO.CodBarra=""),"(Sem Código)",IF(ISERROR(MATCH($AE71,INDIRECT(ORÇAMENTO.BancoRef),0)),"(Código não identificado nas referências)",MATCH($AE71,INDIRECT(ORÇAMENTO.BancoRef),0))))</f>
        <v>7193</v>
      </c>
      <c r="AG71" s="578">
        <f ca="1">ROUND(IF(DESONERACAO="sim",REFERENCIA.Desonerado,REFERENCIA.NaoDesonerado),2)</f>
        <v>157.44999999999999</v>
      </c>
      <c r="AH71" s="579">
        <f t="shared" ca="1" si="64"/>
        <v>0.2034</v>
      </c>
      <c r="AJ71" s="581">
        <f>680.5*0.05</f>
        <v>34.024999999999999</v>
      </c>
      <c r="AL71" s="611"/>
      <c r="AM71" s="430">
        <f t="shared" ca="1" si="0"/>
        <v>0</v>
      </c>
      <c r="AN71" s="654">
        <f t="shared" ca="1" si="65"/>
        <v>0</v>
      </c>
    </row>
    <row r="72" spans="1:40" ht="38.25" x14ac:dyDescent="0.2">
      <c r="A72" t="str">
        <f t="shared" si="62"/>
        <v>S</v>
      </c>
      <c r="B72">
        <f t="shared" ca="1" si="66"/>
        <v>2</v>
      </c>
      <c r="C72" t="str">
        <f t="shared" ca="1" si="67"/>
        <v>S</v>
      </c>
      <c r="D72">
        <f t="shared" ca="1" si="68"/>
        <v>0</v>
      </c>
      <c r="E72">
        <f ca="1">IF($C72=1,OFFSET(E72,-1,0)+MAX(1,COUNTIF(QCI!$A$13:$A$24,OFFSET(ORÇAMENTO!E72,-1,0))),OFFSET(E72,-1,0))</f>
        <v>1</v>
      </c>
      <c r="F72">
        <f t="shared" ca="1" si="69"/>
        <v>11</v>
      </c>
      <c r="G72">
        <f t="shared" ca="1" si="70"/>
        <v>0</v>
      </c>
      <c r="H72">
        <f t="shared" ca="1" si="71"/>
        <v>0</v>
      </c>
      <c r="I72">
        <f t="shared" ca="1" si="72"/>
        <v>0</v>
      </c>
      <c r="J72">
        <f t="shared" ca="1" si="61"/>
        <v>0</v>
      </c>
      <c r="K72">
        <f ca="1">IF(OR($C72="S",$C72=0),0,MATCH(OFFSET($D72,0,$C72)+IF($C72&lt;&gt;1,1,COUNTIF(QCI!$A$13:$A$24,ORÇAMENTO!E72)),OFFSET($D72,1,$C72,ROW($C$192)-ROW($C72)),0))</f>
        <v>0</v>
      </c>
      <c r="L72" s="143" t="str">
        <f t="shared" ca="1" si="73"/>
        <v/>
      </c>
      <c r="M72" s="144" t="s">
        <v>199</v>
      </c>
      <c r="N72" s="145" t="str">
        <f t="shared" ca="1" si="74"/>
        <v>Serviço</v>
      </c>
      <c r="O72" s="146" t="str">
        <f t="shared" ca="1" si="75"/>
        <v>-</v>
      </c>
      <c r="P72" s="147" t="s">
        <v>247</v>
      </c>
      <c r="Q72" s="148" t="s">
        <v>501</v>
      </c>
      <c r="R72" s="149" t="s">
        <v>673</v>
      </c>
      <c r="S72" s="150" t="s">
        <v>777</v>
      </c>
      <c r="T72" s="151">
        <f ca="1">OFFSET(CÁLCULO!H$15,ROW($T72)-ROW(T$15),0)</f>
        <v>680</v>
      </c>
      <c r="U72" s="152"/>
      <c r="V72" s="153" t="s">
        <v>156</v>
      </c>
      <c r="W72" s="151">
        <f ca="1">IF($C72="S",ROUND(IF(TIPOORCAMENTO="Proposto",ORÇAMENTO.CustoUnitario*(1+$AH72),ORÇAMENTO.PrecoUnitarioLicitado),15-13*$AF$10),0)</f>
        <v>0</v>
      </c>
      <c r="X72" s="154">
        <f ca="1">IF($C72="S",IF(Import.TipoArredondamento&lt;&gt;"TransfereGOV",VTOTAL1,SUM(OFFSET(CÁLCULO!$AA$15,ROW($X72)-ROW($X$15),1):OFFSET(CÁLCULO!$AL$15,ROW($X72)-ROW($X$15),-1))),IF($C72=0,0,ROUND(SomaAgrup,15-13*$AF$11)))</f>
        <v>0</v>
      </c>
      <c r="Y72" s="155" t="s">
        <v>245</v>
      </c>
      <c r="Z72" t="str">
        <f t="shared" ca="1" si="76"/>
        <v/>
      </c>
      <c r="AA72" s="156">
        <f ca="1">IF($C72="S",IF($Z72="CP",$X72,IF($Z72="RA",(($X72)*QCI!$AA$3),0)),SomaAgrup)</f>
        <v>0</v>
      </c>
      <c r="AB72" s="157">
        <f t="shared" ca="1" si="63"/>
        <v>0</v>
      </c>
      <c r="AC72" s="158" t="str">
        <f ca="1">IF($N72="","",IF(ORÇAMENTO.Descricao="","DESCRIÇÃO",IF(AND($C72="S",ORÇAMENTO.Unidade=""),"UNIDADE",IF($X72&lt;0,"VALOR NEGATIVO",IF(OR(AND(TIPOORCAMENTO="Proposto",$AG72&lt;&gt;"",$AG72&gt;0,ORÇAMENTO.CustoUnitario&gt;$AG72),AND(TIPOORCAMENTO="LICITADO",ORÇAMENTO.PrecoUnitarioLicitado&gt;$AN72)),"ACIMA REF.","")))))</f>
        <v/>
      </c>
      <c r="AD72" s="667" t="str">
        <f ca="1">IF(C72&lt;=CRONO.NivelExibicao,MAX($AD$15:OFFSET(AD72,-1,0))+IF($C72&lt;&gt;1,1,MAX(1,COUNTIF(QCI!$A$13:$A$24,OFFSET($E72,-1,0)))),"")</f>
        <v/>
      </c>
      <c r="AE72" s="114" t="str">
        <f ca="1">IF(AND($C72="S",ORÇAMENTO.CodBarra&lt;&gt;""),IF(ORÇAMENTO.Fonte="",ORÇAMENTO.CodBarra,CONCATENATE(ORÇAMENTO.Fonte," ",ORÇAMENTO.CodBarra)))</f>
        <v>SINAPI 94994</v>
      </c>
      <c r="AF72" s="159">
        <f ca="1">IF(ISERROR(INDIRECT(ORÇAMENTO.BancoRef)),"(abra o arquivo 'Referência "&amp;Excel_BuiltIn_Database&amp;".xlsm)",IF(OR($C72&lt;&gt;"S",ORÇAMENTO.CodBarra=""),"(Sem Código)",IF(ISERROR(MATCH($AE72,INDIRECT(ORÇAMENTO.BancoRef),0)),"(Código não identificado nas referências)",MATCH($AE72,INDIRECT(ORÇAMENTO.BancoRef),0))))</f>
        <v>11214</v>
      </c>
      <c r="AG72" s="578">
        <f ca="1">ROUND(IF(DESONERACAO="sim",REFERENCIA.Desonerado,REFERENCIA.NaoDesonerado),2)</f>
        <v>96.33</v>
      </c>
      <c r="AH72" s="579">
        <f t="shared" ca="1" si="64"/>
        <v>0.2034</v>
      </c>
      <c r="AJ72" s="581">
        <v>680</v>
      </c>
      <c r="AL72" s="611"/>
      <c r="AM72" s="430">
        <f t="shared" ca="1" si="0"/>
        <v>0</v>
      </c>
      <c r="AN72" s="654">
        <f t="shared" ca="1" si="65"/>
        <v>0</v>
      </c>
    </row>
    <row r="73" spans="1:40" ht="38.25" x14ac:dyDescent="0.2">
      <c r="A73" t="str">
        <f t="shared" si="62"/>
        <v>S</v>
      </c>
      <c r="B73">
        <f t="shared" ca="1" si="66"/>
        <v>2</v>
      </c>
      <c r="C73" t="str">
        <f t="shared" ca="1" si="67"/>
        <v>S</v>
      </c>
      <c r="D73">
        <f t="shared" ca="1" si="68"/>
        <v>0</v>
      </c>
      <c r="E73">
        <f ca="1">IF($C73=1,OFFSET(E73,-1,0)+MAX(1,COUNTIF(QCI!$A$13:$A$24,OFFSET(ORÇAMENTO!E73,-1,0))),OFFSET(E73,-1,0))</f>
        <v>1</v>
      </c>
      <c r="F73">
        <f t="shared" ca="1" si="69"/>
        <v>11</v>
      </c>
      <c r="G73">
        <f t="shared" ca="1" si="70"/>
        <v>0</v>
      </c>
      <c r="H73">
        <f t="shared" ca="1" si="71"/>
        <v>0</v>
      </c>
      <c r="I73">
        <f t="shared" ca="1" si="72"/>
        <v>0</v>
      </c>
      <c r="J73">
        <f t="shared" ca="1" si="61"/>
        <v>0</v>
      </c>
      <c r="K73">
        <f ca="1">IF(OR($C73="S",$C73=0),0,MATCH(OFFSET($D73,0,$C73)+IF($C73&lt;&gt;1,1,COUNTIF(QCI!$A$13:$A$24,ORÇAMENTO!E73)),OFFSET($D73,1,$C73,ROW($C$192)-ROW($C73)),0))</f>
        <v>0</v>
      </c>
      <c r="L73" s="143" t="str">
        <f t="shared" ca="1" si="73"/>
        <v/>
      </c>
      <c r="M73" s="144" t="s">
        <v>199</v>
      </c>
      <c r="N73" s="145" t="str">
        <f t="shared" ca="1" si="74"/>
        <v>Serviço</v>
      </c>
      <c r="O73" s="146" t="str">
        <f t="shared" ca="1" si="75"/>
        <v>-</v>
      </c>
      <c r="P73" s="147" t="s">
        <v>247</v>
      </c>
      <c r="Q73" s="148" t="s">
        <v>503</v>
      </c>
      <c r="R73" s="149" t="s">
        <v>674</v>
      </c>
      <c r="S73" s="150" t="s">
        <v>777</v>
      </c>
      <c r="T73" s="151">
        <f ca="1">OFFSET(CÁLCULO!H$15,ROW($T73)-ROW(T$15),0)</f>
        <v>665</v>
      </c>
      <c r="U73" s="152"/>
      <c r="V73" s="153" t="s">
        <v>156</v>
      </c>
      <c r="W73" s="151">
        <f ca="1">IF($C73="S",ROUND(IF(TIPOORCAMENTO="Proposto",ORÇAMENTO.CustoUnitario*(1+$AH73),ORÇAMENTO.PrecoUnitarioLicitado),15-13*$AF$10),0)</f>
        <v>0</v>
      </c>
      <c r="X73" s="154">
        <f ca="1">IF($C73="S",IF(Import.TipoArredondamento&lt;&gt;"TransfereGOV",VTOTAL1,SUM(OFFSET(CÁLCULO!$AA$15,ROW($X73)-ROW($X$15),1):OFFSET(CÁLCULO!$AL$15,ROW($X73)-ROW($X$15),-1))),IF($C73=0,0,ROUND(SomaAgrup,15-13*$AF$11)))</f>
        <v>0</v>
      </c>
      <c r="Y73" s="155" t="s">
        <v>245</v>
      </c>
      <c r="Z73" t="str">
        <f t="shared" ca="1" si="76"/>
        <v/>
      </c>
      <c r="AA73" s="156">
        <f ca="1">IF($C73="S",IF($Z73="CP",$X73,IF($Z73="RA",(($X73)*QCI!$AA$3),0)),SomaAgrup)</f>
        <v>0</v>
      </c>
      <c r="AB73" s="157">
        <f t="shared" ca="1" si="63"/>
        <v>0</v>
      </c>
      <c r="AC73" s="158" t="str">
        <f ca="1">IF($N73="","",IF(ORÇAMENTO.Descricao="","DESCRIÇÃO",IF(AND($C73="S",ORÇAMENTO.Unidade=""),"UNIDADE",IF($X73&lt;0,"VALOR NEGATIVO",IF(OR(AND(TIPOORCAMENTO="Proposto",$AG73&lt;&gt;"",$AG73&gt;0,ORÇAMENTO.CustoUnitario&gt;$AG73),AND(TIPOORCAMENTO="LICITADO",ORÇAMENTO.PrecoUnitarioLicitado&gt;$AN73)),"ACIMA REF.","")))))</f>
        <v/>
      </c>
      <c r="AD73" s="667" t="str">
        <f ca="1">IF(C73&lt;=CRONO.NivelExibicao,MAX($AD$15:OFFSET(AD73,-1,0))+IF($C73&lt;&gt;1,1,MAX(1,COUNTIF(QCI!$A$13:$A$24,OFFSET($E73,-1,0)))),"")</f>
        <v/>
      </c>
      <c r="AE73" s="114" t="str">
        <f ca="1">IF(AND($C73="S",ORÇAMENTO.CodBarra&lt;&gt;""),IF(ORÇAMENTO.Fonte="",ORÇAMENTO.CodBarra,CONCATENATE(ORÇAMENTO.Fonte," ",ORÇAMENTO.CodBarra)))</f>
        <v>SINAPI 87259</v>
      </c>
      <c r="AF73" s="159">
        <f ca="1">IF(ISERROR(INDIRECT(ORÇAMENTO.BancoRef)),"(abra o arquivo 'Referência "&amp;Excel_BuiltIn_Database&amp;".xlsm)",IF(OR($C73&lt;&gt;"S",ORÇAMENTO.CodBarra=""),"(Sem Código)",IF(ISERROR(MATCH($AE73,INDIRECT(ORÇAMENTO.BancoRef),0)),"(Código não identificado nas referências)",MATCH($AE73,INDIRECT(ORÇAMENTO.BancoRef),0))))</f>
        <v>11153</v>
      </c>
      <c r="AG73" s="578">
        <f ca="1">ROUND(IF(DESONERACAO="sim",REFERENCIA.Desonerado,REFERENCIA.NaoDesonerado),2)</f>
        <v>134.27000000000001</v>
      </c>
      <c r="AH73" s="579">
        <f t="shared" ca="1" si="64"/>
        <v>0.2034</v>
      </c>
      <c r="AJ73" s="581">
        <f>8+174+483</f>
        <v>665</v>
      </c>
      <c r="AL73" s="611"/>
      <c r="AM73" s="430">
        <f t="shared" ca="1" si="0"/>
        <v>0</v>
      </c>
      <c r="AN73" s="654">
        <f t="shared" ca="1" si="65"/>
        <v>0</v>
      </c>
    </row>
    <row r="74" spans="1:40" ht="25.5" x14ac:dyDescent="0.2">
      <c r="A74" t="str">
        <f t="shared" si="62"/>
        <v>S</v>
      </c>
      <c r="B74">
        <f t="shared" ca="1" si="66"/>
        <v>2</v>
      </c>
      <c r="C74" t="str">
        <f t="shared" ca="1" si="67"/>
        <v>S</v>
      </c>
      <c r="D74">
        <f t="shared" ca="1" si="68"/>
        <v>0</v>
      </c>
      <c r="E74">
        <f ca="1">IF($C74=1,OFFSET(E74,-1,0)+MAX(1,COUNTIF(QCI!$A$13:$A$24,OFFSET(ORÇAMENTO!E74,-1,0))),OFFSET(E74,-1,0))</f>
        <v>1</v>
      </c>
      <c r="F74">
        <f t="shared" ca="1" si="69"/>
        <v>11</v>
      </c>
      <c r="G74">
        <f t="shared" ca="1" si="70"/>
        <v>0</v>
      </c>
      <c r="H74">
        <f t="shared" ca="1" si="71"/>
        <v>0</v>
      </c>
      <c r="I74">
        <f t="shared" ca="1" si="72"/>
        <v>0</v>
      </c>
      <c r="J74">
        <f t="shared" ca="1" si="61"/>
        <v>0</v>
      </c>
      <c r="K74">
        <f ca="1">IF(OR($C74="S",$C74=0),0,MATCH(OFFSET($D74,0,$C74)+IF($C74&lt;&gt;1,1,COUNTIF(QCI!$A$13:$A$24,ORÇAMENTO!E74)),OFFSET($D74,1,$C74,ROW($C$192)-ROW($C74)),0))</f>
        <v>0</v>
      </c>
      <c r="L74" s="143" t="str">
        <f t="shared" ca="1" si="73"/>
        <v/>
      </c>
      <c r="M74" s="144" t="s">
        <v>199</v>
      </c>
      <c r="N74" s="145" t="str">
        <f t="shared" ca="1" si="74"/>
        <v>Serviço</v>
      </c>
      <c r="O74" s="146" t="str">
        <f t="shared" ca="1" si="75"/>
        <v>-</v>
      </c>
      <c r="P74" s="147" t="s">
        <v>247</v>
      </c>
      <c r="Q74" s="148" t="s">
        <v>502</v>
      </c>
      <c r="R74" s="149" t="s">
        <v>675</v>
      </c>
      <c r="S74" s="150" t="s">
        <v>779</v>
      </c>
      <c r="T74" s="151">
        <f ca="1">OFFSET(CÁLCULO!H$15,ROW($T74)-ROW(T$15),0)</f>
        <v>101.9</v>
      </c>
      <c r="U74" s="152"/>
      <c r="V74" s="153" t="s">
        <v>156</v>
      </c>
      <c r="W74" s="151">
        <f ca="1">IF($C74="S",ROUND(IF(TIPOORCAMENTO="Proposto",ORÇAMENTO.CustoUnitario*(1+$AH74),ORÇAMENTO.PrecoUnitarioLicitado),15-13*$AF$10),0)</f>
        <v>0</v>
      </c>
      <c r="X74" s="154">
        <f ca="1">IF($C74="S",IF(Import.TipoArredondamento&lt;&gt;"TransfereGOV",VTOTAL1,SUM(OFFSET(CÁLCULO!$AA$15,ROW($X74)-ROW($X$15),1):OFFSET(CÁLCULO!$AL$15,ROW($X74)-ROW($X$15),-1))),IF($C74=0,0,ROUND(SomaAgrup,15-13*$AF$11)))</f>
        <v>0</v>
      </c>
      <c r="Y74" s="155" t="s">
        <v>245</v>
      </c>
      <c r="Z74" t="str">
        <f t="shared" ca="1" si="76"/>
        <v/>
      </c>
      <c r="AA74" s="156">
        <f ca="1">IF($C74="S",IF($Z74="CP",$X74,IF($Z74="RA",(($X74)*QCI!$AA$3),0)),SomaAgrup)</f>
        <v>0</v>
      </c>
      <c r="AB74" s="157">
        <f t="shared" ca="1" si="63"/>
        <v>0</v>
      </c>
      <c r="AC74" s="158" t="str">
        <f ca="1">IF($N74="","",IF(ORÇAMENTO.Descricao="","DESCRIÇÃO",IF(AND($C74="S",ORÇAMENTO.Unidade=""),"UNIDADE",IF($X74&lt;0,"VALOR NEGATIVO",IF(OR(AND(TIPOORCAMENTO="Proposto",$AG74&lt;&gt;"",$AG74&gt;0,ORÇAMENTO.CustoUnitario&gt;$AG74),AND(TIPOORCAMENTO="LICITADO",ORÇAMENTO.PrecoUnitarioLicitado&gt;$AN74)),"ACIMA REF.","")))))</f>
        <v/>
      </c>
      <c r="AD74" s="668" t="str">
        <f ca="1">IF(C74&lt;=CRONO.NivelExibicao,MAX($AD$15:OFFSET(AD74,-1,0))+IF($C74&lt;&gt;1,1,MAX(1,COUNTIF(QCI!$A$13:$A$24,OFFSET($E74,-1,0)))),"")</f>
        <v/>
      </c>
      <c r="AE74" s="114" t="str">
        <f ca="1">IF(AND($C74="S",ORÇAMENTO.CodBarra&lt;&gt;""),IF(ORÇAMENTO.Fonte="",ORÇAMENTO.CodBarra,CONCATENATE(ORÇAMENTO.Fonte," ",ORÇAMENTO.CodBarra)))</f>
        <v>SINAPI 88650</v>
      </c>
      <c r="AF74" s="159">
        <f ca="1">IF(ISERROR(INDIRECT(ORÇAMENTO.BancoRef)),"(abra o arquivo 'Referência "&amp;Excel_BuiltIn_Database&amp;".xlsm)",IF(OR($C74&lt;&gt;"S",ORÇAMENTO.CodBarra=""),"(Sem Código)",IF(ISERROR(MATCH($AE74,INDIRECT(ORÇAMENTO.BancoRef),0)),"(Código não identificado nas referências)",MATCH($AE74,INDIRECT(ORÇAMENTO.BancoRef),0))))</f>
        <v>11207</v>
      </c>
      <c r="AG74" s="578">
        <f ca="1">ROUND(IF(DESONERACAO="sim",REFERENCIA.Desonerado,REFERENCIA.NaoDesonerado),2)</f>
        <v>15.22</v>
      </c>
      <c r="AH74" s="579">
        <f t="shared" ca="1" si="64"/>
        <v>0.2034</v>
      </c>
      <c r="AJ74" s="581">
        <v>101.9</v>
      </c>
      <c r="AL74" s="611"/>
      <c r="AM74" s="430">
        <f t="shared" ca="1" si="0"/>
        <v>0</v>
      </c>
      <c r="AN74" s="654">
        <f t="shared" ca="1" si="65"/>
        <v>0</v>
      </c>
    </row>
    <row r="75" spans="1:40" x14ac:dyDescent="0.2">
      <c r="A75">
        <f t="shared" si="62"/>
        <v>2</v>
      </c>
      <c r="B75">
        <f t="shared" ca="1" si="66"/>
        <v>2</v>
      </c>
      <c r="C75">
        <f t="shared" ca="1" si="67"/>
        <v>2</v>
      </c>
      <c r="D75">
        <f t="shared" ca="1" si="68"/>
        <v>4</v>
      </c>
      <c r="E75">
        <f ca="1">IF($C75=1,OFFSET(E75,-1,0)+MAX(1,COUNTIF(QCI!$A$13:$A$24,OFFSET(ORÇAMENTO!E75,-1,0))),OFFSET(E75,-1,0))</f>
        <v>1</v>
      </c>
      <c r="F75">
        <f t="shared" ca="1" si="69"/>
        <v>12</v>
      </c>
      <c r="G75">
        <f t="shared" ca="1" si="70"/>
        <v>0</v>
      </c>
      <c r="H75">
        <f t="shared" ca="1" si="71"/>
        <v>0</v>
      </c>
      <c r="I75">
        <f t="shared" ca="1" si="72"/>
        <v>0</v>
      </c>
      <c r="J75">
        <f t="shared" ca="1" si="61"/>
        <v>117</v>
      </c>
      <c r="K75">
        <f ca="1">IF(OR($C75="S",$C75=0),0,MATCH(OFFSET($D75,0,$C75)+IF($C75&lt;&gt;1,1,COUNTIF(QCI!$A$13:$A$24,ORÇAMENTO!E75)),OFFSET($D75,1,$C75,ROW($C$192)-ROW($C75)),0))</f>
        <v>4</v>
      </c>
      <c r="L75" s="143" t="str">
        <f t="shared" ca="1" si="73"/>
        <v>F</v>
      </c>
      <c r="M75" s="144" t="s">
        <v>196</v>
      </c>
      <c r="N75" s="145" t="str">
        <f t="shared" ca="1" si="74"/>
        <v>Nível 2</v>
      </c>
      <c r="O75" s="146" t="str">
        <f t="shared" ca="1" si="75"/>
        <v>1.12.</v>
      </c>
      <c r="P75" s="147" t="s">
        <v>247</v>
      </c>
      <c r="Q75" s="148"/>
      <c r="R75" s="149" t="s">
        <v>461</v>
      </c>
      <c r="S75" s="150" t="s">
        <v>166</v>
      </c>
      <c r="T75" s="151">
        <f ca="1">OFFSET(CÁLCULO!H$15,ROW($T75)-ROW(T$15),0)</f>
        <v>0</v>
      </c>
      <c r="U75" s="152"/>
      <c r="V75" s="153" t="s">
        <v>156</v>
      </c>
      <c r="W75" s="151">
        <f ca="1">IF($C75="S",ROUND(IF(TIPOORCAMENTO="Proposto",ORÇAMENTO.CustoUnitario*(1+$AH75),ORÇAMENTO.PrecoUnitarioLicitado),15-13*$AF$10),0)</f>
        <v>0</v>
      </c>
      <c r="X75" s="154">
        <f ca="1">IF($C75="S",IF(Import.TipoArredondamento&lt;&gt;"TransfereGOV",VTOTAL1,SUM(OFFSET(CÁLCULO!$AA$15,ROW($X75)-ROW($X$15),1):OFFSET(CÁLCULO!$AL$15,ROW($X75)-ROW($X$15),-1))),IF($C75=0,0,ROUND(SomaAgrup,15-13*$AF$11)))</f>
        <v>0</v>
      </c>
      <c r="Y75" s="155" t="s">
        <v>245</v>
      </c>
      <c r="Z75" t="str">
        <f t="shared" ca="1" si="76"/>
        <v/>
      </c>
      <c r="AA75" s="156">
        <f ca="1">IF($C75="S",IF($Z75="CP",$X75,IF($Z75="RA",(($X75)*QCI!$AA$3),0)),SomaAgrup)</f>
        <v>0</v>
      </c>
      <c r="AB75" s="157">
        <f t="shared" ca="1" si="63"/>
        <v>0</v>
      </c>
      <c r="AC75" s="158" t="str">
        <f ca="1">IF($N75="","",IF(ORÇAMENTO.Descricao="","DESCRIÇÃO",IF(AND($C75="S",ORÇAMENTO.Unidade=""),"UNIDADE",IF($X75&lt;0,"VALOR NEGATIVO",IF(OR(AND(TIPOORCAMENTO="Proposto",$AG75&lt;&gt;"",$AG75&gt;0,ORÇAMENTO.CustoUnitario&gt;$AG75),AND(TIPOORCAMENTO="LICITADO",ORÇAMENTO.PrecoUnitarioLicitado&gt;$AN75)),"ACIMA REF.","")))))</f>
        <v/>
      </c>
      <c r="AD75" s="667">
        <f ca="1">IF(C75&lt;=CRONO.NivelExibicao,MAX($AD$15:OFFSET(AD75,-1,0))+IF($C75&lt;&gt;1,1,MAX(1,COUNTIF(QCI!$A$13:$A$24,OFFSET($E75,-1,0)))),"")</f>
        <v>13</v>
      </c>
      <c r="AE75" s="114" t="b">
        <f ca="1">IF(AND($C75="S",ORÇAMENTO.CodBarra&lt;&gt;""),IF(ORÇAMENTO.Fonte="",ORÇAMENTO.CodBarra,CONCATENATE(ORÇAMENTO.Fonte," ",ORÇAMENTO.CodBarra)))</f>
        <v>0</v>
      </c>
      <c r="AF75" s="159" t="str">
        <f ca="1">IF(ISERROR(INDIRECT(ORÇAMENTO.BancoRef)),"(abra o arquivo 'Referência "&amp;Excel_BuiltIn_Database&amp;".xlsm)",IF(OR($C75&lt;&gt;"S",ORÇAMENTO.CodBarra=""),"(Sem Código)",IF(ISERROR(MATCH($AE75,INDIRECT(ORÇAMENTO.BancoRef),0)),"(Código não identificado nas referências)",MATCH($AE75,INDIRECT(ORÇAMENTO.BancoRef),0))))</f>
        <v>(Sem Código)</v>
      </c>
      <c r="AG75" s="578">
        <f ca="1">ROUND(IF(DESONERACAO="sim",REFERENCIA.Desonerado,REFERENCIA.NaoDesonerado),2)</f>
        <v>0</v>
      </c>
      <c r="AH75" s="579">
        <f t="shared" ca="1" si="64"/>
        <v>0.2034</v>
      </c>
      <c r="AJ75" s="581"/>
      <c r="AL75" s="611"/>
      <c r="AM75" s="430">
        <f t="shared" ca="1" si="0"/>
        <v>0</v>
      </c>
      <c r="AN75" s="654">
        <f t="shared" ca="1" si="65"/>
        <v>0</v>
      </c>
    </row>
    <row r="76" spans="1:40" ht="38.25" x14ac:dyDescent="0.2">
      <c r="A76" t="str">
        <f t="shared" si="62"/>
        <v>S</v>
      </c>
      <c r="B76">
        <f t="shared" ca="1" si="66"/>
        <v>2</v>
      </c>
      <c r="C76" t="str">
        <f t="shared" ca="1" si="67"/>
        <v>S</v>
      </c>
      <c r="D76">
        <f t="shared" ca="1" si="68"/>
        <v>0</v>
      </c>
      <c r="E76">
        <f ca="1">IF($C76=1,OFFSET(E76,-1,0)+MAX(1,COUNTIF(QCI!$A$13:$A$24,OFFSET(ORÇAMENTO!E76,-1,0))),OFFSET(E76,-1,0))</f>
        <v>1</v>
      </c>
      <c r="F76">
        <f t="shared" ca="1" si="69"/>
        <v>12</v>
      </c>
      <c r="G76">
        <f t="shared" ca="1" si="70"/>
        <v>0</v>
      </c>
      <c r="H76">
        <f t="shared" ca="1" si="71"/>
        <v>0</v>
      </c>
      <c r="I76">
        <f t="shared" ca="1" si="72"/>
        <v>0</v>
      </c>
      <c r="J76">
        <f t="shared" ca="1" si="61"/>
        <v>0</v>
      </c>
      <c r="K76">
        <f ca="1">IF(OR($C76="S",$C76=0),0,MATCH(OFFSET($D76,0,$C76)+IF($C76&lt;&gt;1,1,COUNTIF(QCI!$A$13:$A$24,ORÇAMENTO!E76)),OFFSET($D76,1,$C76,ROW($C$192)-ROW($C76)),0))</f>
        <v>0</v>
      </c>
      <c r="L76" s="143" t="str">
        <f t="shared" ca="1" si="73"/>
        <v/>
      </c>
      <c r="M76" s="144" t="s">
        <v>199</v>
      </c>
      <c r="N76" s="145" t="str">
        <f t="shared" ca="1" si="74"/>
        <v>Serviço</v>
      </c>
      <c r="O76" s="146" t="str">
        <f t="shared" ca="1" si="75"/>
        <v>-</v>
      </c>
      <c r="P76" s="147" t="s">
        <v>247</v>
      </c>
      <c r="Q76" s="148" t="s">
        <v>463</v>
      </c>
      <c r="R76" s="149" t="s">
        <v>676</v>
      </c>
      <c r="S76" s="150" t="s">
        <v>777</v>
      </c>
      <c r="T76" s="151">
        <f ca="1">OFFSET(CÁLCULO!H$15,ROW($T76)-ROW(T$15),0)</f>
        <v>680</v>
      </c>
      <c r="U76" s="152"/>
      <c r="V76" s="153" t="s">
        <v>156</v>
      </c>
      <c r="W76" s="151">
        <f ca="1">IF($C76="S",ROUND(IF(TIPOORCAMENTO="Proposto",ORÇAMENTO.CustoUnitario*(1+$AH76),ORÇAMENTO.PrecoUnitarioLicitado),15-13*$AF$10),0)</f>
        <v>0</v>
      </c>
      <c r="X76" s="154">
        <f ca="1">IF($C76="S",IF(Import.TipoArredondamento&lt;&gt;"TransfereGOV",VTOTAL1,SUM(OFFSET(CÁLCULO!$AA$15,ROW($X76)-ROW($X$15),1):OFFSET(CÁLCULO!$AL$15,ROW($X76)-ROW($X$15),-1))),IF($C76=0,0,ROUND(SomaAgrup,15-13*$AF$11)))</f>
        <v>0</v>
      </c>
      <c r="Y76" s="155" t="s">
        <v>245</v>
      </c>
      <c r="Z76" t="str">
        <f t="shared" ca="1" si="76"/>
        <v/>
      </c>
      <c r="AA76" s="156">
        <f ca="1">IF($C76="S",IF($Z76="CP",$X76,IF($Z76="RA",(($X76)*QCI!$AA$3),0)),SomaAgrup)</f>
        <v>0</v>
      </c>
      <c r="AB76" s="157">
        <f t="shared" ca="1" si="63"/>
        <v>0</v>
      </c>
      <c r="AC76" s="158" t="str">
        <f ca="1">IF($N76="","",IF(ORÇAMENTO.Descricao="","DESCRIÇÃO",IF(AND($C76="S",ORÇAMENTO.Unidade=""),"UNIDADE",IF($X76&lt;0,"VALOR NEGATIVO",IF(OR(AND(TIPOORCAMENTO="Proposto",$AG76&lt;&gt;"",$AG76&gt;0,ORÇAMENTO.CustoUnitario&gt;$AG76),AND(TIPOORCAMENTO="LICITADO",ORÇAMENTO.PrecoUnitarioLicitado&gt;$AN76)),"ACIMA REF.","")))))</f>
        <v/>
      </c>
      <c r="AD76" s="667" t="str">
        <f ca="1">IF(C76&lt;=CRONO.NivelExibicao,MAX($AD$15:OFFSET(AD76,-1,0))+IF($C76&lt;&gt;1,1,MAX(1,COUNTIF(QCI!$A$13:$A$24,OFFSET($E76,-1,0)))),"")</f>
        <v/>
      </c>
      <c r="AE76" s="114" t="str">
        <f ca="1">IF(AND($C76="S",ORÇAMENTO.CodBarra&lt;&gt;""),IF(ORÇAMENTO.Fonte="",ORÇAMENTO.CodBarra,CONCATENATE(ORÇAMENTO.Fonte," ",ORÇAMENTO.CodBarra)))</f>
        <v>SINAPI 101964</v>
      </c>
      <c r="AF76" s="159">
        <f ca="1">IF(ISERROR(INDIRECT(ORÇAMENTO.BancoRef)),"(abra o arquivo 'Referência "&amp;Excel_BuiltIn_Database&amp;".xlsm)",IF(OR($C76&lt;&gt;"S",ORÇAMENTO.CodBarra=""),"(Sem Código)",IF(ISERROR(MATCH($AE76,INDIRECT(ORÇAMENTO.BancoRef),0)),"(Código não identificado nas referências)",MATCH($AE76,INDIRECT(ORÇAMENTO.BancoRef),0))))</f>
        <v>7604</v>
      </c>
      <c r="AG76" s="578">
        <f ca="1">ROUND(IF(DESONERACAO="sim",REFERENCIA.Desonerado,REFERENCIA.NaoDesonerado),2)</f>
        <v>164.13</v>
      </c>
      <c r="AH76" s="579">
        <f t="shared" ca="1" si="64"/>
        <v>0.2034</v>
      </c>
      <c r="AJ76" s="581">
        <v>680</v>
      </c>
      <c r="AL76" s="611"/>
      <c r="AM76" s="430">
        <f t="shared" ca="1" si="0"/>
        <v>0</v>
      </c>
      <c r="AN76" s="654">
        <f t="shared" ca="1" si="65"/>
        <v>0</v>
      </c>
    </row>
    <row r="77" spans="1:40" ht="38.25" x14ac:dyDescent="0.2">
      <c r="A77" t="str">
        <f t="shared" si="62"/>
        <v>S</v>
      </c>
      <c r="B77">
        <f t="shared" ca="1" si="66"/>
        <v>2</v>
      </c>
      <c r="C77" t="str">
        <f t="shared" ca="1" si="67"/>
        <v>S</v>
      </c>
      <c r="D77">
        <f t="shared" ca="1" si="68"/>
        <v>0</v>
      </c>
      <c r="E77">
        <f ca="1">IF($C77=1,OFFSET(E77,-1,0)+MAX(1,COUNTIF(QCI!$A$13:$A$24,OFFSET(ORÇAMENTO!E77,-1,0))),OFFSET(E77,-1,0))</f>
        <v>1</v>
      </c>
      <c r="F77">
        <f t="shared" ca="1" si="69"/>
        <v>12</v>
      </c>
      <c r="G77">
        <f t="shared" ca="1" si="70"/>
        <v>0</v>
      </c>
      <c r="H77">
        <f t="shared" ca="1" si="71"/>
        <v>0</v>
      </c>
      <c r="I77">
        <f t="shared" ca="1" si="72"/>
        <v>0</v>
      </c>
      <c r="J77">
        <f t="shared" ca="1" si="61"/>
        <v>0</v>
      </c>
      <c r="K77">
        <f ca="1">IF(OR($C77="S",$C77=0),0,MATCH(OFFSET($D77,0,$C77)+IF($C77&lt;&gt;1,1,COUNTIF(QCI!$A$13:$A$24,ORÇAMENTO!E77)),OFFSET($D77,1,$C77,ROW($C$192)-ROW($C77)),0))</f>
        <v>0</v>
      </c>
      <c r="L77" s="143" t="str">
        <f t="shared" ca="1" si="73"/>
        <v/>
      </c>
      <c r="M77" s="144" t="s">
        <v>199</v>
      </c>
      <c r="N77" s="145" t="str">
        <f t="shared" ca="1" si="74"/>
        <v>Serviço</v>
      </c>
      <c r="O77" s="146" t="str">
        <f t="shared" ca="1" si="75"/>
        <v>-</v>
      </c>
      <c r="P77" s="147" t="s">
        <v>247</v>
      </c>
      <c r="Q77" s="148" t="s">
        <v>464</v>
      </c>
      <c r="R77" s="149" t="s">
        <v>677</v>
      </c>
      <c r="S77" s="150" t="s">
        <v>777</v>
      </c>
      <c r="T77" s="151">
        <f ca="1">OFFSET(CÁLCULO!H$15,ROW($T77)-ROW(T$15),0)</f>
        <v>680</v>
      </c>
      <c r="U77" s="152"/>
      <c r="V77" s="153" t="s">
        <v>156</v>
      </c>
      <c r="W77" s="151">
        <f ca="1">IF($C77="S",ROUND(IF(TIPOORCAMENTO="Proposto",ORÇAMENTO.CustoUnitario*(1+$AH77),ORÇAMENTO.PrecoUnitarioLicitado),15-13*$AF$10),0)</f>
        <v>0</v>
      </c>
      <c r="X77" s="154">
        <f ca="1">IF($C77="S",IF(Import.TipoArredondamento&lt;&gt;"TransfereGOV",VTOTAL1,SUM(OFFSET(CÁLCULO!$AA$15,ROW($X77)-ROW($X$15),1):OFFSET(CÁLCULO!$AL$15,ROW($X77)-ROW($X$15),-1))),IF($C77=0,0,ROUND(SomaAgrup,15-13*$AF$11)))</f>
        <v>0</v>
      </c>
      <c r="Y77" s="155" t="s">
        <v>245</v>
      </c>
      <c r="Z77" t="str">
        <f t="shared" ca="1" si="76"/>
        <v/>
      </c>
      <c r="AA77" s="156">
        <f ca="1">IF($C77="S",IF($Z77="CP",$X77,IF($Z77="RA",(($X77)*QCI!$AA$3),0)),SomaAgrup)</f>
        <v>0</v>
      </c>
      <c r="AB77" s="157">
        <f t="shared" ca="1" si="63"/>
        <v>0</v>
      </c>
      <c r="AC77" s="158" t="str">
        <f ca="1">IF($N77="","",IF(ORÇAMENTO.Descricao="","DESCRIÇÃO",IF(AND($C77="S",ORÇAMENTO.Unidade=""),"UNIDADE",IF($X77&lt;0,"VALOR NEGATIVO",IF(OR(AND(TIPOORCAMENTO="Proposto",$AG77&lt;&gt;"",$AG77&gt;0,ORÇAMENTO.CustoUnitario&gt;$AG77),AND(TIPOORCAMENTO="LICITADO",ORÇAMENTO.PrecoUnitarioLicitado&gt;$AN77)),"ACIMA REF.","")))))</f>
        <v/>
      </c>
      <c r="AD77" s="667" t="str">
        <f ca="1">IF(C77&lt;=CRONO.NivelExibicao,MAX($AD$15:OFFSET(AD77,-1,0))+IF($C77&lt;&gt;1,1,MAX(1,COUNTIF(QCI!$A$13:$A$24,OFFSET($E77,-1,0)))),"")</f>
        <v/>
      </c>
      <c r="AE77" s="114" t="str">
        <f ca="1">IF(AND($C77="S",ORÇAMENTO.CodBarra&lt;&gt;""),IF(ORÇAMENTO.Fonte="",ORÇAMENTO.CodBarra,CONCATENATE(ORÇAMENTO.Fonte," ",ORÇAMENTO.CodBarra)))</f>
        <v>SINAPI 87886</v>
      </c>
      <c r="AF77" s="159">
        <f ca="1">IF(ISERROR(INDIRECT(ORÇAMENTO.BancoRef)),"(abra o arquivo 'Referência "&amp;Excel_BuiltIn_Database&amp;".xlsm)",IF(OR($C77&lt;&gt;"S",ORÇAMENTO.CodBarra=""),"(Sem Código)",IF(ISERROR(MATCH($AE77,INDIRECT(ORÇAMENTO.BancoRef),0)),"(Código não identificado nas referências)",MATCH($AE77,INDIRECT(ORÇAMENTO.BancoRef),0))))</f>
        <v>11285</v>
      </c>
      <c r="AG77" s="578">
        <f ca="1">ROUND(IF(DESONERACAO="sim",REFERENCIA.Desonerado,REFERENCIA.NaoDesonerado),2)</f>
        <v>16.829999999999998</v>
      </c>
      <c r="AH77" s="579">
        <f t="shared" ca="1" si="64"/>
        <v>0.2034</v>
      </c>
      <c r="AJ77" s="581">
        <v>680</v>
      </c>
      <c r="AL77" s="611"/>
      <c r="AM77" s="430">
        <f t="shared" ca="1" si="0"/>
        <v>0</v>
      </c>
      <c r="AN77" s="654">
        <f t="shared" ca="1" si="65"/>
        <v>0</v>
      </c>
    </row>
    <row r="78" spans="1:40" ht="38.25" x14ac:dyDescent="0.2">
      <c r="A78" t="str">
        <f t="shared" si="62"/>
        <v>S</v>
      </c>
      <c r="B78">
        <f t="shared" ca="1" si="66"/>
        <v>2</v>
      </c>
      <c r="C78" t="str">
        <f t="shared" ca="1" si="67"/>
        <v>S</v>
      </c>
      <c r="D78">
        <f t="shared" ca="1" si="68"/>
        <v>0</v>
      </c>
      <c r="E78">
        <f ca="1">IF($C78=1,OFFSET(E78,-1,0)+MAX(1,COUNTIF(QCI!$A$13:$A$24,OFFSET(ORÇAMENTO!E78,-1,0))),OFFSET(E78,-1,0))</f>
        <v>1</v>
      </c>
      <c r="F78">
        <f t="shared" ca="1" si="69"/>
        <v>12</v>
      </c>
      <c r="G78">
        <f t="shared" ca="1" si="70"/>
        <v>0</v>
      </c>
      <c r="H78">
        <f t="shared" ca="1" si="71"/>
        <v>0</v>
      </c>
      <c r="I78">
        <f t="shared" ca="1" si="72"/>
        <v>0</v>
      </c>
      <c r="J78">
        <f t="shared" ca="1" si="61"/>
        <v>0</v>
      </c>
      <c r="K78">
        <f ca="1">IF(OR($C78="S",$C78=0),0,MATCH(OFFSET($D78,0,$C78)+IF($C78&lt;&gt;1,1,COUNTIF(QCI!$A$13:$A$24,ORÇAMENTO!E78)),OFFSET($D78,1,$C78,ROW($C$192)-ROW($C78)),0))</f>
        <v>0</v>
      </c>
      <c r="L78" s="143" t="str">
        <f t="shared" ca="1" si="73"/>
        <v/>
      </c>
      <c r="M78" s="144" t="s">
        <v>199</v>
      </c>
      <c r="N78" s="145" t="str">
        <f t="shared" ca="1" si="74"/>
        <v>Serviço</v>
      </c>
      <c r="O78" s="146" t="str">
        <f t="shared" ca="1" si="75"/>
        <v>-</v>
      </c>
      <c r="P78" s="147" t="s">
        <v>247</v>
      </c>
      <c r="Q78" s="148" t="s">
        <v>465</v>
      </c>
      <c r="R78" s="149" t="s">
        <v>678</v>
      </c>
      <c r="S78" s="150" t="s">
        <v>777</v>
      </c>
      <c r="T78" s="151">
        <f ca="1">OFFSET(CÁLCULO!H$15,ROW($T78)-ROW(T$15),0)</f>
        <v>680</v>
      </c>
      <c r="U78" s="152"/>
      <c r="V78" s="153" t="s">
        <v>156</v>
      </c>
      <c r="W78" s="151">
        <f ca="1">IF($C78="S",ROUND(IF(TIPOORCAMENTO="Proposto",ORÇAMENTO.CustoUnitario*(1+$AH78),ORÇAMENTO.PrecoUnitarioLicitado),15-13*$AF$10),0)</f>
        <v>0</v>
      </c>
      <c r="X78" s="154">
        <f ca="1">IF($C78="S",IF(Import.TipoArredondamento&lt;&gt;"TransfereGOV",VTOTAL1,SUM(OFFSET(CÁLCULO!$AA$15,ROW($X78)-ROW($X$15),1):OFFSET(CÁLCULO!$AL$15,ROW($X78)-ROW($X$15),-1))),IF($C78=0,0,ROUND(SomaAgrup,15-13*$AF$11)))</f>
        <v>0</v>
      </c>
      <c r="Y78" s="155" t="s">
        <v>245</v>
      </c>
      <c r="Z78" t="str">
        <f t="shared" ca="1" si="76"/>
        <v/>
      </c>
      <c r="AA78" s="156">
        <f ca="1">IF($C78="S",IF($Z78="CP",$X78,IF($Z78="RA",(($X78)*QCI!$AA$3),0)),SomaAgrup)</f>
        <v>0</v>
      </c>
      <c r="AB78" s="157">
        <f t="shared" ca="1" si="63"/>
        <v>0</v>
      </c>
      <c r="AC78" s="158" t="str">
        <f ca="1">IF($N78="","",IF(ORÇAMENTO.Descricao="","DESCRIÇÃO",IF(AND($C78="S",ORÇAMENTO.Unidade=""),"UNIDADE",IF($X78&lt;0,"VALOR NEGATIVO",IF(OR(AND(TIPOORCAMENTO="Proposto",$AG78&lt;&gt;"",$AG78&gt;0,ORÇAMENTO.CustoUnitario&gt;$AG78),AND(TIPOORCAMENTO="LICITADO",ORÇAMENTO.PrecoUnitarioLicitado&gt;$AN78)),"ACIMA REF.","")))))</f>
        <v/>
      </c>
      <c r="AD78" s="667" t="str">
        <f ca="1">IF(C78&lt;=CRONO.NivelExibicao,MAX($AD$15:OFFSET(AD78,-1,0))+IF($C78&lt;&gt;1,1,MAX(1,COUNTIF(QCI!$A$13:$A$24,OFFSET($E78,-1,0)))),"")</f>
        <v/>
      </c>
      <c r="AE78" s="114" t="str">
        <f ca="1">IF(AND($C78="S",ORÇAMENTO.CodBarra&lt;&gt;""),IF(ORÇAMENTO.Fonte="",ORÇAMENTO.CodBarra,CONCATENATE(ORÇAMENTO.Fonte," ",ORÇAMENTO.CodBarra)))</f>
        <v>SINAPI 90406</v>
      </c>
      <c r="AF78" s="159">
        <f ca="1">IF(ISERROR(INDIRECT(ORÇAMENTO.BancoRef)),"(abra o arquivo 'Referência "&amp;Excel_BuiltIn_Database&amp;".xlsm)",IF(OR($C78&lt;&gt;"S",ORÇAMENTO.CodBarra=""),"(Sem Código)",IF(ISERROR(MATCH($AE78,INDIRECT(ORÇAMENTO.BancoRef),0)),"(Código não identificado nas referências)",MATCH($AE78,INDIRECT(ORÇAMENTO.BancoRef),0))))</f>
        <v>11390</v>
      </c>
      <c r="AG78" s="578">
        <f ca="1">ROUND(IF(DESONERACAO="sim",REFERENCIA.Desonerado,REFERENCIA.NaoDesonerado),2)</f>
        <v>42.93</v>
      </c>
      <c r="AH78" s="579">
        <f t="shared" ca="1" si="64"/>
        <v>0.2034</v>
      </c>
      <c r="AJ78" s="581">
        <v>680</v>
      </c>
      <c r="AL78" s="611"/>
      <c r="AM78" s="430">
        <f t="shared" ca="1" si="0"/>
        <v>0</v>
      </c>
      <c r="AN78" s="654">
        <f t="shared" ca="1" si="65"/>
        <v>0</v>
      </c>
    </row>
    <row r="79" spans="1:40" x14ac:dyDescent="0.2">
      <c r="A79">
        <f t="shared" si="62"/>
        <v>2</v>
      </c>
      <c r="B79">
        <f t="shared" ca="1" si="66"/>
        <v>2</v>
      </c>
      <c r="C79">
        <f t="shared" ca="1" si="67"/>
        <v>2</v>
      </c>
      <c r="D79">
        <f t="shared" ca="1" si="68"/>
        <v>8</v>
      </c>
      <c r="E79">
        <f ca="1">IF($C79=1,OFFSET(E79,-1,0)+MAX(1,COUNTIF(QCI!$A$13:$A$24,OFFSET(ORÇAMENTO!E79,-1,0))),OFFSET(E79,-1,0))</f>
        <v>1</v>
      </c>
      <c r="F79">
        <f t="shared" ca="1" si="69"/>
        <v>13</v>
      </c>
      <c r="G79">
        <f t="shared" ca="1" si="70"/>
        <v>0</v>
      </c>
      <c r="H79">
        <f t="shared" ca="1" si="71"/>
        <v>0</v>
      </c>
      <c r="I79">
        <f t="shared" ca="1" si="72"/>
        <v>0</v>
      </c>
      <c r="J79">
        <f t="shared" ca="1" si="61"/>
        <v>113</v>
      </c>
      <c r="K79">
        <f ca="1">IF(OR($C79="S",$C79=0),0,MATCH(OFFSET($D79,0,$C79)+IF($C79&lt;&gt;1,1,COUNTIF(QCI!$A$13:$A$24,ORÇAMENTO!E79)),OFFSET($D79,1,$C79,ROW($C$192)-ROW($C79)),0))</f>
        <v>8</v>
      </c>
      <c r="L79" s="143" t="str">
        <f t="shared" ca="1" si="73"/>
        <v>F</v>
      </c>
      <c r="M79" s="144" t="s">
        <v>196</v>
      </c>
      <c r="N79" s="145" t="str">
        <f t="shared" ca="1" si="74"/>
        <v>Nível 2</v>
      </c>
      <c r="O79" s="146" t="str">
        <f t="shared" ca="1" si="75"/>
        <v>1.13.</v>
      </c>
      <c r="P79" s="147" t="s">
        <v>247</v>
      </c>
      <c r="Q79" s="148"/>
      <c r="R79" s="149" t="s">
        <v>484</v>
      </c>
      <c r="S79" s="150" t="s">
        <v>166</v>
      </c>
      <c r="T79" s="151">
        <f ca="1">OFFSET(CÁLCULO!H$15,ROW($T79)-ROW(T$15),0)</f>
        <v>0</v>
      </c>
      <c r="U79" s="152"/>
      <c r="V79" s="153" t="s">
        <v>156</v>
      </c>
      <c r="W79" s="151">
        <f ca="1">IF($C79="S",ROUND(IF(TIPOORCAMENTO="Proposto",ORÇAMENTO.CustoUnitario*(1+$AH79),ORÇAMENTO.PrecoUnitarioLicitado),15-13*$AF$10),0)</f>
        <v>0</v>
      </c>
      <c r="X79" s="154">
        <f ca="1">IF($C79="S",IF(Import.TipoArredondamento&lt;&gt;"TransfereGOV",VTOTAL1,SUM(OFFSET(CÁLCULO!$AA$15,ROW($X79)-ROW($X$15),1):OFFSET(CÁLCULO!$AL$15,ROW($X79)-ROW($X$15),-1))),IF($C79=0,0,ROUND(SomaAgrup,15-13*$AF$11)))</f>
        <v>0</v>
      </c>
      <c r="Y79" s="155" t="s">
        <v>245</v>
      </c>
      <c r="Z79" t="str">
        <f t="shared" ca="1" si="76"/>
        <v/>
      </c>
      <c r="AA79" s="156">
        <f ca="1">IF($C79="S",IF($Z79="CP",$X79,IF($Z79="RA",(($X79)*QCI!$AA$3),0)),SomaAgrup)</f>
        <v>0</v>
      </c>
      <c r="AB79" s="157">
        <f t="shared" ca="1" si="63"/>
        <v>0</v>
      </c>
      <c r="AC79" s="158" t="str">
        <f ca="1">IF($N79="","",IF(ORÇAMENTO.Descricao="","DESCRIÇÃO",IF(AND($C79="S",ORÇAMENTO.Unidade=""),"UNIDADE",IF($X79&lt;0,"VALOR NEGATIVO",IF(OR(AND(TIPOORCAMENTO="Proposto",$AG79&lt;&gt;"",$AG79&gt;0,ORÇAMENTO.CustoUnitario&gt;$AG79),AND(TIPOORCAMENTO="LICITADO",ORÇAMENTO.PrecoUnitarioLicitado&gt;$AN79)),"ACIMA REF.","")))))</f>
        <v/>
      </c>
      <c r="AD79" s="668">
        <f ca="1">IF(C79&lt;=CRONO.NivelExibicao,MAX($AD$15:OFFSET(AD79,-1,0))+IF($C79&lt;&gt;1,1,MAX(1,COUNTIF(QCI!$A$13:$A$24,OFFSET($E79,-1,0)))),"")</f>
        <v>14</v>
      </c>
      <c r="AE79" s="114" t="b">
        <f ca="1">IF(AND($C79="S",ORÇAMENTO.CodBarra&lt;&gt;""),IF(ORÇAMENTO.Fonte="",ORÇAMENTO.CodBarra,CONCATENATE(ORÇAMENTO.Fonte," ",ORÇAMENTO.CodBarra)))</f>
        <v>0</v>
      </c>
      <c r="AF79" s="159" t="str">
        <f ca="1">IF(ISERROR(INDIRECT(ORÇAMENTO.BancoRef)),"(abra o arquivo 'Referência "&amp;Excel_BuiltIn_Database&amp;".xlsm)",IF(OR($C79&lt;&gt;"S",ORÇAMENTO.CodBarra=""),"(Sem Código)",IF(ISERROR(MATCH($AE79,INDIRECT(ORÇAMENTO.BancoRef),0)),"(Código não identificado nas referências)",MATCH($AE79,INDIRECT(ORÇAMENTO.BancoRef),0))))</f>
        <v>(Sem Código)</v>
      </c>
      <c r="AG79" s="578">
        <f ca="1">ROUND(IF(DESONERACAO="sim",REFERENCIA.Desonerado,REFERENCIA.NaoDesonerado),2)</f>
        <v>0</v>
      </c>
      <c r="AH79" s="579">
        <f t="shared" ca="1" si="64"/>
        <v>0.2034</v>
      </c>
      <c r="AJ79" s="581"/>
      <c r="AL79" s="611"/>
      <c r="AM79" s="430">
        <f t="shared" ca="1" si="0"/>
        <v>0</v>
      </c>
      <c r="AN79" s="654">
        <f t="shared" ca="1" si="65"/>
        <v>0</v>
      </c>
    </row>
    <row r="80" spans="1:40" ht="38.25" x14ac:dyDescent="0.2">
      <c r="A80" t="str">
        <f t="shared" si="62"/>
        <v>S</v>
      </c>
      <c r="B80">
        <f t="shared" ca="1" si="66"/>
        <v>2</v>
      </c>
      <c r="C80" t="str">
        <f t="shared" ca="1" si="67"/>
        <v>S</v>
      </c>
      <c r="D80">
        <f t="shared" ca="1" si="68"/>
        <v>0</v>
      </c>
      <c r="E80">
        <f ca="1">IF($C80=1,OFFSET(E80,-1,0)+MAX(1,COUNTIF(QCI!$A$13:$A$24,OFFSET(ORÇAMENTO!E80,-1,0))),OFFSET(E80,-1,0))</f>
        <v>1</v>
      </c>
      <c r="F80">
        <f t="shared" ca="1" si="69"/>
        <v>13</v>
      </c>
      <c r="G80">
        <f t="shared" ca="1" si="70"/>
        <v>0</v>
      </c>
      <c r="H80">
        <f t="shared" ca="1" si="71"/>
        <v>0</v>
      </c>
      <c r="I80">
        <f t="shared" ca="1" si="72"/>
        <v>0</v>
      </c>
      <c r="J80">
        <f t="shared" ref="J80:J111" ca="1" si="77">IF(OR($C80="S",$C80=0),0,MATCH(0,OFFSET($D80,1,$C80,ROW($C$192)-ROW($C80)),0))</f>
        <v>0</v>
      </c>
      <c r="K80">
        <f ca="1">IF(OR($C80="S",$C80=0),0,MATCH(OFFSET($D80,0,$C80)+IF($C80&lt;&gt;1,1,COUNTIF(QCI!$A$13:$A$24,ORÇAMENTO!E80)),OFFSET($D80,1,$C80,ROW($C$192)-ROW($C80)),0))</f>
        <v>0</v>
      </c>
      <c r="L80" s="143" t="str">
        <f t="shared" ca="1" si="73"/>
        <v/>
      </c>
      <c r="M80" s="144" t="s">
        <v>199</v>
      </c>
      <c r="N80" s="145" t="str">
        <f t="shared" ca="1" si="74"/>
        <v>Serviço</v>
      </c>
      <c r="O80" s="146" t="str">
        <f t="shared" ca="1" si="75"/>
        <v>-</v>
      </c>
      <c r="P80" s="147" t="s">
        <v>247</v>
      </c>
      <c r="Q80" s="148" t="s">
        <v>485</v>
      </c>
      <c r="R80" s="149" t="s">
        <v>679</v>
      </c>
      <c r="S80" s="150" t="s">
        <v>778</v>
      </c>
      <c r="T80" s="151">
        <f ca="1">OFFSET(CÁLCULO!H$15,ROW($T80)-ROW(T$15),0)</f>
        <v>18</v>
      </c>
      <c r="U80" s="152"/>
      <c r="V80" s="153" t="s">
        <v>156</v>
      </c>
      <c r="W80" s="151">
        <f ca="1">IF($C80="S",ROUND(IF(TIPOORCAMENTO="Proposto",ORÇAMENTO.CustoUnitario*(1+$AH80),ORÇAMENTO.PrecoUnitarioLicitado),15-13*$AF$10),0)</f>
        <v>0</v>
      </c>
      <c r="X80" s="154">
        <f ca="1">IF($C80="S",IF(Import.TipoArredondamento&lt;&gt;"TransfereGOV",VTOTAL1,SUM(OFFSET(CÁLCULO!$AA$15,ROW($X80)-ROW($X$15),1):OFFSET(CÁLCULO!$AL$15,ROW($X80)-ROW($X$15),-1))),IF($C80=0,0,ROUND(SomaAgrup,15-13*$AF$11)))</f>
        <v>0</v>
      </c>
      <c r="Y80" s="155" t="s">
        <v>245</v>
      </c>
      <c r="Z80" t="str">
        <f t="shared" ca="1" si="76"/>
        <v/>
      </c>
      <c r="AA80" s="156">
        <f ca="1">IF($C80="S",IF($Z80="CP",$X80,IF($Z80="RA",(($X80)*QCI!$AA$3),0)),SomaAgrup)</f>
        <v>0</v>
      </c>
      <c r="AB80" s="157">
        <f t="shared" ca="1" si="63"/>
        <v>0</v>
      </c>
      <c r="AC80" s="158" t="str">
        <f ca="1">IF($N80="","",IF(ORÇAMENTO.Descricao="","DESCRIÇÃO",IF(AND($C80="S",ORÇAMENTO.Unidade=""),"UNIDADE",IF($X80&lt;0,"VALOR NEGATIVO",IF(OR(AND(TIPOORCAMENTO="Proposto",$AG80&lt;&gt;"",$AG80&gt;0,ORÇAMENTO.CustoUnitario&gt;$AG80),AND(TIPOORCAMENTO="LICITADO",ORÇAMENTO.PrecoUnitarioLicitado&gt;$AN80)),"ACIMA REF.","")))))</f>
        <v/>
      </c>
      <c r="AD80" s="668" t="str">
        <f ca="1">IF(C80&lt;=CRONO.NivelExibicao,MAX($AD$15:OFFSET(AD80,-1,0))+IF($C80&lt;&gt;1,1,MAX(1,COUNTIF(QCI!$A$13:$A$24,OFFSET($E80,-1,0)))),"")</f>
        <v/>
      </c>
      <c r="AE80" s="114" t="str">
        <f ca="1">IF(AND($C80="S",ORÇAMENTO.CodBarra&lt;&gt;""),IF(ORÇAMENTO.Fonte="",ORÇAMENTO.CodBarra,CONCATENATE(ORÇAMENTO.Fonte," ",ORÇAMENTO.CodBarra)))</f>
        <v>SINAPI 92616</v>
      </c>
      <c r="AF80" s="159">
        <f ca="1">IF(ISERROR(INDIRECT(ORÇAMENTO.BancoRef)),"(abra o arquivo 'Referência "&amp;Excel_BuiltIn_Database&amp;".xlsm)",IF(OR($C80&lt;&gt;"S",ORÇAMENTO.CodBarra=""),"(Sem Código)",IF(ISERROR(MATCH($AE80,INDIRECT(ORÇAMENTO.BancoRef),0)),"(Código não identificado nas referências)",MATCH($AE80,INDIRECT(ORÇAMENTO.BancoRef),0))))</f>
        <v>6412</v>
      </c>
      <c r="AG80" s="578">
        <f ca="1">ROUND(IF(DESONERACAO="sim",REFERENCIA.Desonerado,REFERENCIA.NaoDesonerado),2)</f>
        <v>2454.3200000000002</v>
      </c>
      <c r="AH80" s="579">
        <f t="shared" ca="1" si="64"/>
        <v>0.2034</v>
      </c>
      <c r="AJ80" s="581">
        <v>18</v>
      </c>
      <c r="AL80" s="611"/>
      <c r="AM80" s="430">
        <f t="shared" ca="1" si="0"/>
        <v>0</v>
      </c>
      <c r="AN80" s="654">
        <f t="shared" ca="1" si="65"/>
        <v>0</v>
      </c>
    </row>
    <row r="81" spans="1:40" ht="51" x14ac:dyDescent="0.2">
      <c r="A81" t="str">
        <f t="shared" si="62"/>
        <v>S</v>
      </c>
      <c r="B81">
        <f t="shared" ca="1" si="66"/>
        <v>2</v>
      </c>
      <c r="C81" t="str">
        <f t="shared" ca="1" si="67"/>
        <v>S</v>
      </c>
      <c r="D81">
        <f t="shared" ca="1" si="68"/>
        <v>0</v>
      </c>
      <c r="E81">
        <f ca="1">IF($C81=1,OFFSET(E81,-1,0)+MAX(1,COUNTIF(QCI!$A$13:$A$24,OFFSET(ORÇAMENTO!E81,-1,0))),OFFSET(E81,-1,0))</f>
        <v>1</v>
      </c>
      <c r="F81">
        <f t="shared" ca="1" si="69"/>
        <v>13</v>
      </c>
      <c r="G81">
        <f t="shared" ca="1" si="70"/>
        <v>0</v>
      </c>
      <c r="H81">
        <f t="shared" ca="1" si="71"/>
        <v>0</v>
      </c>
      <c r="I81">
        <f t="shared" ca="1" si="72"/>
        <v>0</v>
      </c>
      <c r="J81">
        <f t="shared" ca="1" si="77"/>
        <v>0</v>
      </c>
      <c r="K81">
        <f ca="1">IF(OR($C81="S",$C81=0),0,MATCH(OFFSET($D81,0,$C81)+IF($C81&lt;&gt;1,1,COUNTIF(QCI!$A$13:$A$24,ORÇAMENTO!E81)),OFFSET($D81,1,$C81,ROW($C$192)-ROW($C81)),0))</f>
        <v>0</v>
      </c>
      <c r="L81" s="143" t="str">
        <f t="shared" ca="1" si="73"/>
        <v/>
      </c>
      <c r="M81" s="144" t="s">
        <v>199</v>
      </c>
      <c r="N81" s="145" t="str">
        <f t="shared" ca="1" si="74"/>
        <v>Serviço</v>
      </c>
      <c r="O81" s="146" t="str">
        <f t="shared" ca="1" si="75"/>
        <v>-</v>
      </c>
      <c r="P81" s="147" t="s">
        <v>247</v>
      </c>
      <c r="Q81" s="148" t="s">
        <v>486</v>
      </c>
      <c r="R81" s="149" t="s">
        <v>680</v>
      </c>
      <c r="S81" s="150" t="s">
        <v>777</v>
      </c>
      <c r="T81" s="151">
        <f ca="1">OFFSET(CÁLCULO!H$15,ROW($T81)-ROW(T$15),0)</f>
        <v>680</v>
      </c>
      <c r="U81" s="152"/>
      <c r="V81" s="153" t="s">
        <v>156</v>
      </c>
      <c r="W81" s="151">
        <f ca="1">IF($C81="S",ROUND(IF(TIPOORCAMENTO="Proposto",ORÇAMENTO.CustoUnitario*(1+$AH81),ORÇAMENTO.PrecoUnitarioLicitado),15-13*$AF$10),0)</f>
        <v>0</v>
      </c>
      <c r="X81" s="154">
        <f ca="1">IF($C81="S",IF(Import.TipoArredondamento&lt;&gt;"TransfereGOV",VTOTAL1,SUM(OFFSET(CÁLCULO!$AA$15,ROW($X81)-ROW($X$15),1):OFFSET(CÁLCULO!$AL$15,ROW($X81)-ROW($X$15),-1))),IF($C81=0,0,ROUND(SomaAgrup,15-13*$AF$11)))</f>
        <v>0</v>
      </c>
      <c r="Y81" s="155" t="s">
        <v>245</v>
      </c>
      <c r="Z81" t="str">
        <f t="shared" ca="1" si="76"/>
        <v/>
      </c>
      <c r="AA81" s="156">
        <f ca="1">IF($C81="S",IF($Z81="CP",$X81,IF($Z81="RA",(($X81)*QCI!$AA$3),0)),SomaAgrup)</f>
        <v>0</v>
      </c>
      <c r="AB81" s="157">
        <f t="shared" ca="1" si="63"/>
        <v>0</v>
      </c>
      <c r="AC81" s="158" t="str">
        <f ca="1">IF($N81="","",IF(ORÇAMENTO.Descricao="","DESCRIÇÃO",IF(AND($C81="S",ORÇAMENTO.Unidade=""),"UNIDADE",IF($X81&lt;0,"VALOR NEGATIVO",IF(OR(AND(TIPOORCAMENTO="Proposto",$AG81&lt;&gt;"",$AG81&gt;0,ORÇAMENTO.CustoUnitario&gt;$AG81),AND(TIPOORCAMENTO="LICITADO",ORÇAMENTO.PrecoUnitarioLicitado&gt;$AN81)),"ACIMA REF.","")))))</f>
        <v/>
      </c>
      <c r="AD81" s="668" t="str">
        <f ca="1">IF(C81&lt;=CRONO.NivelExibicao,MAX($AD$15:OFFSET(AD81,-1,0))+IF($C81&lt;&gt;1,1,MAX(1,COUNTIF(QCI!$A$13:$A$24,OFFSET($E81,-1,0)))),"")</f>
        <v/>
      </c>
      <c r="AE81" s="114" t="str">
        <f ca="1">IF(AND($C81="S",ORÇAMENTO.CodBarra&lt;&gt;""),IF(ORÇAMENTO.Fonte="",ORÇAMENTO.CodBarra,CONCATENATE(ORÇAMENTO.Fonte," ",ORÇAMENTO.CodBarra)))</f>
        <v>SINAPI 92580</v>
      </c>
      <c r="AF81" s="159">
        <f ca="1">IF(ISERROR(INDIRECT(ORÇAMENTO.BancoRef)),"(abra o arquivo 'Referência "&amp;Excel_BuiltIn_Database&amp;".xlsm)",IF(OR($C81&lt;&gt;"S",ORÇAMENTO.CodBarra=""),"(Sem Código)",IF(ISERROR(MATCH($AE81,INDIRECT(ORÇAMENTO.BancoRef),0)),"(Código não identificado nas referências)",MATCH($AE81,INDIRECT(ORÇAMENTO.BancoRef),0))))</f>
        <v>6393</v>
      </c>
      <c r="AG81" s="578">
        <f ca="1">ROUND(IF(DESONERACAO="sim",REFERENCIA.Desonerado,REFERENCIA.NaoDesonerado),2)</f>
        <v>64.84</v>
      </c>
      <c r="AH81" s="579">
        <f t="shared" ca="1" si="64"/>
        <v>0.2034</v>
      </c>
      <c r="AJ81" s="581">
        <v>680</v>
      </c>
      <c r="AL81" s="611"/>
      <c r="AM81" s="430">
        <f t="shared" ca="1" si="0"/>
        <v>0</v>
      </c>
      <c r="AN81" s="654">
        <f t="shared" ca="1" si="65"/>
        <v>0</v>
      </c>
    </row>
    <row r="82" spans="1:40" ht="25.5" x14ac:dyDescent="0.2">
      <c r="A82" t="str">
        <f t="shared" si="62"/>
        <v>S</v>
      </c>
      <c r="B82">
        <f t="shared" ca="1" si="66"/>
        <v>2</v>
      </c>
      <c r="C82" t="str">
        <f t="shared" ca="1" si="67"/>
        <v>S</v>
      </c>
      <c r="D82">
        <f t="shared" ca="1" si="68"/>
        <v>0</v>
      </c>
      <c r="E82">
        <f ca="1">IF($C82=1,OFFSET(E82,-1,0)+MAX(1,COUNTIF(QCI!$A$13:$A$24,OFFSET(ORÇAMENTO!E82,-1,0))),OFFSET(E82,-1,0))</f>
        <v>1</v>
      </c>
      <c r="F82">
        <f t="shared" ca="1" si="69"/>
        <v>13</v>
      </c>
      <c r="G82">
        <f t="shared" ca="1" si="70"/>
        <v>0</v>
      </c>
      <c r="H82">
        <f t="shared" ca="1" si="71"/>
        <v>0</v>
      </c>
      <c r="I82">
        <f t="shared" ca="1" si="72"/>
        <v>0</v>
      </c>
      <c r="J82">
        <f t="shared" ca="1" si="77"/>
        <v>0</v>
      </c>
      <c r="K82">
        <f ca="1">IF(OR($C82="S",$C82=0),0,MATCH(OFFSET($D82,0,$C82)+IF($C82&lt;&gt;1,1,COUNTIF(QCI!$A$13:$A$24,ORÇAMENTO!E82)),OFFSET($D82,1,$C82,ROW($C$192)-ROW($C82)),0))</f>
        <v>0</v>
      </c>
      <c r="L82" s="143" t="str">
        <f t="shared" ca="1" si="73"/>
        <v/>
      </c>
      <c r="M82" s="144" t="s">
        <v>199</v>
      </c>
      <c r="N82" s="145" t="str">
        <f t="shared" ca="1" si="74"/>
        <v>Serviço</v>
      </c>
      <c r="O82" s="146" t="str">
        <f t="shared" ca="1" si="75"/>
        <v>-</v>
      </c>
      <c r="P82" s="147" t="s">
        <v>247</v>
      </c>
      <c r="Q82" s="148" t="s">
        <v>567</v>
      </c>
      <c r="R82" s="149" t="s">
        <v>681</v>
      </c>
      <c r="S82" s="150" t="s">
        <v>777</v>
      </c>
      <c r="T82" s="151">
        <f ca="1">OFFSET(CÁLCULO!H$15,ROW($T82)-ROW(T$15),0)</f>
        <v>680</v>
      </c>
      <c r="U82" s="152"/>
      <c r="V82" s="153" t="s">
        <v>156</v>
      </c>
      <c r="W82" s="151">
        <f ca="1">IF($C82="S",ROUND(IF(TIPOORCAMENTO="Proposto",ORÇAMENTO.CustoUnitario*(1+$AH82),ORÇAMENTO.PrecoUnitarioLicitado),15-13*$AF$10),0)</f>
        <v>0</v>
      </c>
      <c r="X82" s="154">
        <f ca="1">IF($C82="S",IF(Import.TipoArredondamento&lt;&gt;"TransfereGOV",VTOTAL1,SUM(OFFSET(CÁLCULO!$AA$15,ROW($X82)-ROW($X$15),1):OFFSET(CÁLCULO!$AL$15,ROW($X82)-ROW($X$15),-1))),IF($C82=0,0,ROUND(SomaAgrup,15-13*$AF$11)))</f>
        <v>0</v>
      </c>
      <c r="Y82" s="155" t="s">
        <v>245</v>
      </c>
      <c r="Z82" t="str">
        <f t="shared" ca="1" si="76"/>
        <v/>
      </c>
      <c r="AA82" s="156">
        <f ca="1">IF($C82="S",IF($Z82="CP",$X82,IF($Z82="RA",(($X82)*QCI!$AA$3),0)),SomaAgrup)</f>
        <v>0</v>
      </c>
      <c r="AB82" s="157">
        <f t="shared" ca="1" si="63"/>
        <v>0</v>
      </c>
      <c r="AC82" s="158" t="str">
        <f ca="1">IF($N82="","",IF(ORÇAMENTO.Descricao="","DESCRIÇÃO",IF(AND($C82="S",ORÇAMENTO.Unidade=""),"UNIDADE",IF($X82&lt;0,"VALOR NEGATIVO",IF(OR(AND(TIPOORCAMENTO="Proposto",$AG82&lt;&gt;"",$AG82&gt;0,ORÇAMENTO.CustoUnitario&gt;$AG82),AND(TIPOORCAMENTO="LICITADO",ORÇAMENTO.PrecoUnitarioLicitado&gt;$AN82)),"ACIMA REF.","")))))</f>
        <v/>
      </c>
      <c r="AD82" s="668" t="str">
        <f ca="1">IF(C82&lt;=CRONO.NivelExibicao,MAX($AD$15:OFFSET(AD82,-1,0))+IF($C82&lt;&gt;1,1,MAX(1,COUNTIF(QCI!$A$13:$A$24,OFFSET($E82,-1,0)))),"")</f>
        <v/>
      </c>
      <c r="AE82" s="114" t="str">
        <f ca="1">IF(AND($C82="S",ORÇAMENTO.CodBarra&lt;&gt;""),IF(ORÇAMENTO.Fonte="",ORÇAMENTO.CodBarra,CONCATENATE(ORÇAMENTO.Fonte," ",ORÇAMENTO.CodBarra)))</f>
        <v>SINAPI 94213</v>
      </c>
      <c r="AF82" s="159">
        <f ca="1">IF(ISERROR(INDIRECT(ORÇAMENTO.BancoRef)),"(abra o arquivo 'Referência "&amp;Excel_BuiltIn_Database&amp;".xlsm)",IF(OR($C82&lt;&gt;"S",ORÇAMENTO.CodBarra=""),"(Sem Código)",IF(ISERROR(MATCH($AE82,INDIRECT(ORÇAMENTO.BancoRef),0)),"(Código não identificado nas referências)",MATCH($AE82,INDIRECT(ORÇAMENTO.BancoRef),0))))</f>
        <v>6356</v>
      </c>
      <c r="AG82" s="578">
        <f ca="1">ROUND(IF(DESONERACAO="sim",REFERENCIA.Desonerado,REFERENCIA.NaoDesonerado),2)</f>
        <v>60.31</v>
      </c>
      <c r="AH82" s="579">
        <f t="shared" ca="1" si="64"/>
        <v>0.2034</v>
      </c>
      <c r="AJ82" s="581">
        <v>680</v>
      </c>
      <c r="AL82" s="611"/>
      <c r="AM82" s="430">
        <f t="shared" ca="1" si="0"/>
        <v>0</v>
      </c>
      <c r="AN82" s="654">
        <f t="shared" ca="1" si="65"/>
        <v>0</v>
      </c>
    </row>
    <row r="83" spans="1:40" ht="25.5" x14ac:dyDescent="0.2">
      <c r="A83" t="str">
        <f t="shared" si="62"/>
        <v>S</v>
      </c>
      <c r="B83">
        <f t="shared" ca="1" si="66"/>
        <v>2</v>
      </c>
      <c r="C83" t="str">
        <f t="shared" ca="1" si="67"/>
        <v>S</v>
      </c>
      <c r="D83">
        <f t="shared" ca="1" si="68"/>
        <v>0</v>
      </c>
      <c r="E83">
        <f ca="1">IF($C83=1,OFFSET(E83,-1,0)+MAX(1,COUNTIF(QCI!$A$13:$A$24,OFFSET(ORÇAMENTO!E83,-1,0))),OFFSET(E83,-1,0))</f>
        <v>1</v>
      </c>
      <c r="F83">
        <f t="shared" ca="1" si="69"/>
        <v>13</v>
      </c>
      <c r="G83">
        <f t="shared" ca="1" si="70"/>
        <v>0</v>
      </c>
      <c r="H83">
        <f t="shared" ca="1" si="71"/>
        <v>0</v>
      </c>
      <c r="I83">
        <f t="shared" ca="1" si="72"/>
        <v>0</v>
      </c>
      <c r="J83">
        <f t="shared" ca="1" si="77"/>
        <v>0</v>
      </c>
      <c r="K83">
        <f ca="1">IF(OR($C83="S",$C83=0),0,MATCH(OFFSET($D83,0,$C83)+IF($C83&lt;&gt;1,1,COUNTIF(QCI!$A$13:$A$24,ORÇAMENTO!E83)),OFFSET($D83,1,$C83,ROW($C$192)-ROW($C83)),0))</f>
        <v>0</v>
      </c>
      <c r="L83" s="143" t="str">
        <f t="shared" ca="1" si="73"/>
        <v/>
      </c>
      <c r="M83" s="144" t="s">
        <v>199</v>
      </c>
      <c r="N83" s="145" t="str">
        <f t="shared" ca="1" si="74"/>
        <v>Serviço</v>
      </c>
      <c r="O83" s="146" t="str">
        <f t="shared" ca="1" si="75"/>
        <v>-</v>
      </c>
      <c r="P83" s="147" t="s">
        <v>247</v>
      </c>
      <c r="Q83" s="148" t="s">
        <v>504</v>
      </c>
      <c r="R83" s="149" t="s">
        <v>682</v>
      </c>
      <c r="S83" s="150" t="s">
        <v>779</v>
      </c>
      <c r="T83" s="151">
        <f ca="1">OFFSET(CÁLCULO!H$15,ROW($T83)-ROW(T$15),0)</f>
        <v>185</v>
      </c>
      <c r="U83" s="152"/>
      <c r="V83" s="153" t="s">
        <v>156</v>
      </c>
      <c r="W83" s="151">
        <f ca="1">IF($C83="S",ROUND(IF(TIPOORCAMENTO="Proposto",ORÇAMENTO.CustoUnitario*(1+$AH83),ORÇAMENTO.PrecoUnitarioLicitado),15-13*$AF$10),0)</f>
        <v>0</v>
      </c>
      <c r="X83" s="154">
        <f ca="1">IF($C83="S",IF(Import.TipoArredondamento&lt;&gt;"TransfereGOV",VTOTAL1,SUM(OFFSET(CÁLCULO!$AA$15,ROW($X83)-ROW($X$15),1):OFFSET(CÁLCULO!$AL$15,ROW($X83)-ROW($X$15),-1))),IF($C83=0,0,ROUND(SomaAgrup,15-13*$AF$11)))</f>
        <v>0</v>
      </c>
      <c r="Y83" s="155" t="s">
        <v>245</v>
      </c>
      <c r="Z83" t="str">
        <f t="shared" ca="1" si="76"/>
        <v/>
      </c>
      <c r="AA83" s="156">
        <f ca="1">IF($C83="S",IF($Z83="CP",$X83,IF($Z83="RA",(($X83)*QCI!$AA$3),0)),SomaAgrup)</f>
        <v>0</v>
      </c>
      <c r="AB83" s="157">
        <f t="shared" ca="1" si="63"/>
        <v>0</v>
      </c>
      <c r="AC83" s="158" t="str">
        <f ca="1">IF($N83="","",IF(ORÇAMENTO.Descricao="","DESCRIÇÃO",IF(AND($C83="S",ORÇAMENTO.Unidade=""),"UNIDADE",IF($X83&lt;0,"VALOR NEGATIVO",IF(OR(AND(TIPOORCAMENTO="Proposto",$AG83&lt;&gt;"",$AG83&gt;0,ORÇAMENTO.CustoUnitario&gt;$AG83),AND(TIPOORCAMENTO="LICITADO",ORÇAMENTO.PrecoUnitarioLicitado&gt;$AN83)),"ACIMA REF.","")))))</f>
        <v/>
      </c>
      <c r="AD83" s="668" t="str">
        <f ca="1">IF(C83&lt;=CRONO.NivelExibicao,MAX($AD$15:OFFSET(AD83,-1,0))+IF($C83&lt;&gt;1,1,MAX(1,COUNTIF(QCI!$A$13:$A$24,OFFSET($E83,-1,0)))),"")</f>
        <v/>
      </c>
      <c r="AE83" s="114" t="str">
        <f ca="1">IF(AND($C83="S",ORÇAMENTO.CodBarra&lt;&gt;""),IF(ORÇAMENTO.Fonte="",ORÇAMENTO.CodBarra,CONCATENATE(ORÇAMENTO.Fonte," ",ORÇAMENTO.CodBarra)))</f>
        <v>SINAPI 100327</v>
      </c>
      <c r="AF83" s="159">
        <f ca="1">IF(ISERROR(INDIRECT(ORÇAMENTO.BancoRef)),"(abra o arquivo 'Referência "&amp;Excel_BuiltIn_Database&amp;".xlsm)",IF(OR($C83&lt;&gt;"S",ORÇAMENTO.CodBarra=""),"(Sem Código)",IF(ISERROR(MATCH($AE83,INDIRECT(ORÇAMENTO.BancoRef),0)),"(Código não identificado nas referências)",MATCH($AE83,INDIRECT(ORÇAMENTO.BancoRef),0))))</f>
        <v>6365</v>
      </c>
      <c r="AG83" s="578">
        <f ca="1">ROUND(IF(DESONERACAO="sim",REFERENCIA.Desonerado,REFERENCIA.NaoDesonerado),2)</f>
        <v>62.8</v>
      </c>
      <c r="AH83" s="579">
        <f t="shared" ca="1" si="64"/>
        <v>0.2034</v>
      </c>
      <c r="AJ83" s="581">
        <f>70+20+20+20+20+35</f>
        <v>185</v>
      </c>
      <c r="AL83" s="611"/>
      <c r="AM83" s="430">
        <f t="shared" ca="1" si="0"/>
        <v>0</v>
      </c>
      <c r="AN83" s="654">
        <f t="shared" ca="1" si="65"/>
        <v>0</v>
      </c>
    </row>
    <row r="84" spans="1:40" ht="38.25" x14ac:dyDescent="0.2">
      <c r="A84" t="str">
        <f t="shared" si="62"/>
        <v>S</v>
      </c>
      <c r="B84">
        <f t="shared" ca="1" si="66"/>
        <v>2</v>
      </c>
      <c r="C84" t="str">
        <f t="shared" ca="1" si="67"/>
        <v>S</v>
      </c>
      <c r="D84">
        <f t="shared" ca="1" si="68"/>
        <v>0</v>
      </c>
      <c r="E84">
        <f ca="1">IF($C84=1,OFFSET(E84,-1,0)+MAX(1,COUNTIF(QCI!$A$13:$A$24,OFFSET(ORÇAMENTO!E84,-1,0))),OFFSET(E84,-1,0))</f>
        <v>1</v>
      </c>
      <c r="F84">
        <f t="shared" ca="1" si="69"/>
        <v>13</v>
      </c>
      <c r="G84">
        <f t="shared" ca="1" si="70"/>
        <v>0</v>
      </c>
      <c r="H84">
        <f t="shared" ca="1" si="71"/>
        <v>0</v>
      </c>
      <c r="I84">
        <f t="shared" ca="1" si="72"/>
        <v>0</v>
      </c>
      <c r="J84">
        <f t="shared" ca="1" si="77"/>
        <v>0</v>
      </c>
      <c r="K84">
        <f ca="1">IF(OR($C84="S",$C84=0),0,MATCH(OFFSET($D84,0,$C84)+IF($C84&lt;&gt;1,1,COUNTIF(QCI!$A$13:$A$24,ORÇAMENTO!E84)),OFFSET($D84,1,$C84,ROW($C$192)-ROW($C84)),0))</f>
        <v>0</v>
      </c>
      <c r="L84" s="143" t="str">
        <f t="shared" ca="1" si="73"/>
        <v/>
      </c>
      <c r="M84" s="144" t="s">
        <v>199</v>
      </c>
      <c r="N84" s="145" t="str">
        <f t="shared" ca="1" si="74"/>
        <v>Serviço</v>
      </c>
      <c r="O84" s="146" t="str">
        <f t="shared" ca="1" si="75"/>
        <v>-</v>
      </c>
      <c r="P84" s="147" t="s">
        <v>247</v>
      </c>
      <c r="Q84" s="148" t="s">
        <v>505</v>
      </c>
      <c r="R84" s="149" t="s">
        <v>683</v>
      </c>
      <c r="S84" s="150" t="s">
        <v>779</v>
      </c>
      <c r="T84" s="151">
        <f ca="1">OFFSET(CÁLCULO!H$15,ROW($T84)-ROW(T$15),0)</f>
        <v>70</v>
      </c>
      <c r="U84" s="152"/>
      <c r="V84" s="153" t="s">
        <v>156</v>
      </c>
      <c r="W84" s="151">
        <f ca="1">IF($C84="S",ROUND(IF(TIPOORCAMENTO="Proposto",ORÇAMENTO.CustoUnitario*(1+$AH84),ORÇAMENTO.PrecoUnitarioLicitado),15-13*$AF$10),0)</f>
        <v>0</v>
      </c>
      <c r="X84" s="154">
        <f ca="1">IF($C84="S",IF(Import.TipoArredondamento&lt;&gt;"TransfereGOV",VTOTAL1,SUM(OFFSET(CÁLCULO!$AA$15,ROW($X84)-ROW($X$15),1):OFFSET(CÁLCULO!$AL$15,ROW($X84)-ROW($X$15),-1))),IF($C84=0,0,ROUND(SomaAgrup,15-13*$AF$11)))</f>
        <v>0</v>
      </c>
      <c r="Y84" s="155" t="s">
        <v>245</v>
      </c>
      <c r="Z84" t="str">
        <f t="shared" ca="1" si="76"/>
        <v/>
      </c>
      <c r="AA84" s="156">
        <f ca="1">IF($C84="S",IF($Z84="CP",$X84,IF($Z84="RA",(($X84)*QCI!$AA$3),0)),SomaAgrup)</f>
        <v>0</v>
      </c>
      <c r="AB84" s="157">
        <f t="shared" ca="1" si="63"/>
        <v>0</v>
      </c>
      <c r="AC84" s="158" t="str">
        <f ca="1">IF($N84="","",IF(ORÇAMENTO.Descricao="","DESCRIÇÃO",IF(AND($C84="S",ORÇAMENTO.Unidade=""),"UNIDADE",IF($X84&lt;0,"VALOR NEGATIVO",IF(OR(AND(TIPOORCAMENTO="Proposto",$AG84&lt;&gt;"",$AG84&gt;0,ORÇAMENTO.CustoUnitario&gt;$AG84),AND(TIPOORCAMENTO="LICITADO",ORÇAMENTO.PrecoUnitarioLicitado&gt;$AN84)),"ACIMA REF.","")))))</f>
        <v/>
      </c>
      <c r="AD84" s="668" t="str">
        <f ca="1">IF(C84&lt;=CRONO.NivelExibicao,MAX($AD$15:OFFSET(AD84,-1,0))+IF($C84&lt;&gt;1,1,MAX(1,COUNTIF(QCI!$A$13:$A$24,OFFSET($E84,-1,0)))),"")</f>
        <v/>
      </c>
      <c r="AE84" s="114" t="str">
        <f ca="1">IF(AND($C84="S",ORÇAMENTO.CodBarra&lt;&gt;""),IF(ORÇAMENTO.Fonte="",ORÇAMENTO.CodBarra,CONCATENATE(ORÇAMENTO.Fonte," ",ORÇAMENTO.CodBarra)))</f>
        <v>SINAPI 94228</v>
      </c>
      <c r="AF84" s="159">
        <f ca="1">IF(ISERROR(INDIRECT(ORÇAMENTO.BancoRef)),"(abra o arquivo 'Referência "&amp;Excel_BuiltIn_Database&amp;".xlsm)",IF(OR($C84&lt;&gt;"S",ORÇAMENTO.CodBarra=""),"(Sem Código)",IF(ISERROR(MATCH($AE84,INDIRECT(ORÇAMENTO.BancoRef),0)),"(Código não identificado nas referências)",MATCH($AE84,INDIRECT(ORÇAMENTO.BancoRef),0))))</f>
        <v>6373</v>
      </c>
      <c r="AG84" s="578">
        <f ca="1">ROUND(IF(DESONERACAO="sim",REFERENCIA.Desonerado,REFERENCIA.NaoDesonerado),2)</f>
        <v>92.46</v>
      </c>
      <c r="AH84" s="579">
        <f t="shared" ca="1" si="64"/>
        <v>0.2034</v>
      </c>
      <c r="AJ84" s="581">
        <v>70</v>
      </c>
      <c r="AL84" s="611"/>
      <c r="AM84" s="430">
        <f t="shared" ca="1" si="0"/>
        <v>0</v>
      </c>
      <c r="AN84" s="654">
        <f t="shared" ca="1" si="65"/>
        <v>0</v>
      </c>
    </row>
    <row r="85" spans="1:40" ht="38.25" x14ac:dyDescent="0.2">
      <c r="A85" t="str">
        <f>CHOOSE(1+LOG(1+2*(ORÇAMENTO.Nivel="Meta")+4*(ORÇAMENTO.Nivel="Nível 2")+8*(ORÇAMENTO.Nivel="Nível 3")+16*(ORÇAMENTO.Nivel="Nível 4")+32*(ORÇAMENTO.Nivel="Serviço"),2),0,1,2,3,4,"S")</f>
        <v>S</v>
      </c>
      <c r="B85">
        <f ca="1">IF(OR(C85="s",C85=0),OFFSET(B85,-1,0),C85)</f>
        <v>2</v>
      </c>
      <c r="C85" t="str">
        <f ca="1">IF(OFFSET(C85,-1,0)="L",1,IF(OFFSET(C85,-1,0)=1,2,IF(OR(A85="s",A85=0),"S",IF(AND(OFFSET(C85,-1,0)=2,A85=4),3,IF(AND(OR(OFFSET(C85,-1,0)="s",OFFSET(C85,-1,0)=0),A85&lt;&gt;"s",A85&gt;OFFSET(B85,-1,0)),OFFSET(B85,-1,0),A85)))))</f>
        <v>S</v>
      </c>
      <c r="D85">
        <f ca="1">IF(OR(C85="S",C85=0),0,IF(ISERROR(K85),J85,SMALL(J85:K85,1)))</f>
        <v>0</v>
      </c>
      <c r="E85">
        <f ca="1">IF($C85=1,OFFSET(E85,-1,0)+MAX(1,COUNTIF(QCI!$A$13:$A$24,OFFSET(ORÇAMENTO!E85,-1,0))),OFFSET(E85,-1,0))</f>
        <v>1</v>
      </c>
      <c r="F85">
        <f ca="1">IF($C85=1,0,IF($C85=2,OFFSET(F85,-1,0)+1,OFFSET(F85,-1,0)))</f>
        <v>13</v>
      </c>
      <c r="G85">
        <f ca="1">IF(AND($C85&lt;=2,$C85&lt;&gt;0),0,IF($C85=3,OFFSET(G85,-1,0)+1,OFFSET(G85,-1,0)))</f>
        <v>0</v>
      </c>
      <c r="H85">
        <f ca="1">IF(AND($C85&lt;=3,$C85&lt;&gt;0),0,IF($C85=4,OFFSET(H85,-1,0)+1,OFFSET(H85,-1,0)))</f>
        <v>0</v>
      </c>
      <c r="I85">
        <f ca="1">IF(AND($C85&lt;=4,$C85&lt;&gt;0),0,IF(AND($C85="S",$X85&gt;0),OFFSET(I85,-1,0)+1,OFFSET(I85,-1,0)))</f>
        <v>0</v>
      </c>
      <c r="J85">
        <f t="shared" ca="1" si="77"/>
        <v>0</v>
      </c>
      <c r="K85">
        <f ca="1">IF(OR($C85="S",$C85=0),0,MATCH(OFFSET($D85,0,$C85)+IF($C85&lt;&gt;1,1,COUNTIF(QCI!$A$13:$A$24,ORÇAMENTO!E85)),OFFSET($D85,1,$C85,ROW($C$192)-ROW($C85)),0))</f>
        <v>0</v>
      </c>
      <c r="L85" s="143" t="str">
        <f ca="1">IF(OR($X85&gt;0,$C85=1,$C85=2,$C85=3,$C85=4),"F","")</f>
        <v/>
      </c>
      <c r="M85" s="144" t="s">
        <v>199</v>
      </c>
      <c r="N85" s="145" t="str">
        <f ca="1">CHOOSE(1+LOG(1+2*(C85=1)+4*(C85=2)+8*(C85=3)+16*(C85=4)+32*(C85="S"),2),"","Meta","Nível 2","Nível 3","Nível 4","Serviço")</f>
        <v>Serviço</v>
      </c>
      <c r="O85" s="146" t="str">
        <f ca="1">IF(OR($C85=0,$L85=""),"-",CONCATENATE(E85&amp;".",IF(AND($A$5&gt;=2,$C85&gt;=2),F85&amp;".",""),IF(AND($A$5&gt;=3,$C85&gt;=3),G85&amp;".",""),IF(AND($A$5&gt;=4,$C85&gt;=4),H85&amp;".",""),IF($C85="S",I85&amp;".","")))</f>
        <v>-</v>
      </c>
      <c r="P85" s="147" t="s">
        <v>247</v>
      </c>
      <c r="Q85" s="148" t="s">
        <v>551</v>
      </c>
      <c r="R85" s="149" t="s">
        <v>684</v>
      </c>
      <c r="S85" s="150" t="s">
        <v>779</v>
      </c>
      <c r="T85" s="151">
        <f ca="1">OFFSET(CÁLCULO!H$15,ROW($T85)-ROW(T$15),0)</f>
        <v>60</v>
      </c>
      <c r="U85" s="152"/>
      <c r="V85" s="153" t="s">
        <v>156</v>
      </c>
      <c r="W85" s="151">
        <f ca="1">IF($C85="S",ROUND(IF(TIPOORCAMENTO="Proposto",ORÇAMENTO.CustoUnitario*(1+$AH85),ORÇAMENTO.PrecoUnitarioLicitado),15-13*$AF$10),0)</f>
        <v>0</v>
      </c>
      <c r="X85" s="154">
        <f ca="1">IF($C85="S",IF(Import.TipoArredondamento&lt;&gt;"TransfereGOV",VTOTAL1,SUM(OFFSET(CÁLCULO!$AA$15,ROW($X85)-ROW($X$15),1):OFFSET(CÁLCULO!$AL$15,ROW($X85)-ROW($X$15),-1))),IF($C85=0,0,ROUND(SomaAgrup,15-13*$AF$11)))</f>
        <v>0</v>
      </c>
      <c r="Y85" s="155" t="s">
        <v>245</v>
      </c>
      <c r="Z85" t="str">
        <f ca="1">IF(AND($C85="S",$X85&gt;0),IF(ISBLANK($Y85),"RA",LEFT($Y85,2)),"")</f>
        <v/>
      </c>
      <c r="AA85" s="156">
        <f ca="1">IF($C85="S",IF($Z85="CP",$X85,IF($Z85="RA",(($X85)*QCI!$AA$3),0)),SomaAgrup)</f>
        <v>0</v>
      </c>
      <c r="AB85" s="157">
        <f ca="1">IF($C85="S",IF($Z85="OU",ROUND($X85,2),0),SomaAgrup)</f>
        <v>0</v>
      </c>
      <c r="AC85" s="158" t="str">
        <f ca="1">IF($N85="","",IF(ORÇAMENTO.Descricao="","DESCRIÇÃO",IF(AND($C85="S",ORÇAMENTO.Unidade=""),"UNIDADE",IF($X85&lt;0,"VALOR NEGATIVO",IF(OR(AND(TIPOORCAMENTO="Proposto",$AG85&lt;&gt;"",$AG85&gt;0,ORÇAMENTO.CustoUnitario&gt;$AG85),AND(TIPOORCAMENTO="LICITADO",ORÇAMENTO.PrecoUnitarioLicitado&gt;$AN85)),"ACIMA REF.","")))))</f>
        <v/>
      </c>
      <c r="AD85" s="682" t="str">
        <f ca="1">IF(C85&lt;=CRONO.NivelExibicao,MAX($AD$15:OFFSET(AD85,-1,0))+IF($C85&lt;&gt;1,1,MAX(1,COUNTIF(QCI!$A$13:$A$24,OFFSET($E85,-1,0)))),"")</f>
        <v/>
      </c>
      <c r="AE85" s="114" t="str">
        <f ca="1">IF(AND($C85="S",ORÇAMENTO.CodBarra&lt;&gt;""),IF(ORÇAMENTO.Fonte="",ORÇAMENTO.CodBarra,CONCATENATE(ORÇAMENTO.Fonte," ",ORÇAMENTO.CodBarra)))</f>
        <v>SINAPI 89578</v>
      </c>
      <c r="AF85" s="159">
        <f ca="1">IF(ISERROR(INDIRECT(ORÇAMENTO.BancoRef)),"(abra o arquivo 'Referência "&amp;Excel_BuiltIn_Database&amp;".xlsm)",IF(OR($C85&lt;&gt;"S",ORÇAMENTO.CodBarra=""),"(Sem Código)",IF(ISERROR(MATCH($AE85,INDIRECT(ORÇAMENTO.BancoRef),0)),"(Código não identificado nas referências)",MATCH($AE85,INDIRECT(ORÇAMENTO.BancoRef),0))))</f>
        <v>8440</v>
      </c>
      <c r="AG85" s="578">
        <f ca="1">ROUND(IF(DESONERACAO="sim",REFERENCIA.Desonerado,REFERENCIA.NaoDesonerado),2)</f>
        <v>34.340000000000003</v>
      </c>
      <c r="AH85" s="579">
        <f ca="1">ROUND(IF(ISNUMBER(ORÇAMENTO.OpcaoBDI),ORÇAMENTO.OpcaoBDI,IF(LEFT(ORÇAMENTO.OpcaoBDI,3)="BDI",HLOOKUP(ORÇAMENTO.OpcaoBDI,$F$4:$H$5,2,FALSE),0)),15-11*$AF$9)</f>
        <v>0.2034</v>
      </c>
      <c r="AJ85" s="581">
        <f>12*5</f>
        <v>60</v>
      </c>
      <c r="AL85" s="611"/>
      <c r="AM85" s="430">
        <f t="shared" ca="1" si="0"/>
        <v>0</v>
      </c>
      <c r="AN85" s="654">
        <f ca="1">ROUND(ORÇAMENTO.CustoUnitario*(1+$AH85),2)</f>
        <v>0</v>
      </c>
    </row>
    <row r="86" spans="1:40" ht="38.25" x14ac:dyDescent="0.2">
      <c r="A86" t="str">
        <f>CHOOSE(1+LOG(1+2*(ORÇAMENTO.Nivel="Meta")+4*(ORÇAMENTO.Nivel="Nível 2")+8*(ORÇAMENTO.Nivel="Nível 3")+16*(ORÇAMENTO.Nivel="Nível 4")+32*(ORÇAMENTO.Nivel="Serviço"),2),0,1,2,3,4,"S")</f>
        <v>S</v>
      </c>
      <c r="B86">
        <f ca="1">IF(OR(C86="s",C86=0),OFFSET(B86,-1,0),C86)</f>
        <v>2</v>
      </c>
      <c r="C86" t="str">
        <f ca="1">IF(OFFSET(C86,-1,0)="L",1,IF(OFFSET(C86,-1,0)=1,2,IF(OR(A86="s",A86=0),"S",IF(AND(OFFSET(C86,-1,0)=2,A86=4),3,IF(AND(OR(OFFSET(C86,-1,0)="s",OFFSET(C86,-1,0)=0),A86&lt;&gt;"s",A86&gt;OFFSET(B86,-1,0)),OFFSET(B86,-1,0),A86)))))</f>
        <v>S</v>
      </c>
      <c r="D86">
        <f ca="1">IF(OR(C86="S",C86=0),0,IF(ISERROR(K86),J86,SMALL(J86:K86,1)))</f>
        <v>0</v>
      </c>
      <c r="E86">
        <f ca="1">IF($C86=1,OFFSET(E86,-1,0)+MAX(1,COUNTIF(QCI!$A$13:$A$24,OFFSET(ORÇAMENTO!E86,-1,0))),OFFSET(E86,-1,0))</f>
        <v>1</v>
      </c>
      <c r="F86">
        <f ca="1">IF($C86=1,0,IF($C86=2,OFFSET(F86,-1,0)+1,OFFSET(F86,-1,0)))</f>
        <v>13</v>
      </c>
      <c r="G86">
        <f ca="1">IF(AND($C86&lt;=2,$C86&lt;&gt;0),0,IF($C86=3,OFFSET(G86,-1,0)+1,OFFSET(G86,-1,0)))</f>
        <v>0</v>
      </c>
      <c r="H86">
        <f ca="1">IF(AND($C86&lt;=3,$C86&lt;&gt;0),0,IF($C86=4,OFFSET(H86,-1,0)+1,OFFSET(H86,-1,0)))</f>
        <v>0</v>
      </c>
      <c r="I86">
        <f ca="1">IF(AND($C86&lt;=4,$C86&lt;&gt;0),0,IF(AND($C86="S",$X86&gt;0),OFFSET(I86,-1,0)+1,OFFSET(I86,-1,0)))</f>
        <v>0</v>
      </c>
      <c r="J86">
        <f t="shared" ca="1" si="77"/>
        <v>0</v>
      </c>
      <c r="K86">
        <f ca="1">IF(OR($C86="S",$C86=0),0,MATCH(OFFSET($D86,0,$C86)+IF($C86&lt;&gt;1,1,COUNTIF(QCI!$A$13:$A$24,ORÇAMENTO!E86)),OFFSET($D86,1,$C86,ROW($C$192)-ROW($C86)),0))</f>
        <v>0</v>
      </c>
      <c r="L86" s="143" t="str">
        <f ca="1">IF(OR($X86&gt;0,$C86=1,$C86=2,$C86=3,$C86=4),"F","")</f>
        <v/>
      </c>
      <c r="M86" s="144" t="s">
        <v>199</v>
      </c>
      <c r="N86" s="145" t="str">
        <f ca="1">CHOOSE(1+LOG(1+2*(C86=1)+4*(C86=2)+8*(C86=3)+16*(C86=4)+32*(C86="S"),2),"","Meta","Nível 2","Nível 3","Nível 4","Serviço")</f>
        <v>Serviço</v>
      </c>
      <c r="O86" s="146" t="str">
        <f ca="1">IF(OR($C86=0,$L86=""),"-",CONCATENATE(E86&amp;".",IF(AND($A$5&gt;=2,$C86&gt;=2),F86&amp;".",""),IF(AND($A$5&gt;=3,$C86&gt;=3),G86&amp;".",""),IF(AND($A$5&gt;=4,$C86&gt;=4),H86&amp;".",""),IF($C86="S",I86&amp;".","")))</f>
        <v>-</v>
      </c>
      <c r="P86" s="147" t="s">
        <v>247</v>
      </c>
      <c r="Q86" s="148" t="s">
        <v>552</v>
      </c>
      <c r="R86" s="149" t="s">
        <v>685</v>
      </c>
      <c r="S86" s="150" t="s">
        <v>778</v>
      </c>
      <c r="T86" s="151">
        <f ca="1">OFFSET(CÁLCULO!H$15,ROW($T86)-ROW(T$15),0)</f>
        <v>36</v>
      </c>
      <c r="U86" s="152"/>
      <c r="V86" s="153" t="s">
        <v>156</v>
      </c>
      <c r="W86" s="151">
        <f ca="1">IF($C86="S",ROUND(IF(TIPOORCAMENTO="Proposto",ORÇAMENTO.CustoUnitario*(1+$AH86),ORÇAMENTO.PrecoUnitarioLicitado),15-13*$AF$10),0)</f>
        <v>0</v>
      </c>
      <c r="X86" s="154">
        <f ca="1">IF($C86="S",IF(Import.TipoArredondamento&lt;&gt;"TransfereGOV",VTOTAL1,SUM(OFFSET(CÁLCULO!$AA$15,ROW($X86)-ROW($X$15),1):OFFSET(CÁLCULO!$AL$15,ROW($X86)-ROW($X$15),-1))),IF($C86=0,0,ROUND(SomaAgrup,15-13*$AF$11)))</f>
        <v>0</v>
      </c>
      <c r="Y86" s="155" t="s">
        <v>245</v>
      </c>
      <c r="Z86" t="str">
        <f ca="1">IF(AND($C86="S",$X86&gt;0),IF(ISBLANK($Y86),"RA",LEFT($Y86,2)),"")</f>
        <v/>
      </c>
      <c r="AA86" s="156">
        <f ca="1">IF($C86="S",IF($Z86="CP",$X86,IF($Z86="RA",(($X86)*QCI!$AA$3),0)),SomaAgrup)</f>
        <v>0</v>
      </c>
      <c r="AB86" s="157">
        <f ca="1">IF($C86="S",IF($Z86="OU",ROUND($X86,2),0),SomaAgrup)</f>
        <v>0</v>
      </c>
      <c r="AC86" s="158" t="str">
        <f ca="1">IF($N86="","",IF(ORÇAMENTO.Descricao="","DESCRIÇÃO",IF(AND($C86="S",ORÇAMENTO.Unidade=""),"UNIDADE",IF($X86&lt;0,"VALOR NEGATIVO",IF(OR(AND(TIPOORCAMENTO="Proposto",$AG86&lt;&gt;"",$AG86&gt;0,ORÇAMENTO.CustoUnitario&gt;$AG86),AND(TIPOORCAMENTO="LICITADO",ORÇAMENTO.PrecoUnitarioLicitado&gt;$AN86)),"ACIMA REF.","")))))</f>
        <v/>
      </c>
      <c r="AD86" s="682" t="str">
        <f ca="1">IF(C86&lt;=CRONO.NivelExibicao,MAX($AD$15:OFFSET(AD86,-1,0))+IF($C86&lt;&gt;1,1,MAX(1,COUNTIF(QCI!$A$13:$A$24,OFFSET($E86,-1,0)))),"")</f>
        <v/>
      </c>
      <c r="AE86" s="114" t="str">
        <f ca="1">IF(AND($C86="S",ORÇAMENTO.CodBarra&lt;&gt;""),IF(ORÇAMENTO.Fonte="",ORÇAMENTO.CodBarra,CONCATENATE(ORÇAMENTO.Fonte," ",ORÇAMENTO.CodBarra)))</f>
        <v>SINAPI 95695</v>
      </c>
      <c r="AF86" s="159">
        <f ca="1">IF(ISERROR(INDIRECT(ORÇAMENTO.BancoRef)),"(abra o arquivo 'Referência "&amp;Excel_BuiltIn_Database&amp;".xlsm)",IF(OR($C86&lt;&gt;"S",ORÇAMENTO.CodBarra=""),"(Sem Código)",IF(ISERROR(MATCH($AE86,INDIRECT(ORÇAMENTO.BancoRef),0)),"(Código não identificado nas referências)",MATCH($AE86,INDIRECT(ORÇAMENTO.BancoRef),0))))</f>
        <v>9467</v>
      </c>
      <c r="AG86" s="578">
        <f ca="1">ROUND(IF(DESONERACAO="sim",REFERENCIA.Desonerado,REFERENCIA.NaoDesonerado),2)</f>
        <v>61.45</v>
      </c>
      <c r="AH86" s="579">
        <f ca="1">ROUND(IF(ISNUMBER(ORÇAMENTO.OpcaoBDI),ORÇAMENTO.OpcaoBDI,IF(LEFT(ORÇAMENTO.OpcaoBDI,3)="BDI",HLOOKUP(ORÇAMENTO.OpcaoBDI,$F$4:$H$5,2,FALSE),0)),15-11*$AF$9)</f>
        <v>0.2034</v>
      </c>
      <c r="AJ86" s="581">
        <f>12*3</f>
        <v>36</v>
      </c>
      <c r="AL86" s="611"/>
      <c r="AM86" s="430">
        <f t="shared" ca="1" si="0"/>
        <v>0</v>
      </c>
      <c r="AN86" s="654">
        <f ca="1">ROUND(ORÇAMENTO.CustoUnitario*(1+$AH86),2)</f>
        <v>0</v>
      </c>
    </row>
    <row r="87" spans="1:40" x14ac:dyDescent="0.2">
      <c r="A87">
        <f t="shared" si="62"/>
        <v>2</v>
      </c>
      <c r="B87">
        <f t="shared" ca="1" si="66"/>
        <v>2</v>
      </c>
      <c r="C87">
        <f t="shared" ca="1" si="67"/>
        <v>2</v>
      </c>
      <c r="D87">
        <f t="shared" ca="1" si="68"/>
        <v>7</v>
      </c>
      <c r="E87">
        <f ca="1">IF($C87=1,OFFSET(E87,-1,0)+MAX(1,COUNTIF(QCI!$A$13:$A$24,OFFSET(ORÇAMENTO!E87,-1,0))),OFFSET(E87,-1,0))</f>
        <v>1</v>
      </c>
      <c r="F87">
        <f t="shared" ca="1" si="69"/>
        <v>14</v>
      </c>
      <c r="G87">
        <f t="shared" ca="1" si="70"/>
        <v>0</v>
      </c>
      <c r="H87">
        <f t="shared" ca="1" si="71"/>
        <v>0</v>
      </c>
      <c r="I87">
        <f t="shared" ca="1" si="72"/>
        <v>0</v>
      </c>
      <c r="J87">
        <f t="shared" ca="1" si="77"/>
        <v>105</v>
      </c>
      <c r="K87">
        <f ca="1">IF(OR($C87="S",$C87=0),0,MATCH(OFFSET($D87,0,$C87)+IF($C87&lt;&gt;1,1,COUNTIF(QCI!$A$13:$A$24,ORÇAMENTO!E87)),OFFSET($D87,1,$C87,ROW($C$192)-ROW($C87)),0))</f>
        <v>7</v>
      </c>
      <c r="L87" s="143" t="str">
        <f t="shared" ca="1" si="73"/>
        <v>F</v>
      </c>
      <c r="M87" s="144" t="s">
        <v>196</v>
      </c>
      <c r="N87" s="145" t="str">
        <f t="shared" ca="1" si="74"/>
        <v>Nível 2</v>
      </c>
      <c r="O87" s="146" t="str">
        <f t="shared" ca="1" si="75"/>
        <v>1.14.</v>
      </c>
      <c r="P87" s="147" t="s">
        <v>247</v>
      </c>
      <c r="Q87" s="148"/>
      <c r="R87" s="149" t="s">
        <v>511</v>
      </c>
      <c r="S87" s="150" t="s">
        <v>166</v>
      </c>
      <c r="T87" s="151">
        <f ca="1">OFFSET(CÁLCULO!H$15,ROW($T87)-ROW(T$15),0)</f>
        <v>0</v>
      </c>
      <c r="U87" s="152"/>
      <c r="V87" s="153" t="s">
        <v>156</v>
      </c>
      <c r="W87" s="151">
        <f ca="1">IF($C87="S",ROUND(IF(TIPOORCAMENTO="Proposto",ORÇAMENTO.CustoUnitario*(1+$AH87),ORÇAMENTO.PrecoUnitarioLicitado),15-13*$AF$10),0)</f>
        <v>0</v>
      </c>
      <c r="X87" s="154">
        <f ca="1">IF($C87="S",IF(Import.TipoArredondamento&lt;&gt;"TransfereGOV",VTOTAL1,SUM(OFFSET(CÁLCULO!$AA$15,ROW($X87)-ROW($X$15),1):OFFSET(CÁLCULO!$AL$15,ROW($X87)-ROW($X$15),-1))),IF($C87=0,0,ROUND(SomaAgrup,15-13*$AF$11)))</f>
        <v>0</v>
      </c>
      <c r="Y87" s="155" t="s">
        <v>245</v>
      </c>
      <c r="Z87" t="str">
        <f t="shared" ca="1" si="76"/>
        <v/>
      </c>
      <c r="AA87" s="156">
        <f ca="1">IF($C87="S",IF($Z87="CP",$X87,IF($Z87="RA",(($X87)*QCI!$AA$3),0)),SomaAgrup)</f>
        <v>0</v>
      </c>
      <c r="AB87" s="157">
        <f t="shared" ca="1" si="63"/>
        <v>0</v>
      </c>
      <c r="AC87" s="158" t="str">
        <f ca="1">IF($N87="","",IF(ORÇAMENTO.Descricao="","DESCRIÇÃO",IF(AND($C87="S",ORÇAMENTO.Unidade=""),"UNIDADE",IF($X87&lt;0,"VALOR NEGATIVO",IF(OR(AND(TIPOORCAMENTO="Proposto",$AG87&lt;&gt;"",$AG87&gt;0,ORÇAMENTO.CustoUnitario&gt;$AG87),AND(TIPOORCAMENTO="LICITADO",ORÇAMENTO.PrecoUnitarioLicitado&gt;$AN87)),"ACIMA REF.","")))))</f>
        <v/>
      </c>
      <c r="AD87" s="671">
        <f ca="1">IF(C87&lt;=CRONO.NivelExibicao,MAX($AD$15:OFFSET(AD87,-1,0))+IF($C87&lt;&gt;1,1,MAX(1,COUNTIF(QCI!$A$13:$A$24,OFFSET($E87,-1,0)))),"")</f>
        <v>15</v>
      </c>
      <c r="AE87" s="114" t="b">
        <f ca="1">IF(AND($C87="S",ORÇAMENTO.CodBarra&lt;&gt;""),IF(ORÇAMENTO.Fonte="",ORÇAMENTO.CodBarra,CONCATENATE(ORÇAMENTO.Fonte," ",ORÇAMENTO.CodBarra)))</f>
        <v>0</v>
      </c>
      <c r="AF87" s="159" t="str">
        <f ca="1">IF(ISERROR(INDIRECT(ORÇAMENTO.BancoRef)),"(abra o arquivo 'Referência "&amp;Excel_BuiltIn_Database&amp;".xlsm)",IF(OR($C87&lt;&gt;"S",ORÇAMENTO.CodBarra=""),"(Sem Código)",IF(ISERROR(MATCH($AE87,INDIRECT(ORÇAMENTO.BancoRef),0)),"(Código não identificado nas referências)",MATCH($AE87,INDIRECT(ORÇAMENTO.BancoRef),0))))</f>
        <v>(Sem Código)</v>
      </c>
      <c r="AG87" s="578">
        <f ca="1">ROUND(IF(DESONERACAO="sim",REFERENCIA.Desonerado,REFERENCIA.NaoDesonerado),2)</f>
        <v>0</v>
      </c>
      <c r="AH87" s="579">
        <f t="shared" ca="1" si="64"/>
        <v>0.2034</v>
      </c>
      <c r="AJ87" s="581"/>
      <c r="AL87" s="611"/>
      <c r="AM87" s="430">
        <f t="shared" ca="1" si="0"/>
        <v>0</v>
      </c>
      <c r="AN87" s="654">
        <f t="shared" ca="1" si="65"/>
        <v>0</v>
      </c>
    </row>
    <row r="88" spans="1:40" x14ac:dyDescent="0.2">
      <c r="A88" t="str">
        <f t="shared" si="62"/>
        <v>S</v>
      </c>
      <c r="B88">
        <f t="shared" ca="1" si="66"/>
        <v>2</v>
      </c>
      <c r="C88" t="str">
        <f t="shared" ca="1" si="67"/>
        <v>S</v>
      </c>
      <c r="D88">
        <f t="shared" ca="1" si="68"/>
        <v>0</v>
      </c>
      <c r="E88">
        <f ca="1">IF($C88=1,OFFSET(E88,-1,0)+MAX(1,COUNTIF(QCI!$A$13:$A$24,OFFSET(ORÇAMENTO!E88,-1,0))),OFFSET(E88,-1,0))</f>
        <v>1</v>
      </c>
      <c r="F88">
        <f t="shared" ca="1" si="69"/>
        <v>14</v>
      </c>
      <c r="G88">
        <f t="shared" ca="1" si="70"/>
        <v>0</v>
      </c>
      <c r="H88">
        <f t="shared" ca="1" si="71"/>
        <v>0</v>
      </c>
      <c r="I88">
        <f t="shared" ca="1" si="72"/>
        <v>0</v>
      </c>
      <c r="J88">
        <f t="shared" ca="1" si="77"/>
        <v>0</v>
      </c>
      <c r="K88">
        <f ca="1">IF(OR($C88="S",$C88=0),0,MATCH(OFFSET($D88,0,$C88)+IF($C88&lt;&gt;1,1,COUNTIF(QCI!$A$13:$A$24,ORÇAMENTO!E88)),OFFSET($D88,1,$C88,ROW($C$192)-ROW($C88)),0))</f>
        <v>0</v>
      </c>
      <c r="L88" s="143" t="str">
        <f t="shared" ca="1" si="73"/>
        <v/>
      </c>
      <c r="M88" s="144" t="s">
        <v>199</v>
      </c>
      <c r="N88" s="145" t="str">
        <f t="shared" ca="1" si="74"/>
        <v>Serviço</v>
      </c>
      <c r="O88" s="146" t="str">
        <f t="shared" ca="1" si="75"/>
        <v>-</v>
      </c>
      <c r="P88" s="147" t="s">
        <v>497</v>
      </c>
      <c r="Q88" s="148" t="s">
        <v>618</v>
      </c>
      <c r="R88" s="149" t="s">
        <v>686</v>
      </c>
      <c r="S88" s="150" t="s">
        <v>784</v>
      </c>
      <c r="T88" s="151">
        <f ca="1">OFFSET(CÁLCULO!H$15,ROW($T88)-ROW(T$15),0)</f>
        <v>1</v>
      </c>
      <c r="U88" s="152"/>
      <c r="V88" s="153" t="s">
        <v>156</v>
      </c>
      <c r="W88" s="151">
        <f ca="1">IF($C88="S",ROUND(IF(TIPOORCAMENTO="Proposto",ORÇAMENTO.CustoUnitario*(1+$AH88),ORÇAMENTO.PrecoUnitarioLicitado),15-13*$AF$10),0)</f>
        <v>0</v>
      </c>
      <c r="X88" s="154">
        <f ca="1">IF($C88="S",IF(Import.TipoArredondamento&lt;&gt;"TransfereGOV",VTOTAL1,SUM(OFFSET(CÁLCULO!$AA$15,ROW($X88)-ROW($X$15),1):OFFSET(CÁLCULO!$AL$15,ROW($X88)-ROW($X$15),-1))),IF($C88=0,0,ROUND(SomaAgrup,15-13*$AF$11)))</f>
        <v>0</v>
      </c>
      <c r="Y88" s="155" t="s">
        <v>245</v>
      </c>
      <c r="Z88" t="str">
        <f t="shared" ca="1" si="76"/>
        <v/>
      </c>
      <c r="AA88" s="156">
        <f ca="1">IF($C88="S",IF($Z88="CP",$X88,IF($Z88="RA",(($X88)*QCI!$AA$3),0)),SomaAgrup)</f>
        <v>0</v>
      </c>
      <c r="AB88" s="157">
        <f t="shared" ca="1" si="63"/>
        <v>0</v>
      </c>
      <c r="AC88" s="158" t="str">
        <f ca="1">IF($N88="","",IF(ORÇAMENTO.Descricao="","DESCRIÇÃO",IF(AND($C88="S",ORÇAMENTO.Unidade=""),"UNIDADE",IF($X88&lt;0,"VALOR NEGATIVO",IF(OR(AND(TIPOORCAMENTO="Proposto",$AG88&lt;&gt;"",$AG88&gt;0,ORÇAMENTO.CustoUnitario&gt;$AG88),AND(TIPOORCAMENTO="LICITADO",ORÇAMENTO.PrecoUnitarioLicitado&gt;$AN88)),"ACIMA REF.","")))))</f>
        <v/>
      </c>
      <c r="AD88" s="671" t="str">
        <f ca="1">IF(C88&lt;=CRONO.NivelExibicao,MAX($AD$15:OFFSET(AD88,-1,0))+IF($C88&lt;&gt;1,1,MAX(1,COUNTIF(QCI!$A$13:$A$24,OFFSET($E88,-1,0)))),"")</f>
        <v/>
      </c>
      <c r="AE88" s="114" t="str">
        <f ca="1">IF(AND($C88="S",ORÇAMENTO.CodBarra&lt;&gt;""),IF(ORÇAMENTO.Fonte="",ORÇAMENTO.CodBarra,CONCATENATE(ORÇAMENTO.Fonte," ",ORÇAMENTO.CodBarra)))</f>
        <v>COMPOSIÇÃO C011</v>
      </c>
      <c r="AF88" s="159">
        <f ca="1">IF(ISERROR(INDIRECT(ORÇAMENTO.BancoRef)),"(abra o arquivo 'Referência "&amp;Excel_BuiltIn_Database&amp;".xlsm)",IF(OR($C88&lt;&gt;"S",ORÇAMENTO.CodBarra=""),"(Sem Código)",IF(ISERROR(MATCH($AE88,INDIRECT(ORÇAMENTO.BancoRef),0)),"(Código não identificado nas referências)",MATCH($AE88,INDIRECT(ORÇAMENTO.BancoRef),0))))</f>
        <v>9</v>
      </c>
      <c r="AG88" s="578">
        <f ca="1">ROUND(IF(DESONERACAO="sim",REFERENCIA.Desonerado,REFERENCIA.NaoDesonerado),2)</f>
        <v>579.01</v>
      </c>
      <c r="AH88" s="579">
        <f t="shared" ca="1" si="64"/>
        <v>0.2034</v>
      </c>
      <c r="AJ88" s="581">
        <v>1</v>
      </c>
      <c r="AL88" s="611"/>
      <c r="AM88" s="430">
        <f t="shared" ca="1" si="0"/>
        <v>0</v>
      </c>
      <c r="AN88" s="654">
        <f t="shared" ca="1" si="65"/>
        <v>0</v>
      </c>
    </row>
    <row r="89" spans="1:40" ht="25.5" x14ac:dyDescent="0.2">
      <c r="A89" t="str">
        <f>CHOOSE(1+LOG(1+2*(ORÇAMENTO.Nivel="Meta")+4*(ORÇAMENTO.Nivel="Nível 2")+8*(ORÇAMENTO.Nivel="Nível 3")+16*(ORÇAMENTO.Nivel="Nível 4")+32*(ORÇAMENTO.Nivel="Serviço"),2),0,1,2,3,4,"S")</f>
        <v>S</v>
      </c>
      <c r="B89">
        <f ca="1">IF(OR(C89="s",C89=0),OFFSET(B89,-1,0),C89)</f>
        <v>2</v>
      </c>
      <c r="C89" t="str">
        <f ca="1">IF(OFFSET(C89,-1,0)="L",1,IF(OFFSET(C89,-1,0)=1,2,IF(OR(A89="s",A89=0),"S",IF(AND(OFFSET(C89,-1,0)=2,A89=4),3,IF(AND(OR(OFFSET(C89,-1,0)="s",OFFSET(C89,-1,0)=0),A89&lt;&gt;"s",A89&gt;OFFSET(B89,-1,0)),OFFSET(B89,-1,0),A89)))))</f>
        <v>S</v>
      </c>
      <c r="D89">
        <f ca="1">IF(OR(C89="S",C89=0),0,IF(ISERROR(K89),J89,SMALL(J89:K89,1)))</f>
        <v>0</v>
      </c>
      <c r="E89">
        <f ca="1">IF($C89=1,OFFSET(E89,-1,0)+MAX(1,COUNTIF(QCI!$A$13:$A$24,OFFSET(ORÇAMENTO!E89,-1,0))),OFFSET(E89,-1,0))</f>
        <v>1</v>
      </c>
      <c r="F89">
        <f ca="1">IF($C89=1,0,IF($C89=2,OFFSET(F89,-1,0)+1,OFFSET(F89,-1,0)))</f>
        <v>14</v>
      </c>
      <c r="G89">
        <f ca="1">IF(AND($C89&lt;=2,$C89&lt;&gt;0),0,IF($C89=3,OFFSET(G89,-1,0)+1,OFFSET(G89,-1,0)))</f>
        <v>0</v>
      </c>
      <c r="H89">
        <f ca="1">IF(AND($C89&lt;=3,$C89&lt;&gt;0),0,IF($C89=4,OFFSET(H89,-1,0)+1,OFFSET(H89,-1,0)))</f>
        <v>0</v>
      </c>
      <c r="I89">
        <f ca="1">IF(AND($C89&lt;=4,$C89&lt;&gt;0),0,IF(AND($C89="S",$X89&gt;0),OFFSET(I89,-1,0)+1,OFFSET(I89,-1,0)))</f>
        <v>0</v>
      </c>
      <c r="J89">
        <f t="shared" ca="1" si="77"/>
        <v>0</v>
      </c>
      <c r="K89">
        <f ca="1">IF(OR($C89="S",$C89=0),0,MATCH(OFFSET($D89,0,$C89)+IF($C89&lt;&gt;1,1,COUNTIF(QCI!$A$13:$A$24,ORÇAMENTO!E89)),OFFSET($D89,1,$C89,ROW($C$192)-ROW($C89)),0))</f>
        <v>0</v>
      </c>
      <c r="L89" s="143" t="str">
        <f ca="1">IF(OR($X89&gt;0,$C89=1,$C89=2,$C89=3,$C89=4),"F","")</f>
        <v/>
      </c>
      <c r="M89" s="144" t="s">
        <v>199</v>
      </c>
      <c r="N89" s="145" t="str">
        <f ca="1">CHOOSE(1+LOG(1+2*(C89=1)+4*(C89=2)+8*(C89=3)+16*(C89=4)+32*(C89="S"),2),"","Meta","Nível 2","Nível 3","Nível 4","Serviço")</f>
        <v>Serviço</v>
      </c>
      <c r="O89" s="146" t="str">
        <f ca="1">IF(OR($C89=0,$L89=""),"-",CONCATENATE(E89&amp;".",IF(AND($A$5&gt;=2,$C89&gt;=2),F89&amp;".",""),IF(AND($A$5&gt;=3,$C89&gt;=3),G89&amp;".",""),IF(AND($A$5&gt;=4,$C89&gt;=4),H89&amp;".",""),IF($C89="S",I89&amp;".","")))</f>
        <v>-</v>
      </c>
      <c r="P89" s="147" t="s">
        <v>453</v>
      </c>
      <c r="Q89" s="148" t="s">
        <v>616</v>
      </c>
      <c r="R89" s="149" t="s">
        <v>687</v>
      </c>
      <c r="S89" s="150" t="s">
        <v>785</v>
      </c>
      <c r="T89" s="151">
        <f ca="1">OFFSET(CÁLCULO!H$15,ROW($T89)-ROW(T$15),0)</f>
        <v>12</v>
      </c>
      <c r="U89" s="152"/>
      <c r="V89" s="153" t="s">
        <v>156</v>
      </c>
      <c r="W89" s="151">
        <f ca="1">IF($C89="S",ROUND(IF(TIPOORCAMENTO="Proposto",ORÇAMENTO.CustoUnitario*(1+$AH89),ORÇAMENTO.PrecoUnitarioLicitado),15-13*$AF$10),0)</f>
        <v>0</v>
      </c>
      <c r="X89" s="154">
        <f ca="1">IF($C89="S",IF(Import.TipoArredondamento&lt;&gt;"TransfereGOV",VTOTAL1,SUM(OFFSET(CÁLCULO!$AA$15,ROW($X89)-ROW($X$15),1):OFFSET(CÁLCULO!$AL$15,ROW($X89)-ROW($X$15),-1))),IF($C89=0,0,ROUND(SomaAgrup,15-13*$AF$11)))</f>
        <v>0</v>
      </c>
      <c r="Y89" s="155" t="s">
        <v>245</v>
      </c>
      <c r="Z89" t="str">
        <f ca="1">IF(AND($C89="S",$X89&gt;0),IF(ISBLANK($Y89),"RA",LEFT($Y89,2)),"")</f>
        <v/>
      </c>
      <c r="AA89" s="156">
        <f ca="1">IF($C89="S",IF($Z89="CP",$X89,IF($Z89="RA",(($X89)*QCI!$AA$3),0)),SomaAgrup)</f>
        <v>0</v>
      </c>
      <c r="AB89" s="157">
        <f ca="1">IF($C89="S",IF($Z89="OU",ROUND($X89,2),0),SomaAgrup)</f>
        <v>0</v>
      </c>
      <c r="AC89" s="158" t="str">
        <f ca="1">IF($N89="","",IF(ORÇAMENTO.Descricao="","DESCRIÇÃO",IF(AND($C89="S",ORÇAMENTO.Unidade=""),"UNIDADE",IF($X89&lt;0,"VALOR NEGATIVO",IF(OR(AND(TIPOORCAMENTO="Proposto",$AG89&lt;&gt;"",$AG89&gt;0,ORÇAMENTO.CustoUnitario&gt;$AG89),AND(TIPOORCAMENTO="LICITADO",ORÇAMENTO.PrecoUnitarioLicitado&gt;$AN89)),"ACIMA REF.","")))))</f>
        <v/>
      </c>
      <c r="AD89" s="690" t="str">
        <f ca="1">IF(C89&lt;=CRONO.NivelExibicao,MAX($AD$15:OFFSET(AD89,-1,0))+IF($C89&lt;&gt;1,1,MAX(1,COUNTIF(QCI!$A$13:$A$24,OFFSET($E89,-1,0)))),"")</f>
        <v/>
      </c>
      <c r="AE89" s="114" t="str">
        <f ca="1">IF(AND($C89="S",ORÇAMENTO.CodBarra&lt;&gt;""),IF(ORÇAMENTO.Fonte="",ORÇAMENTO.CodBarra,CONCATENATE(ORÇAMENTO.Fonte," ",ORÇAMENTO.CodBarra)))</f>
        <v>SINAPI-I 11839</v>
      </c>
      <c r="AF89" s="159">
        <f ca="1">IF(ISERROR(INDIRECT(ORÇAMENTO.BancoRef)),"(abra o arquivo 'Referência "&amp;Excel_BuiltIn_Database&amp;".xlsm)",IF(OR($C89&lt;&gt;"S",ORÇAMENTO.CodBarra=""),"(Sem Código)",IF(ISERROR(MATCH($AE89,INDIRECT(ORÇAMENTO.BancoRef),0)),"(Código não identificado nas referências)",MATCH($AE89,INDIRECT(ORÇAMENTO.BancoRef),0))))</f>
        <v>4222</v>
      </c>
      <c r="AG89" s="578">
        <f ca="1">ROUND(IF(DESONERACAO="sim",REFERENCIA.Desonerado,REFERENCIA.NaoDesonerado),2)</f>
        <v>62.95</v>
      </c>
      <c r="AH89" s="579">
        <f ca="1">ROUND(IF(ISNUMBER(ORÇAMENTO.OpcaoBDI),ORÇAMENTO.OpcaoBDI,IF(LEFT(ORÇAMENTO.OpcaoBDI,3)="BDI",HLOOKUP(ORÇAMENTO.OpcaoBDI,$F$4:$H$5,2,FALSE),0)),15-11*$AF$9)</f>
        <v>0.2034</v>
      </c>
      <c r="AJ89" s="581">
        <v>12</v>
      </c>
      <c r="AL89" s="611"/>
      <c r="AM89" s="430">
        <f t="shared" ca="1" si="0"/>
        <v>0</v>
      </c>
      <c r="AN89" s="654">
        <f ca="1">ROUND(ORÇAMENTO.CustoUnitario*(1+$AH89),2)</f>
        <v>0</v>
      </c>
    </row>
    <row r="90" spans="1:40" x14ac:dyDescent="0.2">
      <c r="A90" t="str">
        <f t="shared" si="62"/>
        <v>S</v>
      </c>
      <c r="B90">
        <f t="shared" ca="1" si="66"/>
        <v>2</v>
      </c>
      <c r="C90" t="str">
        <f t="shared" ca="1" si="67"/>
        <v>S</v>
      </c>
      <c r="D90">
        <f t="shared" ca="1" si="68"/>
        <v>0</v>
      </c>
      <c r="E90">
        <f ca="1">IF($C90=1,OFFSET(E90,-1,0)+MAX(1,COUNTIF(QCI!$A$13:$A$24,OFFSET(ORÇAMENTO!E90,-1,0))),OFFSET(E90,-1,0))</f>
        <v>1</v>
      </c>
      <c r="F90">
        <f t="shared" ca="1" si="69"/>
        <v>14</v>
      </c>
      <c r="G90">
        <f t="shared" ca="1" si="70"/>
        <v>0</v>
      </c>
      <c r="H90">
        <f t="shared" ca="1" si="71"/>
        <v>0</v>
      </c>
      <c r="I90">
        <f t="shared" ca="1" si="72"/>
        <v>0</v>
      </c>
      <c r="J90">
        <f t="shared" ca="1" si="77"/>
        <v>0</v>
      </c>
      <c r="K90">
        <f ca="1">IF(OR($C90="S",$C90=0),0,MATCH(OFFSET($D90,0,$C90)+IF($C90&lt;&gt;1,1,COUNTIF(QCI!$A$13:$A$24,ORÇAMENTO!E90)),OFFSET($D90,1,$C90,ROW($C$192)-ROW($C90)),0))</f>
        <v>0</v>
      </c>
      <c r="L90" s="143" t="str">
        <f t="shared" ca="1" si="73"/>
        <v/>
      </c>
      <c r="M90" s="144" t="s">
        <v>199</v>
      </c>
      <c r="N90" s="145" t="str">
        <f t="shared" ca="1" si="74"/>
        <v>Serviço</v>
      </c>
      <c r="O90" s="146" t="str">
        <f t="shared" ca="1" si="75"/>
        <v>-</v>
      </c>
      <c r="P90" s="147" t="s">
        <v>453</v>
      </c>
      <c r="Q90" s="148" t="s">
        <v>620</v>
      </c>
      <c r="R90" s="149" t="s">
        <v>688</v>
      </c>
      <c r="S90" s="150" t="s">
        <v>786</v>
      </c>
      <c r="T90" s="151">
        <f ca="1">OFFSET(CÁLCULO!H$15,ROW($T90)-ROW(T$15),0)</f>
        <v>345</v>
      </c>
      <c r="U90" s="152"/>
      <c r="V90" s="153" t="s">
        <v>156</v>
      </c>
      <c r="W90" s="151">
        <f ca="1">IF($C90="S",ROUND(IF(TIPOORCAMENTO="Proposto",ORÇAMENTO.CustoUnitario*(1+$AH90),ORÇAMENTO.PrecoUnitarioLicitado),15-13*$AF$10),0)</f>
        <v>0</v>
      </c>
      <c r="X90" s="154">
        <f ca="1">IF($C90="S",IF(Import.TipoArredondamento&lt;&gt;"TransfereGOV",VTOTAL1,SUM(OFFSET(CÁLCULO!$AA$15,ROW($X90)-ROW($X$15),1):OFFSET(CÁLCULO!$AL$15,ROW($X90)-ROW($X$15),-1))),IF($C90=0,0,ROUND(SomaAgrup,15-13*$AF$11)))</f>
        <v>0</v>
      </c>
      <c r="Y90" s="155" t="s">
        <v>245</v>
      </c>
      <c r="Z90" t="str">
        <f t="shared" ca="1" si="76"/>
        <v/>
      </c>
      <c r="AA90" s="156">
        <f ca="1">IF($C90="S",IF($Z90="CP",$X90,IF($Z90="RA",(($X90)*QCI!$AA$3),0)),SomaAgrup)</f>
        <v>0</v>
      </c>
      <c r="AB90" s="157">
        <f t="shared" ca="1" si="63"/>
        <v>0</v>
      </c>
      <c r="AC90" s="158" t="str">
        <f ca="1">IF($N90="","",IF(ORÇAMENTO.Descricao="","DESCRIÇÃO",IF(AND($C90="S",ORÇAMENTO.Unidade=""),"UNIDADE",IF($X90&lt;0,"VALOR NEGATIVO",IF(OR(AND(TIPOORCAMENTO="Proposto",$AG90&lt;&gt;"",$AG90&gt;0,ORÇAMENTO.CustoUnitario&gt;$AG90),AND(TIPOORCAMENTO="LICITADO",ORÇAMENTO.PrecoUnitarioLicitado&gt;$AN90)),"ACIMA REF.","")))))</f>
        <v/>
      </c>
      <c r="AD90" s="690" t="str">
        <f ca="1">IF(C90&lt;=CRONO.NivelExibicao,MAX($AD$15:OFFSET(AD90,-1,0))+IF($C90&lt;&gt;1,1,MAX(1,COUNTIF(QCI!$A$13:$A$24,OFFSET($E90,-1,0)))),"")</f>
        <v/>
      </c>
      <c r="AE90" s="114" t="str">
        <f ca="1">IF(AND($C90="S",ORÇAMENTO.CodBarra&lt;&gt;""),IF(ORÇAMENTO.Fonte="",ORÇAMENTO.CodBarra,CONCATENATE(ORÇAMENTO.Fonte," ",ORÇAMENTO.CodBarra)))</f>
        <v>SINAPI-I 863</v>
      </c>
      <c r="AF90" s="159">
        <f ca="1">IF(ISERROR(INDIRECT(ORÇAMENTO.BancoRef)),"(abra o arquivo 'Referência "&amp;Excel_BuiltIn_Database&amp;".xlsm)",IF(OR($C90&lt;&gt;"S",ORÇAMENTO.CodBarra=""),"(Sem Código)",IF(ISERROR(MATCH($AE90,INDIRECT(ORÇAMENTO.BancoRef),0)),"(Código não identificado nas referências)",MATCH($AE90,INDIRECT(ORÇAMENTO.BancoRef),0))))</f>
        <v>736</v>
      </c>
      <c r="AG90" s="578">
        <f ca="1">ROUND(IF(DESONERACAO="sim",REFERENCIA.Desonerado,REFERENCIA.NaoDesonerado),2)</f>
        <v>35.11</v>
      </c>
      <c r="AH90" s="579">
        <f t="shared" ca="1" si="64"/>
        <v>0.2034</v>
      </c>
      <c r="AJ90" s="581">
        <v>345</v>
      </c>
      <c r="AL90" s="611"/>
      <c r="AM90" s="430">
        <f t="shared" ca="1" si="0"/>
        <v>0</v>
      </c>
      <c r="AN90" s="654">
        <f t="shared" ca="1" si="65"/>
        <v>0</v>
      </c>
    </row>
    <row r="91" spans="1:40" ht="25.5" x14ac:dyDescent="0.2">
      <c r="A91" t="str">
        <f t="shared" si="62"/>
        <v>S</v>
      </c>
      <c r="B91">
        <f t="shared" ca="1" si="66"/>
        <v>2</v>
      </c>
      <c r="C91" t="str">
        <f t="shared" ca="1" si="67"/>
        <v>S</v>
      </c>
      <c r="D91">
        <f t="shared" ca="1" si="68"/>
        <v>0</v>
      </c>
      <c r="E91">
        <f ca="1">IF($C91=1,OFFSET(E91,-1,0)+MAX(1,COUNTIF(QCI!$A$13:$A$24,OFFSET(ORÇAMENTO!E91,-1,0))),OFFSET(E91,-1,0))</f>
        <v>1</v>
      </c>
      <c r="F91">
        <f t="shared" ca="1" si="69"/>
        <v>14</v>
      </c>
      <c r="G91">
        <f t="shared" ca="1" si="70"/>
        <v>0</v>
      </c>
      <c r="H91">
        <f t="shared" ca="1" si="71"/>
        <v>0</v>
      </c>
      <c r="I91">
        <f t="shared" ca="1" si="72"/>
        <v>0</v>
      </c>
      <c r="J91">
        <f t="shared" ca="1" si="77"/>
        <v>0</v>
      </c>
      <c r="K91">
        <f ca="1">IF(OR($C91="S",$C91=0),0,MATCH(OFFSET($D91,0,$C91)+IF($C91&lt;&gt;1,1,COUNTIF(QCI!$A$13:$A$24,ORÇAMENTO!E91)),OFFSET($D91,1,$C91,ROW($C$192)-ROW($C91)),0))</f>
        <v>0</v>
      </c>
      <c r="L91" s="143" t="str">
        <f t="shared" ca="1" si="73"/>
        <v/>
      </c>
      <c r="M91" s="144" t="s">
        <v>199</v>
      </c>
      <c r="N91" s="145" t="str">
        <f t="shared" ca="1" si="74"/>
        <v>Serviço</v>
      </c>
      <c r="O91" s="146" t="str">
        <f t="shared" ca="1" si="75"/>
        <v>-</v>
      </c>
      <c r="P91" s="147" t="s">
        <v>453</v>
      </c>
      <c r="Q91" s="148" t="s">
        <v>617</v>
      </c>
      <c r="R91" s="149" t="s">
        <v>689</v>
      </c>
      <c r="S91" s="150" t="s">
        <v>785</v>
      </c>
      <c r="T91" s="151">
        <f ca="1">OFFSET(CÁLCULO!H$15,ROW($T91)-ROW(T$15),0)</f>
        <v>6</v>
      </c>
      <c r="U91" s="152"/>
      <c r="V91" s="153" t="s">
        <v>156</v>
      </c>
      <c r="W91" s="151">
        <f ca="1">IF($C91="S",ROUND(IF(TIPOORCAMENTO="Proposto",ORÇAMENTO.CustoUnitario*(1+$AH91),ORÇAMENTO.PrecoUnitarioLicitado),15-13*$AF$10),0)</f>
        <v>0</v>
      </c>
      <c r="X91" s="154">
        <f ca="1">IF($C91="S",IF(Import.TipoArredondamento&lt;&gt;"TransfereGOV",VTOTAL1,SUM(OFFSET(CÁLCULO!$AA$15,ROW($X91)-ROW($X$15),1):OFFSET(CÁLCULO!$AL$15,ROW($X91)-ROW($X$15),-1))),IF($C91=0,0,ROUND(SomaAgrup,15-13*$AF$11)))</f>
        <v>0</v>
      </c>
      <c r="Y91" s="155" t="s">
        <v>245</v>
      </c>
      <c r="Z91" t="str">
        <f t="shared" ca="1" si="76"/>
        <v/>
      </c>
      <c r="AA91" s="156">
        <f ca="1">IF($C91="S",IF($Z91="CP",$X91,IF($Z91="RA",(($X91)*QCI!$AA$3),0)),SomaAgrup)</f>
        <v>0</v>
      </c>
      <c r="AB91" s="157">
        <f t="shared" ca="1" si="63"/>
        <v>0</v>
      </c>
      <c r="AC91" s="158" t="str">
        <f ca="1">IF($N91="","",IF(ORÇAMENTO.Descricao="","DESCRIÇÃO",IF(AND($C91="S",ORÇAMENTO.Unidade=""),"UNIDADE",IF($X91&lt;0,"VALOR NEGATIVO",IF(OR(AND(TIPOORCAMENTO="Proposto",$AG91&lt;&gt;"",$AG91&gt;0,ORÇAMENTO.CustoUnitario&gt;$AG91),AND(TIPOORCAMENTO="LICITADO",ORÇAMENTO.PrecoUnitarioLicitado&gt;$AN91)),"ACIMA REF.","")))))</f>
        <v/>
      </c>
      <c r="AD91" s="690" t="str">
        <f ca="1">IF(C91&lt;=CRONO.NivelExibicao,MAX($AD$15:OFFSET(AD91,-1,0))+IF($C91&lt;&gt;1,1,MAX(1,COUNTIF(QCI!$A$13:$A$24,OFFSET($E91,-1,0)))),"")</f>
        <v/>
      </c>
      <c r="AE91" s="114" t="str">
        <f ca="1">IF(AND($C91="S",ORÇAMENTO.CodBarra&lt;&gt;""),IF(ORÇAMENTO.Fonte="",ORÇAMENTO.CodBarra,CONCATENATE(ORÇAMENTO.Fonte," ",ORÇAMENTO.CodBarra)))</f>
        <v>SINAPI-I 34641</v>
      </c>
      <c r="AF91" s="159">
        <f ca="1">IF(ISERROR(INDIRECT(ORÇAMENTO.BancoRef)),"(abra o arquivo 'Referência "&amp;Excel_BuiltIn_Database&amp;".xlsm)",IF(OR($C91&lt;&gt;"S",ORÇAMENTO.CodBarra=""),"(Sem Código)",IF(ISERROR(MATCH($AE91,INDIRECT(ORÇAMENTO.BancoRef),0)),"(Código não identificado nas referências)",MATCH($AE91,INDIRECT(ORÇAMENTO.BancoRef),0))))</f>
        <v>862</v>
      </c>
      <c r="AG91" s="578">
        <f ca="1">ROUND(IF(DESONERACAO="sim",REFERENCIA.Desonerado,REFERENCIA.NaoDesonerado),2)</f>
        <v>105.39</v>
      </c>
      <c r="AH91" s="579">
        <f t="shared" ca="1" si="64"/>
        <v>0.2034</v>
      </c>
      <c r="AJ91" s="581">
        <v>6</v>
      </c>
      <c r="AL91" s="611"/>
      <c r="AM91" s="430">
        <f t="shared" ca="1" si="0"/>
        <v>0</v>
      </c>
      <c r="AN91" s="654">
        <f t="shared" ca="1" si="65"/>
        <v>0</v>
      </c>
    </row>
    <row r="92" spans="1:40" ht="38.25" x14ac:dyDescent="0.2">
      <c r="A92" t="str">
        <f t="shared" si="62"/>
        <v>S</v>
      </c>
      <c r="B92">
        <f t="shared" ca="1" si="66"/>
        <v>2</v>
      </c>
      <c r="C92" t="str">
        <f t="shared" ca="1" si="67"/>
        <v>S</v>
      </c>
      <c r="D92">
        <f t="shared" ca="1" si="68"/>
        <v>0</v>
      </c>
      <c r="E92">
        <f ca="1">IF($C92=1,OFFSET(E92,-1,0)+MAX(1,COUNTIF(QCI!$A$13:$A$24,OFFSET(ORÇAMENTO!E92,-1,0))),OFFSET(E92,-1,0))</f>
        <v>1</v>
      </c>
      <c r="F92">
        <f t="shared" ca="1" si="69"/>
        <v>14</v>
      </c>
      <c r="G92">
        <f t="shared" ca="1" si="70"/>
        <v>0</v>
      </c>
      <c r="H92">
        <f t="shared" ca="1" si="71"/>
        <v>0</v>
      </c>
      <c r="I92">
        <f t="shared" ca="1" si="72"/>
        <v>0</v>
      </c>
      <c r="J92">
        <f t="shared" ca="1" si="77"/>
        <v>0</v>
      </c>
      <c r="K92">
        <f ca="1">IF(OR($C92="S",$C92=0),0,MATCH(OFFSET($D92,0,$C92)+IF($C92&lt;&gt;1,1,COUNTIF(QCI!$A$13:$A$24,ORÇAMENTO!E92)),OFFSET($D92,1,$C92,ROW($C$192)-ROW($C92)),0))</f>
        <v>0</v>
      </c>
      <c r="L92" s="143" t="str">
        <f t="shared" ca="1" si="73"/>
        <v/>
      </c>
      <c r="M92" s="144" t="s">
        <v>199</v>
      </c>
      <c r="N92" s="145" t="str">
        <f t="shared" ca="1" si="74"/>
        <v>Serviço</v>
      </c>
      <c r="O92" s="146" t="str">
        <f t="shared" ca="1" si="75"/>
        <v>-</v>
      </c>
      <c r="P92" s="147" t="s">
        <v>247</v>
      </c>
      <c r="Q92" s="148" t="s">
        <v>594</v>
      </c>
      <c r="R92" s="149" t="s">
        <v>690</v>
      </c>
      <c r="S92" s="150" t="s">
        <v>778</v>
      </c>
      <c r="T92" s="151">
        <f ca="1">OFFSET(CÁLCULO!H$15,ROW($T92)-ROW(T$15),0)</f>
        <v>35</v>
      </c>
      <c r="U92" s="152"/>
      <c r="V92" s="153" t="s">
        <v>156</v>
      </c>
      <c r="W92" s="151">
        <f ca="1">IF($C92="S",ROUND(IF(TIPOORCAMENTO="Proposto",ORÇAMENTO.CustoUnitario*(1+$AH92),ORÇAMENTO.PrecoUnitarioLicitado),15-13*$AF$10),0)</f>
        <v>0</v>
      </c>
      <c r="X92" s="154">
        <f ca="1">IF($C92="S",IF(Import.TipoArredondamento&lt;&gt;"TransfereGOV",VTOTAL1,SUM(OFFSET(CÁLCULO!$AA$15,ROW($X92)-ROW($X$15),1):OFFSET(CÁLCULO!$AL$15,ROW($X92)-ROW($X$15),-1))),IF($C92=0,0,ROUND(SomaAgrup,15-13*$AF$11)))</f>
        <v>0</v>
      </c>
      <c r="Y92" s="155" t="s">
        <v>245</v>
      </c>
      <c r="Z92" t="str">
        <f t="shared" ca="1" si="76"/>
        <v/>
      </c>
      <c r="AA92" s="156">
        <f ca="1">IF($C92="S",IF($Z92="CP",$X92,IF($Z92="RA",(($X92)*QCI!$AA$3),0)),SomaAgrup)</f>
        <v>0</v>
      </c>
      <c r="AB92" s="157">
        <f t="shared" ca="1" si="63"/>
        <v>0</v>
      </c>
      <c r="AC92" s="158" t="str">
        <f ca="1">IF($N92="","",IF(ORÇAMENTO.Descricao="","DESCRIÇÃO",IF(AND($C92="S",ORÇAMENTO.Unidade=""),"UNIDADE",IF($X92&lt;0,"VALOR NEGATIVO",IF(OR(AND(TIPOORCAMENTO="Proposto",$AG92&lt;&gt;"",$AG92&gt;0,ORÇAMENTO.CustoUnitario&gt;$AG92),AND(TIPOORCAMENTO="LICITADO",ORÇAMENTO.PrecoUnitarioLicitado&gt;$AN92)),"ACIMA REF.","")))))</f>
        <v/>
      </c>
      <c r="AD92" s="690" t="str">
        <f ca="1">IF(C92&lt;=CRONO.NivelExibicao,MAX($AD$15:OFFSET(AD92,-1,0))+IF($C92&lt;&gt;1,1,MAX(1,COUNTIF(QCI!$A$13:$A$24,OFFSET($E92,-1,0)))),"")</f>
        <v/>
      </c>
      <c r="AE92" s="114" t="str">
        <f ca="1">IF(AND($C92="S",ORÇAMENTO.CodBarra&lt;&gt;""),IF(ORÇAMENTO.Fonte="",ORÇAMENTO.CodBarra,CONCATENATE(ORÇAMENTO.Fonte," ",ORÇAMENTO.CodBarra)))</f>
        <v>SINAPI 104750</v>
      </c>
      <c r="AF92" s="159">
        <f ca="1">IF(ISERROR(INDIRECT(ORÇAMENTO.BancoRef)),"(abra o arquivo 'Referência "&amp;Excel_BuiltIn_Database&amp;".xlsm)",IF(OR($C92&lt;&gt;"S",ORÇAMENTO.CodBarra=""),"(Sem Código)",IF(ISERROR(MATCH($AE92,INDIRECT(ORÇAMENTO.BancoRef),0)),"(Código não identificado nas referências)",MATCH($AE92,INDIRECT(ORÇAMENTO.BancoRef),0))))</f>
        <v>8277</v>
      </c>
      <c r="AG92" s="578">
        <f ca="1">ROUND(IF(DESONERACAO="sim",REFERENCIA.Desonerado,REFERENCIA.NaoDesonerado),2)</f>
        <v>18.920000000000002</v>
      </c>
      <c r="AH92" s="579">
        <f t="shared" ca="1" si="64"/>
        <v>0.2034</v>
      </c>
      <c r="AJ92" s="581">
        <v>35</v>
      </c>
      <c r="AL92" s="611"/>
      <c r="AM92" s="430">
        <f t="shared" ca="1" si="0"/>
        <v>0</v>
      </c>
      <c r="AN92" s="654">
        <f t="shared" ca="1" si="65"/>
        <v>0</v>
      </c>
    </row>
    <row r="93" spans="1:40" ht="25.5" x14ac:dyDescent="0.2">
      <c r="A93" t="str">
        <f t="shared" si="62"/>
        <v>S</v>
      </c>
      <c r="B93">
        <f t="shared" ca="1" si="66"/>
        <v>2</v>
      </c>
      <c r="C93" t="str">
        <f t="shared" ca="1" si="67"/>
        <v>S</v>
      </c>
      <c r="D93">
        <f t="shared" ca="1" si="68"/>
        <v>0</v>
      </c>
      <c r="E93">
        <f ca="1">IF($C93=1,OFFSET(E93,-1,0)+MAX(1,COUNTIF(QCI!$A$13:$A$24,OFFSET(ORÇAMENTO!E93,-1,0))),OFFSET(E93,-1,0))</f>
        <v>1</v>
      </c>
      <c r="F93">
        <f t="shared" ca="1" si="69"/>
        <v>14</v>
      </c>
      <c r="G93">
        <f t="shared" ca="1" si="70"/>
        <v>0</v>
      </c>
      <c r="H93">
        <f t="shared" ca="1" si="71"/>
        <v>0</v>
      </c>
      <c r="I93">
        <f t="shared" ca="1" si="72"/>
        <v>0</v>
      </c>
      <c r="J93">
        <f t="shared" ca="1" si="77"/>
        <v>0</v>
      </c>
      <c r="K93">
        <f ca="1">IF(OR($C93="S",$C93=0),0,MATCH(OFFSET($D93,0,$C93)+IF($C93&lt;&gt;1,1,COUNTIF(QCI!$A$13:$A$24,ORÇAMENTO!E93)),OFFSET($D93,1,$C93,ROW($C$192)-ROW($C93)),0))</f>
        <v>0</v>
      </c>
      <c r="L93" s="143" t="str">
        <f t="shared" ca="1" si="73"/>
        <v/>
      </c>
      <c r="M93" s="144" t="s">
        <v>199</v>
      </c>
      <c r="N93" s="145" t="str">
        <f t="shared" ca="1" si="74"/>
        <v>Serviço</v>
      </c>
      <c r="O93" s="146" t="str">
        <f t="shared" ca="1" si="75"/>
        <v>-</v>
      </c>
      <c r="P93" s="147" t="s">
        <v>247</v>
      </c>
      <c r="Q93" s="148" t="s">
        <v>595</v>
      </c>
      <c r="R93" s="149" t="s">
        <v>691</v>
      </c>
      <c r="S93" s="150" t="s">
        <v>778</v>
      </c>
      <c r="T93" s="151">
        <f ca="1">OFFSET(CÁLCULO!H$15,ROW($T93)-ROW(T$15),0)</f>
        <v>35</v>
      </c>
      <c r="U93" s="152"/>
      <c r="V93" s="153" t="s">
        <v>156</v>
      </c>
      <c r="W93" s="151">
        <f ca="1">IF($C93="S",ROUND(IF(TIPOORCAMENTO="Proposto",ORÇAMENTO.CustoUnitario*(1+$AH93),ORÇAMENTO.PrecoUnitarioLicitado),15-13*$AF$10),0)</f>
        <v>0</v>
      </c>
      <c r="X93" s="154">
        <f ca="1">IF($C93="S",IF(Import.TipoArredondamento&lt;&gt;"TransfereGOV",VTOTAL1,SUM(OFFSET(CÁLCULO!$AA$15,ROW($X93)-ROW($X$15),1):OFFSET(CÁLCULO!$AL$15,ROW($X93)-ROW($X$15),-1))),IF($C93=0,0,ROUND(SomaAgrup,15-13*$AF$11)))</f>
        <v>0</v>
      </c>
      <c r="Y93" s="155" t="s">
        <v>245</v>
      </c>
      <c r="Z93" t="str">
        <f t="shared" ca="1" si="76"/>
        <v/>
      </c>
      <c r="AA93" s="156">
        <f ca="1">IF($C93="S",IF($Z93="CP",$X93,IF($Z93="RA",(($X93)*QCI!$AA$3),0)),SomaAgrup)</f>
        <v>0</v>
      </c>
      <c r="AB93" s="157">
        <f t="shared" ca="1" si="63"/>
        <v>0</v>
      </c>
      <c r="AC93" s="158" t="str">
        <f ca="1">IF($N93="","",IF(ORÇAMENTO.Descricao="","DESCRIÇÃO",IF(AND($C93="S",ORÇAMENTO.Unidade=""),"UNIDADE",IF($X93&lt;0,"VALOR NEGATIVO",IF(OR(AND(TIPOORCAMENTO="Proposto",$AG93&lt;&gt;"",$AG93&gt;0,ORÇAMENTO.CustoUnitario&gt;$AG93),AND(TIPOORCAMENTO="LICITADO",ORÇAMENTO.PrecoUnitarioLicitado&gt;$AN93)),"ACIMA REF.","")))))</f>
        <v/>
      </c>
      <c r="AD93" s="690" t="str">
        <f ca="1">IF(C93&lt;=CRONO.NivelExibicao,MAX($AD$15:OFFSET(AD93,-1,0))+IF($C93&lt;&gt;1,1,MAX(1,COUNTIF(QCI!$A$13:$A$24,OFFSET($E93,-1,0)))),"")</f>
        <v/>
      </c>
      <c r="AE93" s="114" t="str">
        <f ca="1">IF(AND($C93="S",ORÇAMENTO.CodBarra&lt;&gt;""),IF(ORÇAMENTO.Fonte="",ORÇAMENTO.CodBarra,CONCATENATE(ORÇAMENTO.Fonte," ",ORÇAMENTO.CodBarra)))</f>
        <v>SINAPI 96985</v>
      </c>
      <c r="AF93" s="159">
        <f ca="1">IF(ISERROR(INDIRECT(ORÇAMENTO.BancoRef)),"(abra o arquivo 'Referência "&amp;Excel_BuiltIn_Database&amp;".xlsm)",IF(OR($C93&lt;&gt;"S",ORÇAMENTO.CodBarra=""),"(Sem Código)",IF(ISERROR(MATCH($AE93,INDIRECT(ORÇAMENTO.BancoRef),0)),"(Código não identificado nas referências)",MATCH($AE93,INDIRECT(ORÇAMENTO.BancoRef),0))))</f>
        <v>8269</v>
      </c>
      <c r="AG93" s="578">
        <f ca="1">ROUND(IF(DESONERACAO="sim",REFERENCIA.Desonerado,REFERENCIA.NaoDesonerado),2)</f>
        <v>108.45</v>
      </c>
      <c r="AH93" s="579">
        <f t="shared" ca="1" si="64"/>
        <v>0.2034</v>
      </c>
      <c r="AJ93" s="581">
        <v>35</v>
      </c>
      <c r="AL93" s="611"/>
      <c r="AM93" s="430">
        <f t="shared" ca="1" si="0"/>
        <v>0</v>
      </c>
      <c r="AN93" s="654">
        <f t="shared" ca="1" si="65"/>
        <v>0</v>
      </c>
    </row>
    <row r="94" spans="1:40" x14ac:dyDescent="0.2">
      <c r="A94">
        <f t="shared" si="62"/>
        <v>2</v>
      </c>
      <c r="B94">
        <f t="shared" ca="1" si="66"/>
        <v>2</v>
      </c>
      <c r="C94">
        <f t="shared" ca="1" si="67"/>
        <v>2</v>
      </c>
      <c r="D94">
        <f t="shared" ca="1" si="68"/>
        <v>6</v>
      </c>
      <c r="E94">
        <f ca="1">IF($C94=1,OFFSET(E94,-1,0)+MAX(1,COUNTIF(QCI!$A$13:$A$24,OFFSET(ORÇAMENTO!E94,-1,0))),OFFSET(E94,-1,0))</f>
        <v>1</v>
      </c>
      <c r="F94">
        <f t="shared" ca="1" si="69"/>
        <v>15</v>
      </c>
      <c r="G94">
        <f t="shared" ca="1" si="70"/>
        <v>0</v>
      </c>
      <c r="H94">
        <f t="shared" ca="1" si="71"/>
        <v>0</v>
      </c>
      <c r="I94">
        <f t="shared" ca="1" si="72"/>
        <v>0</v>
      </c>
      <c r="J94">
        <f t="shared" ca="1" si="77"/>
        <v>98</v>
      </c>
      <c r="K94">
        <f ca="1">IF(OR($C94="S",$C94=0),0,MATCH(OFFSET($D94,0,$C94)+IF($C94&lt;&gt;1,1,COUNTIF(QCI!$A$13:$A$24,ORÇAMENTO!E94)),OFFSET($D94,1,$C94,ROW($C$192)-ROW($C94)),0))</f>
        <v>6</v>
      </c>
      <c r="L94" s="143" t="str">
        <f t="shared" ca="1" si="73"/>
        <v>F</v>
      </c>
      <c r="M94" s="144" t="s">
        <v>196</v>
      </c>
      <c r="N94" s="145" t="str">
        <f t="shared" ca="1" si="74"/>
        <v>Nível 2</v>
      </c>
      <c r="O94" s="146" t="str">
        <f t="shared" ca="1" si="75"/>
        <v>1.15.</v>
      </c>
      <c r="P94" s="147" t="s">
        <v>247</v>
      </c>
      <c r="Q94" s="148"/>
      <c r="R94" s="149" t="s">
        <v>478</v>
      </c>
      <c r="S94" s="150" t="s">
        <v>166</v>
      </c>
      <c r="T94" s="151">
        <f ca="1">OFFSET(CÁLCULO!H$15,ROW($T94)-ROW(T$15),0)</f>
        <v>0</v>
      </c>
      <c r="U94" s="152"/>
      <c r="V94" s="153" t="s">
        <v>156</v>
      </c>
      <c r="W94" s="151">
        <f ca="1">IF($C94="S",ROUND(IF(TIPOORCAMENTO="Proposto",ORÇAMENTO.CustoUnitario*(1+$AH94),ORÇAMENTO.PrecoUnitarioLicitado),15-13*$AF$10),0)</f>
        <v>0</v>
      </c>
      <c r="X94" s="154">
        <f ca="1">IF($C94="S",IF(Import.TipoArredondamento&lt;&gt;"TransfereGOV",VTOTAL1,SUM(OFFSET(CÁLCULO!$AA$15,ROW($X94)-ROW($X$15),1):OFFSET(CÁLCULO!$AL$15,ROW($X94)-ROW($X$15),-1))),IF($C94=0,0,ROUND(SomaAgrup,15-13*$AF$11)))</f>
        <v>0</v>
      </c>
      <c r="Y94" s="155" t="s">
        <v>245</v>
      </c>
      <c r="Z94" t="str">
        <f t="shared" ca="1" si="76"/>
        <v/>
      </c>
      <c r="AA94" s="156">
        <f ca="1">IF($C94="S",IF($Z94="CP",$X94,IF($Z94="RA",(($X94)*QCI!$AA$3),0)),SomaAgrup)</f>
        <v>0</v>
      </c>
      <c r="AB94" s="157">
        <f t="shared" ca="1" si="63"/>
        <v>0</v>
      </c>
      <c r="AC94" s="158" t="str">
        <f ca="1">IF($N94="","",IF(ORÇAMENTO.Descricao="","DESCRIÇÃO",IF(AND($C94="S",ORÇAMENTO.Unidade=""),"UNIDADE",IF($X94&lt;0,"VALOR NEGATIVO",IF(OR(AND(TIPOORCAMENTO="Proposto",$AG94&lt;&gt;"",$AG94&gt;0,ORÇAMENTO.CustoUnitario&gt;$AG94),AND(TIPOORCAMENTO="LICITADO",ORÇAMENTO.PrecoUnitarioLicitado&gt;$AN94)),"ACIMA REF.","")))))</f>
        <v/>
      </c>
      <c r="AD94" s="667">
        <f ca="1">IF(C94&lt;=CRONO.NivelExibicao,MAX($AD$15:OFFSET(AD94,-1,0))+IF($C94&lt;&gt;1,1,MAX(1,COUNTIF(QCI!$A$13:$A$24,OFFSET($E94,-1,0)))),"")</f>
        <v>16</v>
      </c>
      <c r="AE94" s="114" t="b">
        <f ca="1">IF(AND($C94="S",ORÇAMENTO.CodBarra&lt;&gt;""),IF(ORÇAMENTO.Fonte="",ORÇAMENTO.CodBarra,CONCATENATE(ORÇAMENTO.Fonte," ",ORÇAMENTO.CodBarra)))</f>
        <v>0</v>
      </c>
      <c r="AF94" s="159" t="str">
        <f ca="1">IF(ISERROR(INDIRECT(ORÇAMENTO.BancoRef)),"(abra o arquivo 'Referência "&amp;Excel_BuiltIn_Database&amp;".xlsm)",IF(OR($C94&lt;&gt;"S",ORÇAMENTO.CodBarra=""),"(Sem Código)",IF(ISERROR(MATCH($AE94,INDIRECT(ORÇAMENTO.BancoRef),0)),"(Código não identificado nas referências)",MATCH($AE94,INDIRECT(ORÇAMENTO.BancoRef),0))))</f>
        <v>(Sem Código)</v>
      </c>
      <c r="AG94" s="578">
        <f ca="1">ROUND(IF(DESONERACAO="sim",REFERENCIA.Desonerado,REFERENCIA.NaoDesonerado),2)</f>
        <v>0</v>
      </c>
      <c r="AH94" s="579">
        <f t="shared" ca="1" si="64"/>
        <v>0.2034</v>
      </c>
      <c r="AJ94" s="581"/>
      <c r="AL94" s="611"/>
      <c r="AM94" s="430">
        <f t="shared" ca="1" si="0"/>
        <v>0</v>
      </c>
      <c r="AN94" s="654">
        <f t="shared" ca="1" si="65"/>
        <v>0</v>
      </c>
    </row>
    <row r="95" spans="1:40" ht="38.25" x14ac:dyDescent="0.2">
      <c r="A95" t="str">
        <f t="shared" si="62"/>
        <v>S</v>
      </c>
      <c r="B95">
        <f t="shared" ca="1" si="66"/>
        <v>2</v>
      </c>
      <c r="C95" t="str">
        <f t="shared" ca="1" si="67"/>
        <v>S</v>
      </c>
      <c r="D95">
        <f t="shared" ca="1" si="68"/>
        <v>0</v>
      </c>
      <c r="E95">
        <f ca="1">IF($C95=1,OFFSET(E95,-1,0)+MAX(1,COUNTIF(QCI!$A$13:$A$24,OFFSET(ORÇAMENTO!E95,-1,0))),OFFSET(E95,-1,0))</f>
        <v>1</v>
      </c>
      <c r="F95">
        <f t="shared" ca="1" si="69"/>
        <v>15</v>
      </c>
      <c r="G95">
        <f t="shared" ca="1" si="70"/>
        <v>0</v>
      </c>
      <c r="H95">
        <f t="shared" ca="1" si="71"/>
        <v>0</v>
      </c>
      <c r="I95">
        <f t="shared" ca="1" si="72"/>
        <v>0</v>
      </c>
      <c r="J95">
        <f t="shared" ca="1" si="77"/>
        <v>0</v>
      </c>
      <c r="K95">
        <f ca="1">IF(OR($C95="S",$C95=0),0,MATCH(OFFSET($D95,0,$C95)+IF($C95&lt;&gt;1,1,COUNTIF(QCI!$A$13:$A$24,ORÇAMENTO!E95)),OFFSET($D95,1,$C95,ROW($C$192)-ROW($C95)),0))</f>
        <v>0</v>
      </c>
      <c r="L95" s="143" t="str">
        <f t="shared" ca="1" si="73"/>
        <v/>
      </c>
      <c r="M95" s="144" t="s">
        <v>199</v>
      </c>
      <c r="N95" s="145" t="str">
        <f t="shared" ca="1" si="74"/>
        <v>Serviço</v>
      </c>
      <c r="O95" s="146" t="str">
        <f t="shared" ca="1" si="75"/>
        <v>-</v>
      </c>
      <c r="P95" s="147" t="s">
        <v>247</v>
      </c>
      <c r="Q95" s="148" t="s">
        <v>479</v>
      </c>
      <c r="R95" s="149" t="s">
        <v>692</v>
      </c>
      <c r="S95" s="150" t="s">
        <v>777</v>
      </c>
      <c r="T95" s="151">
        <f ca="1">OFFSET(CÁLCULO!H$15,ROW($T95)-ROW(T$15),0)</f>
        <v>52.32</v>
      </c>
      <c r="U95" s="152"/>
      <c r="V95" s="153" t="s">
        <v>156</v>
      </c>
      <c r="W95" s="151">
        <f ca="1">IF($C95="S",ROUND(IF(TIPOORCAMENTO="Proposto",ORÇAMENTO.CustoUnitario*(1+$AH95),ORÇAMENTO.PrecoUnitarioLicitado),15-13*$AF$10),0)</f>
        <v>0</v>
      </c>
      <c r="X95" s="154">
        <f ca="1">IF($C95="S",IF(Import.TipoArredondamento&lt;&gt;"TransfereGOV",VTOTAL1,SUM(OFFSET(CÁLCULO!$AA$15,ROW($X95)-ROW($X$15),1):OFFSET(CÁLCULO!$AL$15,ROW($X95)-ROW($X$15),-1))),IF($C95=0,0,ROUND(SomaAgrup,15-13*$AF$11)))</f>
        <v>0</v>
      </c>
      <c r="Y95" s="155" t="s">
        <v>245</v>
      </c>
      <c r="Z95" t="str">
        <f t="shared" ca="1" si="76"/>
        <v/>
      </c>
      <c r="AA95" s="156">
        <f ca="1">IF($C95="S",IF($Z95="CP",$X95,IF($Z95="RA",(($X95)*QCI!$AA$3),0)),SomaAgrup)</f>
        <v>0</v>
      </c>
      <c r="AB95" s="157">
        <f t="shared" ca="1" si="63"/>
        <v>0</v>
      </c>
      <c r="AC95" s="158" t="str">
        <f ca="1">IF($N95="","",IF(ORÇAMENTO.Descricao="","DESCRIÇÃO",IF(AND($C95="S",ORÇAMENTO.Unidade=""),"UNIDADE",IF($X95&lt;0,"VALOR NEGATIVO",IF(OR(AND(TIPOORCAMENTO="Proposto",$AG95&lt;&gt;"",$AG95&gt;0,ORÇAMENTO.CustoUnitario&gt;$AG95),AND(TIPOORCAMENTO="LICITADO",ORÇAMENTO.PrecoUnitarioLicitado&gt;$AN95)),"ACIMA REF.","")))))</f>
        <v/>
      </c>
      <c r="AD95" s="667" t="str">
        <f ca="1">IF(C95&lt;=CRONO.NivelExibicao,MAX($AD$15:OFFSET(AD95,-1,0))+IF($C95&lt;&gt;1,1,MAX(1,COUNTIF(QCI!$A$13:$A$24,OFFSET($E95,-1,0)))),"")</f>
        <v/>
      </c>
      <c r="AE95" s="114" t="str">
        <f ca="1">IF(AND($C95="S",ORÇAMENTO.CodBarra&lt;&gt;""),IF(ORÇAMENTO.Fonte="",ORÇAMENTO.CodBarra,CONCATENATE(ORÇAMENTO.Fonte," ",ORÇAMENTO.CodBarra)))</f>
        <v>SINAPI 94569</v>
      </c>
      <c r="AF95" s="159">
        <f ca="1">IF(ISERROR(INDIRECT(ORÇAMENTO.BancoRef)),"(abra o arquivo 'Referência "&amp;Excel_BuiltIn_Database&amp;".xlsm)",IF(OR($C95&lt;&gt;"S",ORÇAMENTO.CodBarra=""),"(Sem Código)",IF(ISERROR(MATCH($AE95,INDIRECT(ORÇAMENTO.BancoRef),0)),"(Código não identificado nas referências)",MATCH($AE95,INDIRECT(ORÇAMENTO.BancoRef),0))))</f>
        <v>7106</v>
      </c>
      <c r="AG95" s="578">
        <f ca="1">ROUND(IF(DESONERACAO="sim",REFERENCIA.Desonerado,REFERENCIA.NaoDesonerado),2)</f>
        <v>828.21</v>
      </c>
      <c r="AH95" s="579">
        <f t="shared" ca="1" si="64"/>
        <v>0.2034</v>
      </c>
      <c r="AJ95" s="581">
        <v>52.32</v>
      </c>
      <c r="AL95" s="611"/>
      <c r="AM95" s="430">
        <f t="shared" ca="1" si="0"/>
        <v>0</v>
      </c>
      <c r="AN95" s="654">
        <f t="shared" ca="1" si="65"/>
        <v>0</v>
      </c>
    </row>
    <row r="96" spans="1:40" ht="38.25" x14ac:dyDescent="0.2">
      <c r="A96" t="str">
        <f t="shared" si="62"/>
        <v>S</v>
      </c>
      <c r="B96">
        <f t="shared" ca="1" si="66"/>
        <v>2</v>
      </c>
      <c r="C96" t="str">
        <f t="shared" ca="1" si="67"/>
        <v>S</v>
      </c>
      <c r="D96">
        <f t="shared" ca="1" si="68"/>
        <v>0</v>
      </c>
      <c r="E96">
        <f ca="1">IF($C96=1,OFFSET(E96,-1,0)+MAX(1,COUNTIF(QCI!$A$13:$A$24,OFFSET(ORÇAMENTO!E96,-1,0))),OFFSET(E96,-1,0))</f>
        <v>1</v>
      </c>
      <c r="F96">
        <f t="shared" ca="1" si="69"/>
        <v>15</v>
      </c>
      <c r="G96">
        <f t="shared" ca="1" si="70"/>
        <v>0</v>
      </c>
      <c r="H96">
        <f t="shared" ca="1" si="71"/>
        <v>0</v>
      </c>
      <c r="I96">
        <f t="shared" ca="1" si="72"/>
        <v>0</v>
      </c>
      <c r="J96">
        <f t="shared" ca="1" si="77"/>
        <v>0</v>
      </c>
      <c r="K96">
        <f ca="1">IF(OR($C96="S",$C96=0),0,MATCH(OFFSET($D96,0,$C96)+IF($C96&lt;&gt;1,1,COUNTIF(QCI!$A$13:$A$24,ORÇAMENTO!E96)),OFFSET($D96,1,$C96,ROW($C$192)-ROW($C96)),0))</f>
        <v>0</v>
      </c>
      <c r="L96" s="143" t="str">
        <f t="shared" ca="1" si="73"/>
        <v/>
      </c>
      <c r="M96" s="144" t="s">
        <v>199</v>
      </c>
      <c r="N96" s="145" t="str">
        <f t="shared" ca="1" si="74"/>
        <v>Serviço</v>
      </c>
      <c r="O96" s="146" t="str">
        <f t="shared" ca="1" si="75"/>
        <v>-</v>
      </c>
      <c r="P96" s="147" t="s">
        <v>247</v>
      </c>
      <c r="Q96" s="148" t="s">
        <v>480</v>
      </c>
      <c r="R96" s="149" t="s">
        <v>693</v>
      </c>
      <c r="S96" s="150" t="s">
        <v>777</v>
      </c>
      <c r="T96" s="151">
        <f ca="1">OFFSET(CÁLCULO!H$15,ROW($T96)-ROW(T$15),0)</f>
        <v>71.400000000000006</v>
      </c>
      <c r="U96" s="152"/>
      <c r="V96" s="153" t="s">
        <v>156</v>
      </c>
      <c r="W96" s="151">
        <f ca="1">IF($C96="S",ROUND(IF(TIPOORCAMENTO="Proposto",ORÇAMENTO.CustoUnitario*(1+$AH96),ORÇAMENTO.PrecoUnitarioLicitado),15-13*$AF$10),0)</f>
        <v>0</v>
      </c>
      <c r="X96" s="154">
        <f ca="1">IF($C96="S",IF(Import.TipoArredondamento&lt;&gt;"TransfereGOV",VTOTAL1,SUM(OFFSET(CÁLCULO!$AA$15,ROW($X96)-ROW($X$15),1):OFFSET(CÁLCULO!$AL$15,ROW($X96)-ROW($X$15),-1))),IF($C96=0,0,ROUND(SomaAgrup,15-13*$AF$11)))</f>
        <v>0</v>
      </c>
      <c r="Y96" s="155" t="s">
        <v>245</v>
      </c>
      <c r="Z96" t="str">
        <f t="shared" ca="1" si="76"/>
        <v/>
      </c>
      <c r="AA96" s="156">
        <f ca="1">IF($C96="S",IF($Z96="CP",$X96,IF($Z96="RA",(($X96)*QCI!$AA$3),0)),SomaAgrup)</f>
        <v>0</v>
      </c>
      <c r="AB96" s="157">
        <f t="shared" ca="1" si="63"/>
        <v>0</v>
      </c>
      <c r="AC96" s="158" t="str">
        <f ca="1">IF($N96="","",IF(ORÇAMENTO.Descricao="","DESCRIÇÃO",IF(AND($C96="S",ORÇAMENTO.Unidade=""),"UNIDADE",IF($X96&lt;0,"VALOR NEGATIVO",IF(OR(AND(TIPOORCAMENTO="Proposto",$AG96&lt;&gt;"",$AG96&gt;0,ORÇAMENTO.CustoUnitario&gt;$AG96),AND(TIPOORCAMENTO="LICITADO",ORÇAMENTO.PrecoUnitarioLicitado&gt;$AN96)),"ACIMA REF.","")))))</f>
        <v/>
      </c>
      <c r="AD96" s="668" t="str">
        <f ca="1">IF(C96&lt;=CRONO.NivelExibicao,MAX($AD$15:OFFSET(AD96,-1,0))+IF($C96&lt;&gt;1,1,MAX(1,COUNTIF(QCI!$A$13:$A$24,OFFSET($E96,-1,0)))),"")</f>
        <v/>
      </c>
      <c r="AE96" s="114" t="str">
        <f ca="1">IF(AND($C96="S",ORÇAMENTO.CodBarra&lt;&gt;""),IF(ORÇAMENTO.Fonte="",ORÇAMENTO.CodBarra,CONCATENATE(ORÇAMENTO.Fonte," ",ORÇAMENTO.CodBarra)))</f>
        <v>SINAPI 100674</v>
      </c>
      <c r="AF96" s="159">
        <f ca="1">IF(ISERROR(INDIRECT(ORÇAMENTO.BancoRef)),"(abra o arquivo 'Referência "&amp;Excel_BuiltIn_Database&amp;".xlsm)",IF(OR($C96&lt;&gt;"S",ORÇAMENTO.CodBarra=""),"(Sem Código)",IF(ISERROR(MATCH($AE96,INDIRECT(ORÇAMENTO.BancoRef),0)),"(Código não identificado nas referências)",MATCH($AE96,INDIRECT(ORÇAMENTO.BancoRef),0))))</f>
        <v>7113</v>
      </c>
      <c r="AG96" s="578">
        <f ca="1">ROUND(IF(DESONERACAO="sim",REFERENCIA.Desonerado,REFERENCIA.NaoDesonerado),2)</f>
        <v>907.11</v>
      </c>
      <c r="AH96" s="579">
        <f t="shared" ca="1" si="64"/>
        <v>0.2034</v>
      </c>
      <c r="AJ96" s="581">
        <v>71.400000000000006</v>
      </c>
      <c r="AL96" s="611"/>
      <c r="AM96" s="430">
        <f t="shared" ca="1" si="0"/>
        <v>0</v>
      </c>
      <c r="AN96" s="654">
        <f t="shared" ca="1" si="65"/>
        <v>0</v>
      </c>
    </row>
    <row r="97" spans="1:40" ht="38.25" x14ac:dyDescent="0.2">
      <c r="A97" t="str">
        <f t="shared" si="62"/>
        <v>S</v>
      </c>
      <c r="B97">
        <f t="shared" ca="1" si="66"/>
        <v>2</v>
      </c>
      <c r="C97" t="str">
        <f t="shared" ca="1" si="67"/>
        <v>S</v>
      </c>
      <c r="D97">
        <f t="shared" ca="1" si="68"/>
        <v>0</v>
      </c>
      <c r="E97">
        <f ca="1">IF($C97=1,OFFSET(E97,-1,0)+MAX(1,COUNTIF(QCI!$A$13:$A$24,OFFSET(ORÇAMENTO!E97,-1,0))),OFFSET(E97,-1,0))</f>
        <v>1</v>
      </c>
      <c r="F97">
        <f t="shared" ca="1" si="69"/>
        <v>15</v>
      </c>
      <c r="G97">
        <f t="shared" ca="1" si="70"/>
        <v>0</v>
      </c>
      <c r="H97">
        <f t="shared" ca="1" si="71"/>
        <v>0</v>
      </c>
      <c r="I97">
        <f t="shared" ca="1" si="72"/>
        <v>0</v>
      </c>
      <c r="J97">
        <f t="shared" ca="1" si="77"/>
        <v>0</v>
      </c>
      <c r="K97">
        <f ca="1">IF(OR($C97="S",$C97=0),0,MATCH(OFFSET($D97,0,$C97)+IF($C97&lt;&gt;1,1,COUNTIF(QCI!$A$13:$A$24,ORÇAMENTO!E97)),OFFSET($D97,1,$C97,ROW($C$192)-ROW($C97)),0))</f>
        <v>0</v>
      </c>
      <c r="L97" s="143" t="str">
        <f t="shared" ca="1" si="73"/>
        <v/>
      </c>
      <c r="M97" s="144" t="s">
        <v>199</v>
      </c>
      <c r="N97" s="145" t="str">
        <f t="shared" ca="1" si="74"/>
        <v>Serviço</v>
      </c>
      <c r="O97" s="146" t="str">
        <f t="shared" ca="1" si="75"/>
        <v>-</v>
      </c>
      <c r="P97" s="147" t="s">
        <v>247</v>
      </c>
      <c r="Q97" s="148" t="s">
        <v>554</v>
      </c>
      <c r="R97" s="149" t="s">
        <v>694</v>
      </c>
      <c r="S97" s="150" t="s">
        <v>777</v>
      </c>
      <c r="T97" s="151">
        <f ca="1">OFFSET(CÁLCULO!H$15,ROW($T97)-ROW(T$15),0)</f>
        <v>23.4</v>
      </c>
      <c r="U97" s="152"/>
      <c r="V97" s="153" t="s">
        <v>156</v>
      </c>
      <c r="W97" s="151">
        <f ca="1">IF($C97="S",ROUND(IF(TIPOORCAMENTO="Proposto",ORÇAMENTO.CustoUnitario*(1+$AH97),ORÇAMENTO.PrecoUnitarioLicitado),15-13*$AF$10),0)</f>
        <v>0</v>
      </c>
      <c r="X97" s="154">
        <f ca="1">IF($C97="S",IF(Import.TipoArredondamento&lt;&gt;"TransfereGOV",VTOTAL1,SUM(OFFSET(CÁLCULO!$AA$15,ROW($X97)-ROW($X$15),1):OFFSET(CÁLCULO!$AL$15,ROW($X97)-ROW($X$15),-1))),IF($C97=0,0,ROUND(SomaAgrup,15-13*$AF$11)))</f>
        <v>0</v>
      </c>
      <c r="Y97" s="155" t="s">
        <v>245</v>
      </c>
      <c r="Z97" t="str">
        <f t="shared" ca="1" si="76"/>
        <v/>
      </c>
      <c r="AA97" s="156">
        <f ca="1">IF($C97="S",IF($Z97="CP",$X97,IF($Z97="RA",(($X97)*QCI!$AA$3),0)),SomaAgrup)</f>
        <v>0</v>
      </c>
      <c r="AB97" s="157">
        <f t="shared" ca="1" si="63"/>
        <v>0</v>
      </c>
      <c r="AC97" s="158" t="str">
        <f ca="1">IF($N97="","",IF(ORÇAMENTO.Descricao="","DESCRIÇÃO",IF(AND($C97="S",ORÇAMENTO.Unidade=""),"UNIDADE",IF($X97&lt;0,"VALOR NEGATIVO",IF(OR(AND(TIPOORCAMENTO="Proposto",$AG97&lt;&gt;"",$AG97&gt;0,ORÇAMENTO.CustoUnitario&gt;$AG97),AND(TIPOORCAMENTO="LICITADO",ORÇAMENTO.PrecoUnitarioLicitado&gt;$AN97)),"ACIMA REF.","")))))</f>
        <v/>
      </c>
      <c r="AD97" s="668" t="str">
        <f ca="1">IF(C97&lt;=CRONO.NivelExibicao,MAX($AD$15:OFFSET(AD97,-1,0))+IF($C97&lt;&gt;1,1,MAX(1,COUNTIF(QCI!$A$13:$A$24,OFFSET($E97,-1,0)))),"")</f>
        <v/>
      </c>
      <c r="AE97" s="114" t="str">
        <f ca="1">IF(AND($C97="S",ORÇAMENTO.CodBarra&lt;&gt;""),IF(ORÇAMENTO.Fonte="",ORÇAMENTO.CodBarra,CONCATENATE(ORÇAMENTO.Fonte," ",ORÇAMENTO.CodBarra)))</f>
        <v>SINAPI 100702</v>
      </c>
      <c r="AF97" s="159">
        <f ca="1">IF(ISERROR(INDIRECT(ORÇAMENTO.BancoRef)),"(abra o arquivo 'Referência "&amp;Excel_BuiltIn_Database&amp;".xlsm)",IF(OR($C97&lt;&gt;"S",ORÇAMENTO.CodBarra=""),"(Sem Código)",IF(ISERROR(MATCH($AE97,INDIRECT(ORÇAMENTO.BancoRef),0)),"(Código não identificado nas referências)",MATCH($AE97,INDIRECT(ORÇAMENTO.BancoRef),0))))</f>
        <v>7060</v>
      </c>
      <c r="AG97" s="578">
        <f ca="1">ROUND(IF(DESONERACAO="sim",REFERENCIA.Desonerado,REFERENCIA.NaoDesonerado),2)</f>
        <v>555.26</v>
      </c>
      <c r="AH97" s="579">
        <f t="shared" ca="1" si="64"/>
        <v>0.2034</v>
      </c>
      <c r="AJ97" s="581">
        <v>23.4</v>
      </c>
      <c r="AL97" s="611"/>
      <c r="AM97" s="430">
        <f t="shared" ca="1" si="0"/>
        <v>0</v>
      </c>
      <c r="AN97" s="654">
        <f t="shared" ca="1" si="65"/>
        <v>0</v>
      </c>
    </row>
    <row r="98" spans="1:40" ht="51" x14ac:dyDescent="0.2">
      <c r="A98" t="str">
        <f>CHOOSE(1+LOG(1+2*(ORÇAMENTO.Nivel="Meta")+4*(ORÇAMENTO.Nivel="Nível 2")+8*(ORÇAMENTO.Nivel="Nível 3")+16*(ORÇAMENTO.Nivel="Nível 4")+32*(ORÇAMENTO.Nivel="Serviço"),2),0,1,2,3,4,"S")</f>
        <v>S</v>
      </c>
      <c r="B98">
        <f ca="1">IF(OR(C98="s",C98=0),OFFSET(B98,-1,0),C98)</f>
        <v>2</v>
      </c>
      <c r="C98" t="str">
        <f ca="1">IF(OFFSET(C98,-1,0)="L",1,IF(OFFSET(C98,-1,0)=1,2,IF(OR(A98="s",A98=0),"S",IF(AND(OFFSET(C98,-1,0)=2,A98=4),3,IF(AND(OR(OFFSET(C98,-1,0)="s",OFFSET(C98,-1,0)=0),A98&lt;&gt;"s",A98&gt;OFFSET(B98,-1,0)),OFFSET(B98,-1,0),A98)))))</f>
        <v>S</v>
      </c>
      <c r="D98">
        <f ca="1">IF(OR(C98="S",C98=0),0,IF(ISERROR(K98),J98,SMALL(J98:K98,1)))</f>
        <v>0</v>
      </c>
      <c r="E98">
        <f ca="1">IF($C98=1,OFFSET(E98,-1,0)+MAX(1,COUNTIF(QCI!$A$13:$A$24,OFFSET(ORÇAMENTO!E98,-1,0))),OFFSET(E98,-1,0))</f>
        <v>1</v>
      </c>
      <c r="F98">
        <f ca="1">IF($C98=1,0,IF($C98=2,OFFSET(F98,-1,0)+1,OFFSET(F98,-1,0)))</f>
        <v>15</v>
      </c>
      <c r="G98">
        <f ca="1">IF(AND($C98&lt;=2,$C98&lt;&gt;0),0,IF($C98=3,OFFSET(G98,-1,0)+1,OFFSET(G98,-1,0)))</f>
        <v>0</v>
      </c>
      <c r="H98">
        <f ca="1">IF(AND($C98&lt;=3,$C98&lt;&gt;0),0,IF($C98=4,OFFSET(H98,-1,0)+1,OFFSET(H98,-1,0)))</f>
        <v>0</v>
      </c>
      <c r="I98">
        <f ca="1">IF(AND($C98&lt;=4,$C98&lt;&gt;0),0,IF(AND($C98="S",$X98&gt;0),OFFSET(I98,-1,0)+1,OFFSET(I98,-1,0)))</f>
        <v>0</v>
      </c>
      <c r="J98">
        <f t="shared" ca="1" si="77"/>
        <v>0</v>
      </c>
      <c r="K98">
        <f ca="1">IF(OR($C98="S",$C98=0),0,MATCH(OFFSET($D98,0,$C98)+IF($C98&lt;&gt;1,1,COUNTIF(QCI!$A$13:$A$24,ORÇAMENTO!E98)),OFFSET($D98,1,$C98,ROW($C$192)-ROW($C98)),0))</f>
        <v>0</v>
      </c>
      <c r="L98" s="143" t="str">
        <f ca="1">IF(OR($X98&gt;0,$C98=1,$C98=2,$C98=3,$C98=4),"F","")</f>
        <v/>
      </c>
      <c r="M98" s="144" t="s">
        <v>199</v>
      </c>
      <c r="N98" s="145" t="str">
        <f ca="1">CHOOSE(1+LOG(1+2*(C98=1)+4*(C98=2)+8*(C98=3)+16*(C98=4)+32*(C98="S"),2),"","Meta","Nível 2","Nível 3","Nível 4","Serviço")</f>
        <v>Serviço</v>
      </c>
      <c r="O98" s="146" t="str">
        <f ca="1">IF(OR($C98=0,$L98=""),"-",CONCATENATE(E98&amp;".",IF(AND($A$5&gt;=2,$C98&gt;=2),F98&amp;".",""),IF(AND($A$5&gt;=3,$C98&gt;=3),G98&amp;".",""),IF(AND($A$5&gt;=4,$C98&gt;=4),H98&amp;".",""),IF($C98="S",I98&amp;".","")))</f>
        <v>-</v>
      </c>
      <c r="P98" s="147" t="s">
        <v>247</v>
      </c>
      <c r="Q98" s="148" t="s">
        <v>506</v>
      </c>
      <c r="R98" s="149" t="s">
        <v>695</v>
      </c>
      <c r="S98" s="150" t="s">
        <v>778</v>
      </c>
      <c r="T98" s="151">
        <f ca="1">OFFSET(CÁLCULO!H$15,ROW($T98)-ROW(T$15),0)</f>
        <v>10</v>
      </c>
      <c r="U98" s="152"/>
      <c r="V98" s="153" t="s">
        <v>156</v>
      </c>
      <c r="W98" s="151">
        <f ca="1">IF($C98="S",ROUND(IF(TIPOORCAMENTO="Proposto",ORÇAMENTO.CustoUnitario*(1+$AH98),ORÇAMENTO.PrecoUnitarioLicitado),15-13*$AF$10),0)</f>
        <v>0</v>
      </c>
      <c r="X98" s="154">
        <f ca="1">IF($C98="S",IF(Import.TipoArredondamento&lt;&gt;"TransfereGOV",VTOTAL1,SUM(OFFSET(CÁLCULO!$AA$15,ROW($X98)-ROW($X$15),1):OFFSET(CÁLCULO!$AL$15,ROW($X98)-ROW($X$15),-1))),IF($C98=0,0,ROUND(SomaAgrup,15-13*$AF$11)))</f>
        <v>0</v>
      </c>
      <c r="Y98" s="155" t="s">
        <v>245</v>
      </c>
      <c r="Z98" t="str">
        <f ca="1">IF(AND($C98="S",$X98&gt;0),IF(ISBLANK($Y98),"RA",LEFT($Y98,2)),"")</f>
        <v/>
      </c>
      <c r="AA98" s="156">
        <f ca="1">IF($C98="S",IF($Z98="CP",$X98,IF($Z98="RA",(($X98)*QCI!$AA$3),0)),SomaAgrup)</f>
        <v>0</v>
      </c>
      <c r="AB98" s="157">
        <f ca="1">IF($C98="S",IF($Z98="OU",ROUND($X98,2),0),SomaAgrup)</f>
        <v>0</v>
      </c>
      <c r="AC98" s="158" t="str">
        <f ca="1">IF($N98="","",IF(ORÇAMENTO.Descricao="","DESCRIÇÃO",IF(AND($C98="S",ORÇAMENTO.Unidade=""),"UNIDADE",IF($X98&lt;0,"VALOR NEGATIVO",IF(OR(AND(TIPOORCAMENTO="Proposto",$AG98&lt;&gt;"",$AG98&gt;0,ORÇAMENTO.CustoUnitario&gt;$AG98),AND(TIPOORCAMENTO="LICITADO",ORÇAMENTO.PrecoUnitarioLicitado&gt;$AN98)),"ACIMA REF.","")))))</f>
        <v/>
      </c>
      <c r="AD98" s="668" t="str">
        <f ca="1">IF(C98&lt;=CRONO.NivelExibicao,MAX($AD$15:OFFSET(AD98,-1,0))+IF($C98&lt;&gt;1,1,MAX(1,COUNTIF(QCI!$A$13:$A$24,OFFSET($E98,-1,0)))),"")</f>
        <v/>
      </c>
      <c r="AE98" s="114" t="str">
        <f ca="1">IF(AND($C98="S",ORÇAMENTO.CodBarra&lt;&gt;""),IF(ORÇAMENTO.Fonte="",ORÇAMENTO.CodBarra,CONCATENATE(ORÇAMENTO.Fonte," ",ORÇAMENTO.CodBarra)))</f>
        <v>SINAPI 90850</v>
      </c>
      <c r="AF98" s="159">
        <f ca="1">IF(ISERROR(INDIRECT(ORÇAMENTO.BancoRef)),"(abra o arquivo 'Referência "&amp;Excel_BuiltIn_Database&amp;".xlsm)",IF(OR($C98&lt;&gt;"S",ORÇAMENTO.CodBarra=""),"(Sem Código)",IF(ISERROR(MATCH($AE98,INDIRECT(ORÇAMENTO.BancoRef),0)),"(Código não identificado nas referências)",MATCH($AE98,INDIRECT(ORÇAMENTO.BancoRef),0))))</f>
        <v>6958</v>
      </c>
      <c r="AG98" s="578">
        <f ca="1">ROUND(IF(DESONERACAO="sim",REFERENCIA.Desonerado,REFERENCIA.NaoDesonerado),2)</f>
        <v>1305.6099999999999</v>
      </c>
      <c r="AH98" s="579">
        <f ca="1">ROUND(IF(ISNUMBER(ORÇAMENTO.OpcaoBDI),ORÇAMENTO.OpcaoBDI,IF(LEFT(ORÇAMENTO.OpcaoBDI,3)="BDI",HLOOKUP(ORÇAMENTO.OpcaoBDI,$F$4:$H$5,2,FALSE),0)),15-11*$AF$9)</f>
        <v>0.2034</v>
      </c>
      <c r="AJ98" s="581">
        <v>10</v>
      </c>
      <c r="AL98" s="611"/>
      <c r="AM98" s="430">
        <f t="shared" ca="1" si="0"/>
        <v>0</v>
      </c>
      <c r="AN98" s="654">
        <f ca="1">ROUND(ORÇAMENTO.CustoUnitario*(1+$AH98),2)</f>
        <v>0</v>
      </c>
    </row>
    <row r="99" spans="1:40" ht="25.5" x14ac:dyDescent="0.2">
      <c r="A99" t="str">
        <f>CHOOSE(1+LOG(1+2*(ORÇAMENTO.Nivel="Meta")+4*(ORÇAMENTO.Nivel="Nível 2")+8*(ORÇAMENTO.Nivel="Nível 3")+16*(ORÇAMENTO.Nivel="Nível 4")+32*(ORÇAMENTO.Nivel="Serviço"),2),0,1,2,3,4,"S")</f>
        <v>S</v>
      </c>
      <c r="B99">
        <f ca="1">IF(OR(C99="s",C99=0),OFFSET(B99,-1,0),C99)</f>
        <v>2</v>
      </c>
      <c r="C99" t="str">
        <f ca="1">IF(OFFSET(C99,-1,0)="L",1,IF(OFFSET(C99,-1,0)=1,2,IF(OR(A99="s",A99=0),"S",IF(AND(OFFSET(C99,-1,0)=2,A99=4),3,IF(AND(OR(OFFSET(C99,-1,0)="s",OFFSET(C99,-1,0)=0),A99&lt;&gt;"s",A99&gt;OFFSET(B99,-1,0)),OFFSET(B99,-1,0),A99)))))</f>
        <v>S</v>
      </c>
      <c r="D99">
        <f ca="1">IF(OR(C99="S",C99=0),0,IF(ISERROR(K99),J99,SMALL(J99:K99,1)))</f>
        <v>0</v>
      </c>
      <c r="E99">
        <f ca="1">IF($C99=1,OFFSET(E99,-1,0)+MAX(1,COUNTIF(QCI!$A$13:$A$24,OFFSET(ORÇAMENTO!E99,-1,0))),OFFSET(E99,-1,0))</f>
        <v>1</v>
      </c>
      <c r="F99">
        <f ca="1">IF($C99=1,0,IF($C99=2,OFFSET(F99,-1,0)+1,OFFSET(F99,-1,0)))</f>
        <v>15</v>
      </c>
      <c r="G99">
        <f ca="1">IF(AND($C99&lt;=2,$C99&lt;&gt;0),0,IF($C99=3,OFFSET(G99,-1,0)+1,OFFSET(G99,-1,0)))</f>
        <v>0</v>
      </c>
      <c r="H99">
        <f ca="1">IF(AND($C99&lt;=3,$C99&lt;&gt;0),0,IF($C99=4,OFFSET(H99,-1,0)+1,OFFSET(H99,-1,0)))</f>
        <v>0</v>
      </c>
      <c r="I99">
        <f ca="1">IF(AND($C99&lt;=4,$C99&lt;&gt;0),0,IF(AND($C99="S",$X99&gt;0),OFFSET(I99,-1,0)+1,OFFSET(I99,-1,0)))</f>
        <v>0</v>
      </c>
      <c r="J99">
        <f t="shared" ca="1" si="77"/>
        <v>0</v>
      </c>
      <c r="K99">
        <f ca="1">IF(OR($C99="S",$C99=0),0,MATCH(OFFSET($D99,0,$C99)+IF($C99&lt;&gt;1,1,COUNTIF(QCI!$A$13:$A$24,ORÇAMENTO!E99)),OFFSET($D99,1,$C99,ROW($C$192)-ROW($C99)),0))</f>
        <v>0</v>
      </c>
      <c r="L99" s="143" t="str">
        <f ca="1">IF(OR($X99&gt;0,$C99=1,$C99=2,$C99=3,$C99=4),"F","")</f>
        <v/>
      </c>
      <c r="M99" s="144" t="s">
        <v>199</v>
      </c>
      <c r="N99" s="145" t="str">
        <f ca="1">CHOOSE(1+LOG(1+2*(C99=1)+4*(C99=2)+8*(C99=3)+16*(C99=4)+32*(C99="S"),2),"","Meta","Nível 2","Nível 3","Nível 4","Serviço")</f>
        <v>Serviço</v>
      </c>
      <c r="O99" s="146" t="str">
        <f ca="1">IF(OR($C99=0,$L99=""),"-",CONCATENATE(E99&amp;".",IF(AND($A$5&gt;=2,$C99&gt;=2),F99&amp;".",""),IF(AND($A$5&gt;=3,$C99&gt;=3),G99&amp;".",""),IF(AND($A$5&gt;=4,$C99&gt;=4),H99&amp;".",""),IF($C99="S",I99&amp;".","")))</f>
        <v>-</v>
      </c>
      <c r="P99" s="147" t="s">
        <v>247</v>
      </c>
      <c r="Q99" s="148" t="s">
        <v>558</v>
      </c>
      <c r="R99" s="149" t="s">
        <v>696</v>
      </c>
      <c r="S99" s="150" t="s">
        <v>779</v>
      </c>
      <c r="T99" s="151">
        <f ca="1">OFFSET(CÁLCULO!H$15,ROW($T99)-ROW(T$15),0)</f>
        <v>81.599999999999994</v>
      </c>
      <c r="U99" s="152"/>
      <c r="V99" s="153" t="s">
        <v>156</v>
      </c>
      <c r="W99" s="151">
        <f ca="1">IF($C99="S",ROUND(IF(TIPOORCAMENTO="Proposto",ORÇAMENTO.CustoUnitario*(1+$AH99),ORÇAMENTO.PrecoUnitarioLicitado),15-13*$AF$10),0)</f>
        <v>0</v>
      </c>
      <c r="X99" s="154">
        <f ca="1">IF($C99="S",IF(Import.TipoArredondamento&lt;&gt;"TransfereGOV",VTOTAL1,SUM(OFFSET(CÁLCULO!$AA$15,ROW($X99)-ROW($X$15),1):OFFSET(CÁLCULO!$AL$15,ROW($X99)-ROW($X$15),-1))),IF($C99=0,0,ROUND(SomaAgrup,15-13*$AF$11)))</f>
        <v>0</v>
      </c>
      <c r="Y99" s="155" t="s">
        <v>245</v>
      </c>
      <c r="Z99" t="str">
        <f ca="1">IF(AND($C99="S",$X99&gt;0),IF(ISBLANK($Y99),"RA",LEFT($Y99,2)),"")</f>
        <v/>
      </c>
      <c r="AA99" s="156">
        <f ca="1">IF($C99="S",IF($Z99="CP",$X99,IF($Z99="RA",(($X99)*QCI!$AA$3),0)),SomaAgrup)</f>
        <v>0</v>
      </c>
      <c r="AB99" s="157">
        <f ca="1">IF($C99="S",IF($Z99="OU",ROUND($X99,2),0),SomaAgrup)</f>
        <v>0</v>
      </c>
      <c r="AC99" s="158" t="str">
        <f ca="1">IF($N99="","",IF(ORÇAMENTO.Descricao="","DESCRIÇÃO",IF(AND($C99="S",ORÇAMENTO.Unidade=""),"UNIDADE",IF($X99&lt;0,"VALOR NEGATIVO",IF(OR(AND(TIPOORCAMENTO="Proposto",$AG99&lt;&gt;"",$AG99&gt;0,ORÇAMENTO.CustoUnitario&gt;$AG99),AND(TIPOORCAMENTO="LICITADO",ORÇAMENTO.PrecoUnitarioLicitado&gt;$AN99)),"ACIMA REF.","")))))</f>
        <v/>
      </c>
      <c r="AD99" s="682" t="str">
        <f ca="1">IF(C99&lt;=CRONO.NivelExibicao,MAX($AD$15:OFFSET(AD99,-1,0))+IF($C99&lt;&gt;1,1,MAX(1,COUNTIF(QCI!$A$13:$A$24,OFFSET($E99,-1,0)))),"")</f>
        <v/>
      </c>
      <c r="AE99" s="114" t="str">
        <f ca="1">IF(AND($C99="S",ORÇAMENTO.CodBarra&lt;&gt;""),IF(ORÇAMENTO.Fonte="",ORÇAMENTO.CodBarra,CONCATENATE(ORÇAMENTO.Fonte," ",ORÇAMENTO.CodBarra)))</f>
        <v>SINAPI 98689</v>
      </c>
      <c r="AF99" s="159">
        <f ca="1">IF(ISERROR(INDIRECT(ORÇAMENTO.BancoRef)),"(abra o arquivo 'Referência "&amp;Excel_BuiltIn_Database&amp;".xlsm)",IF(OR($C99&lt;&gt;"S",ORÇAMENTO.CodBarra=""),"(Sem Código)",IF(ISERROR(MATCH($AE99,INDIRECT(ORÇAMENTO.BancoRef),0)),"(Código não identificado nas referências)",MATCH($AE99,INDIRECT(ORÇAMENTO.BancoRef),0))))</f>
        <v>11183</v>
      </c>
      <c r="AG99" s="578">
        <f ca="1">ROUND(IF(DESONERACAO="sim",REFERENCIA.Desonerado,REFERENCIA.NaoDesonerado),2)</f>
        <v>106.13</v>
      </c>
      <c r="AH99" s="579">
        <f ca="1">ROUND(IF(ISNUMBER(ORÇAMENTO.OpcaoBDI),ORÇAMENTO.OpcaoBDI,IF(LEFT(ORÇAMENTO.OpcaoBDI,3)="BDI",HLOOKUP(ORÇAMENTO.OpcaoBDI,$F$4:$H$5,2,FALSE),0)),15-11*$AF$9)</f>
        <v>0.2034</v>
      </c>
      <c r="AJ99" s="581">
        <v>81.599999999999994</v>
      </c>
      <c r="AL99" s="611"/>
      <c r="AM99" s="430">
        <f t="shared" ca="1" si="0"/>
        <v>0</v>
      </c>
      <c r="AN99" s="654">
        <f ca="1">ROUND(ORÇAMENTO.CustoUnitario*(1+$AH99),2)</f>
        <v>0</v>
      </c>
    </row>
    <row r="100" spans="1:40" x14ac:dyDescent="0.2">
      <c r="A100">
        <f t="shared" si="62"/>
        <v>2</v>
      </c>
      <c r="B100">
        <f t="shared" ca="1" si="66"/>
        <v>2</v>
      </c>
      <c r="C100">
        <f t="shared" ca="1" si="67"/>
        <v>2</v>
      </c>
      <c r="D100">
        <f t="shared" ca="1" si="68"/>
        <v>4</v>
      </c>
      <c r="E100">
        <f ca="1">IF($C100=1,OFFSET(E100,-1,0)+MAX(1,COUNTIF(QCI!$A$13:$A$24,OFFSET(ORÇAMENTO!E100,-1,0))),OFFSET(E100,-1,0))</f>
        <v>1</v>
      </c>
      <c r="F100">
        <f t="shared" ca="1" si="69"/>
        <v>16</v>
      </c>
      <c r="G100">
        <f t="shared" ca="1" si="70"/>
        <v>0</v>
      </c>
      <c r="H100">
        <f t="shared" ca="1" si="71"/>
        <v>0</v>
      </c>
      <c r="I100">
        <f t="shared" ca="1" si="72"/>
        <v>0</v>
      </c>
      <c r="J100">
        <f t="shared" ca="1" si="77"/>
        <v>92</v>
      </c>
      <c r="K100">
        <f ca="1">IF(OR($C100="S",$C100=0),0,MATCH(OFFSET($D100,0,$C100)+IF($C100&lt;&gt;1,1,COUNTIF(QCI!$A$13:$A$24,ORÇAMENTO!E100)),OFFSET($D100,1,$C100,ROW($C$192)-ROW($C100)),0))</f>
        <v>4</v>
      </c>
      <c r="L100" s="143" t="str">
        <f t="shared" ca="1" si="73"/>
        <v>F</v>
      </c>
      <c r="M100" s="144" t="s">
        <v>196</v>
      </c>
      <c r="N100" s="145" t="str">
        <f t="shared" ca="1" si="74"/>
        <v>Nível 2</v>
      </c>
      <c r="O100" s="146" t="str">
        <f t="shared" ca="1" si="75"/>
        <v>1.16.</v>
      </c>
      <c r="P100" s="147" t="s">
        <v>247</v>
      </c>
      <c r="Q100" s="148"/>
      <c r="R100" s="149" t="s">
        <v>481</v>
      </c>
      <c r="S100" s="150" t="s">
        <v>166</v>
      </c>
      <c r="T100" s="151">
        <f ca="1">OFFSET(CÁLCULO!H$15,ROW($T100)-ROW(T$15),0)</f>
        <v>0</v>
      </c>
      <c r="U100" s="152"/>
      <c r="V100" s="153" t="s">
        <v>156</v>
      </c>
      <c r="W100" s="151">
        <f ca="1">IF($C100="S",ROUND(IF(TIPOORCAMENTO="Proposto",ORÇAMENTO.CustoUnitario*(1+$AH100),ORÇAMENTO.PrecoUnitarioLicitado),15-13*$AF$10),0)</f>
        <v>0</v>
      </c>
      <c r="X100" s="154">
        <f ca="1">IF($C100="S",IF(Import.TipoArredondamento&lt;&gt;"TransfereGOV",VTOTAL1,SUM(OFFSET(CÁLCULO!$AA$15,ROW($X100)-ROW($X$15),1):OFFSET(CÁLCULO!$AL$15,ROW($X100)-ROW($X$15),-1))),IF($C100=0,0,ROUND(SomaAgrup,15-13*$AF$11)))</f>
        <v>0</v>
      </c>
      <c r="Y100" s="155" t="s">
        <v>245</v>
      </c>
      <c r="Z100" t="str">
        <f t="shared" ca="1" si="76"/>
        <v/>
      </c>
      <c r="AA100" s="156">
        <f ca="1">IF($C100="S",IF($Z100="CP",$X100,IF($Z100="RA",(($X100)*QCI!$AA$3),0)),SomaAgrup)</f>
        <v>0</v>
      </c>
      <c r="AB100" s="157">
        <f t="shared" ca="1" si="63"/>
        <v>0</v>
      </c>
      <c r="AC100" s="158" t="str">
        <f ca="1">IF($N100="","",IF(ORÇAMENTO.Descricao="","DESCRIÇÃO",IF(AND($C100="S",ORÇAMENTO.Unidade=""),"UNIDADE",IF($X100&lt;0,"VALOR NEGATIVO",IF(OR(AND(TIPOORCAMENTO="Proposto",$AG100&lt;&gt;"",$AG100&gt;0,ORÇAMENTO.CustoUnitario&gt;$AG100),AND(TIPOORCAMENTO="LICITADO",ORÇAMENTO.PrecoUnitarioLicitado&gt;$AN100)),"ACIMA REF.","")))))</f>
        <v/>
      </c>
      <c r="AD100" s="667">
        <f ca="1">IF(C100&lt;=CRONO.NivelExibicao,MAX($AD$15:OFFSET(AD100,-1,0))+IF($C100&lt;&gt;1,1,MAX(1,COUNTIF(QCI!$A$13:$A$24,OFFSET($E100,-1,0)))),"")</f>
        <v>17</v>
      </c>
      <c r="AE100" s="114" t="b">
        <f ca="1">IF(AND($C100="S",ORÇAMENTO.CodBarra&lt;&gt;""),IF(ORÇAMENTO.Fonte="",ORÇAMENTO.CodBarra,CONCATENATE(ORÇAMENTO.Fonte," ",ORÇAMENTO.CodBarra)))</f>
        <v>0</v>
      </c>
      <c r="AF100" s="159" t="str">
        <f ca="1">IF(ISERROR(INDIRECT(ORÇAMENTO.BancoRef)),"(abra o arquivo 'Referência "&amp;Excel_BuiltIn_Database&amp;".xlsm)",IF(OR($C100&lt;&gt;"S",ORÇAMENTO.CodBarra=""),"(Sem Código)",IF(ISERROR(MATCH($AE100,INDIRECT(ORÇAMENTO.BancoRef),0)),"(Código não identificado nas referências)",MATCH($AE100,INDIRECT(ORÇAMENTO.BancoRef),0))))</f>
        <v>(Sem Código)</v>
      </c>
      <c r="AG100" s="578">
        <f ca="1">ROUND(IF(DESONERACAO="sim",REFERENCIA.Desonerado,REFERENCIA.NaoDesonerado),2)</f>
        <v>0</v>
      </c>
      <c r="AH100" s="579">
        <f t="shared" ca="1" si="64"/>
        <v>0.2034</v>
      </c>
      <c r="AJ100" s="581"/>
      <c r="AL100" s="611"/>
      <c r="AM100" s="430">
        <f t="shared" ca="1" si="0"/>
        <v>0</v>
      </c>
      <c r="AN100" s="654">
        <f t="shared" ca="1" si="65"/>
        <v>0</v>
      </c>
    </row>
    <row r="101" spans="1:40" ht="25.5" x14ac:dyDescent="0.2">
      <c r="A101" t="str">
        <f t="shared" ref="A101:A149" si="78">CHOOSE(1+LOG(1+2*(ORÇAMENTO.Nivel="Meta")+4*(ORÇAMENTO.Nivel="Nível 2")+8*(ORÇAMENTO.Nivel="Nível 3")+16*(ORÇAMENTO.Nivel="Nível 4")+32*(ORÇAMENTO.Nivel="Serviço"),2),0,1,2,3,4,"S")</f>
        <v>S</v>
      </c>
      <c r="B101">
        <f t="shared" ref="B101:B117" ca="1" si="79">IF(OR(C101="s",C101=0),OFFSET(B101,-1,0),C101)</f>
        <v>2</v>
      </c>
      <c r="C101" t="str">
        <f t="shared" ref="C101:C117" ca="1" si="80">IF(OFFSET(C101,-1,0)="L",1,IF(OFFSET(C101,-1,0)=1,2,IF(OR(A101="s",A101=0),"S",IF(AND(OFFSET(C101,-1,0)=2,A101=4),3,IF(AND(OR(OFFSET(C101,-1,0)="s",OFFSET(C101,-1,0)=0),A101&lt;&gt;"s",A101&gt;OFFSET(B101,-1,0)),OFFSET(B101,-1,0),A101)))))</f>
        <v>S</v>
      </c>
      <c r="D101">
        <f t="shared" ref="D101:D117" ca="1" si="81">IF(OR(C101="S",C101=0),0,IF(ISERROR(K101),J101,SMALL(J101:K101,1)))</f>
        <v>0</v>
      </c>
      <c r="E101">
        <f ca="1">IF($C101=1,OFFSET(E101,-1,0)+MAX(1,COUNTIF(QCI!$A$13:$A$24,OFFSET(ORÇAMENTO!E101,-1,0))),OFFSET(E101,-1,0))</f>
        <v>1</v>
      </c>
      <c r="F101">
        <f t="shared" ref="F101:F117" ca="1" si="82">IF($C101=1,0,IF($C101=2,OFFSET(F101,-1,0)+1,OFFSET(F101,-1,0)))</f>
        <v>16</v>
      </c>
      <c r="G101">
        <f t="shared" ref="G101:G117" ca="1" si="83">IF(AND($C101&lt;=2,$C101&lt;&gt;0),0,IF($C101=3,OFFSET(G101,-1,0)+1,OFFSET(G101,-1,0)))</f>
        <v>0</v>
      </c>
      <c r="H101">
        <f t="shared" ref="H101:H117" ca="1" si="84">IF(AND($C101&lt;=3,$C101&lt;&gt;0),0,IF($C101=4,OFFSET(H101,-1,0)+1,OFFSET(H101,-1,0)))</f>
        <v>0</v>
      </c>
      <c r="I101">
        <f t="shared" ref="I101:I117" ca="1" si="85">IF(AND($C101&lt;=4,$C101&lt;&gt;0),0,IF(AND($C101="S",$X101&gt;0),OFFSET(I101,-1,0)+1,OFFSET(I101,-1,0)))</f>
        <v>0</v>
      </c>
      <c r="J101">
        <f t="shared" ca="1" si="77"/>
        <v>0</v>
      </c>
      <c r="K101">
        <f ca="1">IF(OR($C101="S",$C101=0),0,MATCH(OFFSET($D101,0,$C101)+IF($C101&lt;&gt;1,1,COUNTIF(QCI!$A$13:$A$24,ORÇAMENTO!E101)),OFFSET($D101,1,$C101,ROW($C$192)-ROW($C101)),0))</f>
        <v>0</v>
      </c>
      <c r="L101" s="143" t="str">
        <f t="shared" ref="L101:L117" ca="1" si="86">IF(OR($X101&gt;0,$C101=1,$C101=2,$C101=3,$C101=4),"F","")</f>
        <v/>
      </c>
      <c r="M101" s="144" t="s">
        <v>199</v>
      </c>
      <c r="N101" s="145" t="str">
        <f t="shared" ref="N101:N117" ca="1" si="87">CHOOSE(1+LOG(1+2*(C101=1)+4*(C101=2)+8*(C101=3)+16*(C101=4)+32*(C101="S"),2),"","Meta","Nível 2","Nível 3","Nível 4","Serviço")</f>
        <v>Serviço</v>
      </c>
      <c r="O101" s="146" t="str">
        <f t="shared" ref="O101:O117" ca="1" si="88">IF(OR($C101=0,$L101=""),"-",CONCATENATE(E101&amp;".",IF(AND($A$5&gt;=2,$C101&gt;=2),F101&amp;".",""),IF(AND($A$5&gt;=3,$C101&gt;=3),G101&amp;".",""),IF(AND($A$5&gt;=4,$C101&gt;=4),H101&amp;".",""),IF($C101="S",I101&amp;".","")))</f>
        <v>-</v>
      </c>
      <c r="P101" s="147" t="s">
        <v>247</v>
      </c>
      <c r="Q101" s="148" t="s">
        <v>482</v>
      </c>
      <c r="R101" s="149" t="s">
        <v>697</v>
      </c>
      <c r="S101" s="150" t="s">
        <v>777</v>
      </c>
      <c r="T101" s="151">
        <f ca="1">OFFSET(CÁLCULO!H$15,ROW($T101)-ROW(T$15),0)</f>
        <v>1736</v>
      </c>
      <c r="U101" s="152"/>
      <c r="V101" s="153" t="s">
        <v>156</v>
      </c>
      <c r="W101" s="151">
        <f ca="1">IF($C101="S",ROUND(IF(TIPOORCAMENTO="Proposto",ORÇAMENTO.CustoUnitario*(1+$AH101),ORÇAMENTO.PrecoUnitarioLicitado),15-13*$AF$10),0)</f>
        <v>0</v>
      </c>
      <c r="X101" s="154">
        <f ca="1">IF($C101="S",IF(Import.TipoArredondamento&lt;&gt;"TransfereGOV",VTOTAL1,SUM(OFFSET(CÁLCULO!$AA$15,ROW($X101)-ROW($X$15),1):OFFSET(CÁLCULO!$AL$15,ROW($X101)-ROW($X$15),-1))),IF($C101=0,0,ROUND(SomaAgrup,15-13*$AF$11)))</f>
        <v>0</v>
      </c>
      <c r="Y101" s="155" t="s">
        <v>245</v>
      </c>
      <c r="Z101" t="str">
        <f t="shared" ref="Z101:Z117" ca="1" si="89">IF(AND($C101="S",$X101&gt;0),IF(ISBLANK($Y101),"RA",LEFT($Y101,2)),"")</f>
        <v/>
      </c>
      <c r="AA101" s="156">
        <f ca="1">IF($C101="S",IF($Z101="CP",$X101,IF($Z101="RA",(($X101)*QCI!$AA$3),0)),SomaAgrup)</f>
        <v>0</v>
      </c>
      <c r="AB101" s="157">
        <f t="shared" ref="AB101:AB149" ca="1" si="90">IF($C101="S",IF($Z101="OU",ROUND($X101,2),0),SomaAgrup)</f>
        <v>0</v>
      </c>
      <c r="AC101" s="158" t="str">
        <f ca="1">IF($N101="","",IF(ORÇAMENTO.Descricao="","DESCRIÇÃO",IF(AND($C101="S",ORÇAMENTO.Unidade=""),"UNIDADE",IF($X101&lt;0,"VALOR NEGATIVO",IF(OR(AND(TIPOORCAMENTO="Proposto",$AG101&lt;&gt;"",$AG101&gt;0,ORÇAMENTO.CustoUnitario&gt;$AG101),AND(TIPOORCAMENTO="LICITADO",ORÇAMENTO.PrecoUnitarioLicitado&gt;$AN101)),"ACIMA REF.","")))))</f>
        <v/>
      </c>
      <c r="AD101" s="668" t="str">
        <f ca="1">IF(C101&lt;=CRONO.NivelExibicao,MAX($AD$15:OFFSET(AD101,-1,0))+IF($C101&lt;&gt;1,1,MAX(1,COUNTIF(QCI!$A$13:$A$24,OFFSET($E101,-1,0)))),"")</f>
        <v/>
      </c>
      <c r="AE101" s="114" t="str">
        <f ca="1">IF(AND($C101="S",ORÇAMENTO.CodBarra&lt;&gt;""),IF(ORÇAMENTO.Fonte="",ORÇAMENTO.CodBarra,CONCATENATE(ORÇAMENTO.Fonte," ",ORÇAMENTO.CodBarra)))</f>
        <v>SINAPI 88489</v>
      </c>
      <c r="AF101" s="159">
        <f ca="1">IF(ISERROR(INDIRECT(ORÇAMENTO.BancoRef)),"(abra o arquivo 'Referência "&amp;Excel_BuiltIn_Database&amp;".xlsm)",IF(OR($C101&lt;&gt;"S",ORÇAMENTO.CodBarra=""),"(Sem Código)",IF(ISERROR(MATCH($AE101,INDIRECT(ORÇAMENTO.BancoRef),0)),"(Código não identificado nas referências)",MATCH($AE101,INDIRECT(ORÇAMENTO.BancoRef),0))))</f>
        <v>11022</v>
      </c>
      <c r="AG101" s="578">
        <f ca="1">ROUND(IF(DESONERACAO="sim",REFERENCIA.Desonerado,REFERENCIA.NaoDesonerado),2)</f>
        <v>13.65</v>
      </c>
      <c r="AH101" s="579">
        <f t="shared" ref="AH101:AH149" ca="1" si="91">ROUND(IF(ISNUMBER(ORÇAMENTO.OpcaoBDI),ORÇAMENTO.OpcaoBDI,IF(LEFT(ORÇAMENTO.OpcaoBDI,3)="BDI",HLOOKUP(ORÇAMENTO.OpcaoBDI,$F$4:$H$5,2,FALSE),0)),15-11*$AF$9)</f>
        <v>0.2034</v>
      </c>
      <c r="AJ101" s="581">
        <f>AJ62+(AJ64*2)</f>
        <v>1736</v>
      </c>
      <c r="AL101" s="611"/>
      <c r="AM101" s="430">
        <f t="shared" ca="1" si="0"/>
        <v>0</v>
      </c>
      <c r="AN101" s="654">
        <f t="shared" ref="AN101:AN149" ca="1" si="92">ROUND(ORÇAMENTO.CustoUnitario*(1+$AH101),2)</f>
        <v>0</v>
      </c>
    </row>
    <row r="102" spans="1:40" ht="25.5" x14ac:dyDescent="0.2">
      <c r="A102" t="str">
        <f t="shared" si="78"/>
        <v>S</v>
      </c>
      <c r="B102">
        <f t="shared" ca="1" si="79"/>
        <v>2</v>
      </c>
      <c r="C102" t="str">
        <f t="shared" ca="1" si="80"/>
        <v>S</v>
      </c>
      <c r="D102">
        <f t="shared" ca="1" si="81"/>
        <v>0</v>
      </c>
      <c r="E102">
        <f ca="1">IF($C102=1,OFFSET(E102,-1,0)+MAX(1,COUNTIF(QCI!$A$13:$A$24,OFFSET(ORÇAMENTO!E102,-1,0))),OFFSET(E102,-1,0))</f>
        <v>1</v>
      </c>
      <c r="F102">
        <f t="shared" ca="1" si="82"/>
        <v>16</v>
      </c>
      <c r="G102">
        <f t="shared" ca="1" si="83"/>
        <v>0</v>
      </c>
      <c r="H102">
        <f t="shared" ca="1" si="84"/>
        <v>0</v>
      </c>
      <c r="I102">
        <f t="shared" ca="1" si="85"/>
        <v>0</v>
      </c>
      <c r="J102">
        <f t="shared" ca="1" si="77"/>
        <v>0</v>
      </c>
      <c r="K102">
        <f ca="1">IF(OR($C102="S",$C102=0),0,MATCH(OFFSET($D102,0,$C102)+IF($C102&lt;&gt;1,1,COUNTIF(QCI!$A$13:$A$24,ORÇAMENTO!E102)),OFFSET($D102,1,$C102,ROW($C$192)-ROW($C102)),0))</f>
        <v>0</v>
      </c>
      <c r="L102" s="143" t="str">
        <f t="shared" ca="1" si="86"/>
        <v/>
      </c>
      <c r="M102" s="144" t="s">
        <v>199</v>
      </c>
      <c r="N102" s="145" t="str">
        <f t="shared" ca="1" si="87"/>
        <v>Serviço</v>
      </c>
      <c r="O102" s="146" t="str">
        <f t="shared" ca="1" si="88"/>
        <v>-</v>
      </c>
      <c r="P102" s="147" t="s">
        <v>247</v>
      </c>
      <c r="Q102" s="148" t="s">
        <v>483</v>
      </c>
      <c r="R102" s="149" t="s">
        <v>698</v>
      </c>
      <c r="S102" s="150" t="s">
        <v>777</v>
      </c>
      <c r="T102" s="151">
        <f ca="1">OFFSET(CÁLCULO!H$15,ROW($T102)-ROW(T$15),0)</f>
        <v>1736</v>
      </c>
      <c r="U102" s="152"/>
      <c r="V102" s="153" t="s">
        <v>156</v>
      </c>
      <c r="W102" s="151">
        <f ca="1">IF($C102="S",ROUND(IF(TIPOORCAMENTO="Proposto",ORÇAMENTO.CustoUnitario*(1+$AH102),ORÇAMENTO.PrecoUnitarioLicitado),15-13*$AF$10),0)</f>
        <v>0</v>
      </c>
      <c r="X102" s="154">
        <f ca="1">IF($C102="S",IF(Import.TipoArredondamento&lt;&gt;"TransfereGOV",VTOTAL1,SUM(OFFSET(CÁLCULO!$AA$15,ROW($X102)-ROW($X$15),1):OFFSET(CÁLCULO!$AL$15,ROW($X102)-ROW($X$15),-1))),IF($C102=0,0,ROUND(SomaAgrup,15-13*$AF$11)))</f>
        <v>0</v>
      </c>
      <c r="Y102" s="155" t="s">
        <v>245</v>
      </c>
      <c r="Z102" t="str">
        <f t="shared" ca="1" si="89"/>
        <v/>
      </c>
      <c r="AA102" s="156">
        <f ca="1">IF($C102="S",IF($Z102="CP",$X102,IF($Z102="RA",(($X102)*QCI!$AA$3),0)),SomaAgrup)</f>
        <v>0</v>
      </c>
      <c r="AB102" s="157">
        <f t="shared" ca="1" si="90"/>
        <v>0</v>
      </c>
      <c r="AC102" s="158" t="str">
        <f ca="1">IF($N102="","",IF(ORÇAMENTO.Descricao="","DESCRIÇÃO",IF(AND($C102="S",ORÇAMENTO.Unidade=""),"UNIDADE",IF($X102&lt;0,"VALOR NEGATIVO",IF(OR(AND(TIPOORCAMENTO="Proposto",$AG102&lt;&gt;"",$AG102&gt;0,ORÇAMENTO.CustoUnitario&gt;$AG102),AND(TIPOORCAMENTO="LICITADO",ORÇAMENTO.PrecoUnitarioLicitado&gt;$AN102)),"ACIMA REF.","")))))</f>
        <v/>
      </c>
      <c r="AD102" s="668" t="str">
        <f ca="1">IF(C102&lt;=CRONO.NivelExibicao,MAX($AD$15:OFFSET(AD102,-1,0))+IF($C102&lt;&gt;1,1,MAX(1,COUNTIF(QCI!$A$13:$A$24,OFFSET($E102,-1,0)))),"")</f>
        <v/>
      </c>
      <c r="AE102" s="114" t="str">
        <f ca="1">IF(AND($C102="S",ORÇAMENTO.CodBarra&lt;&gt;""),IF(ORÇAMENTO.Fonte="",ORÇAMENTO.CodBarra,CONCATENATE(ORÇAMENTO.Fonte," ",ORÇAMENTO.CodBarra)))</f>
        <v>SINAPI 88415</v>
      </c>
      <c r="AF102" s="159">
        <f ca="1">IF(ISERROR(INDIRECT(ORÇAMENTO.BancoRef)),"(abra o arquivo 'Referência "&amp;Excel_BuiltIn_Database&amp;".xlsm)",IF(OR($C102&lt;&gt;"S",ORÇAMENTO.CodBarra=""),"(Sem Código)",IF(ISERROR(MATCH($AE102,INDIRECT(ORÇAMENTO.BancoRef),0)),"(Código não identificado nas referências)",MATCH($AE102,INDIRECT(ORÇAMENTO.BancoRef),0))))</f>
        <v>11007</v>
      </c>
      <c r="AG102" s="578">
        <f ca="1">ROUND(IF(DESONERACAO="sim",REFERENCIA.Desonerado,REFERENCIA.NaoDesonerado),2)</f>
        <v>4.0999999999999996</v>
      </c>
      <c r="AH102" s="579">
        <f t="shared" ca="1" si="91"/>
        <v>0.2034</v>
      </c>
      <c r="AJ102" s="581">
        <f>AJ62+(AJ64*2)</f>
        <v>1736</v>
      </c>
      <c r="AL102" s="611"/>
      <c r="AM102" s="430">
        <f t="shared" ref="AM102:AM191" ca="1" si="93">$X102</f>
        <v>0</v>
      </c>
      <c r="AN102" s="654">
        <f t="shared" ca="1" si="92"/>
        <v>0</v>
      </c>
    </row>
    <row r="103" spans="1:40" ht="25.5" x14ac:dyDescent="0.2">
      <c r="A103" t="str">
        <f>CHOOSE(1+LOG(1+2*(ORÇAMENTO.Nivel="Meta")+4*(ORÇAMENTO.Nivel="Nível 2")+8*(ORÇAMENTO.Nivel="Nível 3")+16*(ORÇAMENTO.Nivel="Nível 4")+32*(ORÇAMENTO.Nivel="Serviço"),2),0,1,2,3,4,"S")</f>
        <v>S</v>
      </c>
      <c r="B103">
        <f ca="1">IF(OR(C103="s",C103=0),OFFSET(B103,-1,0),C103)</f>
        <v>2</v>
      </c>
      <c r="C103" t="str">
        <f ca="1">IF(OFFSET(C103,-1,0)="L",1,IF(OFFSET(C103,-1,0)=1,2,IF(OR(A103="s",A103=0),"S",IF(AND(OFFSET(C103,-1,0)=2,A103=4),3,IF(AND(OR(OFFSET(C103,-1,0)="s",OFFSET(C103,-1,0)=0),A103&lt;&gt;"s",A103&gt;OFFSET(B103,-1,0)),OFFSET(B103,-1,0),A103)))))</f>
        <v>S</v>
      </c>
      <c r="D103">
        <f ca="1">IF(OR(C103="S",C103=0),0,IF(ISERROR(K103),J103,SMALL(J103:K103,1)))</f>
        <v>0</v>
      </c>
      <c r="E103">
        <f ca="1">IF($C103=1,OFFSET(E103,-1,0)+MAX(1,COUNTIF(QCI!$A$13:$A$24,OFFSET(ORÇAMENTO!E103,-1,0))),OFFSET(E103,-1,0))</f>
        <v>1</v>
      </c>
      <c r="F103">
        <f ca="1">IF($C103=1,0,IF($C103=2,OFFSET(F103,-1,0)+1,OFFSET(F103,-1,0)))</f>
        <v>16</v>
      </c>
      <c r="G103">
        <f ca="1">IF(AND($C103&lt;=2,$C103&lt;&gt;0),0,IF($C103=3,OFFSET(G103,-1,0)+1,OFFSET(G103,-1,0)))</f>
        <v>0</v>
      </c>
      <c r="H103">
        <f ca="1">IF(AND($C103&lt;=3,$C103&lt;&gt;0),0,IF($C103=4,OFFSET(H103,-1,0)+1,OFFSET(H103,-1,0)))</f>
        <v>0</v>
      </c>
      <c r="I103">
        <f ca="1">IF(AND($C103&lt;=4,$C103&lt;&gt;0),0,IF(AND($C103="S",$X103&gt;0),OFFSET(I103,-1,0)+1,OFFSET(I103,-1,0)))</f>
        <v>0</v>
      </c>
      <c r="J103">
        <f t="shared" ca="1" si="77"/>
        <v>0</v>
      </c>
      <c r="K103">
        <f ca="1">IF(OR($C103="S",$C103=0),0,MATCH(OFFSET($D103,0,$C103)+IF($C103&lt;&gt;1,1,COUNTIF(QCI!$A$13:$A$24,ORÇAMENTO!E103)),OFFSET($D103,1,$C103,ROW($C$192)-ROW($C103)),0))</f>
        <v>0</v>
      </c>
      <c r="L103" s="143" t="str">
        <f ca="1">IF(OR($X103&gt;0,$C103=1,$C103=2,$C103=3,$C103=4),"F","")</f>
        <v/>
      </c>
      <c r="M103" s="144" t="s">
        <v>199</v>
      </c>
      <c r="N103" s="145" t="str">
        <f ca="1">CHOOSE(1+LOG(1+2*(C103=1)+4*(C103=2)+8*(C103=3)+16*(C103=4)+32*(C103="S"),2),"","Meta","Nível 2","Nível 3","Nível 4","Serviço")</f>
        <v>Serviço</v>
      </c>
      <c r="O103" s="146" t="str">
        <f ca="1">IF(OR($C103=0,$L103=""),"-",CONCATENATE(E103&amp;".",IF(AND($A$5&gt;=2,$C103&gt;=2),F103&amp;".",""),IF(AND($A$5&gt;=3,$C103&gt;=3),G103&amp;".",""),IF(AND($A$5&gt;=4,$C103&gt;=4),H103&amp;".",""),IF($C103="S",I103&amp;".","")))</f>
        <v>-</v>
      </c>
      <c r="P103" s="147" t="s">
        <v>247</v>
      </c>
      <c r="Q103" s="148" t="s">
        <v>507</v>
      </c>
      <c r="R103" s="149" t="s">
        <v>699</v>
      </c>
      <c r="S103" s="150" t="s">
        <v>777</v>
      </c>
      <c r="T103" s="151">
        <f ca="1">OFFSET(CÁLCULO!H$15,ROW($T103)-ROW(T$15),0)</f>
        <v>46.38</v>
      </c>
      <c r="U103" s="152"/>
      <c r="V103" s="153" t="s">
        <v>156</v>
      </c>
      <c r="W103" s="151">
        <f ca="1">IF($C103="S",ROUND(IF(TIPOORCAMENTO="Proposto",ORÇAMENTO.CustoUnitario*(1+$AH103),ORÇAMENTO.PrecoUnitarioLicitado),15-13*$AF$10),0)</f>
        <v>0</v>
      </c>
      <c r="X103" s="154">
        <f ca="1">IF($C103="S",IF(Import.TipoArredondamento&lt;&gt;"TransfereGOV",VTOTAL1,SUM(OFFSET(CÁLCULO!$AA$15,ROW($X103)-ROW($X$15),1):OFFSET(CÁLCULO!$AL$15,ROW($X103)-ROW($X$15),-1))),IF($C103=0,0,ROUND(SomaAgrup,15-13*$AF$11)))</f>
        <v>0</v>
      </c>
      <c r="Y103" s="155" t="s">
        <v>245</v>
      </c>
      <c r="Z103" t="str">
        <f ca="1">IF(AND($C103="S",$X103&gt;0),IF(ISBLANK($Y103),"RA",LEFT($Y103,2)),"")</f>
        <v/>
      </c>
      <c r="AA103" s="156">
        <f ca="1">IF($C103="S",IF($Z103="CP",$X103,IF($Z103="RA",(($X103)*QCI!$AA$3),0)),SomaAgrup)</f>
        <v>0</v>
      </c>
      <c r="AB103" s="157">
        <f ca="1">IF($C103="S",IF($Z103="OU",ROUND($X103,2),0),SomaAgrup)</f>
        <v>0</v>
      </c>
      <c r="AC103" s="158" t="str">
        <f ca="1">IF($N103="","",IF(ORÇAMENTO.Descricao="","DESCRIÇÃO",IF(AND($C103="S",ORÇAMENTO.Unidade=""),"UNIDADE",IF($X103&lt;0,"VALOR NEGATIVO",IF(OR(AND(TIPOORCAMENTO="Proposto",$AG103&lt;&gt;"",$AG103&gt;0,ORÇAMENTO.CustoUnitario&gt;$AG103),AND(TIPOORCAMENTO="LICITADO",ORÇAMENTO.PrecoUnitarioLicitado&gt;$AN103)),"ACIMA REF.","")))))</f>
        <v/>
      </c>
      <c r="AD103" s="669" t="str">
        <f ca="1">IF(C103&lt;=CRONO.NivelExibicao,MAX($AD$15:OFFSET(AD103,-1,0))+IF($C103&lt;&gt;1,1,MAX(1,COUNTIF(QCI!$A$13:$A$24,OFFSET($E103,-1,0)))),"")</f>
        <v/>
      </c>
      <c r="AE103" s="114" t="str">
        <f ca="1">IF(AND($C103="S",ORÇAMENTO.CodBarra&lt;&gt;""),IF(ORÇAMENTO.Fonte="",ORÇAMENTO.CodBarra,CONCATENATE(ORÇAMENTO.Fonte," ",ORÇAMENTO.CodBarra)))</f>
        <v>SINAPI 102218</v>
      </c>
      <c r="AF103" s="159">
        <f ca="1">IF(ISERROR(INDIRECT(ORÇAMENTO.BancoRef)),"(abra o arquivo 'Referência "&amp;Excel_BuiltIn_Database&amp;".xlsm)",IF(OR($C103&lt;&gt;"S",ORÇAMENTO.CodBarra=""),"(Sem Código)",IF(ISERROR(MATCH($AE103,INDIRECT(ORÇAMENTO.BancoRef),0)),"(Código não identificado nas referências)",MATCH($AE103,INDIRECT(ORÇAMENTO.BancoRef),0))))</f>
        <v>11065</v>
      </c>
      <c r="AG103" s="578">
        <f ca="1">ROUND(IF(DESONERACAO="sim",REFERENCIA.Desonerado,REFERENCIA.NaoDesonerado),2)</f>
        <v>16.32</v>
      </c>
      <c r="AH103" s="579">
        <f ca="1">ROUND(IF(ISNUMBER(ORÇAMENTO.OpcaoBDI),ORÇAMENTO.OpcaoBDI,IF(LEFT(ORÇAMENTO.OpcaoBDI,3)="BDI",HLOOKUP(ORÇAMENTO.OpcaoBDI,$F$4:$H$5,2,FALSE),0)),15-11*$AF$9)</f>
        <v>0.2034</v>
      </c>
      <c r="AJ103" s="581">
        <f>(0.9*2*2.1*10)+(2.1*0.2*20)+(0.9*0.2)</f>
        <v>46.38</v>
      </c>
      <c r="AL103" s="611"/>
      <c r="AM103" s="430">
        <f t="shared" ca="1" si="0"/>
        <v>0</v>
      </c>
      <c r="AN103" s="654">
        <f ca="1">ROUND(ORÇAMENTO.CustoUnitario*(1+$AH103),2)</f>
        <v>0</v>
      </c>
    </row>
    <row r="104" spans="1:40" x14ac:dyDescent="0.2">
      <c r="A104">
        <f t="shared" si="78"/>
        <v>2</v>
      </c>
      <c r="B104">
        <f t="shared" ca="1" si="79"/>
        <v>2</v>
      </c>
      <c r="C104">
        <f t="shared" ca="1" si="80"/>
        <v>2</v>
      </c>
      <c r="D104">
        <f t="shared" ca="1" si="81"/>
        <v>4</v>
      </c>
      <c r="E104">
        <f ca="1">IF($C104=1,OFFSET(E104,-1,0)+MAX(1,COUNTIF(QCI!$A$13:$A$24,OFFSET(ORÇAMENTO!E104,-1,0))),OFFSET(E104,-1,0))</f>
        <v>1</v>
      </c>
      <c r="F104">
        <f t="shared" ca="1" si="82"/>
        <v>17</v>
      </c>
      <c r="G104">
        <f t="shared" ca="1" si="83"/>
        <v>0</v>
      </c>
      <c r="H104">
        <f t="shared" ca="1" si="84"/>
        <v>0</v>
      </c>
      <c r="I104">
        <f t="shared" ca="1" si="85"/>
        <v>0</v>
      </c>
      <c r="J104">
        <f t="shared" ca="1" si="77"/>
        <v>88</v>
      </c>
      <c r="K104">
        <f ca="1">IF(OR($C104="S",$C104=0),0,MATCH(OFFSET($D104,0,$C104)+IF($C104&lt;&gt;1,1,COUNTIF(QCI!$A$13:$A$24,ORÇAMENTO!E104)),OFFSET($D104,1,$C104,ROW($C$192)-ROW($C104)),0))</f>
        <v>4</v>
      </c>
      <c r="L104" s="143" t="str">
        <f t="shared" ca="1" si="86"/>
        <v>F</v>
      </c>
      <c r="M104" s="144" t="s">
        <v>196</v>
      </c>
      <c r="N104" s="145" t="str">
        <f t="shared" ca="1" si="87"/>
        <v>Nível 2</v>
      </c>
      <c r="O104" s="146" t="str">
        <f t="shared" ca="1" si="88"/>
        <v>1.17.</v>
      </c>
      <c r="P104" s="147" t="s">
        <v>247</v>
      </c>
      <c r="Q104" s="148"/>
      <c r="R104" s="149" t="s">
        <v>512</v>
      </c>
      <c r="S104" s="150" t="s">
        <v>166</v>
      </c>
      <c r="T104" s="151">
        <f ca="1">OFFSET(CÁLCULO!H$15,ROW($T104)-ROW(T$15),0)</f>
        <v>0</v>
      </c>
      <c r="U104" s="152"/>
      <c r="V104" s="153" t="s">
        <v>156</v>
      </c>
      <c r="W104" s="151">
        <f ca="1">IF($C104="S",ROUND(IF(TIPOORCAMENTO="Proposto",ORÇAMENTO.CustoUnitario*(1+$AH104),ORÇAMENTO.PrecoUnitarioLicitado),15-13*$AF$10),0)</f>
        <v>0</v>
      </c>
      <c r="X104" s="154">
        <f ca="1">IF($C104="S",IF(Import.TipoArredondamento&lt;&gt;"TransfereGOV",VTOTAL1,SUM(OFFSET(CÁLCULO!$AA$15,ROW($X104)-ROW($X$15),1):OFFSET(CÁLCULO!$AL$15,ROW($X104)-ROW($X$15),-1))),IF($C104=0,0,ROUND(SomaAgrup,15-13*$AF$11)))</f>
        <v>0</v>
      </c>
      <c r="Y104" s="155" t="s">
        <v>245</v>
      </c>
      <c r="Z104" t="str">
        <f t="shared" ca="1" si="89"/>
        <v/>
      </c>
      <c r="AA104" s="156">
        <f ca="1">IF($C104="S",IF($Z104="CP",$X104,IF($Z104="RA",(($X104)*QCI!$AA$3),0)),SomaAgrup)</f>
        <v>0</v>
      </c>
      <c r="AB104" s="157">
        <f t="shared" ca="1" si="90"/>
        <v>0</v>
      </c>
      <c r="AC104" s="158" t="str">
        <f ca="1">IF($N104="","",IF(ORÇAMENTO.Descricao="","DESCRIÇÃO",IF(AND($C104="S",ORÇAMENTO.Unidade=""),"UNIDADE",IF($X104&lt;0,"VALOR NEGATIVO",IF(OR(AND(TIPOORCAMENTO="Proposto",$AG104&lt;&gt;"",$AG104&gt;0,ORÇAMENTO.CustoUnitario&gt;$AG104),AND(TIPOORCAMENTO="LICITADO",ORÇAMENTO.PrecoUnitarioLicitado&gt;$AN104)),"ACIMA REF.","")))))</f>
        <v/>
      </c>
      <c r="AD104" s="668">
        <f ca="1">IF(C104&lt;=CRONO.NivelExibicao,MAX($AD$15:OFFSET(AD104,-1,0))+IF($C104&lt;&gt;1,1,MAX(1,COUNTIF(QCI!$A$13:$A$24,OFFSET($E104,-1,0)))),"")</f>
        <v>18</v>
      </c>
      <c r="AE104" s="114" t="b">
        <f ca="1">IF(AND($C104="S",ORÇAMENTO.CodBarra&lt;&gt;""),IF(ORÇAMENTO.Fonte="",ORÇAMENTO.CodBarra,CONCATENATE(ORÇAMENTO.Fonte," ",ORÇAMENTO.CodBarra)))</f>
        <v>0</v>
      </c>
      <c r="AF104" s="159" t="str">
        <f ca="1">IF(ISERROR(INDIRECT(ORÇAMENTO.BancoRef)),"(abra o arquivo 'Referência "&amp;Excel_BuiltIn_Database&amp;".xlsm)",IF(OR($C104&lt;&gt;"S",ORÇAMENTO.CodBarra=""),"(Sem Código)",IF(ISERROR(MATCH($AE104,INDIRECT(ORÇAMENTO.BancoRef),0)),"(Código não identificado nas referências)",MATCH($AE104,INDIRECT(ORÇAMENTO.BancoRef),0))))</f>
        <v>(Sem Código)</v>
      </c>
      <c r="AG104" s="578">
        <f ca="1">ROUND(IF(DESONERACAO="sim",REFERENCIA.Desonerado,REFERENCIA.NaoDesonerado),2)</f>
        <v>0</v>
      </c>
      <c r="AH104" s="579">
        <f t="shared" ca="1" si="91"/>
        <v>0.2034</v>
      </c>
      <c r="AJ104" s="581"/>
      <c r="AL104" s="611"/>
      <c r="AM104" s="430">
        <f t="shared" ca="1" si="93"/>
        <v>0</v>
      </c>
      <c r="AN104" s="654">
        <f t="shared" ca="1" si="92"/>
        <v>0</v>
      </c>
    </row>
    <row r="105" spans="1:40" ht="25.5" x14ac:dyDescent="0.2">
      <c r="A105" t="str">
        <f t="shared" si="78"/>
        <v>S</v>
      </c>
      <c r="B105">
        <f t="shared" ca="1" si="79"/>
        <v>2</v>
      </c>
      <c r="C105" t="str">
        <f t="shared" ca="1" si="80"/>
        <v>S</v>
      </c>
      <c r="D105">
        <f t="shared" ca="1" si="81"/>
        <v>0</v>
      </c>
      <c r="E105">
        <f ca="1">IF($C105=1,OFFSET(E105,-1,0)+MAX(1,COUNTIF(QCI!$A$13:$A$24,OFFSET(ORÇAMENTO!E105,-1,0))),OFFSET(E105,-1,0))</f>
        <v>1</v>
      </c>
      <c r="F105">
        <f t="shared" ca="1" si="82"/>
        <v>17</v>
      </c>
      <c r="G105">
        <f t="shared" ca="1" si="83"/>
        <v>0</v>
      </c>
      <c r="H105">
        <f t="shared" ca="1" si="84"/>
        <v>0</v>
      </c>
      <c r="I105">
        <f t="shared" ca="1" si="85"/>
        <v>0</v>
      </c>
      <c r="J105">
        <f t="shared" ca="1" si="77"/>
        <v>0</v>
      </c>
      <c r="K105">
        <f ca="1">IF(OR($C105="S",$C105=0),0,MATCH(OFFSET($D105,0,$C105)+IF($C105&lt;&gt;1,1,COUNTIF(QCI!$A$13:$A$24,ORÇAMENTO!E105)),OFFSET($D105,1,$C105,ROW($C$192)-ROW($C105)),0))</f>
        <v>0</v>
      </c>
      <c r="L105" s="143" t="str">
        <f t="shared" ca="1" si="86"/>
        <v/>
      </c>
      <c r="M105" s="144" t="s">
        <v>199</v>
      </c>
      <c r="N105" s="145" t="str">
        <f t="shared" ca="1" si="87"/>
        <v>Serviço</v>
      </c>
      <c r="O105" s="146" t="str">
        <f t="shared" ca="1" si="88"/>
        <v>-</v>
      </c>
      <c r="P105" s="147" t="s">
        <v>247</v>
      </c>
      <c r="Q105" s="148" t="s">
        <v>517</v>
      </c>
      <c r="R105" s="149" t="s">
        <v>700</v>
      </c>
      <c r="S105" s="150" t="s">
        <v>778</v>
      </c>
      <c r="T105" s="151">
        <f ca="1">OFFSET(CÁLCULO!H$15,ROW($T105)-ROW(T$15),0)</f>
        <v>6</v>
      </c>
      <c r="U105" s="152"/>
      <c r="V105" s="153" t="s">
        <v>156</v>
      </c>
      <c r="W105" s="151">
        <f ca="1">IF($C105="S",ROUND(IF(TIPOORCAMENTO="Proposto",ORÇAMENTO.CustoUnitario*(1+$AH105),ORÇAMENTO.PrecoUnitarioLicitado),15-13*$AF$10),0)</f>
        <v>0</v>
      </c>
      <c r="X105" s="154">
        <f ca="1">IF($C105="S",IF(Import.TipoArredondamento&lt;&gt;"TransfereGOV",VTOTAL1,SUM(OFFSET(CÁLCULO!$AA$15,ROW($X105)-ROW($X$15),1):OFFSET(CÁLCULO!$AL$15,ROW($X105)-ROW($X$15),-1))),IF($C105=0,0,ROUND(SomaAgrup,15-13*$AF$11)))</f>
        <v>0</v>
      </c>
      <c r="Y105" s="155" t="s">
        <v>245</v>
      </c>
      <c r="Z105" t="str">
        <f t="shared" ca="1" si="89"/>
        <v/>
      </c>
      <c r="AA105" s="156">
        <f ca="1">IF($C105="S",IF($Z105="CP",$X105,IF($Z105="RA",(($X105)*QCI!$AA$3),0)),SomaAgrup)</f>
        <v>0</v>
      </c>
      <c r="AB105" s="157">
        <f t="shared" ca="1" si="90"/>
        <v>0</v>
      </c>
      <c r="AC105" s="158" t="str">
        <f ca="1">IF($N105="","",IF(ORÇAMENTO.Descricao="","DESCRIÇÃO",IF(AND($C105="S",ORÇAMENTO.Unidade=""),"UNIDADE",IF($X105&lt;0,"VALOR NEGATIVO",IF(OR(AND(TIPOORCAMENTO="Proposto",$AG105&lt;&gt;"",$AG105&gt;0,ORÇAMENTO.CustoUnitario&gt;$AG105),AND(TIPOORCAMENTO="LICITADO",ORÇAMENTO.PrecoUnitarioLicitado&gt;$AN105)),"ACIMA REF.","")))))</f>
        <v/>
      </c>
      <c r="AD105" s="668" t="str">
        <f ca="1">IF(C105&lt;=CRONO.NivelExibicao,MAX($AD$15:OFFSET(AD105,-1,0))+IF($C105&lt;&gt;1,1,MAX(1,COUNTIF(QCI!$A$13:$A$24,OFFSET($E105,-1,0)))),"")</f>
        <v/>
      </c>
      <c r="AE105" s="114" t="str">
        <f ca="1">IF(AND($C105="S",ORÇAMENTO.CodBarra&lt;&gt;""),IF(ORÇAMENTO.Fonte="",ORÇAMENTO.CodBarra,CONCATENATE(ORÇAMENTO.Fonte," ",ORÇAMENTO.CodBarra)))</f>
        <v>SINAPI 101908</v>
      </c>
      <c r="AF105" s="159">
        <f ca="1">IF(ISERROR(INDIRECT(ORÇAMENTO.BancoRef)),"(abra o arquivo 'Referência "&amp;Excel_BuiltIn_Database&amp;".xlsm)",IF(OR($C105&lt;&gt;"S",ORÇAMENTO.CodBarra=""),"(Sem Código)",IF(ISERROR(MATCH($AE105,INDIRECT(ORÇAMENTO.BancoRef),0)),"(Código não identificado nas referências)",MATCH($AE105,INDIRECT(ORÇAMENTO.BancoRef),0))))</f>
        <v>8306</v>
      </c>
      <c r="AG105" s="578">
        <f ca="1">ROUND(IF(DESONERACAO="sim",REFERENCIA.Desonerado,REFERENCIA.NaoDesonerado),2)</f>
        <v>220.93</v>
      </c>
      <c r="AH105" s="579">
        <f t="shared" ca="1" si="91"/>
        <v>0.2034</v>
      </c>
      <c r="AJ105" s="581">
        <v>6</v>
      </c>
      <c r="AL105" s="611"/>
      <c r="AM105" s="430">
        <f t="shared" ca="1" si="93"/>
        <v>0</v>
      </c>
      <c r="AN105" s="654">
        <f t="shared" ca="1" si="92"/>
        <v>0</v>
      </c>
    </row>
    <row r="106" spans="1:40" ht="25.5" x14ac:dyDescent="0.2">
      <c r="A106" t="str">
        <f t="shared" si="78"/>
        <v>S</v>
      </c>
      <c r="B106">
        <f t="shared" ca="1" si="79"/>
        <v>2</v>
      </c>
      <c r="C106" t="str">
        <f t="shared" ca="1" si="80"/>
        <v>S</v>
      </c>
      <c r="D106">
        <f t="shared" ca="1" si="81"/>
        <v>0</v>
      </c>
      <c r="E106">
        <f ca="1">IF($C106=1,OFFSET(E106,-1,0)+MAX(1,COUNTIF(QCI!$A$13:$A$24,OFFSET(ORÇAMENTO!E106,-1,0))),OFFSET(E106,-1,0))</f>
        <v>1</v>
      </c>
      <c r="F106">
        <f t="shared" ca="1" si="82"/>
        <v>17</v>
      </c>
      <c r="G106">
        <f t="shared" ca="1" si="83"/>
        <v>0</v>
      </c>
      <c r="H106">
        <f t="shared" ca="1" si="84"/>
        <v>0</v>
      </c>
      <c r="I106">
        <f t="shared" ca="1" si="85"/>
        <v>0</v>
      </c>
      <c r="J106">
        <f t="shared" ca="1" si="77"/>
        <v>0</v>
      </c>
      <c r="K106">
        <f ca="1">IF(OR($C106="S",$C106=0),0,MATCH(OFFSET($D106,0,$C106)+IF($C106&lt;&gt;1,1,COUNTIF(QCI!$A$13:$A$24,ORÇAMENTO!E106)),OFFSET($D106,1,$C106,ROW($C$192)-ROW($C106)),0))</f>
        <v>0</v>
      </c>
      <c r="L106" s="143" t="str">
        <f t="shared" ca="1" si="86"/>
        <v/>
      </c>
      <c r="M106" s="144" t="s">
        <v>199</v>
      </c>
      <c r="N106" s="145" t="str">
        <f t="shared" ca="1" si="87"/>
        <v>Serviço</v>
      </c>
      <c r="O106" s="146" t="str">
        <f t="shared" ca="1" si="88"/>
        <v>-</v>
      </c>
      <c r="P106" s="147" t="s">
        <v>247</v>
      </c>
      <c r="Q106" s="148" t="s">
        <v>518</v>
      </c>
      <c r="R106" s="149" t="s">
        <v>701</v>
      </c>
      <c r="S106" s="150" t="s">
        <v>778</v>
      </c>
      <c r="T106" s="151">
        <f ca="1">OFFSET(CÁLCULO!H$15,ROW($T106)-ROW(T$15),0)</f>
        <v>11</v>
      </c>
      <c r="U106" s="152"/>
      <c r="V106" s="153" t="s">
        <v>156</v>
      </c>
      <c r="W106" s="151">
        <f ca="1">IF($C106="S",ROUND(IF(TIPOORCAMENTO="Proposto",ORÇAMENTO.CustoUnitario*(1+$AH106),ORÇAMENTO.PrecoUnitarioLicitado),15-13*$AF$10),0)</f>
        <v>0</v>
      </c>
      <c r="X106" s="154">
        <f ca="1">IF($C106="S",IF(Import.TipoArredondamento&lt;&gt;"TransfereGOV",VTOTAL1,SUM(OFFSET(CÁLCULO!$AA$15,ROW($X106)-ROW($X$15),1):OFFSET(CÁLCULO!$AL$15,ROW($X106)-ROW($X$15),-1))),IF($C106=0,0,ROUND(SomaAgrup,15-13*$AF$11)))</f>
        <v>0</v>
      </c>
      <c r="Y106" s="155" t="s">
        <v>245</v>
      </c>
      <c r="Z106" t="str">
        <f t="shared" ca="1" si="89"/>
        <v/>
      </c>
      <c r="AA106" s="156">
        <f ca="1">IF($C106="S",IF($Z106="CP",$X106,IF($Z106="RA",(($X106)*QCI!$AA$3),0)),SomaAgrup)</f>
        <v>0</v>
      </c>
      <c r="AB106" s="157">
        <f t="shared" ca="1" si="90"/>
        <v>0</v>
      </c>
      <c r="AC106" s="158" t="str">
        <f ca="1">IF($N106="","",IF(ORÇAMENTO.Descricao="","DESCRIÇÃO",IF(AND($C106="S",ORÇAMENTO.Unidade=""),"UNIDADE",IF($X106&lt;0,"VALOR NEGATIVO",IF(OR(AND(TIPOORCAMENTO="Proposto",$AG106&lt;&gt;"",$AG106&gt;0,ORÇAMENTO.CustoUnitario&gt;$AG106),AND(TIPOORCAMENTO="LICITADO",ORÇAMENTO.PrecoUnitarioLicitado&gt;$AN106)),"ACIMA REF.","")))))</f>
        <v/>
      </c>
      <c r="AD106" s="668" t="str">
        <f ca="1">IF(C106&lt;=CRONO.NivelExibicao,MAX($AD$15:OFFSET(AD106,-1,0))+IF($C106&lt;&gt;1,1,MAX(1,COUNTIF(QCI!$A$13:$A$24,OFFSET($E106,-1,0)))),"")</f>
        <v/>
      </c>
      <c r="AE106" s="114" t="str">
        <f ca="1">IF(AND($C106="S",ORÇAMENTO.CodBarra&lt;&gt;""),IF(ORÇAMENTO.Fonte="",ORÇAMENTO.CodBarra,CONCATENATE(ORÇAMENTO.Fonte," ",ORÇAMENTO.CodBarra)))</f>
        <v>SINAPI 97599</v>
      </c>
      <c r="AF106" s="159">
        <f ca="1">IF(ISERROR(INDIRECT(ORÇAMENTO.BancoRef)),"(abra o arquivo 'Referência "&amp;Excel_BuiltIn_Database&amp;".xlsm)",IF(OR($C106&lt;&gt;"S",ORÇAMENTO.CodBarra=""),"(Sem Código)",IF(ISERROR(MATCH($AE106,INDIRECT(ORÇAMENTO.BancoRef),0)),"(Código não identificado nas referências)",MATCH($AE106,INDIRECT(ORÇAMENTO.BancoRef),0))))</f>
        <v>8104</v>
      </c>
      <c r="AG106" s="578">
        <f ca="1">ROUND(IF(DESONERACAO="sim",REFERENCIA.Desonerado,REFERENCIA.NaoDesonerado),2)</f>
        <v>19.8</v>
      </c>
      <c r="AH106" s="579">
        <f t="shared" ca="1" si="91"/>
        <v>0.2034</v>
      </c>
      <c r="AJ106" s="581">
        <v>11</v>
      </c>
      <c r="AL106" s="611"/>
      <c r="AM106" s="430">
        <f t="shared" ca="1" si="93"/>
        <v>0</v>
      </c>
      <c r="AN106" s="654">
        <f t="shared" ca="1" si="92"/>
        <v>0</v>
      </c>
    </row>
    <row r="107" spans="1:40" ht="51" x14ac:dyDescent="0.2">
      <c r="A107" t="str">
        <f t="shared" si="78"/>
        <v>S</v>
      </c>
      <c r="B107">
        <f t="shared" ca="1" si="79"/>
        <v>2</v>
      </c>
      <c r="C107" t="str">
        <f t="shared" ca="1" si="80"/>
        <v>S</v>
      </c>
      <c r="D107">
        <f t="shared" ca="1" si="81"/>
        <v>0</v>
      </c>
      <c r="E107">
        <f ca="1">IF($C107=1,OFFSET(E107,-1,0)+MAX(1,COUNTIF(QCI!$A$13:$A$24,OFFSET(ORÇAMENTO!E107,-1,0))),OFFSET(E107,-1,0))</f>
        <v>1</v>
      </c>
      <c r="F107">
        <f t="shared" ca="1" si="82"/>
        <v>17</v>
      </c>
      <c r="G107">
        <f t="shared" ca="1" si="83"/>
        <v>0</v>
      </c>
      <c r="H107">
        <f t="shared" ca="1" si="84"/>
        <v>0</v>
      </c>
      <c r="I107">
        <f t="shared" ca="1" si="85"/>
        <v>0</v>
      </c>
      <c r="J107">
        <f t="shared" ca="1" si="77"/>
        <v>0</v>
      </c>
      <c r="K107">
        <f ca="1">IF(OR($C107="S",$C107=0),0,MATCH(OFFSET($D107,0,$C107)+IF($C107&lt;&gt;1,1,COUNTIF(QCI!$A$13:$A$24,ORÇAMENTO!E107)),OFFSET($D107,1,$C107,ROW($C$192)-ROW($C107)),0))</f>
        <v>0</v>
      </c>
      <c r="L107" s="143" t="str">
        <f t="shared" ca="1" si="86"/>
        <v/>
      </c>
      <c r="M107" s="144" t="s">
        <v>199</v>
      </c>
      <c r="N107" s="145" t="str">
        <f t="shared" ca="1" si="87"/>
        <v>Serviço</v>
      </c>
      <c r="O107" s="146" t="str">
        <f t="shared" ca="1" si="88"/>
        <v>-</v>
      </c>
      <c r="P107" s="147" t="s">
        <v>453</v>
      </c>
      <c r="Q107" s="148" t="s">
        <v>519</v>
      </c>
      <c r="R107" s="149" t="s">
        <v>702</v>
      </c>
      <c r="S107" s="150" t="s">
        <v>785</v>
      </c>
      <c r="T107" s="151">
        <f ca="1">OFFSET(CÁLCULO!H$15,ROW($T107)-ROW(T$15),0)</f>
        <v>5</v>
      </c>
      <c r="U107" s="152"/>
      <c r="V107" s="153" t="s">
        <v>156</v>
      </c>
      <c r="W107" s="151">
        <f ca="1">IF($C107="S",ROUND(IF(TIPOORCAMENTO="Proposto",ORÇAMENTO.CustoUnitario*(1+$AH107),ORÇAMENTO.PrecoUnitarioLicitado),15-13*$AF$10),0)</f>
        <v>0</v>
      </c>
      <c r="X107" s="154">
        <f ca="1">IF($C107="S",IF(Import.TipoArredondamento&lt;&gt;"TransfereGOV",VTOTAL1,SUM(OFFSET(CÁLCULO!$AA$15,ROW($X107)-ROW($X$15),1):OFFSET(CÁLCULO!$AL$15,ROW($X107)-ROW($X$15),-1))),IF($C107=0,0,ROUND(SomaAgrup,15-13*$AF$11)))</f>
        <v>0</v>
      </c>
      <c r="Y107" s="155" t="s">
        <v>245</v>
      </c>
      <c r="Z107" t="str">
        <f t="shared" ca="1" si="89"/>
        <v/>
      </c>
      <c r="AA107" s="156">
        <f ca="1">IF($C107="S",IF($Z107="CP",$X107,IF($Z107="RA",(($X107)*QCI!$AA$3),0)),SomaAgrup)</f>
        <v>0</v>
      </c>
      <c r="AB107" s="157">
        <f t="shared" ca="1" si="90"/>
        <v>0</v>
      </c>
      <c r="AC107" s="158" t="str">
        <f ca="1">IF($N107="","",IF(ORÇAMENTO.Descricao="","DESCRIÇÃO",IF(AND($C107="S",ORÇAMENTO.Unidade=""),"UNIDADE",IF($X107&lt;0,"VALOR NEGATIVO",IF(OR(AND(TIPOORCAMENTO="Proposto",$AG107&lt;&gt;"",$AG107&gt;0,ORÇAMENTO.CustoUnitario&gt;$AG107),AND(TIPOORCAMENTO="LICITADO",ORÇAMENTO.PrecoUnitarioLicitado&gt;$AN107)),"ACIMA REF.","")))))</f>
        <v/>
      </c>
      <c r="AD107" s="668" t="str">
        <f ca="1">IF(C107&lt;=CRONO.NivelExibicao,MAX($AD$15:OFFSET(AD107,-1,0))+IF($C107&lt;&gt;1,1,MAX(1,COUNTIF(QCI!$A$13:$A$24,OFFSET($E107,-1,0)))),"")</f>
        <v/>
      </c>
      <c r="AE107" s="114" t="str">
        <f ca="1">IF(AND($C107="S",ORÇAMENTO.CodBarra&lt;&gt;""),IF(ORÇAMENTO.Fonte="",ORÇAMENTO.CodBarra,CONCATENATE(ORÇAMENTO.Fonte," ",ORÇAMENTO.CodBarra)))</f>
        <v>SINAPI-I 37560</v>
      </c>
      <c r="AF107" s="159">
        <f ca="1">IF(ISERROR(INDIRECT(ORÇAMENTO.BancoRef)),"(abra o arquivo 'Referência "&amp;Excel_BuiltIn_Database&amp;".xlsm)",IF(OR($C107&lt;&gt;"S",ORÇAMENTO.CodBarra=""),"(Sem Código)",IF(ISERROR(MATCH($AE107,INDIRECT(ORÇAMENTO.BancoRef),0)),"(Código não identificado nas referências)",MATCH($AE107,INDIRECT(ORÇAMENTO.BancoRef),0))))</f>
        <v>3381</v>
      </c>
      <c r="AG107" s="578">
        <f ca="1">ROUND(IF(DESONERACAO="sim",REFERENCIA.Desonerado,REFERENCIA.NaoDesonerado),2)</f>
        <v>23.62</v>
      </c>
      <c r="AH107" s="579">
        <f t="shared" ca="1" si="91"/>
        <v>0.2034</v>
      </c>
      <c r="AJ107" s="581">
        <v>5</v>
      </c>
      <c r="AL107" s="611"/>
      <c r="AM107" s="430">
        <f t="shared" ca="1" si="93"/>
        <v>0</v>
      </c>
      <c r="AN107" s="654">
        <f t="shared" ca="1" si="92"/>
        <v>0</v>
      </c>
    </row>
    <row r="108" spans="1:40" x14ac:dyDescent="0.2">
      <c r="A108">
        <f t="shared" si="78"/>
        <v>2</v>
      </c>
      <c r="B108">
        <f t="shared" ca="1" si="79"/>
        <v>2</v>
      </c>
      <c r="C108">
        <f t="shared" ca="1" si="80"/>
        <v>2</v>
      </c>
      <c r="D108">
        <f t="shared" ca="1" si="81"/>
        <v>41</v>
      </c>
      <c r="E108">
        <f ca="1">IF($C108=1,OFFSET(E108,-1,0)+MAX(1,COUNTIF(QCI!$A$13:$A$24,OFFSET(ORÇAMENTO!E108,-1,0))),OFFSET(E108,-1,0))</f>
        <v>1</v>
      </c>
      <c r="F108">
        <f t="shared" ca="1" si="82"/>
        <v>18</v>
      </c>
      <c r="G108">
        <f t="shared" ca="1" si="83"/>
        <v>0</v>
      </c>
      <c r="H108">
        <f t="shared" ca="1" si="84"/>
        <v>0</v>
      </c>
      <c r="I108">
        <f t="shared" ca="1" si="85"/>
        <v>0</v>
      </c>
      <c r="J108">
        <f t="shared" ca="1" si="77"/>
        <v>84</v>
      </c>
      <c r="K108">
        <f ca="1">IF(OR($C108="S",$C108=0),0,MATCH(OFFSET($D108,0,$C108)+IF($C108&lt;&gt;1,1,COUNTIF(QCI!$A$13:$A$24,ORÇAMENTO!E108)),OFFSET($D108,1,$C108,ROW($C$192)-ROW($C108)),0))</f>
        <v>41</v>
      </c>
      <c r="L108" s="143" t="str">
        <f t="shared" ca="1" si="86"/>
        <v>F</v>
      </c>
      <c r="M108" s="144" t="s">
        <v>196</v>
      </c>
      <c r="N108" s="145" t="str">
        <f t="shared" ca="1" si="87"/>
        <v>Nível 2</v>
      </c>
      <c r="O108" s="146" t="str">
        <f t="shared" ca="1" si="88"/>
        <v>1.18.</v>
      </c>
      <c r="P108" s="147" t="s">
        <v>247</v>
      </c>
      <c r="Q108" s="148"/>
      <c r="R108" s="149" t="s">
        <v>513</v>
      </c>
      <c r="S108" s="150" t="s">
        <v>166</v>
      </c>
      <c r="T108" s="151">
        <f ca="1">OFFSET(CÁLCULO!H$15,ROW($T108)-ROW(T$15),0)</f>
        <v>0</v>
      </c>
      <c r="U108" s="152"/>
      <c r="V108" s="153" t="s">
        <v>156</v>
      </c>
      <c r="W108" s="151">
        <f ca="1">IF($C108="S",ROUND(IF(TIPOORCAMENTO="Proposto",ORÇAMENTO.CustoUnitario*(1+$AH108),ORÇAMENTO.PrecoUnitarioLicitado),15-13*$AF$10),0)</f>
        <v>0</v>
      </c>
      <c r="X108" s="154">
        <f ca="1">IF($C108="S",IF(Import.TipoArredondamento&lt;&gt;"TransfereGOV",VTOTAL1,SUM(OFFSET(CÁLCULO!$AA$15,ROW($X108)-ROW($X$15),1):OFFSET(CÁLCULO!$AL$15,ROW($X108)-ROW($X$15),-1))),IF($C108=0,0,ROUND(SomaAgrup,15-13*$AF$11)))</f>
        <v>0</v>
      </c>
      <c r="Y108" s="155" t="s">
        <v>245</v>
      </c>
      <c r="Z108" t="str">
        <f t="shared" ca="1" si="89"/>
        <v/>
      </c>
      <c r="AA108" s="156">
        <f ca="1">IF($C108="S",IF($Z108="CP",$X108,IF($Z108="RA",(($X108)*QCI!$AA$3),0)),SomaAgrup)</f>
        <v>0</v>
      </c>
      <c r="AB108" s="157">
        <f t="shared" ca="1" si="90"/>
        <v>0</v>
      </c>
      <c r="AC108" s="158" t="str">
        <f ca="1">IF($N108="","",IF(ORÇAMENTO.Descricao="","DESCRIÇÃO",IF(AND($C108="S",ORÇAMENTO.Unidade=""),"UNIDADE",IF($X108&lt;0,"VALOR NEGATIVO",IF(OR(AND(TIPOORCAMENTO="Proposto",$AG108&lt;&gt;"",$AG108&gt;0,ORÇAMENTO.CustoUnitario&gt;$AG108),AND(TIPOORCAMENTO="LICITADO",ORÇAMENTO.PrecoUnitarioLicitado&gt;$AN108)),"ACIMA REF.","")))))</f>
        <v/>
      </c>
      <c r="AD108" s="668">
        <f ca="1">IF(C108&lt;=CRONO.NivelExibicao,MAX($AD$15:OFFSET(AD108,-1,0))+IF($C108&lt;&gt;1,1,MAX(1,COUNTIF(QCI!$A$13:$A$24,OFFSET($E108,-1,0)))),"")</f>
        <v>19</v>
      </c>
      <c r="AE108" s="114" t="b">
        <f ca="1">IF(AND($C108="S",ORÇAMENTO.CodBarra&lt;&gt;""),IF(ORÇAMENTO.Fonte="",ORÇAMENTO.CodBarra,CONCATENATE(ORÇAMENTO.Fonte," ",ORÇAMENTO.CodBarra)))</f>
        <v>0</v>
      </c>
      <c r="AF108" s="159" t="str">
        <f ca="1">IF(ISERROR(INDIRECT(ORÇAMENTO.BancoRef)),"(abra o arquivo 'Referência "&amp;Excel_BuiltIn_Database&amp;".xlsm)",IF(OR($C108&lt;&gt;"S",ORÇAMENTO.CodBarra=""),"(Sem Código)",IF(ISERROR(MATCH($AE108,INDIRECT(ORÇAMENTO.BancoRef),0)),"(Código não identificado nas referências)",MATCH($AE108,INDIRECT(ORÇAMENTO.BancoRef),0))))</f>
        <v>(Sem Código)</v>
      </c>
      <c r="AG108" s="578">
        <f ca="1">ROUND(IF(DESONERACAO="sim",REFERENCIA.Desonerado,REFERENCIA.NaoDesonerado),2)</f>
        <v>0</v>
      </c>
      <c r="AH108" s="579">
        <f t="shared" ca="1" si="91"/>
        <v>0.2034</v>
      </c>
      <c r="AJ108" s="581"/>
      <c r="AL108" s="611"/>
      <c r="AM108" s="430">
        <f t="shared" ca="1" si="93"/>
        <v>0</v>
      </c>
      <c r="AN108" s="654">
        <f t="shared" ca="1" si="92"/>
        <v>0</v>
      </c>
    </row>
    <row r="109" spans="1:40" ht="38.25" x14ac:dyDescent="0.2">
      <c r="A109" t="str">
        <f t="shared" si="78"/>
        <v>S</v>
      </c>
      <c r="B109">
        <f t="shared" ca="1" si="79"/>
        <v>2</v>
      </c>
      <c r="C109" t="str">
        <f t="shared" ca="1" si="80"/>
        <v>S</v>
      </c>
      <c r="D109">
        <f t="shared" ca="1" si="81"/>
        <v>0</v>
      </c>
      <c r="E109">
        <f ca="1">IF($C109=1,OFFSET(E109,-1,0)+MAX(1,COUNTIF(QCI!$A$13:$A$24,OFFSET(ORÇAMENTO!E109,-1,0))),OFFSET(E109,-1,0))</f>
        <v>1</v>
      </c>
      <c r="F109">
        <f t="shared" ca="1" si="82"/>
        <v>18</v>
      </c>
      <c r="G109">
        <f t="shared" ca="1" si="83"/>
        <v>0</v>
      </c>
      <c r="H109">
        <f t="shared" ca="1" si="84"/>
        <v>0</v>
      </c>
      <c r="I109">
        <f t="shared" ca="1" si="85"/>
        <v>0</v>
      </c>
      <c r="J109">
        <f t="shared" ca="1" si="77"/>
        <v>0</v>
      </c>
      <c r="K109">
        <f ca="1">IF(OR($C109="S",$C109=0),0,MATCH(OFFSET($D109,0,$C109)+IF($C109&lt;&gt;1,1,COUNTIF(QCI!$A$13:$A$24,ORÇAMENTO!E109)),OFFSET($D109,1,$C109,ROW($C$192)-ROW($C109)),0))</f>
        <v>0</v>
      </c>
      <c r="L109" s="143" t="str">
        <f t="shared" ca="1" si="86"/>
        <v/>
      </c>
      <c r="M109" s="144" t="s">
        <v>199</v>
      </c>
      <c r="N109" s="145" t="str">
        <f t="shared" ca="1" si="87"/>
        <v>Serviço</v>
      </c>
      <c r="O109" s="146" t="str">
        <f t="shared" ca="1" si="88"/>
        <v>-</v>
      </c>
      <c r="P109" s="147" t="s">
        <v>247</v>
      </c>
      <c r="Q109" s="148" t="s">
        <v>580</v>
      </c>
      <c r="R109" s="149" t="s">
        <v>703</v>
      </c>
      <c r="S109" s="150" t="s">
        <v>779</v>
      </c>
      <c r="T109" s="151">
        <f ca="1">OFFSET(CÁLCULO!H$15,ROW($T109)-ROW(T$15),0)</f>
        <v>341.2</v>
      </c>
      <c r="U109" s="152"/>
      <c r="V109" s="153" t="s">
        <v>156</v>
      </c>
      <c r="W109" s="151">
        <f ca="1">IF($C109="S",ROUND(IF(TIPOORCAMENTO="Proposto",ORÇAMENTO.CustoUnitario*(1+$AH109),ORÇAMENTO.PrecoUnitarioLicitado),15-13*$AF$10),0)</f>
        <v>0</v>
      </c>
      <c r="X109" s="154">
        <f ca="1">IF($C109="S",IF(Import.TipoArredondamento&lt;&gt;"TransfereGOV",VTOTAL1,SUM(OFFSET(CÁLCULO!$AA$15,ROW($X109)-ROW($X$15),1):OFFSET(CÁLCULO!$AL$15,ROW($X109)-ROW($X$15),-1))),IF($C109=0,0,ROUND(SomaAgrup,15-13*$AF$11)))</f>
        <v>0</v>
      </c>
      <c r="Y109" s="155" t="s">
        <v>245</v>
      </c>
      <c r="Z109" t="str">
        <f t="shared" ca="1" si="89"/>
        <v/>
      </c>
      <c r="AA109" s="156">
        <f ca="1">IF($C109="S",IF($Z109="CP",$X109,IF($Z109="RA",(($X109)*QCI!$AA$3),0)),SomaAgrup)</f>
        <v>0</v>
      </c>
      <c r="AB109" s="157">
        <f t="shared" ca="1" si="90"/>
        <v>0</v>
      </c>
      <c r="AC109" s="158" t="str">
        <f ca="1">IF($N109="","",IF(ORÇAMENTO.Descricao="","DESCRIÇÃO",IF(AND($C109="S",ORÇAMENTO.Unidade=""),"UNIDADE",IF($X109&lt;0,"VALOR NEGATIVO",IF(OR(AND(TIPOORCAMENTO="Proposto",$AG109&lt;&gt;"",$AG109&gt;0,ORÇAMENTO.CustoUnitario&gt;$AG109),AND(TIPOORCAMENTO="LICITADO",ORÇAMENTO.PrecoUnitarioLicitado&gt;$AN109)),"ACIMA REF.","")))))</f>
        <v/>
      </c>
      <c r="AD109" s="668" t="str">
        <f ca="1">IF(C109&lt;=CRONO.NivelExibicao,MAX($AD$15:OFFSET(AD109,-1,0))+IF($C109&lt;&gt;1,1,MAX(1,COUNTIF(QCI!$A$13:$A$24,OFFSET($E109,-1,0)))),"")</f>
        <v/>
      </c>
      <c r="AE109" s="114" t="str">
        <f ca="1">IF(AND($C109="S",ORÇAMENTO.CodBarra&lt;&gt;""),IF(ORÇAMENTO.Fonte="",ORÇAMENTO.CodBarra,CONCATENATE(ORÇAMENTO.Fonte," ",ORÇAMENTO.CodBarra)))</f>
        <v>SINAPI 91925</v>
      </c>
      <c r="AF109" s="159">
        <f ca="1">IF(ISERROR(INDIRECT(ORÇAMENTO.BancoRef)),"(abra o arquivo 'Referência "&amp;Excel_BuiltIn_Database&amp;".xlsm)",IF(OR($C109&lt;&gt;"S",ORÇAMENTO.CodBarra=""),"(Sem Código)",IF(ISERROR(MATCH($AE109,INDIRECT(ORÇAMENTO.BancoRef),0)),"(Código não identificado nas referências)",MATCH($AE109,INDIRECT(ORÇAMENTO.BancoRef),0))))</f>
        <v>7856</v>
      </c>
      <c r="AG109" s="578">
        <f ca="1">ROUND(IF(DESONERACAO="sim",REFERENCIA.Desonerado,REFERENCIA.NaoDesonerado),2)</f>
        <v>3.49</v>
      </c>
      <c r="AH109" s="579">
        <f t="shared" ca="1" si="91"/>
        <v>0.2034</v>
      </c>
      <c r="AJ109" s="581">
        <v>341.2</v>
      </c>
      <c r="AL109" s="611"/>
      <c r="AM109" s="430">
        <f t="shared" ca="1" si="93"/>
        <v>0</v>
      </c>
      <c r="AN109" s="654">
        <f t="shared" ca="1" si="92"/>
        <v>0</v>
      </c>
    </row>
    <row r="110" spans="1:40" ht="38.25" x14ac:dyDescent="0.2">
      <c r="A110" t="str">
        <f t="shared" si="78"/>
        <v>S</v>
      </c>
      <c r="B110">
        <f t="shared" ca="1" si="79"/>
        <v>2</v>
      </c>
      <c r="C110" t="str">
        <f t="shared" ca="1" si="80"/>
        <v>S</v>
      </c>
      <c r="D110">
        <f t="shared" ca="1" si="81"/>
        <v>0</v>
      </c>
      <c r="E110">
        <f ca="1">IF($C110=1,OFFSET(E110,-1,0)+MAX(1,COUNTIF(QCI!$A$13:$A$24,OFFSET(ORÇAMENTO!E110,-1,0))),OFFSET(E110,-1,0))</f>
        <v>1</v>
      </c>
      <c r="F110">
        <f t="shared" ca="1" si="82"/>
        <v>18</v>
      </c>
      <c r="G110">
        <f t="shared" ca="1" si="83"/>
        <v>0</v>
      </c>
      <c r="H110">
        <f t="shared" ca="1" si="84"/>
        <v>0</v>
      </c>
      <c r="I110">
        <f t="shared" ca="1" si="85"/>
        <v>0</v>
      </c>
      <c r="J110">
        <f t="shared" ca="1" si="77"/>
        <v>0</v>
      </c>
      <c r="K110">
        <f ca="1">IF(OR($C110="S",$C110=0),0,MATCH(OFFSET($D110,0,$C110)+IF($C110&lt;&gt;1,1,COUNTIF(QCI!$A$13:$A$24,ORÇAMENTO!E110)),OFFSET($D110,1,$C110,ROW($C$192)-ROW($C110)),0))</f>
        <v>0</v>
      </c>
      <c r="L110" s="143" t="str">
        <f t="shared" ca="1" si="86"/>
        <v/>
      </c>
      <c r="M110" s="144" t="s">
        <v>199</v>
      </c>
      <c r="N110" s="145" t="str">
        <f t="shared" ca="1" si="87"/>
        <v>Serviço</v>
      </c>
      <c r="O110" s="146" t="str">
        <f t="shared" ca="1" si="88"/>
        <v>-</v>
      </c>
      <c r="P110" s="147" t="s">
        <v>247</v>
      </c>
      <c r="Q110" s="148" t="s">
        <v>581</v>
      </c>
      <c r="R110" s="149" t="s">
        <v>704</v>
      </c>
      <c r="S110" s="150" t="s">
        <v>779</v>
      </c>
      <c r="T110" s="151">
        <f ca="1">OFFSET(CÁLCULO!H$15,ROW($T110)-ROW(T$15),0)</f>
        <v>2.5</v>
      </c>
      <c r="U110" s="152"/>
      <c r="V110" s="153" t="s">
        <v>156</v>
      </c>
      <c r="W110" s="151">
        <f ca="1">IF($C110="S",ROUND(IF(TIPOORCAMENTO="Proposto",ORÇAMENTO.CustoUnitario*(1+$AH110),ORÇAMENTO.PrecoUnitarioLicitado),15-13*$AF$10),0)</f>
        <v>0</v>
      </c>
      <c r="X110" s="154">
        <f ca="1">IF($C110="S",IF(Import.TipoArredondamento&lt;&gt;"TransfereGOV",VTOTAL1,SUM(OFFSET(CÁLCULO!$AA$15,ROW($X110)-ROW($X$15),1):OFFSET(CÁLCULO!$AL$15,ROW($X110)-ROW($X$15),-1))),IF($C110=0,0,ROUND(SomaAgrup,15-13*$AF$11)))</f>
        <v>0</v>
      </c>
      <c r="Y110" s="155" t="s">
        <v>245</v>
      </c>
      <c r="Z110" t="str">
        <f t="shared" ca="1" si="89"/>
        <v/>
      </c>
      <c r="AA110" s="156">
        <f ca="1">IF($C110="S",IF($Z110="CP",$X110,IF($Z110="RA",(($X110)*QCI!$AA$3),0)),SomaAgrup)</f>
        <v>0</v>
      </c>
      <c r="AB110" s="157">
        <f t="shared" ca="1" si="90"/>
        <v>0</v>
      </c>
      <c r="AC110" s="158" t="str">
        <f ca="1">IF($N110="","",IF(ORÇAMENTO.Descricao="","DESCRIÇÃO",IF(AND($C110="S",ORÇAMENTO.Unidade=""),"UNIDADE",IF($X110&lt;0,"VALOR NEGATIVO",IF(OR(AND(TIPOORCAMENTO="Proposto",$AG110&lt;&gt;"",$AG110&gt;0,ORÇAMENTO.CustoUnitario&gt;$AG110),AND(TIPOORCAMENTO="LICITADO",ORÇAMENTO.PrecoUnitarioLicitado&gt;$AN110)),"ACIMA REF.","")))))</f>
        <v/>
      </c>
      <c r="AD110" s="668" t="str">
        <f ca="1">IF(C110&lt;=CRONO.NivelExibicao,MAX($AD$15:OFFSET(AD110,-1,0))+IF($C110&lt;&gt;1,1,MAX(1,COUNTIF(QCI!$A$13:$A$24,OFFSET($E110,-1,0)))),"")</f>
        <v/>
      </c>
      <c r="AE110" s="114" t="str">
        <f ca="1">IF(AND($C110="S",ORÇAMENTO.CodBarra&lt;&gt;""),IF(ORÇAMENTO.Fonte="",ORÇAMENTO.CodBarra,CONCATENATE(ORÇAMENTO.Fonte," ",ORÇAMENTO.CodBarra)))</f>
        <v>SINAPI 91935</v>
      </c>
      <c r="AF110" s="159">
        <f ca="1">IF(ISERROR(INDIRECT(ORÇAMENTO.BancoRef)),"(abra o arquivo 'Referência "&amp;Excel_BuiltIn_Database&amp;".xlsm)",IF(OR($C110&lt;&gt;"S",ORÇAMENTO.CodBarra=""),"(Sem Código)",IF(ISERROR(MATCH($AE110,INDIRECT(ORÇAMENTO.BancoRef),0)),"(Código não identificado nas referências)",MATCH($AE110,INDIRECT(ORÇAMENTO.BancoRef),0))))</f>
        <v>7866</v>
      </c>
      <c r="AG110" s="578">
        <f ca="1">ROUND(IF(DESONERACAO="sim",REFERENCIA.Desonerado,REFERENCIA.NaoDesonerado),2)</f>
        <v>24.32</v>
      </c>
      <c r="AH110" s="579">
        <f t="shared" ca="1" si="91"/>
        <v>0.2034</v>
      </c>
      <c r="AJ110" s="581">
        <v>2.5</v>
      </c>
      <c r="AL110" s="611"/>
      <c r="AM110" s="430">
        <f t="shared" ca="1" si="93"/>
        <v>0</v>
      </c>
      <c r="AN110" s="654">
        <f t="shared" ca="1" si="92"/>
        <v>0</v>
      </c>
    </row>
    <row r="111" spans="1:40" ht="38.25" x14ac:dyDescent="0.2">
      <c r="A111" t="str">
        <f t="shared" si="78"/>
        <v>S</v>
      </c>
      <c r="B111">
        <f t="shared" ca="1" si="79"/>
        <v>2</v>
      </c>
      <c r="C111" t="str">
        <f t="shared" ca="1" si="80"/>
        <v>S</v>
      </c>
      <c r="D111">
        <f t="shared" ca="1" si="81"/>
        <v>0</v>
      </c>
      <c r="E111">
        <f ca="1">IF($C111=1,OFFSET(E111,-1,0)+MAX(1,COUNTIF(QCI!$A$13:$A$24,OFFSET(ORÇAMENTO!E111,-1,0))),OFFSET(E111,-1,0))</f>
        <v>1</v>
      </c>
      <c r="F111">
        <f t="shared" ca="1" si="82"/>
        <v>18</v>
      </c>
      <c r="G111">
        <f t="shared" ca="1" si="83"/>
        <v>0</v>
      </c>
      <c r="H111">
        <f t="shared" ca="1" si="84"/>
        <v>0</v>
      </c>
      <c r="I111">
        <f t="shared" ca="1" si="85"/>
        <v>0</v>
      </c>
      <c r="J111">
        <f t="shared" ca="1" si="77"/>
        <v>0</v>
      </c>
      <c r="K111">
        <f ca="1">IF(OR($C111="S",$C111=0),0,MATCH(OFFSET($D111,0,$C111)+IF($C111&lt;&gt;1,1,COUNTIF(QCI!$A$13:$A$24,ORÇAMENTO!E111)),OFFSET($D111,1,$C111,ROW($C$192)-ROW($C111)),0))</f>
        <v>0</v>
      </c>
      <c r="L111" s="143" t="str">
        <f t="shared" ca="1" si="86"/>
        <v/>
      </c>
      <c r="M111" s="144" t="s">
        <v>199</v>
      </c>
      <c r="N111" s="145" t="str">
        <f t="shared" ca="1" si="87"/>
        <v>Serviço</v>
      </c>
      <c r="O111" s="146" t="str">
        <f t="shared" ca="1" si="88"/>
        <v>-</v>
      </c>
      <c r="P111" s="147" t="s">
        <v>247</v>
      </c>
      <c r="Q111" s="148" t="s">
        <v>582</v>
      </c>
      <c r="R111" s="149" t="s">
        <v>705</v>
      </c>
      <c r="S111" s="150" t="s">
        <v>779</v>
      </c>
      <c r="T111" s="151">
        <f ca="1">OFFSET(CÁLCULO!H$15,ROW($T111)-ROW(T$15),0)</f>
        <v>1855</v>
      </c>
      <c r="U111" s="152"/>
      <c r="V111" s="153" t="s">
        <v>156</v>
      </c>
      <c r="W111" s="151">
        <f ca="1">IF($C111="S",ROUND(IF(TIPOORCAMENTO="Proposto",ORÇAMENTO.CustoUnitario*(1+$AH111),ORÇAMENTO.PrecoUnitarioLicitado),15-13*$AF$10),0)</f>
        <v>0</v>
      </c>
      <c r="X111" s="154">
        <f ca="1">IF($C111="S",IF(Import.TipoArredondamento&lt;&gt;"TransfereGOV",VTOTAL1,SUM(OFFSET(CÁLCULO!$AA$15,ROW($X111)-ROW($X$15),1):OFFSET(CÁLCULO!$AL$15,ROW($X111)-ROW($X$15),-1))),IF($C111=0,0,ROUND(SomaAgrup,15-13*$AF$11)))</f>
        <v>0</v>
      </c>
      <c r="Y111" s="155" t="s">
        <v>245</v>
      </c>
      <c r="Z111" t="str">
        <f t="shared" ca="1" si="89"/>
        <v/>
      </c>
      <c r="AA111" s="156">
        <f ca="1">IF($C111="S",IF($Z111="CP",$X111,IF($Z111="RA",(($X111)*QCI!$AA$3),0)),SomaAgrup)</f>
        <v>0</v>
      </c>
      <c r="AB111" s="157">
        <f t="shared" ca="1" si="90"/>
        <v>0</v>
      </c>
      <c r="AC111" s="158" t="str">
        <f ca="1">IF($N111="","",IF(ORÇAMENTO.Descricao="","DESCRIÇÃO",IF(AND($C111="S",ORÇAMENTO.Unidade=""),"UNIDADE",IF($X111&lt;0,"VALOR NEGATIVO",IF(OR(AND(TIPOORCAMENTO="Proposto",$AG111&lt;&gt;"",$AG111&gt;0,ORÇAMENTO.CustoUnitario&gt;$AG111),AND(TIPOORCAMENTO="LICITADO",ORÇAMENTO.PrecoUnitarioLicitado&gt;$AN111)),"ACIMA REF.","")))))</f>
        <v/>
      </c>
      <c r="AD111" s="682" t="str">
        <f ca="1">IF(C111&lt;=CRONO.NivelExibicao,MAX($AD$15:OFFSET(AD111,-1,0))+IF($C111&lt;&gt;1,1,MAX(1,COUNTIF(QCI!$A$13:$A$24,OFFSET($E111,-1,0)))),"")</f>
        <v/>
      </c>
      <c r="AE111" s="114" t="str">
        <f ca="1">IF(AND($C111="S",ORÇAMENTO.CodBarra&lt;&gt;""),IF(ORÇAMENTO.Fonte="",ORÇAMENTO.CodBarra,CONCATENATE(ORÇAMENTO.Fonte," ",ORÇAMENTO.CodBarra)))</f>
        <v>SINAPI 91927</v>
      </c>
      <c r="AF111" s="159">
        <f ca="1">IF(ISERROR(INDIRECT(ORÇAMENTO.BancoRef)),"(abra o arquivo 'Referência "&amp;Excel_BuiltIn_Database&amp;".xlsm)",IF(OR($C111&lt;&gt;"S",ORÇAMENTO.CodBarra=""),"(Sem Código)",IF(ISERROR(MATCH($AE111,INDIRECT(ORÇAMENTO.BancoRef),0)),"(Código não identificado nas referências)",MATCH($AE111,INDIRECT(ORÇAMENTO.BancoRef),0))))</f>
        <v>7858</v>
      </c>
      <c r="AG111" s="578">
        <f ca="1">ROUND(IF(DESONERACAO="sim",REFERENCIA.Desonerado,REFERENCIA.NaoDesonerado),2)</f>
        <v>4.68</v>
      </c>
      <c r="AH111" s="579">
        <f t="shared" ca="1" si="91"/>
        <v>0.2034</v>
      </c>
      <c r="AJ111" s="581">
        <v>1855</v>
      </c>
      <c r="AL111" s="611"/>
      <c r="AM111" s="430">
        <f t="shared" ca="1" si="93"/>
        <v>0</v>
      </c>
      <c r="AN111" s="654">
        <f t="shared" ca="1" si="92"/>
        <v>0</v>
      </c>
    </row>
    <row r="112" spans="1:40" ht="38.25" x14ac:dyDescent="0.2">
      <c r="A112" t="str">
        <f t="shared" si="78"/>
        <v>S</v>
      </c>
      <c r="B112">
        <f t="shared" ca="1" si="79"/>
        <v>2</v>
      </c>
      <c r="C112" t="str">
        <f t="shared" ca="1" si="80"/>
        <v>S</v>
      </c>
      <c r="D112">
        <f t="shared" ca="1" si="81"/>
        <v>0</v>
      </c>
      <c r="E112">
        <f ca="1">IF($C112=1,OFFSET(E112,-1,0)+MAX(1,COUNTIF(QCI!$A$13:$A$24,OFFSET(ORÇAMENTO!E112,-1,0))),OFFSET(E112,-1,0))</f>
        <v>1</v>
      </c>
      <c r="F112">
        <f t="shared" ca="1" si="82"/>
        <v>18</v>
      </c>
      <c r="G112">
        <f t="shared" ca="1" si="83"/>
        <v>0</v>
      </c>
      <c r="H112">
        <f t="shared" ca="1" si="84"/>
        <v>0</v>
      </c>
      <c r="I112">
        <f t="shared" ca="1" si="85"/>
        <v>0</v>
      </c>
      <c r="J112">
        <f t="shared" ref="J112:J145" ca="1" si="94">IF(OR($C112="S",$C112=0),0,MATCH(0,OFFSET($D112,1,$C112,ROW($C$192)-ROW($C112)),0))</f>
        <v>0</v>
      </c>
      <c r="K112">
        <f ca="1">IF(OR($C112="S",$C112=0),0,MATCH(OFFSET($D112,0,$C112)+IF($C112&lt;&gt;1,1,COUNTIF(QCI!$A$13:$A$24,ORÇAMENTO!E112)),OFFSET($D112,1,$C112,ROW($C$192)-ROW($C112)),0))</f>
        <v>0</v>
      </c>
      <c r="L112" s="143" t="str">
        <f t="shared" ca="1" si="86"/>
        <v/>
      </c>
      <c r="M112" s="144" t="s">
        <v>199</v>
      </c>
      <c r="N112" s="145" t="str">
        <f t="shared" ca="1" si="87"/>
        <v>Serviço</v>
      </c>
      <c r="O112" s="146" t="str">
        <f t="shared" ca="1" si="88"/>
        <v>-</v>
      </c>
      <c r="P112" s="147" t="s">
        <v>247</v>
      </c>
      <c r="Q112" s="148" t="s">
        <v>583</v>
      </c>
      <c r="R112" s="149" t="s">
        <v>706</v>
      </c>
      <c r="S112" s="150" t="s">
        <v>779</v>
      </c>
      <c r="T112" s="151">
        <f ca="1">OFFSET(CÁLCULO!H$15,ROW($T112)-ROW(T$15),0)</f>
        <v>400</v>
      </c>
      <c r="U112" s="152"/>
      <c r="V112" s="153" t="s">
        <v>156</v>
      </c>
      <c r="W112" s="151">
        <f ca="1">IF($C112="S",ROUND(IF(TIPOORCAMENTO="Proposto",ORÇAMENTO.CustoUnitario*(1+$AH112),ORÇAMENTO.PrecoUnitarioLicitado),15-13*$AF$10),0)</f>
        <v>0</v>
      </c>
      <c r="X112" s="154">
        <f ca="1">IF($C112="S",IF(Import.TipoArredondamento&lt;&gt;"TransfereGOV",VTOTAL1,SUM(OFFSET(CÁLCULO!$AA$15,ROW($X112)-ROW($X$15),1):OFFSET(CÁLCULO!$AL$15,ROW($X112)-ROW($X$15),-1))),IF($C112=0,0,ROUND(SomaAgrup,15-13*$AF$11)))</f>
        <v>0</v>
      </c>
      <c r="Y112" s="155" t="s">
        <v>245</v>
      </c>
      <c r="Z112" t="str">
        <f t="shared" ca="1" si="89"/>
        <v/>
      </c>
      <c r="AA112" s="156">
        <f ca="1">IF($C112="S",IF($Z112="CP",$X112,IF($Z112="RA",(($X112)*QCI!$AA$3),0)),SomaAgrup)</f>
        <v>0</v>
      </c>
      <c r="AB112" s="157">
        <f t="shared" ca="1" si="90"/>
        <v>0</v>
      </c>
      <c r="AC112" s="158" t="str">
        <f ca="1">IF($N112="","",IF(ORÇAMENTO.Descricao="","DESCRIÇÃO",IF(AND($C112="S",ORÇAMENTO.Unidade=""),"UNIDADE",IF($X112&lt;0,"VALOR NEGATIVO",IF(OR(AND(TIPOORCAMENTO="Proposto",$AG112&lt;&gt;"",$AG112&gt;0,ORÇAMENTO.CustoUnitario&gt;$AG112),AND(TIPOORCAMENTO="LICITADO",ORÇAMENTO.PrecoUnitarioLicitado&gt;$AN112)),"ACIMA REF.","")))))</f>
        <v/>
      </c>
      <c r="AD112" s="682" t="str">
        <f ca="1">IF(C112&lt;=CRONO.NivelExibicao,MAX($AD$15:OFFSET(AD112,-1,0))+IF($C112&lt;&gt;1,1,MAX(1,COUNTIF(QCI!$A$13:$A$24,OFFSET($E112,-1,0)))),"")</f>
        <v/>
      </c>
      <c r="AE112" s="114" t="str">
        <f ca="1">IF(AND($C112="S",ORÇAMENTO.CodBarra&lt;&gt;""),IF(ORÇAMENTO.Fonte="",ORÇAMENTO.CodBarra,CONCATENATE(ORÇAMENTO.Fonte," ",ORÇAMENTO.CodBarra)))</f>
        <v>SINAPI 101563</v>
      </c>
      <c r="AF112" s="159">
        <f ca="1">IF(ISERROR(INDIRECT(ORÇAMENTO.BancoRef)),"(abra o arquivo 'Referência "&amp;Excel_BuiltIn_Database&amp;".xlsm)",IF(OR($C112&lt;&gt;"S",ORÇAMENTO.CodBarra=""),"(Sem Código)",IF(ISERROR(MATCH($AE112,INDIRECT(ORÇAMENTO.BancoRef),0)),"(Código não identificado nas referências)",MATCH($AE112,INDIRECT(ORÇAMENTO.BancoRef),0))))</f>
        <v>8178</v>
      </c>
      <c r="AG112" s="578">
        <f ca="1">ROUND(IF(DESONERACAO="sim",REFERENCIA.Desonerado,REFERENCIA.NaoDesonerado),2)</f>
        <v>33.54</v>
      </c>
      <c r="AH112" s="579">
        <f t="shared" ca="1" si="91"/>
        <v>0.2034</v>
      </c>
      <c r="AJ112" s="581">
        <v>400</v>
      </c>
      <c r="AL112" s="611"/>
      <c r="AM112" s="430">
        <f t="shared" ca="1" si="93"/>
        <v>0</v>
      </c>
      <c r="AN112" s="654">
        <f t="shared" ca="1" si="92"/>
        <v>0</v>
      </c>
    </row>
    <row r="113" spans="1:40" ht="38.25" x14ac:dyDescent="0.2">
      <c r="A113" t="str">
        <f t="shared" si="78"/>
        <v>S</v>
      </c>
      <c r="B113">
        <f t="shared" ca="1" si="79"/>
        <v>2</v>
      </c>
      <c r="C113" t="str">
        <f t="shared" ca="1" si="80"/>
        <v>S</v>
      </c>
      <c r="D113">
        <f t="shared" ca="1" si="81"/>
        <v>0</v>
      </c>
      <c r="E113">
        <f ca="1">IF($C113=1,OFFSET(E113,-1,0)+MAX(1,COUNTIF(QCI!$A$13:$A$24,OFFSET(ORÇAMENTO!E113,-1,0))),OFFSET(E113,-1,0))</f>
        <v>1</v>
      </c>
      <c r="F113">
        <f t="shared" ca="1" si="82"/>
        <v>18</v>
      </c>
      <c r="G113">
        <f t="shared" ca="1" si="83"/>
        <v>0</v>
      </c>
      <c r="H113">
        <f t="shared" ca="1" si="84"/>
        <v>0</v>
      </c>
      <c r="I113">
        <f t="shared" ca="1" si="85"/>
        <v>0</v>
      </c>
      <c r="J113">
        <f t="shared" ca="1" si="94"/>
        <v>0</v>
      </c>
      <c r="K113">
        <f ca="1">IF(OR($C113="S",$C113=0),0,MATCH(OFFSET($D113,0,$C113)+IF($C113&lt;&gt;1,1,COUNTIF(QCI!$A$13:$A$24,ORÇAMENTO!E113)),OFFSET($D113,1,$C113,ROW($C$192)-ROW($C113)),0))</f>
        <v>0</v>
      </c>
      <c r="L113" s="143" t="str">
        <f t="shared" ca="1" si="86"/>
        <v/>
      </c>
      <c r="M113" s="144" t="s">
        <v>199</v>
      </c>
      <c r="N113" s="145" t="str">
        <f t="shared" ca="1" si="87"/>
        <v>Serviço</v>
      </c>
      <c r="O113" s="146" t="str">
        <f t="shared" ca="1" si="88"/>
        <v>-</v>
      </c>
      <c r="P113" s="147" t="s">
        <v>247</v>
      </c>
      <c r="Q113" s="148" t="s">
        <v>584</v>
      </c>
      <c r="R113" s="149" t="s">
        <v>707</v>
      </c>
      <c r="S113" s="150" t="s">
        <v>779</v>
      </c>
      <c r="T113" s="151">
        <f ca="1">OFFSET(CÁLCULO!H$15,ROW($T113)-ROW(T$15),0)</f>
        <v>65</v>
      </c>
      <c r="U113" s="152"/>
      <c r="V113" s="153" t="s">
        <v>156</v>
      </c>
      <c r="W113" s="151">
        <f ca="1">IF($C113="S",ROUND(IF(TIPOORCAMENTO="Proposto",ORÇAMENTO.CustoUnitario*(1+$AH113),ORÇAMENTO.PrecoUnitarioLicitado),15-13*$AF$10),0)</f>
        <v>0</v>
      </c>
      <c r="X113" s="154">
        <f ca="1">IF($C113="S",IF(Import.TipoArredondamento&lt;&gt;"TransfereGOV",VTOTAL1,SUM(OFFSET(CÁLCULO!$AA$15,ROW($X113)-ROW($X$15),1):OFFSET(CÁLCULO!$AL$15,ROW($X113)-ROW($X$15),-1))),IF($C113=0,0,ROUND(SomaAgrup,15-13*$AF$11)))</f>
        <v>0</v>
      </c>
      <c r="Y113" s="155" t="s">
        <v>245</v>
      </c>
      <c r="Z113" t="str">
        <f t="shared" ca="1" si="89"/>
        <v/>
      </c>
      <c r="AA113" s="156">
        <f ca="1">IF($C113="S",IF($Z113="CP",$X113,IF($Z113="RA",(($X113)*QCI!$AA$3),0)),SomaAgrup)</f>
        <v>0</v>
      </c>
      <c r="AB113" s="157">
        <f t="shared" ca="1" si="90"/>
        <v>0</v>
      </c>
      <c r="AC113" s="158" t="str">
        <f ca="1">IF($N113="","",IF(ORÇAMENTO.Descricao="","DESCRIÇÃO",IF(AND($C113="S",ORÇAMENTO.Unidade=""),"UNIDADE",IF($X113&lt;0,"VALOR NEGATIVO",IF(OR(AND(TIPOORCAMENTO="Proposto",$AG113&lt;&gt;"",$AG113&gt;0,ORÇAMENTO.CustoUnitario&gt;$AG113),AND(TIPOORCAMENTO="LICITADO",ORÇAMENTO.PrecoUnitarioLicitado&gt;$AN113)),"ACIMA REF.","")))))</f>
        <v/>
      </c>
      <c r="AD113" s="682" t="str">
        <f ca="1">IF(C113&lt;=CRONO.NivelExibicao,MAX($AD$15:OFFSET(AD113,-1,0))+IF($C113&lt;&gt;1,1,MAX(1,COUNTIF(QCI!$A$13:$A$24,OFFSET($E113,-1,0)))),"")</f>
        <v/>
      </c>
      <c r="AE113" s="114" t="str">
        <f ca="1">IF(AND($C113="S",ORÇAMENTO.CodBarra&lt;&gt;""),IF(ORÇAMENTO.Fonte="",ORÇAMENTO.CodBarra,CONCATENATE(ORÇAMENTO.Fonte," ",ORÇAMENTO.CodBarra)))</f>
        <v>SINAPI 91929</v>
      </c>
      <c r="AF113" s="159">
        <f ca="1">IF(ISERROR(INDIRECT(ORÇAMENTO.BancoRef)),"(abra o arquivo 'Referência "&amp;Excel_BuiltIn_Database&amp;".xlsm)",IF(OR($C113&lt;&gt;"S",ORÇAMENTO.CodBarra=""),"(Sem Código)",IF(ISERROR(MATCH($AE113,INDIRECT(ORÇAMENTO.BancoRef),0)),"(Código não identificado nas referências)",MATCH($AE113,INDIRECT(ORÇAMENTO.BancoRef),0))))</f>
        <v>7860</v>
      </c>
      <c r="AG113" s="578">
        <f ca="1">ROUND(IF(DESONERACAO="sim",REFERENCIA.Desonerado,REFERENCIA.NaoDesonerado),2)</f>
        <v>6.9</v>
      </c>
      <c r="AH113" s="579">
        <f t="shared" ca="1" si="91"/>
        <v>0.2034</v>
      </c>
      <c r="AJ113" s="581">
        <v>65</v>
      </c>
      <c r="AL113" s="611"/>
      <c r="AM113" s="430">
        <f t="shared" ca="1" si="93"/>
        <v>0</v>
      </c>
      <c r="AN113" s="654">
        <f t="shared" ca="1" si="92"/>
        <v>0</v>
      </c>
    </row>
    <row r="114" spans="1:40" ht="38.25" x14ac:dyDescent="0.2">
      <c r="A114" t="str">
        <f t="shared" si="78"/>
        <v>S</v>
      </c>
      <c r="B114">
        <f t="shared" ca="1" si="79"/>
        <v>2</v>
      </c>
      <c r="C114" t="str">
        <f t="shared" ca="1" si="80"/>
        <v>S</v>
      </c>
      <c r="D114">
        <f t="shared" ca="1" si="81"/>
        <v>0</v>
      </c>
      <c r="E114">
        <f ca="1">IF($C114=1,OFFSET(E114,-1,0)+MAX(1,COUNTIF(QCI!$A$13:$A$24,OFFSET(ORÇAMENTO!E114,-1,0))),OFFSET(E114,-1,0))</f>
        <v>1</v>
      </c>
      <c r="F114">
        <f t="shared" ca="1" si="82"/>
        <v>18</v>
      </c>
      <c r="G114">
        <f t="shared" ca="1" si="83"/>
        <v>0</v>
      </c>
      <c r="H114">
        <f t="shared" ca="1" si="84"/>
        <v>0</v>
      </c>
      <c r="I114">
        <f t="shared" ca="1" si="85"/>
        <v>0</v>
      </c>
      <c r="J114">
        <f t="shared" ca="1" si="94"/>
        <v>0</v>
      </c>
      <c r="K114">
        <f ca="1">IF(OR($C114="S",$C114=0),0,MATCH(OFFSET($D114,0,$C114)+IF($C114&lt;&gt;1,1,COUNTIF(QCI!$A$13:$A$24,ORÇAMENTO!E114)),OFFSET($D114,1,$C114,ROW($C$192)-ROW($C114)),0))</f>
        <v>0</v>
      </c>
      <c r="L114" s="143" t="str">
        <f t="shared" ca="1" si="86"/>
        <v/>
      </c>
      <c r="M114" s="144" t="s">
        <v>199</v>
      </c>
      <c r="N114" s="145" t="str">
        <f t="shared" ca="1" si="87"/>
        <v>Serviço</v>
      </c>
      <c r="O114" s="146" t="str">
        <f t="shared" ca="1" si="88"/>
        <v>-</v>
      </c>
      <c r="P114" s="147" t="s">
        <v>247</v>
      </c>
      <c r="Q114" s="148" t="s">
        <v>514</v>
      </c>
      <c r="R114" s="149" t="s">
        <v>708</v>
      </c>
      <c r="S114" s="150" t="s">
        <v>779</v>
      </c>
      <c r="T114" s="151">
        <f ca="1">OFFSET(CÁLCULO!H$15,ROW($T114)-ROW(T$15),0)</f>
        <v>554</v>
      </c>
      <c r="U114" s="152"/>
      <c r="V114" s="153" t="s">
        <v>156</v>
      </c>
      <c r="W114" s="151">
        <f ca="1">IF($C114="S",ROUND(IF(TIPOORCAMENTO="Proposto",ORÇAMENTO.CustoUnitario*(1+$AH114),ORÇAMENTO.PrecoUnitarioLicitado),15-13*$AF$10),0)</f>
        <v>0</v>
      </c>
      <c r="X114" s="154">
        <f ca="1">IF($C114="S",IF(Import.TipoArredondamento&lt;&gt;"TransfereGOV",VTOTAL1,SUM(OFFSET(CÁLCULO!$AA$15,ROW($X114)-ROW($X$15),1):OFFSET(CÁLCULO!$AL$15,ROW($X114)-ROW($X$15),-1))),IF($C114=0,0,ROUND(SomaAgrup,15-13*$AF$11)))</f>
        <v>0</v>
      </c>
      <c r="Y114" s="155" t="s">
        <v>245</v>
      </c>
      <c r="Z114" t="str">
        <f t="shared" ca="1" si="89"/>
        <v/>
      </c>
      <c r="AA114" s="156">
        <f ca="1">IF($C114="S",IF($Z114="CP",$X114,IF($Z114="RA",(($X114)*QCI!$AA$3),0)),SomaAgrup)</f>
        <v>0</v>
      </c>
      <c r="AB114" s="157">
        <f t="shared" ca="1" si="90"/>
        <v>0</v>
      </c>
      <c r="AC114" s="158" t="str">
        <f ca="1">IF($N114="","",IF(ORÇAMENTO.Descricao="","DESCRIÇÃO",IF(AND($C114="S",ORÇAMENTO.Unidade=""),"UNIDADE",IF($X114&lt;0,"VALOR NEGATIVO",IF(OR(AND(TIPOORCAMENTO="Proposto",$AG114&lt;&gt;"",$AG114&gt;0,ORÇAMENTO.CustoUnitario&gt;$AG114),AND(TIPOORCAMENTO="LICITADO",ORÇAMENTO.PrecoUnitarioLicitado&gt;$AN114)),"ACIMA REF.","")))))</f>
        <v/>
      </c>
      <c r="AD114" s="682" t="str">
        <f ca="1">IF(C114&lt;=CRONO.NivelExibicao,MAX($AD$15:OFFSET(AD114,-1,0))+IF($C114&lt;&gt;1,1,MAX(1,COUNTIF(QCI!$A$13:$A$24,OFFSET($E114,-1,0)))),"")</f>
        <v/>
      </c>
      <c r="AE114" s="114" t="str">
        <f ca="1">IF(AND($C114="S",ORÇAMENTO.CodBarra&lt;&gt;""),IF(ORÇAMENTO.Fonte="",ORÇAMENTO.CodBarra,CONCATENATE(ORÇAMENTO.Fonte," ",ORÇAMENTO.CodBarra)))</f>
        <v>SINAPI 91931</v>
      </c>
      <c r="AF114" s="159">
        <f ca="1">IF(ISERROR(INDIRECT(ORÇAMENTO.BancoRef)),"(abra o arquivo 'Referência "&amp;Excel_BuiltIn_Database&amp;".xlsm)",IF(OR($C114&lt;&gt;"S",ORÇAMENTO.CodBarra=""),"(Sem Código)",IF(ISERROR(MATCH($AE114,INDIRECT(ORÇAMENTO.BancoRef),0)),"(Código não identificado nas referências)",MATCH($AE114,INDIRECT(ORÇAMENTO.BancoRef),0))))</f>
        <v>7862</v>
      </c>
      <c r="AG114" s="578">
        <f ca="1">ROUND(IF(DESONERACAO="sim",REFERENCIA.Desonerado,REFERENCIA.NaoDesonerado),2)</f>
        <v>9.6999999999999993</v>
      </c>
      <c r="AH114" s="579">
        <f t="shared" ca="1" si="91"/>
        <v>0.2034</v>
      </c>
      <c r="AJ114" s="581">
        <v>554</v>
      </c>
      <c r="AL114" s="611"/>
      <c r="AM114" s="430">
        <f t="shared" ca="1" si="93"/>
        <v>0</v>
      </c>
      <c r="AN114" s="654">
        <f t="shared" ca="1" si="92"/>
        <v>0</v>
      </c>
    </row>
    <row r="115" spans="1:40" ht="25.5" x14ac:dyDescent="0.2">
      <c r="A115" t="str">
        <f t="shared" si="78"/>
        <v>S</v>
      </c>
      <c r="B115">
        <f t="shared" ca="1" si="79"/>
        <v>2</v>
      </c>
      <c r="C115" t="str">
        <f t="shared" ca="1" si="80"/>
        <v>S</v>
      </c>
      <c r="D115">
        <f t="shared" ca="1" si="81"/>
        <v>0</v>
      </c>
      <c r="E115">
        <f ca="1">IF($C115=1,OFFSET(E115,-1,0)+MAX(1,COUNTIF(QCI!$A$13:$A$24,OFFSET(ORÇAMENTO!E115,-1,0))),OFFSET(E115,-1,0))</f>
        <v>1</v>
      </c>
      <c r="F115">
        <f t="shared" ca="1" si="82"/>
        <v>18</v>
      </c>
      <c r="G115">
        <f t="shared" ca="1" si="83"/>
        <v>0</v>
      </c>
      <c r="H115">
        <f t="shared" ca="1" si="84"/>
        <v>0</v>
      </c>
      <c r="I115">
        <f t="shared" ca="1" si="85"/>
        <v>0</v>
      </c>
      <c r="J115">
        <f t="shared" ca="1" si="94"/>
        <v>0</v>
      </c>
      <c r="K115">
        <f ca="1">IF(OR($C115="S",$C115=0),0,MATCH(OFFSET($D115,0,$C115)+IF($C115&lt;&gt;1,1,COUNTIF(QCI!$A$13:$A$24,ORÇAMENTO!E115)),OFFSET($D115,1,$C115,ROW($C$192)-ROW($C115)),0))</f>
        <v>0</v>
      </c>
      <c r="L115" s="143" t="str">
        <f t="shared" ca="1" si="86"/>
        <v/>
      </c>
      <c r="M115" s="144" t="s">
        <v>199</v>
      </c>
      <c r="N115" s="145" t="str">
        <f t="shared" ca="1" si="87"/>
        <v>Serviço</v>
      </c>
      <c r="O115" s="146" t="str">
        <f t="shared" ca="1" si="88"/>
        <v>-</v>
      </c>
      <c r="P115" s="147" t="s">
        <v>247</v>
      </c>
      <c r="Q115" s="148" t="s">
        <v>585</v>
      </c>
      <c r="R115" s="149" t="s">
        <v>709</v>
      </c>
      <c r="S115" s="150" t="s">
        <v>778</v>
      </c>
      <c r="T115" s="151">
        <f ca="1">OFFSET(CÁLCULO!H$15,ROW($T115)-ROW(T$15),0)</f>
        <v>49</v>
      </c>
      <c r="U115" s="152"/>
      <c r="V115" s="153" t="s">
        <v>156</v>
      </c>
      <c r="W115" s="151">
        <f ca="1">IF($C115="S",ROUND(IF(TIPOORCAMENTO="Proposto",ORÇAMENTO.CustoUnitario*(1+$AH115),ORÇAMENTO.PrecoUnitarioLicitado),15-13*$AF$10),0)</f>
        <v>0</v>
      </c>
      <c r="X115" s="154">
        <f ca="1">IF($C115="S",IF(Import.TipoArredondamento&lt;&gt;"TransfereGOV",VTOTAL1,SUM(OFFSET(CÁLCULO!$AA$15,ROW($X115)-ROW($X$15),1):OFFSET(CÁLCULO!$AL$15,ROW($X115)-ROW($X$15),-1))),IF($C115=0,0,ROUND(SomaAgrup,15-13*$AF$11)))</f>
        <v>0</v>
      </c>
      <c r="Y115" s="155" t="s">
        <v>245</v>
      </c>
      <c r="Z115" t="str">
        <f t="shared" ca="1" si="89"/>
        <v/>
      </c>
      <c r="AA115" s="156">
        <f ca="1">IF($C115="S",IF($Z115="CP",$X115,IF($Z115="RA",(($X115)*QCI!$AA$3),0)),SomaAgrup)</f>
        <v>0</v>
      </c>
      <c r="AB115" s="157">
        <f t="shared" ca="1" si="90"/>
        <v>0</v>
      </c>
      <c r="AC115" s="158" t="str">
        <f ca="1">IF($N115="","",IF(ORÇAMENTO.Descricao="","DESCRIÇÃO",IF(AND($C115="S",ORÇAMENTO.Unidade=""),"UNIDADE",IF($X115&lt;0,"VALOR NEGATIVO",IF(OR(AND(TIPOORCAMENTO="Proposto",$AG115&lt;&gt;"",$AG115&gt;0,ORÇAMENTO.CustoUnitario&gt;$AG115),AND(TIPOORCAMENTO="LICITADO",ORÇAMENTO.PrecoUnitarioLicitado&gt;$AN115)),"ACIMA REF.","")))))</f>
        <v/>
      </c>
      <c r="AD115" s="682" t="str">
        <f ca="1">IF(C115&lt;=CRONO.NivelExibicao,MAX($AD$15:OFFSET(AD115,-1,0))+IF($C115&lt;&gt;1,1,MAX(1,COUNTIF(QCI!$A$13:$A$24,OFFSET($E115,-1,0)))),"")</f>
        <v/>
      </c>
      <c r="AE115" s="114" t="str">
        <f ca="1">IF(AND($C115="S",ORÇAMENTO.CodBarra&lt;&gt;""),IF(ORÇAMENTO.Fonte="",ORÇAMENTO.CodBarra,CONCATENATE(ORÇAMENTO.Fonte," ",ORÇAMENTO.CodBarra)))</f>
        <v>SINAPI 92004</v>
      </c>
      <c r="AF115" s="159">
        <f ca="1">IF(ISERROR(INDIRECT(ORÇAMENTO.BancoRef)),"(abra o arquivo 'Referência "&amp;Excel_BuiltIn_Database&amp;".xlsm)",IF(OR($C115&lt;&gt;"S",ORÇAMENTO.CodBarra=""),"(Sem Código)",IF(ISERROR(MATCH($AE115,INDIRECT(ORÇAMENTO.BancoRef),0)),"(Código não identificado nas referências)",MATCH($AE115,INDIRECT(ORÇAMENTO.BancoRef),0))))</f>
        <v>8067</v>
      </c>
      <c r="AG115" s="578">
        <f ca="1">ROUND(IF(DESONERACAO="sim",REFERENCIA.Desonerado,REFERENCIA.NaoDesonerado),2)</f>
        <v>60.19</v>
      </c>
      <c r="AH115" s="579">
        <f t="shared" ca="1" si="91"/>
        <v>0.2034</v>
      </c>
      <c r="AJ115" s="581">
        <f>45+4</f>
        <v>49</v>
      </c>
      <c r="AL115" s="611"/>
      <c r="AM115" s="430">
        <f t="shared" ca="1" si="93"/>
        <v>0</v>
      </c>
      <c r="AN115" s="654">
        <f t="shared" ca="1" si="92"/>
        <v>0</v>
      </c>
    </row>
    <row r="116" spans="1:40" ht="38.25" x14ac:dyDescent="0.2">
      <c r="A116" t="str">
        <f t="shared" si="78"/>
        <v>S</v>
      </c>
      <c r="B116">
        <f t="shared" ca="1" si="79"/>
        <v>2</v>
      </c>
      <c r="C116" t="str">
        <f t="shared" ca="1" si="80"/>
        <v>S</v>
      </c>
      <c r="D116">
        <f t="shared" ca="1" si="81"/>
        <v>0</v>
      </c>
      <c r="E116">
        <f ca="1">IF($C116=1,OFFSET(E116,-1,0)+MAX(1,COUNTIF(QCI!$A$13:$A$24,OFFSET(ORÇAMENTO!E116,-1,0))),OFFSET(E116,-1,0))</f>
        <v>1</v>
      </c>
      <c r="F116">
        <f t="shared" ca="1" si="82"/>
        <v>18</v>
      </c>
      <c r="G116">
        <f t="shared" ca="1" si="83"/>
        <v>0</v>
      </c>
      <c r="H116">
        <f t="shared" ca="1" si="84"/>
        <v>0</v>
      </c>
      <c r="I116">
        <f t="shared" ca="1" si="85"/>
        <v>0</v>
      </c>
      <c r="J116">
        <f t="shared" ca="1" si="94"/>
        <v>0</v>
      </c>
      <c r="K116">
        <f ca="1">IF(OR($C116="S",$C116=0),0,MATCH(OFFSET($D116,0,$C116)+IF($C116&lt;&gt;1,1,COUNTIF(QCI!$A$13:$A$24,ORÇAMENTO!E116)),OFFSET($D116,1,$C116,ROW($C$192)-ROW($C116)),0))</f>
        <v>0</v>
      </c>
      <c r="L116" s="143" t="str">
        <f t="shared" ca="1" si="86"/>
        <v/>
      </c>
      <c r="M116" s="144" t="s">
        <v>199</v>
      </c>
      <c r="N116" s="145" t="str">
        <f t="shared" ca="1" si="87"/>
        <v>Serviço</v>
      </c>
      <c r="O116" s="146" t="str">
        <f t="shared" ca="1" si="88"/>
        <v>-</v>
      </c>
      <c r="P116" s="147" t="s">
        <v>247</v>
      </c>
      <c r="Q116" s="148" t="s">
        <v>586</v>
      </c>
      <c r="R116" s="149" t="s">
        <v>710</v>
      </c>
      <c r="S116" s="150" t="s">
        <v>778</v>
      </c>
      <c r="T116" s="151">
        <f ca="1">OFFSET(CÁLCULO!H$15,ROW($T116)-ROW(T$15),0)</f>
        <v>14</v>
      </c>
      <c r="U116" s="152"/>
      <c r="V116" s="153" t="s">
        <v>156</v>
      </c>
      <c r="W116" s="151">
        <f ca="1">IF($C116="S",ROUND(IF(TIPOORCAMENTO="Proposto",ORÇAMENTO.CustoUnitario*(1+$AH116),ORÇAMENTO.PrecoUnitarioLicitado),15-13*$AF$10),0)</f>
        <v>0</v>
      </c>
      <c r="X116" s="154">
        <f ca="1">IF($C116="S",IF(Import.TipoArredondamento&lt;&gt;"TransfereGOV",VTOTAL1,SUM(OFFSET(CÁLCULO!$AA$15,ROW($X116)-ROW($X$15),1):OFFSET(CÁLCULO!$AL$15,ROW($X116)-ROW($X$15),-1))),IF($C116=0,0,ROUND(SomaAgrup,15-13*$AF$11)))</f>
        <v>0</v>
      </c>
      <c r="Y116" s="155" t="s">
        <v>245</v>
      </c>
      <c r="Z116" t="str">
        <f t="shared" ca="1" si="89"/>
        <v/>
      </c>
      <c r="AA116" s="156">
        <f ca="1">IF($C116="S",IF($Z116="CP",$X116,IF($Z116="RA",(($X116)*QCI!$AA$3),0)),SomaAgrup)</f>
        <v>0</v>
      </c>
      <c r="AB116" s="157">
        <f t="shared" ca="1" si="90"/>
        <v>0</v>
      </c>
      <c r="AC116" s="158" t="str">
        <f ca="1">IF($N116="","",IF(ORÇAMENTO.Descricao="","DESCRIÇÃO",IF(AND($C116="S",ORÇAMENTO.Unidade=""),"UNIDADE",IF($X116&lt;0,"VALOR NEGATIVO",IF(OR(AND(TIPOORCAMENTO="Proposto",$AG116&lt;&gt;"",$AG116&gt;0,ORÇAMENTO.CustoUnitario&gt;$AG116),AND(TIPOORCAMENTO="LICITADO",ORÇAMENTO.PrecoUnitarioLicitado&gt;$AN116)),"ACIMA REF.","")))))</f>
        <v/>
      </c>
      <c r="AD116" s="682" t="str">
        <f ca="1">IF(C116&lt;=CRONO.NivelExibicao,MAX($AD$15:OFFSET(AD116,-1,0))+IF($C116&lt;&gt;1,1,MAX(1,COUNTIF(QCI!$A$13:$A$24,OFFSET($E116,-1,0)))),"")</f>
        <v/>
      </c>
      <c r="AE116" s="114" t="str">
        <f ca="1">IF(AND($C116="S",ORÇAMENTO.CodBarra&lt;&gt;""),IF(ORÇAMENTO.Fonte="",ORÇAMENTO.CodBarra,CONCATENATE(ORÇAMENTO.Fonte," ",ORÇAMENTO.CodBarra)))</f>
        <v>SINAPI 92023</v>
      </c>
      <c r="AF116" s="159">
        <f ca="1">IF(ISERROR(INDIRECT(ORÇAMENTO.BancoRef)),"(abra o arquivo 'Referência "&amp;Excel_BuiltIn_Database&amp;".xlsm)",IF(OR($C116&lt;&gt;"S",ORÇAMENTO.CodBarra=""),"(Sem Código)",IF(ISERROR(MATCH($AE116,INDIRECT(ORÇAMENTO.BancoRef),0)),"(Código não identificado nas referências)",MATCH($AE116,INDIRECT(ORÇAMENTO.BancoRef),0))))</f>
        <v>8086</v>
      </c>
      <c r="AG116" s="578">
        <f ca="1">ROUND(IF(DESONERACAO="sim",REFERENCIA.Desonerado,REFERENCIA.NaoDesonerado),2)</f>
        <v>54.53</v>
      </c>
      <c r="AH116" s="579">
        <f t="shared" ca="1" si="91"/>
        <v>0.2034</v>
      </c>
      <c r="AJ116" s="581">
        <v>14</v>
      </c>
      <c r="AL116" s="611"/>
      <c r="AM116" s="430">
        <f t="shared" ca="1" si="93"/>
        <v>0</v>
      </c>
      <c r="AN116" s="654">
        <f t="shared" ca="1" si="92"/>
        <v>0</v>
      </c>
    </row>
    <row r="117" spans="1:40" ht="38.25" x14ac:dyDescent="0.2">
      <c r="A117" t="str">
        <f t="shared" si="78"/>
        <v>S</v>
      </c>
      <c r="B117">
        <f t="shared" ca="1" si="79"/>
        <v>2</v>
      </c>
      <c r="C117" t="str">
        <f t="shared" ca="1" si="80"/>
        <v>S</v>
      </c>
      <c r="D117">
        <f t="shared" ca="1" si="81"/>
        <v>0</v>
      </c>
      <c r="E117">
        <f ca="1">IF($C117=1,OFFSET(E117,-1,0)+MAX(1,COUNTIF(QCI!$A$13:$A$24,OFFSET(ORÇAMENTO!E117,-1,0))),OFFSET(E117,-1,0))</f>
        <v>1</v>
      </c>
      <c r="F117">
        <f t="shared" ca="1" si="82"/>
        <v>18</v>
      </c>
      <c r="G117">
        <f t="shared" ca="1" si="83"/>
        <v>0</v>
      </c>
      <c r="H117">
        <f t="shared" ca="1" si="84"/>
        <v>0</v>
      </c>
      <c r="I117">
        <f t="shared" ca="1" si="85"/>
        <v>0</v>
      </c>
      <c r="J117">
        <f t="shared" ca="1" si="94"/>
        <v>0</v>
      </c>
      <c r="K117">
        <f ca="1">IF(OR($C117="S",$C117=0),0,MATCH(OFFSET($D117,0,$C117)+IF($C117&lt;&gt;1,1,COUNTIF(QCI!$A$13:$A$24,ORÇAMENTO!E117)),OFFSET($D117,1,$C117,ROW($C$192)-ROW($C117)),0))</f>
        <v>0</v>
      </c>
      <c r="L117" s="143" t="str">
        <f t="shared" ca="1" si="86"/>
        <v/>
      </c>
      <c r="M117" s="144" t="s">
        <v>199</v>
      </c>
      <c r="N117" s="145" t="str">
        <f t="shared" ca="1" si="87"/>
        <v>Serviço</v>
      </c>
      <c r="O117" s="146" t="str">
        <f t="shared" ca="1" si="88"/>
        <v>-</v>
      </c>
      <c r="P117" s="147" t="s">
        <v>247</v>
      </c>
      <c r="Q117" s="148" t="s">
        <v>587</v>
      </c>
      <c r="R117" s="149" t="s">
        <v>711</v>
      </c>
      <c r="S117" s="150" t="s">
        <v>778</v>
      </c>
      <c r="T117" s="151">
        <f ca="1">OFFSET(CÁLCULO!H$15,ROW($T117)-ROW(T$15),0)</f>
        <v>1</v>
      </c>
      <c r="U117" s="152"/>
      <c r="V117" s="153" t="s">
        <v>156</v>
      </c>
      <c r="W117" s="151">
        <f ca="1">IF($C117="S",ROUND(IF(TIPOORCAMENTO="Proposto",ORÇAMENTO.CustoUnitario*(1+$AH117),ORÇAMENTO.PrecoUnitarioLicitado),15-13*$AF$10),0)</f>
        <v>0</v>
      </c>
      <c r="X117" s="154">
        <f ca="1">IF($C117="S",IF(Import.TipoArredondamento&lt;&gt;"TransfereGOV",VTOTAL1,SUM(OFFSET(CÁLCULO!$AA$15,ROW($X117)-ROW($X$15),1):OFFSET(CÁLCULO!$AL$15,ROW($X117)-ROW($X$15),-1))),IF($C117=0,0,ROUND(SomaAgrup,15-13*$AF$11)))</f>
        <v>0</v>
      </c>
      <c r="Y117" s="155" t="s">
        <v>245</v>
      </c>
      <c r="Z117" t="str">
        <f t="shared" ca="1" si="89"/>
        <v/>
      </c>
      <c r="AA117" s="156">
        <f ca="1">IF($C117="S",IF($Z117="CP",$X117,IF($Z117="RA",(($X117)*QCI!$AA$3),0)),SomaAgrup)</f>
        <v>0</v>
      </c>
      <c r="AB117" s="157">
        <f t="shared" ca="1" si="90"/>
        <v>0</v>
      </c>
      <c r="AC117" s="158" t="str">
        <f ca="1">IF($N117="","",IF(ORÇAMENTO.Descricao="","DESCRIÇÃO",IF(AND($C117="S",ORÇAMENTO.Unidade=""),"UNIDADE",IF($X117&lt;0,"VALOR NEGATIVO",IF(OR(AND(TIPOORCAMENTO="Proposto",$AG117&lt;&gt;"",$AG117&gt;0,ORÇAMENTO.CustoUnitario&gt;$AG117),AND(TIPOORCAMENTO="LICITADO",ORÇAMENTO.PrecoUnitarioLicitado&gt;$AN117)),"ACIMA REF.","")))))</f>
        <v/>
      </c>
      <c r="AD117" s="682" t="str">
        <f ca="1">IF(C117&lt;=CRONO.NivelExibicao,MAX($AD$15:OFFSET(AD117,-1,0))+IF($C117&lt;&gt;1,1,MAX(1,COUNTIF(QCI!$A$13:$A$24,OFFSET($E117,-1,0)))),"")</f>
        <v/>
      </c>
      <c r="AE117" s="114" t="str">
        <f ca="1">IF(AND($C117="S",ORÇAMENTO.CodBarra&lt;&gt;""),IF(ORÇAMENTO.Fonte="",ORÇAMENTO.CodBarra,CONCATENATE(ORÇAMENTO.Fonte," ",ORÇAMENTO.CodBarra)))</f>
        <v>SINAPI 92027</v>
      </c>
      <c r="AF117" s="159">
        <f ca="1">IF(ISERROR(INDIRECT(ORÇAMENTO.BancoRef)),"(abra o arquivo 'Referência "&amp;Excel_BuiltIn_Database&amp;".xlsm)",IF(OR($C117&lt;&gt;"S",ORÇAMENTO.CodBarra=""),"(Sem Código)",IF(ISERROR(MATCH($AE117,INDIRECT(ORÇAMENTO.BancoRef),0)),"(Código não identificado nas referências)",MATCH($AE117,INDIRECT(ORÇAMENTO.BancoRef),0))))</f>
        <v>8090</v>
      </c>
      <c r="AG117" s="578">
        <f ca="1">ROUND(IF(DESONERACAO="sim",REFERENCIA.Desonerado,REFERENCIA.NaoDesonerado),2)</f>
        <v>71.459999999999994</v>
      </c>
      <c r="AH117" s="579">
        <f t="shared" ca="1" si="91"/>
        <v>0.2034</v>
      </c>
      <c r="AJ117" s="581">
        <v>1</v>
      </c>
      <c r="AL117" s="611"/>
      <c r="AM117" s="430">
        <f t="shared" ca="1" si="93"/>
        <v>0</v>
      </c>
      <c r="AN117" s="654">
        <f t="shared" ca="1" si="92"/>
        <v>0</v>
      </c>
    </row>
    <row r="118" spans="1:40" ht="38.25" x14ac:dyDescent="0.2">
      <c r="A118" t="str">
        <f>CHOOSE(1+LOG(1+2*(ORÇAMENTO.Nivel="Meta")+4*(ORÇAMENTO.Nivel="Nível 2")+8*(ORÇAMENTO.Nivel="Nível 3")+16*(ORÇAMENTO.Nivel="Nível 4")+32*(ORÇAMENTO.Nivel="Serviço"),2),0,1,2,3,4,"S")</f>
        <v>S</v>
      </c>
      <c r="B118">
        <f ca="1">IF(OR(C118="s",C118=0),OFFSET(B118,-1,0),C118)</f>
        <v>2</v>
      </c>
      <c r="C118" t="str">
        <f ca="1">IF(OFFSET(C118,-1,0)="L",1,IF(OFFSET(C118,-1,0)=1,2,IF(OR(A118="s",A118=0),"S",IF(AND(OFFSET(C118,-1,0)=2,A118=4),3,IF(AND(OR(OFFSET(C118,-1,0)="s",OFFSET(C118,-1,0)=0),A118&lt;&gt;"s",A118&gt;OFFSET(B118,-1,0)),OFFSET(B118,-1,0),A118)))))</f>
        <v>S</v>
      </c>
      <c r="D118">
        <f ca="1">IF(OR(C118="S",C118=0),0,IF(ISERROR(K118),J118,SMALL(J118:K118,1)))</f>
        <v>0</v>
      </c>
      <c r="E118">
        <f ca="1">IF($C118=1,OFFSET(E118,-1,0)+MAX(1,COUNTIF(QCI!$A$13:$A$24,OFFSET(ORÇAMENTO!E118,-1,0))),OFFSET(E118,-1,0))</f>
        <v>1</v>
      </c>
      <c r="F118">
        <f ca="1">IF($C118=1,0,IF($C118=2,OFFSET(F118,-1,0)+1,OFFSET(F118,-1,0)))</f>
        <v>18</v>
      </c>
      <c r="G118">
        <f ca="1">IF(AND($C118&lt;=2,$C118&lt;&gt;0),0,IF($C118=3,OFFSET(G118,-1,0)+1,OFFSET(G118,-1,0)))</f>
        <v>0</v>
      </c>
      <c r="H118">
        <f ca="1">IF(AND($C118&lt;=3,$C118&lt;&gt;0),0,IF($C118=4,OFFSET(H118,-1,0)+1,OFFSET(H118,-1,0)))</f>
        <v>0</v>
      </c>
      <c r="I118">
        <f ca="1">IF(AND($C118&lt;=4,$C118&lt;&gt;0),0,IF(AND($C118="S",$X118&gt;0),OFFSET(I118,-1,0)+1,OFFSET(I118,-1,0)))</f>
        <v>0</v>
      </c>
      <c r="J118">
        <f t="shared" ca="1" si="94"/>
        <v>0</v>
      </c>
      <c r="K118">
        <f ca="1">IF(OR($C118="S",$C118=0),0,MATCH(OFFSET($D118,0,$C118)+IF($C118&lt;&gt;1,1,COUNTIF(QCI!$A$13:$A$24,ORÇAMENTO!E118)),OFFSET($D118,1,$C118,ROW($C$192)-ROW($C118)),0))</f>
        <v>0</v>
      </c>
      <c r="L118" s="143" t="str">
        <f ca="1">IF(OR($X118&gt;0,$C118=1,$C118=2,$C118=3,$C118=4),"F","")</f>
        <v/>
      </c>
      <c r="M118" s="144" t="s">
        <v>199</v>
      </c>
      <c r="N118" s="145" t="str">
        <f ca="1">CHOOSE(1+LOG(1+2*(C118=1)+4*(C118=2)+8*(C118=3)+16*(C118=4)+32*(C118="S"),2),"","Meta","Nível 2","Nível 3","Nível 4","Serviço")</f>
        <v>Serviço</v>
      </c>
      <c r="O118" s="146" t="str">
        <f ca="1">IF(OR($C118=0,$L118=""),"-",CONCATENATE(E118&amp;".",IF(AND($A$5&gt;=2,$C118&gt;=2),F118&amp;".",""),IF(AND($A$5&gt;=3,$C118&gt;=3),G118&amp;".",""),IF(AND($A$5&gt;=4,$C118&gt;=4),H118&amp;".",""),IF($C118="S",I118&amp;".","")))</f>
        <v>-</v>
      </c>
      <c r="P118" s="147" t="s">
        <v>247</v>
      </c>
      <c r="Q118" s="148" t="s">
        <v>591</v>
      </c>
      <c r="R118" s="149" t="s">
        <v>712</v>
      </c>
      <c r="S118" s="150" t="s">
        <v>778</v>
      </c>
      <c r="T118" s="151">
        <f ca="1">OFFSET(CÁLCULO!H$15,ROW($T118)-ROW(T$15),0)</f>
        <v>71</v>
      </c>
      <c r="U118" s="152"/>
      <c r="V118" s="153" t="s">
        <v>156</v>
      </c>
      <c r="W118" s="151">
        <f ca="1">IF($C118="S",ROUND(IF(TIPOORCAMENTO="Proposto",ORÇAMENTO.CustoUnitario*(1+$AH118),ORÇAMENTO.PrecoUnitarioLicitado),15-13*$AF$10),0)</f>
        <v>0</v>
      </c>
      <c r="X118" s="154">
        <f ca="1">IF($C118="S",IF(Import.TipoArredondamento&lt;&gt;"TransfereGOV",VTOTAL1,SUM(OFFSET(CÁLCULO!$AA$15,ROW($X118)-ROW($X$15),1):OFFSET(CÁLCULO!$AL$15,ROW($X118)-ROW($X$15),-1))),IF($C118=0,0,ROUND(SomaAgrup,15-13*$AF$11)))</f>
        <v>0</v>
      </c>
      <c r="Y118" s="155" t="s">
        <v>245</v>
      </c>
      <c r="Z118" t="str">
        <f ca="1">IF(AND($C118="S",$X118&gt;0),IF(ISBLANK($Y118),"RA",LEFT($Y118,2)),"")</f>
        <v/>
      </c>
      <c r="AA118" s="156">
        <f ca="1">IF($C118="S",IF($Z118="CP",$X118,IF($Z118="RA",(($X118)*QCI!$AA$3),0)),SomaAgrup)</f>
        <v>0</v>
      </c>
      <c r="AB118" s="157">
        <f ca="1">IF($C118="S",IF($Z118="OU",ROUND($X118,2),0),SomaAgrup)</f>
        <v>0</v>
      </c>
      <c r="AC118" s="158" t="str">
        <f ca="1">IF($N118="","",IF(ORÇAMENTO.Descricao="","DESCRIÇÃO",IF(AND($C118="S",ORÇAMENTO.Unidade=""),"UNIDADE",IF($X118&lt;0,"VALOR NEGATIVO",IF(OR(AND(TIPOORCAMENTO="Proposto",$AG118&lt;&gt;"",$AG118&gt;0,ORÇAMENTO.CustoUnitario&gt;$AG118),AND(TIPOORCAMENTO="LICITADO",ORÇAMENTO.PrecoUnitarioLicitado&gt;$AN118)),"ACIMA REF.","")))))</f>
        <v/>
      </c>
      <c r="AD118" s="688" t="str">
        <f ca="1">IF(C118&lt;=CRONO.NivelExibicao,MAX($AD$15:OFFSET(AD118,-1,0))+IF($C118&lt;&gt;1,1,MAX(1,COUNTIF(QCI!$A$13:$A$24,OFFSET($E118,-1,0)))),"")</f>
        <v/>
      </c>
      <c r="AE118" s="114" t="str">
        <f ca="1">IF(AND($C118="S",ORÇAMENTO.CodBarra&lt;&gt;""),IF(ORÇAMENTO.Fonte="",ORÇAMENTO.CodBarra,CONCATENATE(ORÇAMENTO.Fonte," ",ORÇAMENTO.CodBarra)))</f>
        <v>SINAPI 92868</v>
      </c>
      <c r="AF118" s="159">
        <f ca="1">IF(ISERROR(INDIRECT(ORÇAMENTO.BancoRef)),"(abra o arquivo 'Referência "&amp;Excel_BuiltIn_Database&amp;".xlsm)",IF(OR($C118&lt;&gt;"S",ORÇAMENTO.CodBarra=""),"(Sem Código)",IF(ISERROR(MATCH($AE118,INDIRECT(ORÇAMENTO.BancoRef),0)),"(Código não identificado nas referências)",MATCH($AE118,INDIRECT(ORÇAMENTO.BancoRef),0))))</f>
        <v>7898</v>
      </c>
      <c r="AG118" s="578">
        <f ca="1">ROUND(IF(DESONERACAO="sim",REFERENCIA.Desonerado,REFERENCIA.NaoDesonerado),2)</f>
        <v>17.52</v>
      </c>
      <c r="AH118" s="579">
        <f ca="1">ROUND(IF(ISNUMBER(ORÇAMENTO.OpcaoBDI),ORÇAMENTO.OpcaoBDI,IF(LEFT(ORÇAMENTO.OpcaoBDI,3)="BDI",HLOOKUP(ORÇAMENTO.OpcaoBDI,$F$4:$H$5,2,FALSE),0)),15-11*$AF$9)</f>
        <v>0.2034</v>
      </c>
      <c r="AJ118" s="581">
        <f>67+4</f>
        <v>71</v>
      </c>
      <c r="AL118" s="611"/>
      <c r="AM118" s="430">
        <f t="shared" ca="1" si="93"/>
        <v>0</v>
      </c>
      <c r="AN118" s="654">
        <f ca="1">ROUND(ORÇAMENTO.CustoUnitario*(1+$AH118),2)</f>
        <v>0</v>
      </c>
    </row>
    <row r="119" spans="1:40" ht="25.5" x14ac:dyDescent="0.2">
      <c r="A119" t="str">
        <f>CHOOSE(1+LOG(1+2*(ORÇAMENTO.Nivel="Meta")+4*(ORÇAMENTO.Nivel="Nível 2")+8*(ORÇAMENTO.Nivel="Nível 3")+16*(ORÇAMENTO.Nivel="Nível 4")+32*(ORÇAMENTO.Nivel="Serviço"),2),0,1,2,3,4,"S")</f>
        <v>S</v>
      </c>
      <c r="B119">
        <f ca="1">IF(OR(C119="s",C119=0),OFFSET(B119,-1,0),C119)</f>
        <v>2</v>
      </c>
      <c r="C119" t="str">
        <f ca="1">IF(OFFSET(C119,-1,0)="L",1,IF(OFFSET(C119,-1,0)=1,2,IF(OR(A119="s",A119=0),"S",IF(AND(OFFSET(C119,-1,0)=2,A119=4),3,IF(AND(OR(OFFSET(C119,-1,0)="s",OFFSET(C119,-1,0)=0),A119&lt;&gt;"s",A119&gt;OFFSET(B119,-1,0)),OFFSET(B119,-1,0),A119)))))</f>
        <v>S</v>
      </c>
      <c r="D119">
        <f ca="1">IF(OR(C119="S",C119=0),0,IF(ISERROR(K119),J119,SMALL(J119:K119,1)))</f>
        <v>0</v>
      </c>
      <c r="E119">
        <f ca="1">IF($C119=1,OFFSET(E119,-1,0)+MAX(1,COUNTIF(QCI!$A$13:$A$24,OFFSET(ORÇAMENTO!E119,-1,0))),OFFSET(E119,-1,0))</f>
        <v>1</v>
      </c>
      <c r="F119">
        <f ca="1">IF($C119=1,0,IF($C119=2,OFFSET(F119,-1,0)+1,OFFSET(F119,-1,0)))</f>
        <v>18</v>
      </c>
      <c r="G119">
        <f ca="1">IF(AND($C119&lt;=2,$C119&lt;&gt;0),0,IF($C119=3,OFFSET(G119,-1,0)+1,OFFSET(G119,-1,0)))</f>
        <v>0</v>
      </c>
      <c r="H119">
        <f ca="1">IF(AND($C119&lt;=3,$C119&lt;&gt;0),0,IF($C119=4,OFFSET(H119,-1,0)+1,OFFSET(H119,-1,0)))</f>
        <v>0</v>
      </c>
      <c r="I119">
        <f ca="1">IF(AND($C119&lt;=4,$C119&lt;&gt;0),0,IF(AND($C119="S",$X119&gt;0),OFFSET(I119,-1,0)+1,OFFSET(I119,-1,0)))</f>
        <v>0</v>
      </c>
      <c r="J119">
        <f t="shared" ca="1" si="94"/>
        <v>0</v>
      </c>
      <c r="K119">
        <f ca="1">IF(OR($C119="S",$C119=0),0,MATCH(OFFSET($D119,0,$C119)+IF($C119&lt;&gt;1,1,COUNTIF(QCI!$A$13:$A$24,ORÇAMENTO!E119)),OFFSET($D119,1,$C119,ROW($C$192)-ROW($C119)),0))</f>
        <v>0</v>
      </c>
      <c r="L119" s="143" t="str">
        <f ca="1">IF(OR($X119&gt;0,$C119=1,$C119=2,$C119=3,$C119=4),"F","")</f>
        <v/>
      </c>
      <c r="M119" s="144" t="s">
        <v>199</v>
      </c>
      <c r="N119" s="145" t="str">
        <f ca="1">CHOOSE(1+LOG(1+2*(C119=1)+4*(C119=2)+8*(C119=3)+16*(C119=4)+32*(C119="S"),2),"","Meta","Nível 2","Nível 3","Nível 4","Serviço")</f>
        <v>Serviço</v>
      </c>
      <c r="O119" s="146" t="str">
        <f ca="1">IF(OR($C119=0,$L119=""),"-",CONCATENATE(E119&amp;".",IF(AND($A$5&gt;=2,$C119&gt;=2),F119&amp;".",""),IF(AND($A$5&gt;=3,$C119&gt;=3),G119&amp;".",""),IF(AND($A$5&gt;=4,$C119&gt;=4),H119&amp;".",""),IF($C119="S",I119&amp;".","")))</f>
        <v>-</v>
      </c>
      <c r="P119" s="147" t="s">
        <v>453</v>
      </c>
      <c r="Q119" s="148" t="s">
        <v>592</v>
      </c>
      <c r="R119" s="149" t="s">
        <v>713</v>
      </c>
      <c r="S119" s="150" t="s">
        <v>785</v>
      </c>
      <c r="T119" s="151">
        <f ca="1">OFFSET(CÁLCULO!H$15,ROW($T119)-ROW(T$15),0)</f>
        <v>7</v>
      </c>
      <c r="U119" s="152"/>
      <c r="V119" s="153" t="s">
        <v>156</v>
      </c>
      <c r="W119" s="151">
        <f ca="1">IF($C119="S",ROUND(IF(TIPOORCAMENTO="Proposto",ORÇAMENTO.CustoUnitario*(1+$AH119),ORÇAMENTO.PrecoUnitarioLicitado),15-13*$AF$10),0)</f>
        <v>0</v>
      </c>
      <c r="X119" s="154">
        <f ca="1">IF($C119="S",IF(Import.TipoArredondamento&lt;&gt;"TransfereGOV",VTOTAL1,SUM(OFFSET(CÁLCULO!$AA$15,ROW($X119)-ROW($X$15),1):OFFSET(CÁLCULO!$AL$15,ROW($X119)-ROW($X$15),-1))),IF($C119=0,0,ROUND(SomaAgrup,15-13*$AF$11)))</f>
        <v>0</v>
      </c>
      <c r="Y119" s="155" t="s">
        <v>245</v>
      </c>
      <c r="Z119" t="str">
        <f ca="1">IF(AND($C119="S",$X119&gt;0),IF(ISBLANK($Y119),"RA",LEFT($Y119,2)),"")</f>
        <v/>
      </c>
      <c r="AA119" s="156">
        <f ca="1">IF($C119="S",IF($Z119="CP",$X119,IF($Z119="RA",(($X119)*QCI!$AA$3),0)),SomaAgrup)</f>
        <v>0</v>
      </c>
      <c r="AB119" s="157">
        <f ca="1">IF($C119="S",IF($Z119="OU",ROUND($X119,2),0),SomaAgrup)</f>
        <v>0</v>
      </c>
      <c r="AC119" s="158" t="str">
        <f ca="1">IF($N119="","",IF(ORÇAMENTO.Descricao="","DESCRIÇÃO",IF(AND($C119="S",ORÇAMENTO.Unidade=""),"UNIDADE",IF($X119&lt;0,"VALOR NEGATIVO",IF(OR(AND(TIPOORCAMENTO="Proposto",$AG119&lt;&gt;"",$AG119&gt;0,ORÇAMENTO.CustoUnitario&gt;$AG119),AND(TIPOORCAMENTO="LICITADO",ORÇAMENTO.PrecoUnitarioLicitado&gt;$AN119)),"ACIMA REF.","")))))</f>
        <v/>
      </c>
      <c r="AD119" s="688" t="str">
        <f ca="1">IF(C119&lt;=CRONO.NivelExibicao,MAX($AD$15:OFFSET(AD119,-1,0))+IF($C119&lt;&gt;1,1,MAX(1,COUNTIF(QCI!$A$13:$A$24,OFFSET($E119,-1,0)))),"")</f>
        <v/>
      </c>
      <c r="AE119" s="114" t="str">
        <f ca="1">IF(AND($C119="S",ORÇAMENTO.CodBarra&lt;&gt;""),IF(ORÇAMENTO.Fonte="",ORÇAMENTO.CodBarra,CONCATENATE(ORÇAMENTO.Fonte," ",ORÇAMENTO.CodBarra)))</f>
        <v>SINAPI-I 38091</v>
      </c>
      <c r="AF119" s="159">
        <f ca="1">IF(ISERROR(INDIRECT(ORÇAMENTO.BancoRef)),"(abra o arquivo 'Referência "&amp;Excel_BuiltIn_Database&amp;".xlsm)",IF(OR($C119&lt;&gt;"S",ORÇAMENTO.CodBarra=""),"(Sem Código)",IF(ISERROR(MATCH($AE119,INDIRECT(ORÇAMENTO.BancoRef),0)),"(Código não identificado nas referências)",MATCH($AE119,INDIRECT(ORÇAMENTO.BancoRef),0))))</f>
        <v>1944</v>
      </c>
      <c r="AG119" s="578">
        <f ca="1">ROUND(IF(DESONERACAO="sim",REFERENCIA.Desonerado,REFERENCIA.NaoDesonerado),2)</f>
        <v>2.79</v>
      </c>
      <c r="AH119" s="579">
        <f ca="1">ROUND(IF(ISNUMBER(ORÇAMENTO.OpcaoBDI),ORÇAMENTO.OpcaoBDI,IF(LEFT(ORÇAMENTO.OpcaoBDI,3)="BDI",HLOOKUP(ORÇAMENTO.OpcaoBDI,$F$4:$H$5,2,FALSE),0)),15-11*$AF$9)</f>
        <v>0.2034</v>
      </c>
      <c r="AJ119" s="581">
        <v>7</v>
      </c>
      <c r="AL119" s="611"/>
      <c r="AM119" s="430">
        <f t="shared" ca="1" si="93"/>
        <v>0</v>
      </c>
      <c r="AN119" s="654">
        <f ca="1">ROUND(ORÇAMENTO.CustoUnitario*(1+$AH119),2)</f>
        <v>0</v>
      </c>
    </row>
    <row r="120" spans="1:40" ht="25.5" x14ac:dyDescent="0.2">
      <c r="A120" t="str">
        <f>CHOOSE(1+LOG(1+2*(ORÇAMENTO.Nivel="Meta")+4*(ORÇAMENTO.Nivel="Nível 2")+8*(ORÇAMENTO.Nivel="Nível 3")+16*(ORÇAMENTO.Nivel="Nível 4")+32*(ORÇAMENTO.Nivel="Serviço"),2),0,1,2,3,4,"S")</f>
        <v>S</v>
      </c>
      <c r="B120">
        <f ca="1">IF(OR(C120="s",C120=0),OFFSET(B120,-1,0),C120)</f>
        <v>2</v>
      </c>
      <c r="C120" t="str">
        <f ca="1">IF(OFFSET(C120,-1,0)="L",1,IF(OFFSET(C120,-1,0)=1,2,IF(OR(A120="s",A120=0),"S",IF(AND(OFFSET(C120,-1,0)=2,A120=4),3,IF(AND(OR(OFFSET(C120,-1,0)="s",OFFSET(C120,-1,0)=0),A120&lt;&gt;"s",A120&gt;OFFSET(B120,-1,0)),OFFSET(B120,-1,0),A120)))))</f>
        <v>S</v>
      </c>
      <c r="D120">
        <f ca="1">IF(OR(C120="S",C120=0),0,IF(ISERROR(K120),J120,SMALL(J120:K120,1)))</f>
        <v>0</v>
      </c>
      <c r="E120">
        <f ca="1">IF($C120=1,OFFSET(E120,-1,0)+MAX(1,COUNTIF(QCI!$A$13:$A$24,OFFSET(ORÇAMENTO!E120,-1,0))),OFFSET(E120,-1,0))</f>
        <v>1</v>
      </c>
      <c r="F120">
        <f ca="1">IF($C120=1,0,IF($C120=2,OFFSET(F120,-1,0)+1,OFFSET(F120,-1,0)))</f>
        <v>18</v>
      </c>
      <c r="G120">
        <f ca="1">IF(AND($C120&lt;=2,$C120&lt;&gt;0),0,IF($C120=3,OFFSET(G120,-1,0)+1,OFFSET(G120,-1,0)))</f>
        <v>0</v>
      </c>
      <c r="H120">
        <f ca="1">IF(AND($C120&lt;=3,$C120&lt;&gt;0),0,IF($C120=4,OFFSET(H120,-1,0)+1,OFFSET(H120,-1,0)))</f>
        <v>0</v>
      </c>
      <c r="I120">
        <f ca="1">IF(AND($C120&lt;=4,$C120&lt;&gt;0),0,IF(AND($C120="S",$X120&gt;0),OFFSET(I120,-1,0)+1,OFFSET(I120,-1,0)))</f>
        <v>0</v>
      </c>
      <c r="J120">
        <f t="shared" ca="1" si="94"/>
        <v>0</v>
      </c>
      <c r="K120">
        <f ca="1">IF(OR($C120="S",$C120=0),0,MATCH(OFFSET($D120,0,$C120)+IF($C120&lt;&gt;1,1,COUNTIF(QCI!$A$13:$A$24,ORÇAMENTO!E120)),OFFSET($D120,1,$C120,ROW($C$192)-ROW($C120)),0))</f>
        <v>0</v>
      </c>
      <c r="L120" s="143" t="str">
        <f ca="1">IF(OR($X120&gt;0,$C120=1,$C120=2,$C120=3,$C120=4),"F","")</f>
        <v/>
      </c>
      <c r="M120" s="144" t="s">
        <v>199</v>
      </c>
      <c r="N120" s="145" t="str">
        <f ca="1">CHOOSE(1+LOG(1+2*(C120=1)+4*(C120=2)+8*(C120=3)+16*(C120=4)+32*(C120="S"),2),"","Meta","Nível 2","Nível 3","Nível 4","Serviço")</f>
        <v>Serviço</v>
      </c>
      <c r="O120" s="146" t="str">
        <f ca="1">IF(OR($C120=0,$L120=""),"-",CONCATENATE(E120&amp;".",IF(AND($A$5&gt;=2,$C120&gt;=2),F120&amp;".",""),IF(AND($A$5&gt;=3,$C120&gt;=3),G120&amp;".",""),IF(AND($A$5&gt;=4,$C120&gt;=4),H120&amp;".",""),IF($C120="S",I120&amp;".","")))</f>
        <v>-</v>
      </c>
      <c r="P120" s="147" t="s">
        <v>453</v>
      </c>
      <c r="Q120" s="148" t="s">
        <v>628</v>
      </c>
      <c r="R120" s="149" t="s">
        <v>714</v>
      </c>
      <c r="S120" s="150" t="s">
        <v>785</v>
      </c>
      <c r="T120" s="151">
        <f ca="1">OFFSET(CÁLCULO!H$15,ROW($T120)-ROW(T$15),0)</f>
        <v>1</v>
      </c>
      <c r="U120" s="152"/>
      <c r="V120" s="153" t="s">
        <v>156</v>
      </c>
      <c r="W120" s="151">
        <f ca="1">IF($C120="S",ROUND(IF(TIPOORCAMENTO="Proposto",ORÇAMENTO.CustoUnitario*(1+$AH120),ORÇAMENTO.PrecoUnitarioLicitado),15-13*$AF$10),0)</f>
        <v>0</v>
      </c>
      <c r="X120" s="154">
        <f ca="1">IF($C120="S",IF(Import.TipoArredondamento&lt;&gt;"TransfereGOV",VTOTAL1,SUM(OFFSET(CÁLCULO!$AA$15,ROW($X120)-ROW($X$15),1):OFFSET(CÁLCULO!$AL$15,ROW($X120)-ROW($X$15),-1))),IF($C120=0,0,ROUND(SomaAgrup,15-13*$AF$11)))</f>
        <v>0</v>
      </c>
      <c r="Y120" s="155" t="s">
        <v>245</v>
      </c>
      <c r="Z120" t="str">
        <f ca="1">IF(AND($C120="S",$X120&gt;0),IF(ISBLANK($Y120),"RA",LEFT($Y120,2)),"")</f>
        <v/>
      </c>
      <c r="AA120" s="156">
        <f ca="1">IF($C120="S",IF($Z120="CP",$X120,IF($Z120="RA",(($X120)*QCI!$AA$3),0)),SomaAgrup)</f>
        <v>0</v>
      </c>
      <c r="AB120" s="157">
        <f ca="1">IF($C120="S",IF($Z120="OU",ROUND($X120,2),0),SomaAgrup)</f>
        <v>0</v>
      </c>
      <c r="AC120" s="158" t="str">
        <f ca="1">IF($N120="","",IF(ORÇAMENTO.Descricao="","DESCRIÇÃO",IF(AND($C120="S",ORÇAMENTO.Unidade=""),"UNIDADE",IF($X120&lt;0,"VALOR NEGATIVO",IF(OR(AND(TIPOORCAMENTO="Proposto",$AG120&lt;&gt;"",$AG120&gt;0,ORÇAMENTO.CustoUnitario&gt;$AG120),AND(TIPOORCAMENTO="LICITADO",ORÇAMENTO.PrecoUnitarioLicitado&gt;$AN120)),"ACIMA REF.","")))))</f>
        <v/>
      </c>
      <c r="AD120" s="682" t="str">
        <f ca="1">IF(C120&lt;=CRONO.NivelExibicao,MAX($AD$15:OFFSET(AD120,-1,0))+IF($C120&lt;&gt;1,1,MAX(1,COUNTIF(QCI!$A$13:$A$24,OFFSET($E120,-1,0)))),"")</f>
        <v/>
      </c>
      <c r="AE120" s="114" t="str">
        <f ca="1">IF(AND($C120="S",ORÇAMENTO.CodBarra&lt;&gt;""),IF(ORÇAMENTO.Fonte="",ORÇAMENTO.CodBarra,CONCATENATE(ORÇAMENTO.Fonte," ",ORÇAMENTO.CodBarra)))</f>
        <v>SINAPI-I 34729</v>
      </c>
      <c r="AF120" s="159">
        <f ca="1">IF(ISERROR(INDIRECT(ORÇAMENTO.BancoRef)),"(abra o arquivo 'Referência "&amp;Excel_BuiltIn_Database&amp;".xlsm)",IF(OR($C120&lt;&gt;"S",ORÇAMENTO.CodBarra=""),"(Sem Código)",IF(ISERROR(MATCH($AE120,INDIRECT(ORÇAMENTO.BancoRef),0)),"(Código não identificado nas referências)",MATCH($AE120,INDIRECT(ORÇAMENTO.BancoRef),0))))</f>
        <v>1695</v>
      </c>
      <c r="AG120" s="578">
        <f ca="1">ROUND(IF(DESONERACAO="sim",REFERENCIA.Desonerado,REFERENCIA.NaoDesonerado),2)</f>
        <v>1029.45</v>
      </c>
      <c r="AH120" s="579">
        <f ca="1">ROUND(IF(ISNUMBER(ORÇAMENTO.OpcaoBDI),ORÇAMENTO.OpcaoBDI,IF(LEFT(ORÇAMENTO.OpcaoBDI,3)="BDI",HLOOKUP(ORÇAMENTO.OpcaoBDI,$F$4:$H$5,2,FALSE),0)),15-11*$AF$9)</f>
        <v>0.2034</v>
      </c>
      <c r="AJ120" s="581">
        <v>1</v>
      </c>
      <c r="AL120" s="611"/>
      <c r="AM120" s="430">
        <f t="shared" ca="1" si="93"/>
        <v>0</v>
      </c>
      <c r="AN120" s="654">
        <f ca="1">ROUND(ORÇAMENTO.CustoUnitario*(1+$AH120),2)</f>
        <v>0</v>
      </c>
    </row>
    <row r="121" spans="1:40" ht="25.5" x14ac:dyDescent="0.2">
      <c r="A121" t="str">
        <f>CHOOSE(1+LOG(1+2*(ORÇAMENTO.Nivel="Meta")+4*(ORÇAMENTO.Nivel="Nível 2")+8*(ORÇAMENTO.Nivel="Nível 3")+16*(ORÇAMENTO.Nivel="Nível 4")+32*(ORÇAMENTO.Nivel="Serviço"),2),0,1,2,3,4,"S")</f>
        <v>S</v>
      </c>
      <c r="B121">
        <f ca="1">IF(OR(C121="s",C121=0),OFFSET(B121,-1,0),C121)</f>
        <v>2</v>
      </c>
      <c r="C121" t="str">
        <f ca="1">IF(OFFSET(C121,-1,0)="L",1,IF(OFFSET(C121,-1,0)=1,2,IF(OR(A121="s",A121=0),"S",IF(AND(OFFSET(C121,-1,0)=2,A121=4),3,IF(AND(OR(OFFSET(C121,-1,0)="s",OFFSET(C121,-1,0)=0),A121&lt;&gt;"s",A121&gt;OFFSET(B121,-1,0)),OFFSET(B121,-1,0),A121)))))</f>
        <v>S</v>
      </c>
      <c r="D121">
        <f ca="1">IF(OR(C121="S",C121=0),0,IF(ISERROR(K121),J121,SMALL(J121:K121,1)))</f>
        <v>0</v>
      </c>
      <c r="E121">
        <f ca="1">IF($C121=1,OFFSET(E121,-1,0)+MAX(1,COUNTIF(QCI!$A$13:$A$24,OFFSET(ORÇAMENTO!E121,-1,0))),OFFSET(E121,-1,0))</f>
        <v>1</v>
      </c>
      <c r="F121">
        <f ca="1">IF($C121=1,0,IF($C121=2,OFFSET(F121,-1,0)+1,OFFSET(F121,-1,0)))</f>
        <v>18</v>
      </c>
      <c r="G121">
        <f ca="1">IF(AND($C121&lt;=2,$C121&lt;&gt;0),0,IF($C121=3,OFFSET(G121,-1,0)+1,OFFSET(G121,-1,0)))</f>
        <v>0</v>
      </c>
      <c r="H121">
        <f ca="1">IF(AND($C121&lt;=3,$C121&lt;&gt;0),0,IF($C121=4,OFFSET(H121,-1,0)+1,OFFSET(H121,-1,0)))</f>
        <v>0</v>
      </c>
      <c r="I121">
        <f ca="1">IF(AND($C121&lt;=4,$C121&lt;&gt;0),0,IF(AND($C121="S",$X121&gt;0),OFFSET(I121,-1,0)+1,OFFSET(I121,-1,0)))</f>
        <v>0</v>
      </c>
      <c r="J121">
        <f t="shared" ca="1" si="94"/>
        <v>0</v>
      </c>
      <c r="K121">
        <f ca="1">IF(OR($C121="S",$C121=0),0,MATCH(OFFSET($D121,0,$C121)+IF($C121&lt;&gt;1,1,COUNTIF(QCI!$A$13:$A$24,ORÇAMENTO!E121)),OFFSET($D121,1,$C121,ROW($C$192)-ROW($C121)),0))</f>
        <v>0</v>
      </c>
      <c r="L121" s="143" t="str">
        <f ca="1">IF(OR($X121&gt;0,$C121=1,$C121=2,$C121=3,$C121=4),"F","")</f>
        <v/>
      </c>
      <c r="M121" s="144" t="s">
        <v>199</v>
      </c>
      <c r="N121" s="145" t="str">
        <f ca="1">CHOOSE(1+LOG(1+2*(C121=1)+4*(C121=2)+8*(C121=3)+16*(C121=4)+32*(C121="S"),2),"","Meta","Nível 2","Nível 3","Nível 4","Serviço")</f>
        <v>Serviço</v>
      </c>
      <c r="O121" s="146" t="str">
        <f ca="1">IF(OR($C121=0,$L121=""),"-",CONCATENATE(E121&amp;".",IF(AND($A$5&gt;=2,$C121&gt;=2),F121&amp;".",""),IF(AND($A$5&gt;=3,$C121&gt;=3),G121&amp;".",""),IF(AND($A$5&gt;=4,$C121&gt;=4),H121&amp;".",""),IF($C121="S",I121&amp;".","")))</f>
        <v>-</v>
      </c>
      <c r="P121" s="147" t="s">
        <v>453</v>
      </c>
      <c r="Q121" s="148" t="s">
        <v>629</v>
      </c>
      <c r="R121" s="149" t="s">
        <v>715</v>
      </c>
      <c r="S121" s="150" t="s">
        <v>785</v>
      </c>
      <c r="T121" s="151">
        <f ca="1">OFFSET(CÁLCULO!H$15,ROW($T121)-ROW(T$15),0)</f>
        <v>19</v>
      </c>
      <c r="U121" s="152"/>
      <c r="V121" s="153" t="s">
        <v>156</v>
      </c>
      <c r="W121" s="151">
        <f ca="1">IF($C121="S",ROUND(IF(TIPOORCAMENTO="Proposto",ORÇAMENTO.CustoUnitario*(1+$AH121),ORÇAMENTO.PrecoUnitarioLicitado),15-13*$AF$10),0)</f>
        <v>0</v>
      </c>
      <c r="X121" s="154">
        <f ca="1">IF($C121="S",IF(Import.TipoArredondamento&lt;&gt;"TransfereGOV",VTOTAL1,SUM(OFFSET(CÁLCULO!$AA$15,ROW($X121)-ROW($X$15),1):OFFSET(CÁLCULO!$AL$15,ROW($X121)-ROW($X$15),-1))),IF($C121=0,0,ROUND(SomaAgrup,15-13*$AF$11)))</f>
        <v>0</v>
      </c>
      <c r="Y121" s="155" t="s">
        <v>245</v>
      </c>
      <c r="Z121" t="str">
        <f ca="1">IF(AND($C121="S",$X121&gt;0),IF(ISBLANK($Y121),"RA",LEFT($Y121,2)),"")</f>
        <v/>
      </c>
      <c r="AA121" s="156">
        <f ca="1">IF($C121="S",IF($Z121="CP",$X121,IF($Z121="RA",(($X121)*QCI!$AA$3),0)),SomaAgrup)</f>
        <v>0</v>
      </c>
      <c r="AB121" s="157">
        <f ca="1">IF($C121="S",IF($Z121="OU",ROUND($X121,2),0),SomaAgrup)</f>
        <v>0</v>
      </c>
      <c r="AC121" s="158" t="str">
        <f ca="1">IF($N121="","",IF(ORÇAMENTO.Descricao="","DESCRIÇÃO",IF(AND($C121="S",ORÇAMENTO.Unidade=""),"UNIDADE",IF($X121&lt;0,"VALOR NEGATIVO",IF(OR(AND(TIPOORCAMENTO="Proposto",$AG121&lt;&gt;"",$AG121&gt;0,ORÇAMENTO.CustoUnitario&gt;$AG121),AND(TIPOORCAMENTO="LICITADO",ORÇAMENTO.PrecoUnitarioLicitado&gt;$AN121)),"ACIMA REF.","")))))</f>
        <v/>
      </c>
      <c r="AD121" s="694" t="str">
        <f ca="1">IF(C121&lt;=CRONO.NivelExibicao,MAX($AD$15:OFFSET(AD121,-1,0))+IF($C121&lt;&gt;1,1,MAX(1,COUNTIF(QCI!$A$13:$A$24,OFFSET($E121,-1,0)))),"")</f>
        <v/>
      </c>
      <c r="AE121" s="114" t="str">
        <f ca="1">IF(AND($C121="S",ORÇAMENTO.CodBarra&lt;&gt;""),IF(ORÇAMENTO.Fonte="",ORÇAMENTO.CodBarra,CONCATENATE(ORÇAMENTO.Fonte," ",ORÇAMENTO.CodBarra)))</f>
        <v>SINAPI-I 34653</v>
      </c>
      <c r="AF121" s="159">
        <f ca="1">IF(ISERROR(INDIRECT(ORÇAMENTO.BancoRef)),"(abra o arquivo 'Referência "&amp;Excel_BuiltIn_Database&amp;".xlsm)",IF(OR($C121&lt;&gt;"S",ORÇAMENTO.CodBarra=""),"(Sem Código)",IF(ISERROR(MATCH($AE121,INDIRECT(ORÇAMENTO.BancoRef),0)),"(Código não identificado nas referências)",MATCH($AE121,INDIRECT(ORÇAMENTO.BancoRef),0))))</f>
        <v>1702</v>
      </c>
      <c r="AG121" s="578">
        <f ca="1">ROUND(IF(DESONERACAO="sim",REFERENCIA.Desonerado,REFERENCIA.NaoDesonerado),2)</f>
        <v>7.9</v>
      </c>
      <c r="AH121" s="579">
        <f ca="1">ROUND(IF(ISNUMBER(ORÇAMENTO.OpcaoBDI),ORÇAMENTO.OpcaoBDI,IF(LEFT(ORÇAMENTO.OpcaoBDI,3)="BDI",HLOOKUP(ORÇAMENTO.OpcaoBDI,$F$4:$H$5,2,FALSE),0)),15-11*$AF$9)</f>
        <v>0.2034</v>
      </c>
      <c r="AJ121" s="581">
        <v>19</v>
      </c>
      <c r="AL121" s="611"/>
      <c r="AM121" s="430">
        <f t="shared" ca="1" si="93"/>
        <v>0</v>
      </c>
      <c r="AN121" s="654">
        <f ca="1">ROUND(ORÇAMENTO.CustoUnitario*(1+$AH121),2)</f>
        <v>0</v>
      </c>
    </row>
    <row r="122" spans="1:40" ht="25.5" x14ac:dyDescent="0.2">
      <c r="A122" t="str">
        <f t="shared" si="78"/>
        <v>S</v>
      </c>
      <c r="B122">
        <f t="shared" ref="B122:B149" ca="1" si="95">IF(OR(C122="s",C122=0),OFFSET(B122,-1,0),C122)</f>
        <v>2</v>
      </c>
      <c r="C122" t="str">
        <f t="shared" ref="C122:C149" ca="1" si="96">IF(OFFSET(C122,-1,0)="L",1,IF(OFFSET(C122,-1,0)=1,2,IF(OR(A122="s",A122=0),"S",IF(AND(OFFSET(C122,-1,0)=2,A122=4),3,IF(AND(OR(OFFSET(C122,-1,0)="s",OFFSET(C122,-1,0)=0),A122&lt;&gt;"s",A122&gt;OFFSET(B122,-1,0)),OFFSET(B122,-1,0),A122)))))</f>
        <v>S</v>
      </c>
      <c r="D122">
        <f t="shared" ref="D122:D149" ca="1" si="97">IF(OR(C122="S",C122=0),0,IF(ISERROR(K122),J122,SMALL(J122:K122,1)))</f>
        <v>0</v>
      </c>
      <c r="E122">
        <f ca="1">IF($C122=1,OFFSET(E122,-1,0)+MAX(1,COUNTIF(QCI!$A$13:$A$24,OFFSET(ORÇAMENTO!E122,-1,0))),OFFSET(E122,-1,0))</f>
        <v>1</v>
      </c>
      <c r="F122">
        <f t="shared" ref="F122:F149" ca="1" si="98">IF($C122=1,0,IF($C122=2,OFFSET(F122,-1,0)+1,OFFSET(F122,-1,0)))</f>
        <v>18</v>
      </c>
      <c r="G122">
        <f t="shared" ref="G122:G149" ca="1" si="99">IF(AND($C122&lt;=2,$C122&lt;&gt;0),0,IF($C122=3,OFFSET(G122,-1,0)+1,OFFSET(G122,-1,0)))</f>
        <v>0</v>
      </c>
      <c r="H122">
        <f t="shared" ref="H122:H149" ca="1" si="100">IF(AND($C122&lt;=3,$C122&lt;&gt;0),0,IF($C122=4,OFFSET(H122,-1,0)+1,OFFSET(H122,-1,0)))</f>
        <v>0</v>
      </c>
      <c r="I122">
        <f t="shared" ref="I122:I149" ca="1" si="101">IF(AND($C122&lt;=4,$C122&lt;&gt;0),0,IF(AND($C122="S",$X122&gt;0),OFFSET(I122,-1,0)+1,OFFSET(I122,-1,0)))</f>
        <v>0</v>
      </c>
      <c r="J122">
        <f t="shared" ca="1" si="94"/>
        <v>0</v>
      </c>
      <c r="K122">
        <f ca="1">IF(OR($C122="S",$C122=0),0,MATCH(OFFSET($D122,0,$C122)+IF($C122&lt;&gt;1,1,COUNTIF(QCI!$A$13:$A$24,ORÇAMENTO!E122)),OFFSET($D122,1,$C122,ROW($C$192)-ROW($C122)),0))</f>
        <v>0</v>
      </c>
      <c r="L122" s="143" t="str">
        <f t="shared" ref="L122:L149" ca="1" si="102">IF(OR($X122&gt;0,$C122=1,$C122=2,$C122=3,$C122=4),"F","")</f>
        <v/>
      </c>
      <c r="M122" s="144" t="s">
        <v>199</v>
      </c>
      <c r="N122" s="145" t="str">
        <f t="shared" ref="N122:N149" ca="1" si="103">CHOOSE(1+LOG(1+2*(C122=1)+4*(C122=2)+8*(C122=3)+16*(C122=4)+32*(C122="S"),2),"","Meta","Nível 2","Nível 3","Nível 4","Serviço")</f>
        <v>Serviço</v>
      </c>
      <c r="O122" s="146" t="str">
        <f t="shared" ref="O122:O149" ca="1" si="104">IF(OR($C122=0,$L122=""),"-",CONCATENATE(E122&amp;".",IF(AND($A$5&gt;=2,$C122&gt;=2),F122&amp;".",""),IF(AND($A$5&gt;=3,$C122&gt;=3),G122&amp;".",""),IF(AND($A$5&gt;=4,$C122&gt;=4),H122&amp;".",""),IF($C122="S",I122&amp;".","")))</f>
        <v>-</v>
      </c>
      <c r="P122" s="147" t="s">
        <v>453</v>
      </c>
      <c r="Q122" s="148" t="s">
        <v>588</v>
      </c>
      <c r="R122" s="149" t="s">
        <v>716</v>
      </c>
      <c r="S122" s="150" t="s">
        <v>785</v>
      </c>
      <c r="T122" s="151">
        <f ca="1">OFFSET(CÁLCULO!H$15,ROW($T122)-ROW(T$15),0)</f>
        <v>4</v>
      </c>
      <c r="U122" s="152"/>
      <c r="V122" s="153" t="s">
        <v>156</v>
      </c>
      <c r="W122" s="151">
        <f ca="1">IF($C122="S",ROUND(IF(TIPOORCAMENTO="Proposto",ORÇAMENTO.CustoUnitario*(1+$AH122),ORÇAMENTO.PrecoUnitarioLicitado),15-13*$AF$10),0)</f>
        <v>0</v>
      </c>
      <c r="X122" s="154">
        <f ca="1">IF($C122="S",IF(Import.TipoArredondamento&lt;&gt;"TransfereGOV",VTOTAL1,SUM(OFFSET(CÁLCULO!$AA$15,ROW($X122)-ROW($X$15),1):OFFSET(CÁLCULO!$AL$15,ROW($X122)-ROW($X$15),-1))),IF($C122=0,0,ROUND(SomaAgrup,15-13*$AF$11)))</f>
        <v>0</v>
      </c>
      <c r="Y122" s="155" t="s">
        <v>245</v>
      </c>
      <c r="Z122" t="str">
        <f t="shared" ref="Z122:Z149" ca="1" si="105">IF(AND($C122="S",$X122&gt;0),IF(ISBLANK($Y122),"RA",LEFT($Y122,2)),"")</f>
        <v/>
      </c>
      <c r="AA122" s="156">
        <f ca="1">IF($C122="S",IF($Z122="CP",$X122,IF($Z122="RA",(($X122)*QCI!$AA$3),0)),SomaAgrup)</f>
        <v>0</v>
      </c>
      <c r="AB122" s="157">
        <f t="shared" ca="1" si="90"/>
        <v>0</v>
      </c>
      <c r="AC122" s="158" t="str">
        <f ca="1">IF($N122="","",IF(ORÇAMENTO.Descricao="","DESCRIÇÃO",IF(AND($C122="S",ORÇAMENTO.Unidade=""),"UNIDADE",IF($X122&lt;0,"VALOR NEGATIVO",IF(OR(AND(TIPOORCAMENTO="Proposto",$AG122&lt;&gt;"",$AG122&gt;0,ORÇAMENTO.CustoUnitario&gt;$AG122),AND(TIPOORCAMENTO="LICITADO",ORÇAMENTO.PrecoUnitarioLicitado&gt;$AN122)),"ACIMA REF.","")))))</f>
        <v/>
      </c>
      <c r="AD122" s="682" t="str">
        <f ca="1">IF(C122&lt;=CRONO.NivelExibicao,MAX($AD$15:OFFSET(AD122,-1,0))+IF($C122&lt;&gt;1,1,MAX(1,COUNTIF(QCI!$A$13:$A$24,OFFSET($E122,-1,0)))),"")</f>
        <v/>
      </c>
      <c r="AE122" s="114" t="str">
        <f ca="1">IF(AND($C122="S",ORÇAMENTO.CodBarra&lt;&gt;""),IF(ORÇAMENTO.Fonte="",ORÇAMENTO.CodBarra,CONCATENATE(ORÇAMENTO.Fonte," ",ORÇAMENTO.CodBarra)))</f>
        <v>SINAPI-I 39469</v>
      </c>
      <c r="AF122" s="159">
        <f ca="1">IF(ISERROR(INDIRECT(ORÇAMENTO.BancoRef)),"(abra o arquivo 'Referência "&amp;Excel_BuiltIn_Database&amp;".xlsm)",IF(OR($C122&lt;&gt;"S",ORÇAMENTO.CodBarra=""),"(Sem Código)",IF(ISERROR(MATCH($AE122,INDIRECT(ORÇAMENTO.BancoRef),0)),"(Código não identificado nas referências)",MATCH($AE122,INDIRECT(ORÇAMENTO.BancoRef),0))))</f>
        <v>1728</v>
      </c>
      <c r="AG122" s="578">
        <f ca="1">ROUND(IF(DESONERACAO="sim",REFERENCIA.Desonerado,REFERENCIA.NaoDesonerado),2)</f>
        <v>61.64</v>
      </c>
      <c r="AH122" s="579">
        <f t="shared" ca="1" si="91"/>
        <v>0.2034</v>
      </c>
      <c r="AJ122" s="581">
        <v>4</v>
      </c>
      <c r="AL122" s="611"/>
      <c r="AM122" s="430">
        <f t="shared" ca="1" si="93"/>
        <v>0</v>
      </c>
      <c r="AN122" s="654">
        <f t="shared" ca="1" si="92"/>
        <v>0</v>
      </c>
    </row>
    <row r="123" spans="1:40" ht="25.5" x14ac:dyDescent="0.2">
      <c r="A123" t="str">
        <f t="shared" si="78"/>
        <v>S</v>
      </c>
      <c r="B123">
        <f t="shared" ca="1" si="95"/>
        <v>2</v>
      </c>
      <c r="C123" t="str">
        <f t="shared" ca="1" si="96"/>
        <v>S</v>
      </c>
      <c r="D123">
        <f t="shared" ca="1" si="97"/>
        <v>0</v>
      </c>
      <c r="E123">
        <f ca="1">IF($C123=1,OFFSET(E123,-1,0)+MAX(1,COUNTIF(QCI!$A$13:$A$24,OFFSET(ORÇAMENTO!E123,-1,0))),OFFSET(E123,-1,0))</f>
        <v>1</v>
      </c>
      <c r="F123">
        <f t="shared" ca="1" si="98"/>
        <v>18</v>
      </c>
      <c r="G123">
        <f t="shared" ca="1" si="99"/>
        <v>0</v>
      </c>
      <c r="H123">
        <f t="shared" ca="1" si="100"/>
        <v>0</v>
      </c>
      <c r="I123">
        <f t="shared" ca="1" si="101"/>
        <v>0</v>
      </c>
      <c r="J123">
        <f t="shared" ca="1" si="94"/>
        <v>0</v>
      </c>
      <c r="K123">
        <f ca="1">IF(OR($C123="S",$C123=0),0,MATCH(OFFSET($D123,0,$C123)+IF($C123&lt;&gt;1,1,COUNTIF(QCI!$A$13:$A$24,ORÇAMENTO!E123)),OFFSET($D123,1,$C123,ROW($C$192)-ROW($C123)),0))</f>
        <v>0</v>
      </c>
      <c r="L123" s="143" t="str">
        <f t="shared" ca="1" si="102"/>
        <v/>
      </c>
      <c r="M123" s="144" t="s">
        <v>199</v>
      </c>
      <c r="N123" s="145" t="str">
        <f t="shared" ca="1" si="103"/>
        <v>Serviço</v>
      </c>
      <c r="O123" s="146" t="str">
        <f t="shared" ca="1" si="104"/>
        <v>-</v>
      </c>
      <c r="P123" s="147" t="s">
        <v>453</v>
      </c>
      <c r="Q123" s="148" t="s">
        <v>626</v>
      </c>
      <c r="R123" s="149" t="s">
        <v>717</v>
      </c>
      <c r="S123" s="150" t="s">
        <v>785</v>
      </c>
      <c r="T123" s="151">
        <f ca="1">OFFSET(CÁLCULO!H$15,ROW($T123)-ROW(T$15),0)</f>
        <v>3</v>
      </c>
      <c r="U123" s="152"/>
      <c r="V123" s="153" t="s">
        <v>156</v>
      </c>
      <c r="W123" s="151">
        <f ca="1">IF($C123="S",ROUND(IF(TIPOORCAMENTO="Proposto",ORÇAMENTO.CustoUnitario*(1+$AH123),ORÇAMENTO.PrecoUnitarioLicitado),15-13*$AF$10),0)</f>
        <v>0</v>
      </c>
      <c r="X123" s="154">
        <f ca="1">IF($C123="S",IF(Import.TipoArredondamento&lt;&gt;"TransfereGOV",VTOTAL1,SUM(OFFSET(CÁLCULO!$AA$15,ROW($X123)-ROW($X$15),1):OFFSET(CÁLCULO!$AL$15,ROW($X123)-ROW($X$15),-1))),IF($C123=0,0,ROUND(SomaAgrup,15-13*$AF$11)))</f>
        <v>0</v>
      </c>
      <c r="Y123" s="155" t="s">
        <v>245</v>
      </c>
      <c r="Z123" t="str">
        <f t="shared" ca="1" si="105"/>
        <v/>
      </c>
      <c r="AA123" s="156">
        <f ca="1">IF($C123="S",IF($Z123="CP",$X123,IF($Z123="RA",(($X123)*QCI!$AA$3),0)),SomaAgrup)</f>
        <v>0</v>
      </c>
      <c r="AB123" s="157">
        <f t="shared" ca="1" si="90"/>
        <v>0</v>
      </c>
      <c r="AC123" s="158" t="str">
        <f ca="1">IF($N123="","",IF(ORÇAMENTO.Descricao="","DESCRIÇÃO",IF(AND($C123="S",ORÇAMENTO.Unidade=""),"UNIDADE",IF($X123&lt;0,"VALOR NEGATIVO",IF(OR(AND(TIPOORCAMENTO="Proposto",$AG123&lt;&gt;"",$AG123&gt;0,ORÇAMENTO.CustoUnitario&gt;$AG123),AND(TIPOORCAMENTO="LICITADO",ORÇAMENTO.PrecoUnitarioLicitado&gt;$AN123)),"ACIMA REF.","")))))</f>
        <v/>
      </c>
      <c r="AD123" s="682" t="str">
        <f ca="1">IF(C123&lt;=CRONO.NivelExibicao,MAX($AD$15:OFFSET(AD123,-1,0))+IF($C123&lt;&gt;1,1,MAX(1,COUNTIF(QCI!$A$13:$A$24,OFFSET($E123,-1,0)))),"")</f>
        <v/>
      </c>
      <c r="AE123" s="114" t="str">
        <f ca="1">IF(AND($C123="S",ORÇAMENTO.CodBarra&lt;&gt;""),IF(ORÇAMENTO.Fonte="",ORÇAMENTO.CodBarra,CONCATENATE(ORÇAMENTO.Fonte," ",ORÇAMENTO.CodBarra)))</f>
        <v>SINAPI-I 39445</v>
      </c>
      <c r="AF123" s="159">
        <f ca="1">IF(ISERROR(INDIRECT(ORÇAMENTO.BancoRef)),"(abra o arquivo 'Referência "&amp;Excel_BuiltIn_Database&amp;".xlsm)",IF(OR($C123&lt;&gt;"S",ORÇAMENTO.CodBarra=""),"(Sem Código)",IF(ISERROR(MATCH($AE123,INDIRECT(ORÇAMENTO.BancoRef),0)),"(Código não identificado nas referências)",MATCH($AE123,INDIRECT(ORÇAMENTO.BancoRef),0))))</f>
        <v>1741</v>
      </c>
      <c r="AG123" s="578">
        <f ca="1">ROUND(IF(DESONERACAO="sim",REFERENCIA.Desonerado,REFERENCIA.NaoDesonerado),2)</f>
        <v>121.74</v>
      </c>
      <c r="AH123" s="579">
        <f t="shared" ca="1" si="91"/>
        <v>0.2034</v>
      </c>
      <c r="AJ123" s="581">
        <v>3</v>
      </c>
      <c r="AL123" s="611"/>
      <c r="AM123" s="430">
        <f t="shared" ca="1" si="93"/>
        <v>0</v>
      </c>
      <c r="AN123" s="654">
        <f t="shared" ca="1" si="92"/>
        <v>0</v>
      </c>
    </row>
    <row r="124" spans="1:40" ht="25.5" x14ac:dyDescent="0.2">
      <c r="A124" t="str">
        <f t="shared" si="78"/>
        <v>S</v>
      </c>
      <c r="B124">
        <f t="shared" ca="1" si="95"/>
        <v>2</v>
      </c>
      <c r="C124" t="str">
        <f t="shared" ca="1" si="96"/>
        <v>S</v>
      </c>
      <c r="D124">
        <f t="shared" ca="1" si="97"/>
        <v>0</v>
      </c>
      <c r="E124">
        <f ca="1">IF($C124=1,OFFSET(E124,-1,0)+MAX(1,COUNTIF(QCI!$A$13:$A$24,OFFSET(ORÇAMENTO!E124,-1,0))),OFFSET(E124,-1,0))</f>
        <v>1</v>
      </c>
      <c r="F124">
        <f t="shared" ca="1" si="98"/>
        <v>18</v>
      </c>
      <c r="G124">
        <f t="shared" ca="1" si="99"/>
        <v>0</v>
      </c>
      <c r="H124">
        <f t="shared" ca="1" si="100"/>
        <v>0</v>
      </c>
      <c r="I124">
        <f t="shared" ca="1" si="101"/>
        <v>0</v>
      </c>
      <c r="J124">
        <f t="shared" ca="1" si="94"/>
        <v>0</v>
      </c>
      <c r="K124">
        <f ca="1">IF(OR($C124="S",$C124=0),0,MATCH(OFFSET($D124,0,$C124)+IF($C124&lt;&gt;1,1,COUNTIF(QCI!$A$13:$A$24,ORÇAMENTO!E124)),OFFSET($D124,1,$C124,ROW($C$192)-ROW($C124)),0))</f>
        <v>0</v>
      </c>
      <c r="L124" s="143" t="str">
        <f t="shared" ca="1" si="102"/>
        <v/>
      </c>
      <c r="M124" s="144" t="s">
        <v>199</v>
      </c>
      <c r="N124" s="145" t="str">
        <f t="shared" ca="1" si="103"/>
        <v>Serviço</v>
      </c>
      <c r="O124" s="146" t="str">
        <f t="shared" ca="1" si="104"/>
        <v>-</v>
      </c>
      <c r="P124" s="147" t="s">
        <v>453</v>
      </c>
      <c r="Q124" s="148" t="s">
        <v>627</v>
      </c>
      <c r="R124" s="149" t="s">
        <v>718</v>
      </c>
      <c r="S124" s="150" t="s">
        <v>785</v>
      </c>
      <c r="T124" s="151">
        <f ca="1">OFFSET(CÁLCULO!H$15,ROW($T124)-ROW(T$15),0)</f>
        <v>7</v>
      </c>
      <c r="U124" s="152"/>
      <c r="V124" s="153" t="s">
        <v>156</v>
      </c>
      <c r="W124" s="151">
        <f ca="1">IF($C124="S",ROUND(IF(TIPOORCAMENTO="Proposto",ORÇAMENTO.CustoUnitario*(1+$AH124),ORÇAMENTO.PrecoUnitarioLicitado),15-13*$AF$10),0)</f>
        <v>0</v>
      </c>
      <c r="X124" s="154">
        <f ca="1">IF($C124="S",IF(Import.TipoArredondamento&lt;&gt;"TransfereGOV",VTOTAL1,SUM(OFFSET(CÁLCULO!$AA$15,ROW($X124)-ROW($X$15),1):OFFSET(CÁLCULO!$AL$15,ROW($X124)-ROW($X$15),-1))),IF($C124=0,0,ROUND(SomaAgrup,15-13*$AF$11)))</f>
        <v>0</v>
      </c>
      <c r="Y124" s="155" t="s">
        <v>245</v>
      </c>
      <c r="Z124" t="str">
        <f t="shared" ca="1" si="105"/>
        <v/>
      </c>
      <c r="AA124" s="156">
        <f ca="1">IF($C124="S",IF($Z124="CP",$X124,IF($Z124="RA",(($X124)*QCI!$AA$3),0)),SomaAgrup)</f>
        <v>0</v>
      </c>
      <c r="AB124" s="157">
        <f t="shared" ca="1" si="90"/>
        <v>0</v>
      </c>
      <c r="AC124" s="158" t="str">
        <f ca="1">IF($N124="","",IF(ORÇAMENTO.Descricao="","DESCRIÇÃO",IF(AND($C124="S",ORÇAMENTO.Unidade=""),"UNIDADE",IF($X124&lt;0,"VALOR NEGATIVO",IF(OR(AND(TIPOORCAMENTO="Proposto",$AG124&lt;&gt;"",$AG124&gt;0,ORÇAMENTO.CustoUnitario&gt;$AG124),AND(TIPOORCAMENTO="LICITADO",ORÇAMENTO.PrecoUnitarioLicitado&gt;$AN124)),"ACIMA REF.","")))))</f>
        <v/>
      </c>
      <c r="AD124" s="682" t="str">
        <f ca="1">IF(C124&lt;=CRONO.NivelExibicao,MAX($AD$15:OFFSET(AD124,-1,0))+IF($C124&lt;&gt;1,1,MAX(1,COUNTIF(QCI!$A$13:$A$24,OFFSET($E124,-1,0)))),"")</f>
        <v/>
      </c>
      <c r="AE124" s="114" t="str">
        <f ca="1">IF(AND($C124="S",ORÇAMENTO.CodBarra&lt;&gt;""),IF(ORÇAMENTO.Fonte="",ORÇAMENTO.CodBarra,CONCATENATE(ORÇAMENTO.Fonte," ",ORÇAMENTO.CodBarra)))</f>
        <v>SINAPI-I 39446</v>
      </c>
      <c r="AF124" s="159">
        <f ca="1">IF(ISERROR(INDIRECT(ORÇAMENTO.BancoRef)),"(abra o arquivo 'Referência "&amp;Excel_BuiltIn_Database&amp;".xlsm)",IF(OR($C124&lt;&gt;"S",ORÇAMENTO.CodBarra=""),"(Sem Código)",IF(ISERROR(MATCH($AE124,INDIRECT(ORÇAMENTO.BancoRef),0)),"(Código não identificado nas referências)",MATCH($AE124,INDIRECT(ORÇAMENTO.BancoRef),0))))</f>
        <v>1742</v>
      </c>
      <c r="AG124" s="578">
        <f ca="1">ROUND(IF(DESONERACAO="sim",REFERENCIA.Desonerado,REFERENCIA.NaoDesonerado),2)</f>
        <v>123.9</v>
      </c>
      <c r="AH124" s="579">
        <f t="shared" ca="1" si="91"/>
        <v>0.2034</v>
      </c>
      <c r="AJ124" s="581">
        <v>7</v>
      </c>
      <c r="AL124" s="611"/>
      <c r="AM124" s="430">
        <f t="shared" ca="1" si="93"/>
        <v>0</v>
      </c>
      <c r="AN124" s="654">
        <f t="shared" ca="1" si="92"/>
        <v>0</v>
      </c>
    </row>
    <row r="125" spans="1:40" ht="38.25" x14ac:dyDescent="0.2">
      <c r="A125" t="str">
        <f>CHOOSE(1+LOG(1+2*(ORÇAMENTO.Nivel="Meta")+4*(ORÇAMENTO.Nivel="Nível 2")+8*(ORÇAMENTO.Nivel="Nível 3")+16*(ORÇAMENTO.Nivel="Nível 4")+32*(ORÇAMENTO.Nivel="Serviço"),2),0,1,2,3,4,"S")</f>
        <v>S</v>
      </c>
      <c r="B125">
        <f ca="1">IF(OR(C125="s",C125=0),OFFSET(B125,-1,0),C125)</f>
        <v>2</v>
      </c>
      <c r="C125" t="str">
        <f ca="1">IF(OFFSET(C125,-1,0)="L",1,IF(OFFSET(C125,-1,0)=1,2,IF(OR(A125="s",A125=0),"S",IF(AND(OFFSET(C125,-1,0)=2,A125=4),3,IF(AND(OR(OFFSET(C125,-1,0)="s",OFFSET(C125,-1,0)=0),A125&lt;&gt;"s",A125&gt;OFFSET(B125,-1,0)),OFFSET(B125,-1,0),A125)))))</f>
        <v>S</v>
      </c>
      <c r="D125">
        <f ca="1">IF(OR(C125="S",C125=0),0,IF(ISERROR(K125),J125,SMALL(J125:K125,1)))</f>
        <v>0</v>
      </c>
      <c r="E125">
        <f ca="1">IF($C125=1,OFFSET(E125,-1,0)+MAX(1,COUNTIF(QCI!$A$13:$A$24,OFFSET(ORÇAMENTO!E125,-1,0))),OFFSET(E125,-1,0))</f>
        <v>1</v>
      </c>
      <c r="F125">
        <f ca="1">IF($C125=1,0,IF($C125=2,OFFSET(F125,-1,0)+1,OFFSET(F125,-1,0)))</f>
        <v>18</v>
      </c>
      <c r="G125">
        <f ca="1">IF(AND($C125&lt;=2,$C125&lt;&gt;0),0,IF($C125=3,OFFSET(G125,-1,0)+1,OFFSET(G125,-1,0)))</f>
        <v>0</v>
      </c>
      <c r="H125">
        <f ca="1">IF(AND($C125&lt;=3,$C125&lt;&gt;0),0,IF($C125=4,OFFSET(H125,-1,0)+1,OFFSET(H125,-1,0)))</f>
        <v>0</v>
      </c>
      <c r="I125">
        <f ca="1">IF(AND($C125&lt;=4,$C125&lt;&gt;0),0,IF(AND($C125="S",$X125&gt;0),OFFSET(I125,-1,0)+1,OFFSET(I125,-1,0)))</f>
        <v>0</v>
      </c>
      <c r="J125">
        <f t="shared" ca="1" si="94"/>
        <v>0</v>
      </c>
      <c r="K125">
        <f ca="1">IF(OR($C125="S",$C125=0),0,MATCH(OFFSET($D125,0,$C125)+IF($C125&lt;&gt;1,1,COUNTIF(QCI!$A$13:$A$24,ORÇAMENTO!E125)),OFFSET($D125,1,$C125,ROW($C$192)-ROW($C125)),0))</f>
        <v>0</v>
      </c>
      <c r="L125" s="143" t="str">
        <f ca="1">IF(OR($X125&gt;0,$C125=1,$C125=2,$C125=3,$C125=4),"F","")</f>
        <v/>
      </c>
      <c r="M125" s="144" t="s">
        <v>199</v>
      </c>
      <c r="N125" s="145" t="str">
        <f ca="1">CHOOSE(1+LOG(1+2*(C125=1)+4*(C125=2)+8*(C125=3)+16*(C125=4)+32*(C125="S"),2),"","Meta","Nível 2","Nível 3","Nível 4","Serviço")</f>
        <v>Serviço</v>
      </c>
      <c r="O125" s="146" t="str">
        <f ca="1">IF(OR($C125=0,$L125=""),"-",CONCATENATE(E125&amp;".",IF(AND($A$5&gt;=2,$C125&gt;=2),F125&amp;".",""),IF(AND($A$5&gt;=3,$C125&gt;=3),G125&amp;".",""),IF(AND($A$5&gt;=4,$C125&gt;=4),H125&amp;".",""),IF($C125="S",I125&amp;".","")))</f>
        <v>-</v>
      </c>
      <c r="P125" s="147" t="s">
        <v>247</v>
      </c>
      <c r="Q125" s="148" t="s">
        <v>590</v>
      </c>
      <c r="R125" s="149" t="s">
        <v>719</v>
      </c>
      <c r="S125" s="150" t="s">
        <v>779</v>
      </c>
      <c r="T125" s="151">
        <f ca="1">OFFSET(CÁLCULO!H$15,ROW($T125)-ROW(T$15),0)</f>
        <v>202.2</v>
      </c>
      <c r="U125" s="152"/>
      <c r="V125" s="153" t="s">
        <v>156</v>
      </c>
      <c r="W125" s="151">
        <f ca="1">IF($C125="S",ROUND(IF(TIPOORCAMENTO="Proposto",ORÇAMENTO.CustoUnitario*(1+$AH125),ORÇAMENTO.PrecoUnitarioLicitado),15-13*$AF$10),0)</f>
        <v>0</v>
      </c>
      <c r="X125" s="154">
        <f ca="1">IF($C125="S",IF(Import.TipoArredondamento&lt;&gt;"TransfereGOV",VTOTAL1,SUM(OFFSET(CÁLCULO!$AA$15,ROW($X125)-ROW($X$15),1):OFFSET(CÁLCULO!$AL$15,ROW($X125)-ROW($X$15),-1))),IF($C125=0,0,ROUND(SomaAgrup,15-13*$AF$11)))</f>
        <v>0</v>
      </c>
      <c r="Y125" s="155" t="s">
        <v>245</v>
      </c>
      <c r="Z125" t="str">
        <f ca="1">IF(AND($C125="S",$X125&gt;0),IF(ISBLANK($Y125),"RA",LEFT($Y125,2)),"")</f>
        <v/>
      </c>
      <c r="AA125" s="156">
        <f ca="1">IF($C125="S",IF($Z125="CP",$X125,IF($Z125="RA",(($X125)*QCI!$AA$3),0)),SomaAgrup)</f>
        <v>0</v>
      </c>
      <c r="AB125" s="157">
        <f ca="1">IF($C125="S",IF($Z125="OU",ROUND($X125,2),0),SomaAgrup)</f>
        <v>0</v>
      </c>
      <c r="AC125" s="158" t="str">
        <f ca="1">IF($N125="","",IF(ORÇAMENTO.Descricao="","DESCRIÇÃO",IF(AND($C125="S",ORÇAMENTO.Unidade=""),"UNIDADE",IF($X125&lt;0,"VALOR NEGATIVO",IF(OR(AND(TIPOORCAMENTO="Proposto",$AG125&lt;&gt;"",$AG125&gt;0,ORÇAMENTO.CustoUnitario&gt;$AG125),AND(TIPOORCAMENTO="LICITADO",ORÇAMENTO.PrecoUnitarioLicitado&gt;$AN125)),"ACIMA REF.","")))))</f>
        <v/>
      </c>
      <c r="AD125" s="688" t="str">
        <f ca="1">IF(C125&lt;=CRONO.NivelExibicao,MAX($AD$15:OFFSET(AD125,-1,0))+IF($C125&lt;&gt;1,1,MAX(1,COUNTIF(QCI!$A$13:$A$24,OFFSET($E125,-1,0)))),"")</f>
        <v/>
      </c>
      <c r="AE125" s="114" t="str">
        <f ca="1">IF(AND($C125="S",ORÇAMENTO.CodBarra&lt;&gt;""),IF(ORÇAMENTO.Fonte="",ORÇAMENTO.CodBarra,CONCATENATE(ORÇAMENTO.Fonte," ",ORÇAMENTO.CodBarra)))</f>
        <v>SINAPI 91835</v>
      </c>
      <c r="AF125" s="159">
        <f ca="1">IF(ISERROR(INDIRECT(ORÇAMENTO.BancoRef)),"(abra o arquivo 'Referência "&amp;Excel_BuiltIn_Database&amp;".xlsm)",IF(OR($C125&lt;&gt;"S",ORÇAMENTO.CodBarra=""),"(Sem Código)",IF(ISERROR(MATCH($AE125,INDIRECT(ORÇAMENTO.BancoRef),0)),"(Código não identificado nas referências)",MATCH($AE125,INDIRECT(ORÇAMENTO.BancoRef),0))))</f>
        <v>7760</v>
      </c>
      <c r="AG125" s="578">
        <f ca="1">ROUND(IF(DESONERACAO="sim",REFERENCIA.Desonerado,REFERENCIA.NaoDesonerado),2)</f>
        <v>22.33</v>
      </c>
      <c r="AH125" s="579">
        <f ca="1">ROUND(IF(ISNUMBER(ORÇAMENTO.OpcaoBDI),ORÇAMENTO.OpcaoBDI,IF(LEFT(ORÇAMENTO.OpcaoBDI,3)="BDI",HLOOKUP(ORÇAMENTO.OpcaoBDI,$F$4:$H$5,2,FALSE),0)),15-11*$AF$9)</f>
        <v>0.2034</v>
      </c>
      <c r="AJ125" s="581">
        <v>202.2</v>
      </c>
      <c r="AL125" s="611"/>
      <c r="AM125" s="430">
        <f t="shared" ca="1" si="93"/>
        <v>0</v>
      </c>
      <c r="AN125" s="654">
        <f ca="1">ROUND(ORÇAMENTO.CustoUnitario*(1+$AH125),2)</f>
        <v>0</v>
      </c>
    </row>
    <row r="126" spans="1:40" ht="38.25" x14ac:dyDescent="0.2">
      <c r="A126" t="str">
        <f t="shared" si="78"/>
        <v>S</v>
      </c>
      <c r="B126">
        <f t="shared" ca="1" si="95"/>
        <v>2</v>
      </c>
      <c r="C126" t="str">
        <f t="shared" ca="1" si="96"/>
        <v>S</v>
      </c>
      <c r="D126">
        <f t="shared" ca="1" si="97"/>
        <v>0</v>
      </c>
      <c r="E126">
        <f ca="1">IF($C126=1,OFFSET(E126,-1,0)+MAX(1,COUNTIF(QCI!$A$13:$A$24,OFFSET(ORÇAMENTO!E126,-1,0))),OFFSET(E126,-1,0))</f>
        <v>1</v>
      </c>
      <c r="F126">
        <f t="shared" ca="1" si="98"/>
        <v>18</v>
      </c>
      <c r="G126">
        <f t="shared" ca="1" si="99"/>
        <v>0</v>
      </c>
      <c r="H126">
        <f t="shared" ca="1" si="100"/>
        <v>0</v>
      </c>
      <c r="I126">
        <f t="shared" ca="1" si="101"/>
        <v>0</v>
      </c>
      <c r="J126">
        <f t="shared" ca="1" si="94"/>
        <v>0</v>
      </c>
      <c r="K126">
        <f ca="1">IF(OR($C126="S",$C126=0),0,MATCH(OFFSET($D126,0,$C126)+IF($C126&lt;&gt;1,1,COUNTIF(QCI!$A$13:$A$24,ORÇAMENTO!E126)),OFFSET($D126,1,$C126,ROW($C$192)-ROW($C126)),0))</f>
        <v>0</v>
      </c>
      <c r="L126" s="143" t="str">
        <f t="shared" ca="1" si="102"/>
        <v/>
      </c>
      <c r="M126" s="144" t="s">
        <v>199</v>
      </c>
      <c r="N126" s="145" t="str">
        <f t="shared" ca="1" si="103"/>
        <v>Serviço</v>
      </c>
      <c r="O126" s="146" t="str">
        <f t="shared" ca="1" si="104"/>
        <v>-</v>
      </c>
      <c r="P126" s="147" t="s">
        <v>247</v>
      </c>
      <c r="Q126" s="148" t="s">
        <v>622</v>
      </c>
      <c r="R126" s="149" t="s">
        <v>720</v>
      </c>
      <c r="S126" s="150" t="s">
        <v>779</v>
      </c>
      <c r="T126" s="151">
        <f ca="1">OFFSET(CÁLCULO!H$15,ROW($T126)-ROW(T$15),0)</f>
        <v>462</v>
      </c>
      <c r="U126" s="152"/>
      <c r="V126" s="153" t="s">
        <v>156</v>
      </c>
      <c r="W126" s="151">
        <f ca="1">IF($C126="S",ROUND(IF(TIPOORCAMENTO="Proposto",ORÇAMENTO.CustoUnitario*(1+$AH126),ORÇAMENTO.PrecoUnitarioLicitado),15-13*$AF$10),0)</f>
        <v>0</v>
      </c>
      <c r="X126" s="154">
        <f ca="1">IF($C126="S",IF(Import.TipoArredondamento&lt;&gt;"TransfereGOV",VTOTAL1,SUM(OFFSET(CÁLCULO!$AA$15,ROW($X126)-ROW($X$15),1):OFFSET(CÁLCULO!$AL$15,ROW($X126)-ROW($X$15),-1))),IF($C126=0,0,ROUND(SomaAgrup,15-13*$AF$11)))</f>
        <v>0</v>
      </c>
      <c r="Y126" s="155" t="s">
        <v>245</v>
      </c>
      <c r="Z126" t="str">
        <f t="shared" ca="1" si="105"/>
        <v/>
      </c>
      <c r="AA126" s="156">
        <f ca="1">IF($C126="S",IF($Z126="CP",$X126,IF($Z126="RA",(($X126)*QCI!$AA$3),0)),SomaAgrup)</f>
        <v>0</v>
      </c>
      <c r="AB126" s="157">
        <f t="shared" ca="1" si="90"/>
        <v>0</v>
      </c>
      <c r="AC126" s="158" t="str">
        <f ca="1">IF($N126="","",IF(ORÇAMENTO.Descricao="","DESCRIÇÃO",IF(AND($C126="S",ORÇAMENTO.Unidade=""),"UNIDADE",IF($X126&lt;0,"VALOR NEGATIVO",IF(OR(AND(TIPOORCAMENTO="Proposto",$AG126&lt;&gt;"",$AG126&gt;0,ORÇAMENTO.CustoUnitario&gt;$AG126),AND(TIPOORCAMENTO="LICITADO",ORÇAMENTO.PrecoUnitarioLicitado&gt;$AN126)),"ACIMA REF.","")))))</f>
        <v/>
      </c>
      <c r="AD126" s="687" t="str">
        <f ca="1">IF(C126&lt;=CRONO.NivelExibicao,MAX($AD$15:OFFSET(AD126,-1,0))+IF($C126&lt;&gt;1,1,MAX(1,COUNTIF(QCI!$A$13:$A$24,OFFSET($E126,-1,0)))),"")</f>
        <v/>
      </c>
      <c r="AE126" s="114" t="str">
        <f ca="1">IF(AND($C126="S",ORÇAMENTO.CodBarra&lt;&gt;""),IF(ORÇAMENTO.Fonte="",ORÇAMENTO.CodBarra,CONCATENATE(ORÇAMENTO.Fonte," ",ORÇAMENTO.CodBarra)))</f>
        <v>SINAPI 91853</v>
      </c>
      <c r="AF126" s="159">
        <f ca="1">IF(ISERROR(INDIRECT(ORÇAMENTO.BancoRef)),"(abra o arquivo 'Referência "&amp;Excel_BuiltIn_Database&amp;".xlsm)",IF(OR($C126&lt;&gt;"S",ORÇAMENTO.CodBarra=""),"(Sem Código)",IF(ISERROR(MATCH($AE126,INDIRECT(ORÇAMENTO.BancoRef),0)),"(Código não identificado nas referências)",MATCH($AE126,INDIRECT(ORÇAMENTO.BancoRef),0))))</f>
        <v>7773</v>
      </c>
      <c r="AG126" s="578">
        <f ca="1">ROUND(IF(DESONERACAO="sim",REFERENCIA.Desonerado,REFERENCIA.NaoDesonerado),2)</f>
        <v>10.55</v>
      </c>
      <c r="AH126" s="579">
        <f t="shared" ca="1" si="91"/>
        <v>0.2034</v>
      </c>
      <c r="AJ126" s="581">
        <v>462</v>
      </c>
      <c r="AL126" s="611"/>
      <c r="AM126" s="430">
        <f t="shared" ca="1" si="93"/>
        <v>0</v>
      </c>
      <c r="AN126" s="654">
        <f t="shared" ca="1" si="92"/>
        <v>0</v>
      </c>
    </row>
    <row r="127" spans="1:40" ht="38.25" x14ac:dyDescent="0.2">
      <c r="A127" t="str">
        <f t="shared" si="78"/>
        <v>S</v>
      </c>
      <c r="B127">
        <f t="shared" ca="1" si="95"/>
        <v>2</v>
      </c>
      <c r="C127" t="str">
        <f t="shared" ca="1" si="96"/>
        <v>S</v>
      </c>
      <c r="D127">
        <f t="shared" ca="1" si="97"/>
        <v>0</v>
      </c>
      <c r="E127">
        <f ca="1">IF($C127=1,OFFSET(E127,-1,0)+MAX(1,COUNTIF(QCI!$A$13:$A$24,OFFSET(ORÇAMENTO!E127,-1,0))),OFFSET(E127,-1,0))</f>
        <v>1</v>
      </c>
      <c r="F127">
        <f t="shared" ca="1" si="98"/>
        <v>18</v>
      </c>
      <c r="G127">
        <f t="shared" ca="1" si="99"/>
        <v>0</v>
      </c>
      <c r="H127">
        <f t="shared" ca="1" si="100"/>
        <v>0</v>
      </c>
      <c r="I127">
        <f t="shared" ca="1" si="101"/>
        <v>0</v>
      </c>
      <c r="J127">
        <f t="shared" ca="1" si="94"/>
        <v>0</v>
      </c>
      <c r="K127">
        <f ca="1">IF(OR($C127="S",$C127=0),0,MATCH(OFFSET($D127,0,$C127)+IF($C127&lt;&gt;1,1,COUNTIF(QCI!$A$13:$A$24,ORÇAMENTO!E127)),OFFSET($D127,1,$C127,ROW($C$192)-ROW($C127)),0))</f>
        <v>0</v>
      </c>
      <c r="L127" s="143" t="str">
        <f t="shared" ca="1" si="102"/>
        <v/>
      </c>
      <c r="M127" s="144" t="s">
        <v>199</v>
      </c>
      <c r="N127" s="145" t="str">
        <f t="shared" ca="1" si="103"/>
        <v>Serviço</v>
      </c>
      <c r="O127" s="146" t="str">
        <f t="shared" ca="1" si="104"/>
        <v>-</v>
      </c>
      <c r="P127" s="147" t="s">
        <v>247</v>
      </c>
      <c r="Q127" s="148" t="s">
        <v>623</v>
      </c>
      <c r="R127" s="149" t="s">
        <v>721</v>
      </c>
      <c r="S127" s="150" t="s">
        <v>779</v>
      </c>
      <c r="T127" s="151">
        <f ca="1">OFFSET(CÁLCULO!H$15,ROW($T127)-ROW(T$15),0)</f>
        <v>100</v>
      </c>
      <c r="U127" s="152"/>
      <c r="V127" s="153" t="s">
        <v>156</v>
      </c>
      <c r="W127" s="151">
        <f ca="1">IF($C127="S",ROUND(IF(TIPOORCAMENTO="Proposto",ORÇAMENTO.CustoUnitario*(1+$AH127),ORÇAMENTO.PrecoUnitarioLicitado),15-13*$AF$10),0)</f>
        <v>0</v>
      </c>
      <c r="X127" s="154">
        <f ca="1">IF($C127="S",IF(Import.TipoArredondamento&lt;&gt;"TransfereGOV",VTOTAL1,SUM(OFFSET(CÁLCULO!$AA$15,ROW($X127)-ROW($X$15),1):OFFSET(CÁLCULO!$AL$15,ROW($X127)-ROW($X$15),-1))),IF($C127=0,0,ROUND(SomaAgrup,15-13*$AF$11)))</f>
        <v>0</v>
      </c>
      <c r="Y127" s="155" t="s">
        <v>245</v>
      </c>
      <c r="Z127" t="str">
        <f t="shared" ca="1" si="105"/>
        <v/>
      </c>
      <c r="AA127" s="156">
        <f ca="1">IF($C127="S",IF($Z127="CP",$X127,IF($Z127="RA",(($X127)*QCI!$AA$3),0)),SomaAgrup)</f>
        <v>0</v>
      </c>
      <c r="AB127" s="157">
        <f t="shared" ca="1" si="90"/>
        <v>0</v>
      </c>
      <c r="AC127" s="158" t="str">
        <f ca="1">IF($N127="","",IF(ORÇAMENTO.Descricao="","DESCRIÇÃO",IF(AND($C127="S",ORÇAMENTO.Unidade=""),"UNIDADE",IF($X127&lt;0,"VALOR NEGATIVO",IF(OR(AND(TIPOORCAMENTO="Proposto",$AG127&lt;&gt;"",$AG127&gt;0,ORÇAMENTO.CustoUnitario&gt;$AG127),AND(TIPOORCAMENTO="LICITADO",ORÇAMENTO.PrecoUnitarioLicitado&gt;$AN127)),"ACIMA REF.","")))))</f>
        <v/>
      </c>
      <c r="AD127" s="687" t="str">
        <f ca="1">IF(C127&lt;=CRONO.NivelExibicao,MAX($AD$15:OFFSET(AD127,-1,0))+IF($C127&lt;&gt;1,1,MAX(1,COUNTIF(QCI!$A$13:$A$24,OFFSET($E127,-1,0)))),"")</f>
        <v/>
      </c>
      <c r="AE127" s="114" t="str">
        <f ca="1">IF(AND($C127="S",ORÇAMENTO.CodBarra&lt;&gt;""),IF(ORÇAMENTO.Fonte="",ORÇAMENTO.CodBarra,CONCATENATE(ORÇAMENTO.Fonte," ",ORÇAMENTO.CodBarra)))</f>
        <v>SINAPI 93010</v>
      </c>
      <c r="AF127" s="159">
        <f ca="1">IF(ISERROR(INDIRECT(ORÇAMENTO.BancoRef)),"(abra o arquivo 'Referência "&amp;Excel_BuiltIn_Database&amp;".xlsm)",IF(OR($C127&lt;&gt;"S",ORÇAMENTO.CodBarra=""),"(Sem Código)",IF(ISERROR(MATCH($AE127,INDIRECT(ORÇAMENTO.BancoRef),0)),"(Código não identificado nas referências)",MATCH($AE127,INDIRECT(ORÇAMENTO.BancoRef),0))))</f>
        <v>7795</v>
      </c>
      <c r="AG127" s="578">
        <f ca="1">ROUND(IF(DESONERACAO="sim",REFERENCIA.Desonerado,REFERENCIA.NaoDesonerado),2)</f>
        <v>47.96</v>
      </c>
      <c r="AH127" s="579">
        <f t="shared" ca="1" si="91"/>
        <v>0.2034</v>
      </c>
      <c r="AJ127" s="581">
        <v>100</v>
      </c>
      <c r="AL127" s="611"/>
      <c r="AM127" s="430">
        <f t="shared" ca="1" si="93"/>
        <v>0</v>
      </c>
      <c r="AN127" s="654">
        <f t="shared" ca="1" si="92"/>
        <v>0</v>
      </c>
    </row>
    <row r="128" spans="1:40" ht="51" x14ac:dyDescent="0.2">
      <c r="A128" t="str">
        <f>CHOOSE(1+LOG(1+2*(ORÇAMENTO.Nivel="Meta")+4*(ORÇAMENTO.Nivel="Nível 2")+8*(ORÇAMENTO.Nivel="Nível 3")+16*(ORÇAMENTO.Nivel="Nível 4")+32*(ORÇAMENTO.Nivel="Serviço"),2),0,1,2,3,4,"S")</f>
        <v>S</v>
      </c>
      <c r="B128">
        <f ca="1">IF(OR(C128="s",C128=0),OFFSET(B128,-1,0),C128)</f>
        <v>2</v>
      </c>
      <c r="C128" t="str">
        <f ca="1">IF(OFFSET(C128,-1,0)="L",1,IF(OFFSET(C128,-1,0)=1,2,IF(OR(A128="s",A128=0),"S",IF(AND(OFFSET(C128,-1,0)=2,A128=4),3,IF(AND(OR(OFFSET(C128,-1,0)="s",OFFSET(C128,-1,0)=0),A128&lt;&gt;"s",A128&gt;OFFSET(B128,-1,0)),OFFSET(B128,-1,0),A128)))))</f>
        <v>S</v>
      </c>
      <c r="D128">
        <f ca="1">IF(OR(C128="S",C128=0),0,IF(ISERROR(K128),J128,SMALL(J128:K128,1)))</f>
        <v>0</v>
      </c>
      <c r="E128">
        <f ca="1">IF($C128=1,OFFSET(E128,-1,0)+MAX(1,COUNTIF(QCI!$A$13:$A$24,OFFSET(ORÇAMENTO!E128,-1,0))),OFFSET(E128,-1,0))</f>
        <v>1</v>
      </c>
      <c r="F128">
        <f ca="1">IF($C128=1,0,IF($C128=2,OFFSET(F128,-1,0)+1,OFFSET(F128,-1,0)))</f>
        <v>18</v>
      </c>
      <c r="G128">
        <f ca="1">IF(AND($C128&lt;=2,$C128&lt;&gt;0),0,IF($C128=3,OFFSET(G128,-1,0)+1,OFFSET(G128,-1,0)))</f>
        <v>0</v>
      </c>
      <c r="H128">
        <f ca="1">IF(AND($C128&lt;=3,$C128&lt;&gt;0),0,IF($C128=4,OFFSET(H128,-1,0)+1,OFFSET(H128,-1,0)))</f>
        <v>0</v>
      </c>
      <c r="I128">
        <f ca="1">IF(AND($C128&lt;=4,$C128&lt;&gt;0),0,IF(AND($C128="S",$X128&gt;0),OFFSET(I128,-1,0)+1,OFFSET(I128,-1,0)))</f>
        <v>0</v>
      </c>
      <c r="J128">
        <f t="shared" ca="1" si="94"/>
        <v>0</v>
      </c>
      <c r="K128">
        <f ca="1">IF(OR($C128="S",$C128=0),0,MATCH(OFFSET($D128,0,$C128)+IF($C128&lt;&gt;1,1,COUNTIF(QCI!$A$13:$A$24,ORÇAMENTO!E128)),OFFSET($D128,1,$C128,ROW($C$192)-ROW($C128)),0))</f>
        <v>0</v>
      </c>
      <c r="L128" s="143" t="str">
        <f ca="1">IF(OR($X128&gt;0,$C128=1,$C128=2,$C128=3,$C128=4),"F","")</f>
        <v/>
      </c>
      <c r="M128" s="144" t="s">
        <v>199</v>
      </c>
      <c r="N128" s="145" t="str">
        <f ca="1">CHOOSE(1+LOG(1+2*(C128=1)+4*(C128=2)+8*(C128=3)+16*(C128=4)+32*(C128="S"),2),"","Meta","Nível 2","Nível 3","Nível 4","Serviço")</f>
        <v>Serviço</v>
      </c>
      <c r="O128" s="146" t="str">
        <f ca="1">IF(OR($C128=0,$L128=""),"-",CONCATENATE(E128&amp;".",IF(AND($A$5&gt;=2,$C128&gt;=2),F128&amp;".",""),IF(AND($A$5&gt;=3,$C128&gt;=3),G128&amp;".",""),IF(AND($A$5&gt;=4,$C128&gt;=4),H128&amp;".",""),IF($C128="S",I128&amp;".","")))</f>
        <v>-</v>
      </c>
      <c r="P128" s="147" t="s">
        <v>247</v>
      </c>
      <c r="Q128" s="148" t="s">
        <v>593</v>
      </c>
      <c r="R128" s="149" t="s">
        <v>722</v>
      </c>
      <c r="S128" s="150" t="s">
        <v>778</v>
      </c>
      <c r="T128" s="151">
        <f ca="1">OFFSET(CÁLCULO!H$15,ROW($T128)-ROW(T$15),0)</f>
        <v>1</v>
      </c>
      <c r="U128" s="152"/>
      <c r="V128" s="153" t="s">
        <v>156</v>
      </c>
      <c r="W128" s="151">
        <f ca="1">IF($C128="S",ROUND(IF(TIPOORCAMENTO="Proposto",ORÇAMENTO.CustoUnitario*(1+$AH128),ORÇAMENTO.PrecoUnitarioLicitado),15-13*$AF$10),0)</f>
        <v>0</v>
      </c>
      <c r="X128" s="154">
        <f ca="1">IF($C128="S",IF(Import.TipoArredondamento&lt;&gt;"TransfereGOV",VTOTAL1,SUM(OFFSET(CÁLCULO!$AA$15,ROW($X128)-ROW($X$15),1):OFFSET(CÁLCULO!$AL$15,ROW($X128)-ROW($X$15),-1))),IF($C128=0,0,ROUND(SomaAgrup,15-13*$AF$11)))</f>
        <v>0</v>
      </c>
      <c r="Y128" s="155" t="s">
        <v>245</v>
      </c>
      <c r="Z128" t="str">
        <f ca="1">IF(AND($C128="S",$X128&gt;0),IF(ISBLANK($Y128),"RA",LEFT($Y128,2)),"")</f>
        <v/>
      </c>
      <c r="AA128" s="156">
        <f ca="1">IF($C128="S",IF($Z128="CP",$X128,IF($Z128="RA",(($X128)*QCI!$AA$3),0)),SomaAgrup)</f>
        <v>0</v>
      </c>
      <c r="AB128" s="157">
        <f ca="1">IF($C128="S",IF($Z128="OU",ROUND($X128,2),0),SomaAgrup)</f>
        <v>0</v>
      </c>
      <c r="AC128" s="158" t="str">
        <f ca="1">IF($N128="","",IF(ORÇAMENTO.Descricao="","DESCRIÇÃO",IF(AND($C128="S",ORÇAMENTO.Unidade=""),"UNIDADE",IF($X128&lt;0,"VALOR NEGATIVO",IF(OR(AND(TIPOORCAMENTO="Proposto",$AG128&lt;&gt;"",$AG128&gt;0,ORÇAMENTO.CustoUnitario&gt;$AG128),AND(TIPOORCAMENTO="LICITADO",ORÇAMENTO.PrecoUnitarioLicitado&gt;$AN128)),"ACIMA REF.","")))))</f>
        <v/>
      </c>
      <c r="AD128" s="688" t="str">
        <f ca="1">IF(C128&lt;=CRONO.NivelExibicao,MAX($AD$15:OFFSET(AD128,-1,0))+IF($C128&lt;&gt;1,1,MAX(1,COUNTIF(QCI!$A$13:$A$24,OFFSET($E128,-1,0)))),"")</f>
        <v/>
      </c>
      <c r="AE128" s="114" t="str">
        <f ca="1">IF(AND($C128="S",ORÇAMENTO.CodBarra&lt;&gt;""),IF(ORÇAMENTO.Fonte="",ORÇAMENTO.CodBarra,CONCATENATE(ORÇAMENTO.Fonte," ",ORÇAMENTO.CodBarra)))</f>
        <v>SINAPI 101881</v>
      </c>
      <c r="AF128" s="159">
        <f ca="1">IF(ISERROR(INDIRECT(ORÇAMENTO.BancoRef)),"(abra o arquivo 'Referência "&amp;Excel_BuiltIn_Database&amp;".xlsm)",IF(OR($C128&lt;&gt;"S",ORÇAMENTO.CodBarra=""),"(Sem Código)",IF(ISERROR(MATCH($AE128,INDIRECT(ORÇAMENTO.BancoRef),0)),"(Código não identificado nas referências)",MATCH($AE128,INDIRECT(ORÇAMENTO.BancoRef),0))))</f>
        <v>7989</v>
      </c>
      <c r="AG128" s="578">
        <f ca="1">ROUND(IF(DESONERACAO="sim",REFERENCIA.Desonerado,REFERENCIA.NaoDesonerado),2)</f>
        <v>868.47</v>
      </c>
      <c r="AH128" s="579">
        <f ca="1">ROUND(IF(ISNUMBER(ORÇAMENTO.OpcaoBDI),ORÇAMENTO.OpcaoBDI,IF(LEFT(ORÇAMENTO.OpcaoBDI,3)="BDI",HLOOKUP(ORÇAMENTO.OpcaoBDI,$F$4:$H$5,2,FALSE),0)),15-11*$AF$9)</f>
        <v>0.2034</v>
      </c>
      <c r="AJ128" s="581">
        <v>1</v>
      </c>
      <c r="AL128" s="611"/>
      <c r="AM128" s="430">
        <f t="shared" ca="1" si="93"/>
        <v>0</v>
      </c>
      <c r="AN128" s="654">
        <f ca="1">ROUND(ORÇAMENTO.CustoUnitario*(1+$AH128),2)</f>
        <v>0</v>
      </c>
    </row>
    <row r="129" spans="1:40" ht="38.25" x14ac:dyDescent="0.2">
      <c r="A129" t="str">
        <f t="shared" si="78"/>
        <v>S</v>
      </c>
      <c r="B129">
        <f t="shared" ca="1" si="95"/>
        <v>2</v>
      </c>
      <c r="C129" t="str">
        <f t="shared" ca="1" si="96"/>
        <v>S</v>
      </c>
      <c r="D129">
        <f t="shared" ca="1" si="97"/>
        <v>0</v>
      </c>
      <c r="E129">
        <f ca="1">IF($C129=1,OFFSET(E129,-1,0)+MAX(1,COUNTIF(QCI!$A$13:$A$24,OFFSET(ORÇAMENTO!E129,-1,0))),OFFSET(E129,-1,0))</f>
        <v>1</v>
      </c>
      <c r="F129">
        <f t="shared" ca="1" si="98"/>
        <v>18</v>
      </c>
      <c r="G129">
        <f t="shared" ca="1" si="99"/>
        <v>0</v>
      </c>
      <c r="H129">
        <f t="shared" ca="1" si="100"/>
        <v>0</v>
      </c>
      <c r="I129">
        <f t="shared" ca="1" si="101"/>
        <v>0</v>
      </c>
      <c r="J129">
        <f t="shared" ca="1" si="94"/>
        <v>0</v>
      </c>
      <c r="K129">
        <f ca="1">IF(OR($C129="S",$C129=0),0,MATCH(OFFSET($D129,0,$C129)+IF($C129&lt;&gt;1,1,COUNTIF(QCI!$A$13:$A$24,ORÇAMENTO!E129)),OFFSET($D129,1,$C129,ROW($C$192)-ROW($C129)),0))</f>
        <v>0</v>
      </c>
      <c r="L129" s="143" t="str">
        <f t="shared" ca="1" si="102"/>
        <v/>
      </c>
      <c r="M129" s="144" t="s">
        <v>199</v>
      </c>
      <c r="N129" s="145" t="str">
        <f t="shared" ca="1" si="103"/>
        <v>Serviço</v>
      </c>
      <c r="O129" s="146" t="str">
        <f t="shared" ca="1" si="104"/>
        <v>-</v>
      </c>
      <c r="P129" s="147" t="s">
        <v>247</v>
      </c>
      <c r="Q129" s="148" t="s">
        <v>589</v>
      </c>
      <c r="R129" s="149" t="s">
        <v>723</v>
      </c>
      <c r="S129" s="150" t="s">
        <v>778</v>
      </c>
      <c r="T129" s="151">
        <f ca="1">OFFSET(CÁLCULO!H$15,ROW($T129)-ROW(T$15),0)</f>
        <v>1</v>
      </c>
      <c r="U129" s="152"/>
      <c r="V129" s="153" t="s">
        <v>156</v>
      </c>
      <c r="W129" s="151">
        <f ca="1">IF($C129="S",ROUND(IF(TIPOORCAMENTO="Proposto",ORÇAMENTO.CustoUnitario*(1+$AH129),ORÇAMENTO.PrecoUnitarioLicitado),15-13*$AF$10),0)</f>
        <v>0</v>
      </c>
      <c r="X129" s="154">
        <f ca="1">IF($C129="S",IF(Import.TipoArredondamento&lt;&gt;"TransfereGOV",VTOTAL1,SUM(OFFSET(CÁLCULO!$AA$15,ROW($X129)-ROW($X$15),1):OFFSET(CÁLCULO!$AL$15,ROW($X129)-ROW($X$15),-1))),IF($C129=0,0,ROUND(SomaAgrup,15-13*$AF$11)))</f>
        <v>0</v>
      </c>
      <c r="Y129" s="155" t="s">
        <v>245</v>
      </c>
      <c r="Z129" t="str">
        <f t="shared" ca="1" si="105"/>
        <v/>
      </c>
      <c r="AA129" s="156">
        <f ca="1">IF($C129="S",IF($Z129="CP",$X129,IF($Z129="RA",(($X129)*QCI!$AA$3),0)),SomaAgrup)</f>
        <v>0</v>
      </c>
      <c r="AB129" s="157">
        <f t="shared" ca="1" si="90"/>
        <v>0</v>
      </c>
      <c r="AC129" s="158" t="str">
        <f ca="1">IF($N129="","",IF(ORÇAMENTO.Descricao="","DESCRIÇÃO",IF(AND($C129="S",ORÇAMENTO.Unidade=""),"UNIDADE",IF($X129&lt;0,"VALOR NEGATIVO",IF(OR(AND(TIPOORCAMENTO="Proposto",$AG129&lt;&gt;"",$AG129&gt;0,ORÇAMENTO.CustoUnitario&gt;$AG129),AND(TIPOORCAMENTO="LICITADO",ORÇAMENTO.PrecoUnitarioLicitado&gt;$AN129)),"ACIMA REF.","")))))</f>
        <v/>
      </c>
      <c r="AD129" s="687" t="str">
        <f ca="1">IF(C129&lt;=CRONO.NivelExibicao,MAX($AD$15:OFFSET(AD129,-1,0))+IF($C129&lt;&gt;1,1,MAX(1,COUNTIF(QCI!$A$13:$A$24,OFFSET($E129,-1,0)))),"")</f>
        <v/>
      </c>
      <c r="AE129" s="114" t="str">
        <f ca="1">IF(AND($C129="S",ORÇAMENTO.CodBarra&lt;&gt;""),IF(ORÇAMENTO.Fonte="",ORÇAMENTO.CodBarra,CONCATENATE(ORÇAMENTO.Fonte," ",ORÇAMENTO.CodBarra)))</f>
        <v>SINAPI 101795</v>
      </c>
      <c r="AF129" s="159">
        <f ca="1">IF(ISERROR(INDIRECT(ORÇAMENTO.BancoRef)),"(abra o arquivo 'Referência "&amp;Excel_BuiltIn_Database&amp;".xlsm)",IF(OR($C129&lt;&gt;"S",ORÇAMENTO.CodBarra=""),"(Sem Código)",IF(ISERROR(MATCH($AE129,INDIRECT(ORÇAMENTO.BancoRef),0)),"(Código não identificado nas referências)",MATCH($AE129,INDIRECT(ORÇAMENTO.BancoRef),0))))</f>
        <v>8358</v>
      </c>
      <c r="AG129" s="578">
        <f ca="1">ROUND(IF(DESONERACAO="sim",REFERENCIA.Desonerado,REFERENCIA.NaoDesonerado),2)</f>
        <v>601.78</v>
      </c>
      <c r="AH129" s="579">
        <f t="shared" ca="1" si="91"/>
        <v>0.2034</v>
      </c>
      <c r="AJ129" s="581">
        <v>1</v>
      </c>
      <c r="AL129" s="611"/>
      <c r="AM129" s="430">
        <f t="shared" ca="1" si="93"/>
        <v>0</v>
      </c>
      <c r="AN129" s="654">
        <f t="shared" ca="1" si="92"/>
        <v>0</v>
      </c>
    </row>
    <row r="130" spans="1:40" ht="25.5" x14ac:dyDescent="0.2">
      <c r="A130" t="str">
        <f t="shared" si="78"/>
        <v>S</v>
      </c>
      <c r="B130">
        <f t="shared" ca="1" si="95"/>
        <v>2</v>
      </c>
      <c r="C130" t="str">
        <f t="shared" ca="1" si="96"/>
        <v>S</v>
      </c>
      <c r="D130">
        <f t="shared" ca="1" si="97"/>
        <v>0</v>
      </c>
      <c r="E130">
        <f ca="1">IF($C130=1,OFFSET(E130,-1,0)+MAX(1,COUNTIF(QCI!$A$13:$A$24,OFFSET(ORÇAMENTO!E130,-1,0))),OFFSET(E130,-1,0))</f>
        <v>1</v>
      </c>
      <c r="F130">
        <f t="shared" ca="1" si="98"/>
        <v>18</v>
      </c>
      <c r="G130">
        <f t="shared" ca="1" si="99"/>
        <v>0</v>
      </c>
      <c r="H130">
        <f t="shared" ca="1" si="100"/>
        <v>0</v>
      </c>
      <c r="I130">
        <f t="shared" ca="1" si="101"/>
        <v>0</v>
      </c>
      <c r="J130">
        <f t="shared" ca="1" si="94"/>
        <v>0</v>
      </c>
      <c r="K130">
        <f ca="1">IF(OR($C130="S",$C130=0),0,MATCH(OFFSET($D130,0,$C130)+IF($C130&lt;&gt;1,1,COUNTIF(QCI!$A$13:$A$24,ORÇAMENTO!E130)),OFFSET($D130,1,$C130,ROW($C$192)-ROW($C130)),0))</f>
        <v>0</v>
      </c>
      <c r="L130" s="143" t="str">
        <f t="shared" ca="1" si="102"/>
        <v/>
      </c>
      <c r="M130" s="144" t="s">
        <v>199</v>
      </c>
      <c r="N130" s="145" t="str">
        <f t="shared" ca="1" si="103"/>
        <v>Serviço</v>
      </c>
      <c r="O130" s="146" t="str">
        <f t="shared" ca="1" si="104"/>
        <v>-</v>
      </c>
      <c r="P130" s="147" t="s">
        <v>247</v>
      </c>
      <c r="Q130" s="148" t="s">
        <v>515</v>
      </c>
      <c r="R130" s="149" t="s">
        <v>724</v>
      </c>
      <c r="S130" s="150" t="s">
        <v>778</v>
      </c>
      <c r="T130" s="151">
        <f ca="1">OFFSET(CÁLCULO!H$15,ROW($T130)-ROW(T$15),0)</f>
        <v>57</v>
      </c>
      <c r="U130" s="152"/>
      <c r="V130" s="153" t="s">
        <v>156</v>
      </c>
      <c r="W130" s="151">
        <f ca="1">IF($C130="S",ROUND(IF(TIPOORCAMENTO="Proposto",ORÇAMENTO.CustoUnitario*(1+$AH130),ORÇAMENTO.PrecoUnitarioLicitado),15-13*$AF$10),0)</f>
        <v>0</v>
      </c>
      <c r="X130" s="154">
        <f ca="1">IF($C130="S",IF(Import.TipoArredondamento&lt;&gt;"TransfereGOV",VTOTAL1,SUM(OFFSET(CÁLCULO!$AA$15,ROW($X130)-ROW($X$15),1):OFFSET(CÁLCULO!$AL$15,ROW($X130)-ROW($X$15),-1))),IF($C130=0,0,ROUND(SomaAgrup,15-13*$AF$11)))</f>
        <v>0</v>
      </c>
      <c r="Y130" s="155" t="s">
        <v>245</v>
      </c>
      <c r="Z130" t="str">
        <f t="shared" ca="1" si="105"/>
        <v/>
      </c>
      <c r="AA130" s="156">
        <f ca="1">IF($C130="S",IF($Z130="CP",$X130,IF($Z130="RA",(($X130)*QCI!$AA$3),0)),SomaAgrup)</f>
        <v>0</v>
      </c>
      <c r="AB130" s="157">
        <f t="shared" ca="1" si="90"/>
        <v>0</v>
      </c>
      <c r="AC130" s="158" t="str">
        <f ca="1">IF($N130="","",IF(ORÇAMENTO.Descricao="","DESCRIÇÃO",IF(AND($C130="S",ORÇAMENTO.Unidade=""),"UNIDADE",IF($X130&lt;0,"VALOR NEGATIVO",IF(OR(AND(TIPOORCAMENTO="Proposto",$AG130&lt;&gt;"",$AG130&gt;0,ORÇAMENTO.CustoUnitario&gt;$AG130),AND(TIPOORCAMENTO="LICITADO",ORÇAMENTO.PrecoUnitarioLicitado&gt;$AN130)),"ACIMA REF.","")))))</f>
        <v/>
      </c>
      <c r="AD130" s="687" t="str">
        <f ca="1">IF(C130&lt;=CRONO.NivelExibicao,MAX($AD$15:OFFSET(AD130,-1,0))+IF($C130&lt;&gt;1,1,MAX(1,COUNTIF(QCI!$A$13:$A$24,OFFSET($E130,-1,0)))),"")</f>
        <v/>
      </c>
      <c r="AE130" s="114" t="str">
        <f ca="1">IF(AND($C130="S",ORÇAMENTO.CodBarra&lt;&gt;""),IF(ORÇAMENTO.Fonte="",ORÇAMENTO.CodBarra,CONCATENATE(ORÇAMENTO.Fonte," ",ORÇAMENTO.CodBarra)))</f>
        <v>SINAPI 91936</v>
      </c>
      <c r="AF130" s="159">
        <f ca="1">IF(ISERROR(INDIRECT(ORÇAMENTO.BancoRef)),"(abra o arquivo 'Referência "&amp;Excel_BuiltIn_Database&amp;".xlsm)",IF(OR($C130&lt;&gt;"S",ORÇAMENTO.CodBarra=""),"(Sem Código)",IF(ISERROR(MATCH($AE130,INDIRECT(ORÇAMENTO.BancoRef),0)),"(Código não identificado nas referências)",MATCH($AE130,INDIRECT(ORÇAMENTO.BancoRef),0))))</f>
        <v>7887</v>
      </c>
      <c r="AG130" s="578">
        <f ca="1">ROUND(IF(DESONERACAO="sim",REFERENCIA.Desonerado,REFERENCIA.NaoDesonerado),2)</f>
        <v>19.2</v>
      </c>
      <c r="AH130" s="579">
        <f t="shared" ca="1" si="91"/>
        <v>0.2034</v>
      </c>
      <c r="AJ130" s="581">
        <v>57</v>
      </c>
      <c r="AL130" s="611"/>
      <c r="AM130" s="430">
        <f t="shared" ca="1" si="93"/>
        <v>0</v>
      </c>
      <c r="AN130" s="654">
        <f t="shared" ca="1" si="92"/>
        <v>0</v>
      </c>
    </row>
    <row r="131" spans="1:40" ht="38.25" x14ac:dyDescent="0.2">
      <c r="A131" t="str">
        <f>CHOOSE(1+LOG(1+2*(ORÇAMENTO.Nivel="Meta")+4*(ORÇAMENTO.Nivel="Nível 2")+8*(ORÇAMENTO.Nivel="Nível 3")+16*(ORÇAMENTO.Nivel="Nível 4")+32*(ORÇAMENTO.Nivel="Serviço"),2),0,1,2,3,4,"S")</f>
        <v>S</v>
      </c>
      <c r="B131">
        <f ca="1">IF(OR(C131="s",C131=0),OFFSET(B131,-1,0),C131)</f>
        <v>2</v>
      </c>
      <c r="C131" t="str">
        <f ca="1">IF(OFFSET(C131,-1,0)="L",1,IF(OFFSET(C131,-1,0)=1,2,IF(OR(A131="s",A131=0),"S",IF(AND(OFFSET(C131,-1,0)=2,A131=4),3,IF(AND(OR(OFFSET(C131,-1,0)="s",OFFSET(C131,-1,0)=0),A131&lt;&gt;"s",A131&gt;OFFSET(B131,-1,0)),OFFSET(B131,-1,0),A131)))))</f>
        <v>S</v>
      </c>
      <c r="D131">
        <f ca="1">IF(OR(C131="S",C131=0),0,IF(ISERROR(K131),J131,SMALL(J131:K131,1)))</f>
        <v>0</v>
      </c>
      <c r="E131">
        <f ca="1">IF($C131=1,OFFSET(E131,-1,0)+MAX(1,COUNTIF(QCI!$A$13:$A$24,OFFSET(ORÇAMENTO!E131,-1,0))),OFFSET(E131,-1,0))</f>
        <v>1</v>
      </c>
      <c r="F131">
        <f ca="1">IF($C131=1,0,IF($C131=2,OFFSET(F131,-1,0)+1,OFFSET(F131,-1,0)))</f>
        <v>18</v>
      </c>
      <c r="G131">
        <f ca="1">IF(AND($C131&lt;=2,$C131&lt;&gt;0),0,IF($C131=3,OFFSET(G131,-1,0)+1,OFFSET(G131,-1,0)))</f>
        <v>0</v>
      </c>
      <c r="H131">
        <f ca="1">IF(AND($C131&lt;=3,$C131&lt;&gt;0),0,IF($C131=4,OFFSET(H131,-1,0)+1,OFFSET(H131,-1,0)))</f>
        <v>0</v>
      </c>
      <c r="I131">
        <f ca="1">IF(AND($C131&lt;=4,$C131&lt;&gt;0),0,IF(AND($C131="S",$X131&gt;0),OFFSET(I131,-1,0)+1,OFFSET(I131,-1,0)))</f>
        <v>0</v>
      </c>
      <c r="J131">
        <f t="shared" ca="1" si="94"/>
        <v>0</v>
      </c>
      <c r="K131">
        <f ca="1">IF(OR($C131="S",$C131=0),0,MATCH(OFFSET($D131,0,$C131)+IF($C131&lt;&gt;1,1,COUNTIF(QCI!$A$13:$A$24,ORÇAMENTO!E131)),OFFSET($D131,1,$C131,ROW($C$192)-ROW($C131)),0))</f>
        <v>0</v>
      </c>
      <c r="L131" s="143" t="str">
        <f ca="1">IF(OR($X131&gt;0,$C131=1,$C131=2,$C131=3,$C131=4),"F","")</f>
        <v/>
      </c>
      <c r="M131" s="144" t="s">
        <v>199</v>
      </c>
      <c r="N131" s="145" t="str">
        <f ca="1">CHOOSE(1+LOG(1+2*(C131=1)+4*(C131=2)+8*(C131=3)+16*(C131=4)+32*(C131="S"),2),"","Meta","Nível 2","Nível 3","Nível 4","Serviço")</f>
        <v>Serviço</v>
      </c>
      <c r="O131" s="146" t="str">
        <f ca="1">IF(OR($C131=0,$L131=""),"-",CONCATENATE(E131&amp;".",IF(AND($A$5&gt;=2,$C131&gt;=2),F131&amp;".",""),IF(AND($A$5&gt;=3,$C131&gt;=3),G131&amp;".",""),IF(AND($A$5&gt;=4,$C131&gt;=4),H131&amp;".",""),IF($C131="S",I131&amp;".","")))</f>
        <v>-</v>
      </c>
      <c r="P131" s="147" t="s">
        <v>247</v>
      </c>
      <c r="Q131" s="148" t="s">
        <v>621</v>
      </c>
      <c r="R131" s="149" t="s">
        <v>725</v>
      </c>
      <c r="S131" s="150" t="s">
        <v>778</v>
      </c>
      <c r="T131" s="151">
        <f ca="1">OFFSET(CÁLCULO!H$15,ROW($T131)-ROW(T$15),0)</f>
        <v>4</v>
      </c>
      <c r="U131" s="152"/>
      <c r="V131" s="153" t="s">
        <v>156</v>
      </c>
      <c r="W131" s="151">
        <f ca="1">IF($C131="S",ROUND(IF(TIPOORCAMENTO="Proposto",ORÇAMENTO.CustoUnitario*(1+$AH131),ORÇAMENTO.PrecoUnitarioLicitado),15-13*$AF$10),0)</f>
        <v>0</v>
      </c>
      <c r="X131" s="154">
        <f ca="1">IF($C131="S",IF(Import.TipoArredondamento&lt;&gt;"TransfereGOV",VTOTAL1,SUM(OFFSET(CÁLCULO!$AA$15,ROW($X131)-ROW($X$15),1):OFFSET(CÁLCULO!$AL$15,ROW($X131)-ROW($X$15),-1))),IF($C131=0,0,ROUND(SomaAgrup,15-13*$AF$11)))</f>
        <v>0</v>
      </c>
      <c r="Y131" s="155" t="s">
        <v>245</v>
      </c>
      <c r="Z131" t="str">
        <f ca="1">IF(AND($C131="S",$X131&gt;0),IF(ISBLANK($Y131),"RA",LEFT($Y131,2)),"")</f>
        <v/>
      </c>
      <c r="AA131" s="156">
        <f ca="1">IF($C131="S",IF($Z131="CP",$X131,IF($Z131="RA",(($X131)*QCI!$AA$3),0)),SomaAgrup)</f>
        <v>0</v>
      </c>
      <c r="AB131" s="157">
        <f ca="1">IF($C131="S",IF($Z131="OU",ROUND($X131,2),0),SomaAgrup)</f>
        <v>0</v>
      </c>
      <c r="AC131" s="158" t="str">
        <f ca="1">IF($N131="","",IF(ORÇAMENTO.Descricao="","DESCRIÇÃO",IF(AND($C131="S",ORÇAMENTO.Unidade=""),"UNIDADE",IF($X131&lt;0,"VALOR NEGATIVO",IF(OR(AND(TIPOORCAMENTO="Proposto",$AG131&lt;&gt;"",$AG131&gt;0,ORÇAMENTO.CustoUnitario&gt;$AG131),AND(TIPOORCAMENTO="LICITADO",ORÇAMENTO.PrecoUnitarioLicitado&gt;$AN131)),"ACIMA REF.","")))))</f>
        <v/>
      </c>
      <c r="AD131" s="692" t="str">
        <f ca="1">IF(C131&lt;=CRONO.NivelExibicao,MAX($AD$15:OFFSET(AD131,-1,0))+IF($C131&lt;&gt;1,1,MAX(1,COUNTIF(QCI!$A$13:$A$24,OFFSET($E131,-1,0)))),"")</f>
        <v/>
      </c>
      <c r="AE131" s="114" t="str">
        <f ca="1">IF(AND($C131="S",ORÇAMENTO.CodBarra&lt;&gt;""),IF(ORÇAMENTO.Fonte="",ORÇAMENTO.CodBarra,CONCATENATE(ORÇAMENTO.Fonte," ",ORÇAMENTO.CodBarra)))</f>
        <v>SINAPI 92869</v>
      </c>
      <c r="AF131" s="159">
        <f ca="1">IF(ISERROR(INDIRECT(ORÇAMENTO.BancoRef)),"(abra o arquivo 'Referência "&amp;Excel_BuiltIn_Database&amp;".xlsm)",IF(OR($C131&lt;&gt;"S",ORÇAMENTO.CodBarra=""),"(Sem Código)",IF(ISERROR(MATCH($AE131,INDIRECT(ORÇAMENTO.BancoRef),0)),"(Código não identificado nas referências)",MATCH($AE131,INDIRECT(ORÇAMENTO.BancoRef),0))))</f>
        <v>7899</v>
      </c>
      <c r="AG131" s="578">
        <f ca="1">ROUND(IF(DESONERACAO="sim",REFERENCIA.Desonerado,REFERENCIA.NaoDesonerado),2)</f>
        <v>10.78</v>
      </c>
      <c r="AH131" s="579">
        <f ca="1">ROUND(IF(ISNUMBER(ORÇAMENTO.OpcaoBDI),ORÇAMENTO.OpcaoBDI,IF(LEFT(ORÇAMENTO.OpcaoBDI,3)="BDI",HLOOKUP(ORÇAMENTO.OpcaoBDI,$F$4:$H$5,2,FALSE),0)),15-11*$AF$9)</f>
        <v>0.2034</v>
      </c>
      <c r="AJ131" s="581">
        <v>4</v>
      </c>
      <c r="AL131" s="611"/>
      <c r="AM131" s="430">
        <f t="shared" ca="1" si="93"/>
        <v>0</v>
      </c>
      <c r="AN131" s="654">
        <f ca="1">ROUND(ORÇAMENTO.CustoUnitario*(1+$AH131),2)</f>
        <v>0</v>
      </c>
    </row>
    <row r="132" spans="1:40" ht="25.5" x14ac:dyDescent="0.2">
      <c r="A132" t="str">
        <f t="shared" si="78"/>
        <v>S</v>
      </c>
      <c r="B132">
        <f t="shared" ca="1" si="95"/>
        <v>2</v>
      </c>
      <c r="C132" t="str">
        <f t="shared" ca="1" si="96"/>
        <v>S</v>
      </c>
      <c r="D132">
        <f t="shared" ca="1" si="97"/>
        <v>0</v>
      </c>
      <c r="E132">
        <f ca="1">IF($C132=1,OFFSET(E132,-1,0)+MAX(1,COUNTIF(QCI!$A$13:$A$24,OFFSET(ORÇAMENTO!E132,-1,0))),OFFSET(E132,-1,0))</f>
        <v>1</v>
      </c>
      <c r="F132">
        <f t="shared" ca="1" si="98"/>
        <v>18</v>
      </c>
      <c r="G132">
        <f t="shared" ca="1" si="99"/>
        <v>0</v>
      </c>
      <c r="H132">
        <f t="shared" ca="1" si="100"/>
        <v>0</v>
      </c>
      <c r="I132">
        <f t="shared" ca="1" si="101"/>
        <v>0</v>
      </c>
      <c r="J132">
        <f t="shared" ca="1" si="94"/>
        <v>0</v>
      </c>
      <c r="K132">
        <f ca="1">IF(OR($C132="S",$C132=0),0,MATCH(OFFSET($D132,0,$C132)+IF($C132&lt;&gt;1,1,COUNTIF(QCI!$A$13:$A$24,ORÇAMENTO!E132)),OFFSET($D132,1,$C132,ROW($C$192)-ROW($C132)),0))</f>
        <v>0</v>
      </c>
      <c r="L132" s="143" t="str">
        <f t="shared" ca="1" si="102"/>
        <v/>
      </c>
      <c r="M132" s="144" t="s">
        <v>199</v>
      </c>
      <c r="N132" s="145" t="str">
        <f t="shared" ca="1" si="103"/>
        <v>Serviço</v>
      </c>
      <c r="O132" s="146" t="str">
        <f t="shared" ca="1" si="104"/>
        <v>-</v>
      </c>
      <c r="P132" s="147" t="s">
        <v>497</v>
      </c>
      <c r="Q132" s="148" t="s">
        <v>597</v>
      </c>
      <c r="R132" s="149" t="s">
        <v>726</v>
      </c>
      <c r="S132" s="150" t="s">
        <v>776</v>
      </c>
      <c r="T132" s="151">
        <f ca="1">OFFSET(CÁLCULO!H$15,ROW($T132)-ROW(T$15),0)</f>
        <v>57</v>
      </c>
      <c r="U132" s="152"/>
      <c r="V132" s="153" t="s">
        <v>156</v>
      </c>
      <c r="W132" s="151">
        <f ca="1">IF($C132="S",ROUND(IF(TIPOORCAMENTO="Proposto",ORÇAMENTO.CustoUnitario*(1+$AH132),ORÇAMENTO.PrecoUnitarioLicitado),15-13*$AF$10),0)</f>
        <v>0</v>
      </c>
      <c r="X132" s="154">
        <f ca="1">IF($C132="S",IF(Import.TipoArredondamento&lt;&gt;"TransfereGOV",VTOTAL1,SUM(OFFSET(CÁLCULO!$AA$15,ROW($X132)-ROW($X$15),1):OFFSET(CÁLCULO!$AL$15,ROW($X132)-ROW($X$15),-1))),IF($C132=0,0,ROUND(SomaAgrup,15-13*$AF$11)))</f>
        <v>0</v>
      </c>
      <c r="Y132" s="155" t="s">
        <v>245</v>
      </c>
      <c r="Z132" t="str">
        <f t="shared" ca="1" si="105"/>
        <v/>
      </c>
      <c r="AA132" s="156">
        <f ca="1">IF($C132="S",IF($Z132="CP",$X132,IF($Z132="RA",(($X132)*QCI!$AA$3),0)),SomaAgrup)</f>
        <v>0</v>
      </c>
      <c r="AB132" s="157">
        <f t="shared" ca="1" si="90"/>
        <v>0</v>
      </c>
      <c r="AC132" s="158" t="str">
        <f ca="1">IF($N132="","",IF(ORÇAMENTO.Descricao="","DESCRIÇÃO",IF(AND($C132="S",ORÇAMENTO.Unidade=""),"UNIDADE",IF($X132&lt;0,"VALOR NEGATIVO",IF(OR(AND(TIPOORCAMENTO="Proposto",$AG132&lt;&gt;"",$AG132&gt;0,ORÇAMENTO.CustoUnitario&gt;$AG132),AND(TIPOORCAMENTO="LICITADO",ORÇAMENTO.PrecoUnitarioLicitado&gt;$AN132)),"ACIMA REF.","")))))</f>
        <v/>
      </c>
      <c r="AD132" s="687" t="str">
        <f ca="1">IF(C132&lt;=CRONO.NivelExibicao,MAX($AD$15:OFFSET(AD132,-1,0))+IF($C132&lt;&gt;1,1,MAX(1,COUNTIF(QCI!$A$13:$A$24,OFFSET($E132,-1,0)))),"")</f>
        <v/>
      </c>
      <c r="AE132" s="114" t="str">
        <f ca="1">IF(AND($C132="S",ORÇAMENTO.CodBarra&lt;&gt;""),IF(ORÇAMENTO.Fonte="",ORÇAMENTO.CodBarra,CONCATENATE(ORÇAMENTO.Fonte," ",ORÇAMENTO.CodBarra)))</f>
        <v>COMPOSIÇÃO C006</v>
      </c>
      <c r="AF132" s="159">
        <f ca="1">IF(ISERROR(INDIRECT(ORÇAMENTO.BancoRef)),"(abra o arquivo 'Referência "&amp;Excel_BuiltIn_Database&amp;".xlsm)",IF(OR($C132&lt;&gt;"S",ORÇAMENTO.CodBarra=""),"(Sem Código)",IF(ISERROR(MATCH($AE132,INDIRECT(ORÇAMENTO.BancoRef),0)),"(Código não identificado nas referências)",MATCH($AE132,INDIRECT(ORÇAMENTO.BancoRef),0))))</f>
        <v>6</v>
      </c>
      <c r="AG132" s="578">
        <f ca="1">ROUND(IF(DESONERACAO="sim",REFERENCIA.Desonerado,REFERENCIA.NaoDesonerado),2)</f>
        <v>177.85</v>
      </c>
      <c r="AH132" s="579">
        <f t="shared" ca="1" si="91"/>
        <v>0.2034</v>
      </c>
      <c r="AJ132" s="581">
        <v>57</v>
      </c>
      <c r="AL132" s="611"/>
      <c r="AM132" s="430">
        <f t="shared" ca="1" si="93"/>
        <v>0</v>
      </c>
      <c r="AN132" s="654">
        <f t="shared" ca="1" si="92"/>
        <v>0</v>
      </c>
    </row>
    <row r="133" spans="1:40" ht="25.5" x14ac:dyDescent="0.2">
      <c r="A133" t="str">
        <f t="shared" si="78"/>
        <v>S</v>
      </c>
      <c r="B133">
        <f t="shared" ca="1" si="95"/>
        <v>2</v>
      </c>
      <c r="C133" t="str">
        <f t="shared" ca="1" si="96"/>
        <v>S</v>
      </c>
      <c r="D133">
        <f t="shared" ca="1" si="97"/>
        <v>0</v>
      </c>
      <c r="E133">
        <f ca="1">IF($C133=1,OFFSET(E133,-1,0)+MAX(1,COUNTIF(QCI!$A$13:$A$24,OFFSET(ORÇAMENTO!E133,-1,0))),OFFSET(E133,-1,0))</f>
        <v>1</v>
      </c>
      <c r="F133">
        <f t="shared" ca="1" si="98"/>
        <v>18</v>
      </c>
      <c r="G133">
        <f t="shared" ca="1" si="99"/>
        <v>0</v>
      </c>
      <c r="H133">
        <f t="shared" ca="1" si="100"/>
        <v>0</v>
      </c>
      <c r="I133">
        <f t="shared" ca="1" si="101"/>
        <v>0</v>
      </c>
      <c r="J133">
        <f t="shared" ca="1" si="94"/>
        <v>0</v>
      </c>
      <c r="K133">
        <f ca="1">IF(OR($C133="S",$C133=0),0,MATCH(OFFSET($D133,0,$C133)+IF($C133&lt;&gt;1,1,COUNTIF(QCI!$A$13:$A$24,ORÇAMENTO!E133)),OFFSET($D133,1,$C133,ROW($C$192)-ROW($C133)),0))</f>
        <v>0</v>
      </c>
      <c r="L133" s="143" t="str">
        <f t="shared" ca="1" si="102"/>
        <v/>
      </c>
      <c r="M133" s="144" t="s">
        <v>199</v>
      </c>
      <c r="N133" s="145" t="str">
        <f t="shared" ca="1" si="103"/>
        <v>Serviço</v>
      </c>
      <c r="O133" s="146" t="str">
        <f t="shared" ca="1" si="104"/>
        <v>-</v>
      </c>
      <c r="P133" s="147" t="s">
        <v>247</v>
      </c>
      <c r="Q133" s="148" t="s">
        <v>596</v>
      </c>
      <c r="R133" s="149" t="s">
        <v>727</v>
      </c>
      <c r="S133" s="150" t="s">
        <v>778</v>
      </c>
      <c r="T133" s="151">
        <f ca="1">OFFSET(CÁLCULO!H$15,ROW($T133)-ROW(T$15),0)</f>
        <v>114</v>
      </c>
      <c r="U133" s="152"/>
      <c r="V133" s="153" t="s">
        <v>156</v>
      </c>
      <c r="W133" s="151">
        <f ca="1">IF($C133="S",ROUND(IF(TIPOORCAMENTO="Proposto",ORÇAMENTO.CustoUnitario*(1+$AH133),ORÇAMENTO.PrecoUnitarioLicitado),15-13*$AF$10),0)</f>
        <v>0</v>
      </c>
      <c r="X133" s="154">
        <f ca="1">IF($C133="S",IF(Import.TipoArredondamento&lt;&gt;"TransfereGOV",VTOTAL1,SUM(OFFSET(CÁLCULO!$AA$15,ROW($X133)-ROW($X$15),1):OFFSET(CÁLCULO!$AL$15,ROW($X133)-ROW($X$15),-1))),IF($C133=0,0,ROUND(SomaAgrup,15-13*$AF$11)))</f>
        <v>0</v>
      </c>
      <c r="Y133" s="155" t="s">
        <v>245</v>
      </c>
      <c r="Z133" t="str">
        <f t="shared" ca="1" si="105"/>
        <v/>
      </c>
      <c r="AA133" s="156">
        <f ca="1">IF($C133="S",IF($Z133="CP",$X133,IF($Z133="RA",(($X133)*QCI!$AA$3),0)),SomaAgrup)</f>
        <v>0</v>
      </c>
      <c r="AB133" s="157">
        <f t="shared" ca="1" si="90"/>
        <v>0</v>
      </c>
      <c r="AC133" s="158" t="str">
        <f ca="1">IF($N133="","",IF(ORÇAMENTO.Descricao="","DESCRIÇÃO",IF(AND($C133="S",ORÇAMENTO.Unidade=""),"UNIDADE",IF($X133&lt;0,"VALOR NEGATIVO",IF(OR(AND(TIPOORCAMENTO="Proposto",$AG133&lt;&gt;"",$AG133&gt;0,ORÇAMENTO.CustoUnitario&gt;$AG133),AND(TIPOORCAMENTO="LICITADO",ORÇAMENTO.PrecoUnitarioLicitado&gt;$AN133)),"ACIMA REF.","")))))</f>
        <v/>
      </c>
      <c r="AD133" s="687" t="str">
        <f ca="1">IF(C133&lt;=CRONO.NivelExibicao,MAX($AD$15:OFFSET(AD133,-1,0))+IF($C133&lt;&gt;1,1,MAX(1,COUNTIF(QCI!$A$13:$A$24,OFFSET($E133,-1,0)))),"")</f>
        <v/>
      </c>
      <c r="AE133" s="114" t="str">
        <f ca="1">IF(AND($C133="S",ORÇAMENTO.CodBarra&lt;&gt;""),IF(ORÇAMENTO.Fonte="",ORÇAMENTO.CodBarra,CONCATENATE(ORÇAMENTO.Fonte," ",ORÇAMENTO.CodBarra)))</f>
        <v>SINAPI 100903</v>
      </c>
      <c r="AF133" s="159">
        <f ca="1">IF(ISERROR(INDIRECT(ORÇAMENTO.BancoRef)),"(abra o arquivo 'Referência "&amp;Excel_BuiltIn_Database&amp;".xlsm)",IF(OR($C133&lt;&gt;"S",ORÇAMENTO.CodBarra=""),"(Sem Código)",IF(ISERROR(MATCH($AE133,INDIRECT(ORÇAMENTO.BancoRef),0)),"(Código não identificado nas referências)",MATCH($AE133,INDIRECT(ORÇAMENTO.BancoRef),0))))</f>
        <v>8108</v>
      </c>
      <c r="AG133" s="578">
        <f ca="1">ROUND(IF(DESONERACAO="sim",REFERENCIA.Desonerado,REFERENCIA.NaoDesonerado),2)</f>
        <v>27.25</v>
      </c>
      <c r="AH133" s="579">
        <f t="shared" ca="1" si="91"/>
        <v>0.2034</v>
      </c>
      <c r="AJ133" s="581">
        <v>114</v>
      </c>
      <c r="AL133" s="611"/>
      <c r="AM133" s="430">
        <f t="shared" ca="1" si="93"/>
        <v>0</v>
      </c>
      <c r="AN133" s="654">
        <f t="shared" ca="1" si="92"/>
        <v>0</v>
      </c>
    </row>
    <row r="134" spans="1:40" ht="25.5" x14ac:dyDescent="0.2">
      <c r="A134" t="str">
        <f t="shared" si="78"/>
        <v>S</v>
      </c>
      <c r="B134">
        <f t="shared" ca="1" si="95"/>
        <v>2</v>
      </c>
      <c r="C134" t="str">
        <f t="shared" ca="1" si="96"/>
        <v>S</v>
      </c>
      <c r="D134">
        <f t="shared" ca="1" si="97"/>
        <v>0</v>
      </c>
      <c r="E134">
        <f ca="1">IF($C134=1,OFFSET(E134,-1,0)+MAX(1,COUNTIF(QCI!$A$13:$A$24,OFFSET(ORÇAMENTO!E134,-1,0))),OFFSET(E134,-1,0))</f>
        <v>1</v>
      </c>
      <c r="F134">
        <f t="shared" ca="1" si="98"/>
        <v>18</v>
      </c>
      <c r="G134">
        <f t="shared" ca="1" si="99"/>
        <v>0</v>
      </c>
      <c r="H134">
        <f t="shared" ca="1" si="100"/>
        <v>0</v>
      </c>
      <c r="I134">
        <f t="shared" ca="1" si="101"/>
        <v>0</v>
      </c>
      <c r="J134">
        <f t="shared" ca="1" si="94"/>
        <v>0</v>
      </c>
      <c r="K134">
        <f ca="1">IF(OR($C134="S",$C134=0),0,MATCH(OFFSET($D134,0,$C134)+IF($C134&lt;&gt;1,1,COUNTIF(QCI!$A$13:$A$24,ORÇAMENTO!E134)),OFFSET($D134,1,$C134,ROW($C$192)-ROW($C134)),0))</f>
        <v>0</v>
      </c>
      <c r="L134" s="143" t="str">
        <f t="shared" ca="1" si="102"/>
        <v/>
      </c>
      <c r="M134" s="144" t="s">
        <v>199</v>
      </c>
      <c r="N134" s="145" t="str">
        <f t="shared" ca="1" si="103"/>
        <v>Serviço</v>
      </c>
      <c r="O134" s="146" t="str">
        <f t="shared" ca="1" si="104"/>
        <v>-</v>
      </c>
      <c r="P134" s="147" t="s">
        <v>453</v>
      </c>
      <c r="Q134" s="148" t="s">
        <v>598</v>
      </c>
      <c r="R134" s="149" t="s">
        <v>728</v>
      </c>
      <c r="S134" s="150" t="s">
        <v>786</v>
      </c>
      <c r="T134" s="151">
        <f ca="1">OFFSET(CÁLCULO!H$15,ROW($T134)-ROW(T$15),0)</f>
        <v>70</v>
      </c>
      <c r="U134" s="152"/>
      <c r="V134" s="153" t="s">
        <v>156</v>
      </c>
      <c r="W134" s="151">
        <f ca="1">IF($C134="S",ROUND(IF(TIPOORCAMENTO="Proposto",ORÇAMENTO.CustoUnitario*(1+$AH134),ORÇAMENTO.PrecoUnitarioLicitado),15-13*$AF$10),0)</f>
        <v>0</v>
      </c>
      <c r="X134" s="154">
        <f ca="1">IF($C134="S",IF(Import.TipoArredondamento&lt;&gt;"TransfereGOV",VTOTAL1,SUM(OFFSET(CÁLCULO!$AA$15,ROW($X134)-ROW($X$15),1):OFFSET(CÁLCULO!$AL$15,ROW($X134)-ROW($X$15),-1))),IF($C134=0,0,ROUND(SomaAgrup,15-13*$AF$11)))</f>
        <v>0</v>
      </c>
      <c r="Y134" s="155" t="s">
        <v>245</v>
      </c>
      <c r="Z134" t="str">
        <f t="shared" ca="1" si="105"/>
        <v/>
      </c>
      <c r="AA134" s="156">
        <f ca="1">IF($C134="S",IF($Z134="CP",$X134,IF($Z134="RA",(($X134)*QCI!$AA$3),0)),SomaAgrup)</f>
        <v>0</v>
      </c>
      <c r="AB134" s="157">
        <f t="shared" ca="1" si="90"/>
        <v>0</v>
      </c>
      <c r="AC134" s="158" t="str">
        <f ca="1">IF($N134="","",IF(ORÇAMENTO.Descricao="","DESCRIÇÃO",IF(AND($C134="S",ORÇAMENTO.Unidade=""),"UNIDADE",IF($X134&lt;0,"VALOR NEGATIVO",IF(OR(AND(TIPOORCAMENTO="Proposto",$AG134&lt;&gt;"",$AG134&gt;0,ORÇAMENTO.CustoUnitario&gt;$AG134),AND(TIPOORCAMENTO="LICITADO",ORÇAMENTO.PrecoUnitarioLicitado&gt;$AN134)),"ACIMA REF.","")))))</f>
        <v/>
      </c>
      <c r="AD134" s="688" t="str">
        <f ca="1">IF(C134&lt;=CRONO.NivelExibicao,MAX($AD$15:OFFSET(AD134,-1,0))+IF($C134&lt;&gt;1,1,MAX(1,COUNTIF(QCI!$A$13:$A$24,OFFSET($E134,-1,0)))),"")</f>
        <v/>
      </c>
      <c r="AE134" s="114" t="str">
        <f ca="1">IF(AND($C134="S",ORÇAMENTO.CodBarra&lt;&gt;""),IF(ORÇAMENTO.Fonte="",ORÇAMENTO.CodBarra,CONCATENATE(ORÇAMENTO.Fonte," ",ORÇAMENTO.CodBarra)))</f>
        <v>SINAPI-I 39599</v>
      </c>
      <c r="AF134" s="159">
        <f ca="1">IF(ISERROR(INDIRECT(ORÇAMENTO.BancoRef)),"(abra o arquivo 'Referência "&amp;Excel_BuiltIn_Database&amp;".xlsm)",IF(OR($C134&lt;&gt;"S",ORÇAMENTO.CodBarra=""),"(Sem Código)",IF(ISERROR(MATCH($AE134,INDIRECT(ORÇAMENTO.BancoRef),0)),"(Código não identificado nas referências)",MATCH($AE134,INDIRECT(ORÇAMENTO.BancoRef),0))))</f>
        <v>791</v>
      </c>
      <c r="AG134" s="578">
        <f ca="1">ROUND(IF(DESONERACAO="sim",REFERENCIA.Desonerado,REFERENCIA.NaoDesonerado),2)</f>
        <v>8.35</v>
      </c>
      <c r="AH134" s="579">
        <f t="shared" ca="1" si="91"/>
        <v>0.2034</v>
      </c>
      <c r="AJ134" s="581">
        <v>70</v>
      </c>
      <c r="AL134" s="611"/>
      <c r="AM134" s="430">
        <f t="shared" ca="1" si="93"/>
        <v>0</v>
      </c>
      <c r="AN134" s="654">
        <f t="shared" ca="1" si="92"/>
        <v>0</v>
      </c>
    </row>
    <row r="135" spans="1:40" ht="25.5" x14ac:dyDescent="0.2">
      <c r="A135" t="str">
        <f t="shared" si="78"/>
        <v>S</v>
      </c>
      <c r="B135">
        <f t="shared" ca="1" si="95"/>
        <v>2</v>
      </c>
      <c r="C135" t="str">
        <f t="shared" ca="1" si="96"/>
        <v>S</v>
      </c>
      <c r="D135">
        <f t="shared" ca="1" si="97"/>
        <v>0</v>
      </c>
      <c r="E135">
        <f ca="1">IF($C135=1,OFFSET(E135,-1,0)+MAX(1,COUNTIF(QCI!$A$13:$A$24,OFFSET(ORÇAMENTO!E135,-1,0))),OFFSET(E135,-1,0))</f>
        <v>1</v>
      </c>
      <c r="F135">
        <f t="shared" ca="1" si="98"/>
        <v>18</v>
      </c>
      <c r="G135">
        <f t="shared" ca="1" si="99"/>
        <v>0</v>
      </c>
      <c r="H135">
        <f t="shared" ca="1" si="100"/>
        <v>0</v>
      </c>
      <c r="I135">
        <f t="shared" ca="1" si="101"/>
        <v>0</v>
      </c>
      <c r="J135">
        <f t="shared" ca="1" si="94"/>
        <v>0</v>
      </c>
      <c r="K135">
        <f ca="1">IF(OR($C135="S",$C135=0),0,MATCH(OFFSET($D135,0,$C135)+IF($C135&lt;&gt;1,1,COUNTIF(QCI!$A$13:$A$24,ORÇAMENTO!E135)),OFFSET($D135,1,$C135,ROW($C$192)-ROW($C135)),0))</f>
        <v>0</v>
      </c>
      <c r="L135" s="143" t="str">
        <f t="shared" ca="1" si="102"/>
        <v/>
      </c>
      <c r="M135" s="144" t="s">
        <v>199</v>
      </c>
      <c r="N135" s="145" t="str">
        <f t="shared" ca="1" si="103"/>
        <v>Serviço</v>
      </c>
      <c r="O135" s="146" t="str">
        <f t="shared" ca="1" si="104"/>
        <v>-</v>
      </c>
      <c r="P135" s="147" t="s">
        <v>247</v>
      </c>
      <c r="Q135" s="148" t="s">
        <v>599</v>
      </c>
      <c r="R135" s="149" t="s">
        <v>729</v>
      </c>
      <c r="S135" s="150" t="s">
        <v>778</v>
      </c>
      <c r="T135" s="151">
        <f ca="1">OFFSET(CÁLCULO!H$15,ROW($T135)-ROW(T$15),0)</f>
        <v>10</v>
      </c>
      <c r="U135" s="152"/>
      <c r="V135" s="153" t="s">
        <v>156</v>
      </c>
      <c r="W135" s="151">
        <f ca="1">IF($C135="S",ROUND(IF(TIPOORCAMENTO="Proposto",ORÇAMENTO.CustoUnitario*(1+$AH135),ORÇAMENTO.PrecoUnitarioLicitado),15-13*$AF$10),0)</f>
        <v>0</v>
      </c>
      <c r="X135" s="154">
        <f ca="1">IF($C135="S",IF(Import.TipoArredondamento&lt;&gt;"TransfereGOV",VTOTAL1,SUM(OFFSET(CÁLCULO!$AA$15,ROW($X135)-ROW($X$15),1):OFFSET(CÁLCULO!$AL$15,ROW($X135)-ROW($X$15),-1))),IF($C135=0,0,ROUND(SomaAgrup,15-13*$AF$11)))</f>
        <v>0</v>
      </c>
      <c r="Y135" s="155" t="s">
        <v>245</v>
      </c>
      <c r="Z135" t="str">
        <f t="shared" ca="1" si="105"/>
        <v/>
      </c>
      <c r="AA135" s="156">
        <f ca="1">IF($C135="S",IF($Z135="CP",$X135,IF($Z135="RA",(($X135)*QCI!$AA$3),0)),SomaAgrup)</f>
        <v>0</v>
      </c>
      <c r="AB135" s="157">
        <f t="shared" ca="1" si="90"/>
        <v>0</v>
      </c>
      <c r="AC135" s="158" t="str">
        <f ca="1">IF($N135="","",IF(ORÇAMENTO.Descricao="","DESCRIÇÃO",IF(AND($C135="S",ORÇAMENTO.Unidade=""),"UNIDADE",IF($X135&lt;0,"VALOR NEGATIVO",IF(OR(AND(TIPOORCAMENTO="Proposto",$AG135&lt;&gt;"",$AG135&gt;0,ORÇAMENTO.CustoUnitario&gt;$AG135),AND(TIPOORCAMENTO="LICITADO",ORÇAMENTO.PrecoUnitarioLicitado&gt;$AN135)),"ACIMA REF.","")))))</f>
        <v/>
      </c>
      <c r="AD135" s="688" t="str">
        <f ca="1">IF(C135&lt;=CRONO.NivelExibicao,MAX($AD$15:OFFSET(AD135,-1,0))+IF($C135&lt;&gt;1,1,MAX(1,COUNTIF(QCI!$A$13:$A$24,OFFSET($E135,-1,0)))),"")</f>
        <v/>
      </c>
      <c r="AE135" s="114" t="str">
        <f ca="1">IF(AND($C135="S",ORÇAMENTO.CodBarra&lt;&gt;""),IF(ORÇAMENTO.Fonte="",ORÇAMENTO.CodBarra,CONCATENATE(ORÇAMENTO.Fonte," ",ORÇAMENTO.CodBarra)))</f>
        <v>SINAPI 98307</v>
      </c>
      <c r="AF135" s="159">
        <f ca="1">IF(ISERROR(INDIRECT(ORÇAMENTO.BancoRef)),"(abra o arquivo 'Referência "&amp;Excel_BuiltIn_Database&amp;".xlsm)",IF(OR($C135&lt;&gt;"S",ORÇAMENTO.CodBarra=""),"(Sem Código)",IF(ISERROR(MATCH($AE135,INDIRECT(ORÇAMENTO.BancoRef),0)),"(Código não identificado nas referências)",MATCH($AE135,INDIRECT(ORÇAMENTO.BancoRef),0))))</f>
        <v>8416</v>
      </c>
      <c r="AG135" s="578">
        <f ca="1">ROUND(IF(DESONERACAO="sim",REFERENCIA.Desonerado,REFERENCIA.NaoDesonerado),2)</f>
        <v>52.04</v>
      </c>
      <c r="AH135" s="579">
        <f t="shared" ca="1" si="91"/>
        <v>0.2034</v>
      </c>
      <c r="AJ135" s="581">
        <v>10</v>
      </c>
      <c r="AL135" s="611"/>
      <c r="AM135" s="430">
        <f t="shared" ca="1" si="93"/>
        <v>0</v>
      </c>
      <c r="AN135" s="654">
        <f t="shared" ca="1" si="92"/>
        <v>0</v>
      </c>
    </row>
    <row r="136" spans="1:40" ht="25.5" x14ac:dyDescent="0.2">
      <c r="A136" t="str">
        <f t="shared" si="78"/>
        <v>S</v>
      </c>
      <c r="B136">
        <f t="shared" ca="1" si="95"/>
        <v>2</v>
      </c>
      <c r="C136" t="str">
        <f t="shared" ca="1" si="96"/>
        <v>S</v>
      </c>
      <c r="D136">
        <f t="shared" ca="1" si="97"/>
        <v>0</v>
      </c>
      <c r="E136">
        <f ca="1">IF($C136=1,OFFSET(E136,-1,0)+MAX(1,COUNTIF(QCI!$A$13:$A$24,OFFSET(ORÇAMENTO!E136,-1,0))),OFFSET(E136,-1,0))</f>
        <v>1</v>
      </c>
      <c r="F136">
        <f t="shared" ca="1" si="98"/>
        <v>18</v>
      </c>
      <c r="G136">
        <f t="shared" ca="1" si="99"/>
        <v>0</v>
      </c>
      <c r="H136">
        <f t="shared" ca="1" si="100"/>
        <v>0</v>
      </c>
      <c r="I136">
        <f t="shared" ca="1" si="101"/>
        <v>0</v>
      </c>
      <c r="J136">
        <f t="shared" ca="1" si="94"/>
        <v>0</v>
      </c>
      <c r="K136">
        <f ca="1">IF(OR($C136="S",$C136=0),0,MATCH(OFFSET($D136,0,$C136)+IF($C136&lt;&gt;1,1,COUNTIF(QCI!$A$13:$A$24,ORÇAMENTO!E136)),OFFSET($D136,1,$C136,ROW($C$192)-ROW($C136)),0))</f>
        <v>0</v>
      </c>
      <c r="L136" s="143" t="str">
        <f t="shared" ca="1" si="102"/>
        <v/>
      </c>
      <c r="M136" s="144" t="s">
        <v>199</v>
      </c>
      <c r="N136" s="145" t="str">
        <f t="shared" ca="1" si="103"/>
        <v>Serviço</v>
      </c>
      <c r="O136" s="146" t="str">
        <f t="shared" ca="1" si="104"/>
        <v>-</v>
      </c>
      <c r="P136" s="147" t="s">
        <v>453</v>
      </c>
      <c r="Q136" s="148" t="s">
        <v>600</v>
      </c>
      <c r="R136" s="149" t="s">
        <v>730</v>
      </c>
      <c r="S136" s="150" t="s">
        <v>785</v>
      </c>
      <c r="T136" s="151">
        <f ca="1">OFFSET(CÁLCULO!H$15,ROW($T136)-ROW(T$15),0)</f>
        <v>10</v>
      </c>
      <c r="U136" s="152"/>
      <c r="V136" s="153" t="s">
        <v>156</v>
      </c>
      <c r="W136" s="151">
        <f ca="1">IF($C136="S",ROUND(IF(TIPOORCAMENTO="Proposto",ORÇAMENTO.CustoUnitario*(1+$AH136),ORÇAMENTO.PrecoUnitarioLicitado),15-13*$AF$10),0)</f>
        <v>0</v>
      </c>
      <c r="X136" s="154">
        <f ca="1">IF($C136="S",IF(Import.TipoArredondamento&lt;&gt;"TransfereGOV",VTOTAL1,SUM(OFFSET(CÁLCULO!$AA$15,ROW($X136)-ROW($X$15),1):OFFSET(CÁLCULO!$AL$15,ROW($X136)-ROW($X$15),-1))),IF($C136=0,0,ROUND(SomaAgrup,15-13*$AF$11)))</f>
        <v>0</v>
      </c>
      <c r="Y136" s="155" t="s">
        <v>245</v>
      </c>
      <c r="Z136" t="str">
        <f t="shared" ca="1" si="105"/>
        <v/>
      </c>
      <c r="AA136" s="156">
        <f ca="1">IF($C136="S",IF($Z136="CP",$X136,IF($Z136="RA",(($X136)*QCI!$AA$3),0)),SomaAgrup)</f>
        <v>0</v>
      </c>
      <c r="AB136" s="157">
        <f t="shared" ca="1" si="90"/>
        <v>0</v>
      </c>
      <c r="AC136" s="158" t="str">
        <f ca="1">IF($N136="","",IF(ORÇAMENTO.Descricao="","DESCRIÇÃO",IF(AND($C136="S",ORÇAMENTO.Unidade=""),"UNIDADE",IF($X136&lt;0,"VALOR NEGATIVO",IF(OR(AND(TIPOORCAMENTO="Proposto",$AG136&lt;&gt;"",$AG136&gt;0,ORÇAMENTO.CustoUnitario&gt;$AG136),AND(TIPOORCAMENTO="LICITADO",ORÇAMENTO.PrecoUnitarioLicitado&gt;$AN136)),"ACIMA REF.","")))))</f>
        <v/>
      </c>
      <c r="AD136" s="688" t="str">
        <f ca="1">IF(C136&lt;=CRONO.NivelExibicao,MAX($AD$15:OFFSET(AD136,-1,0))+IF($C136&lt;&gt;1,1,MAX(1,COUNTIF(QCI!$A$13:$A$24,OFFSET($E136,-1,0)))),"")</f>
        <v/>
      </c>
      <c r="AE136" s="114" t="str">
        <f ca="1">IF(AND($C136="S",ORÇAMENTO.CodBarra&lt;&gt;""),IF(ORÇAMENTO.Fonte="",ORÇAMENTO.CodBarra,CONCATENATE(ORÇAMENTO.Fonte," ",ORÇAMENTO.CodBarra)))</f>
        <v>SINAPI-I 1587</v>
      </c>
      <c r="AF136" s="159">
        <f ca="1">IF(ISERROR(INDIRECT(ORÇAMENTO.BancoRef)),"(abra o arquivo 'Referência "&amp;Excel_BuiltIn_Database&amp;".xlsm)",IF(OR($C136&lt;&gt;"S",ORÇAMENTO.CodBarra=""),"(Sem Código)",IF(ISERROR(MATCH($AE136,INDIRECT(ORÇAMENTO.BancoRef),0)),"(Código não identificado nas referências)",MATCH($AE136,INDIRECT(ORÇAMENTO.BancoRef),0))))</f>
        <v>4223</v>
      </c>
      <c r="AG136" s="578">
        <f ca="1">ROUND(IF(DESONERACAO="sim",REFERENCIA.Desonerado,REFERENCIA.NaoDesonerado),2)</f>
        <v>7.96</v>
      </c>
      <c r="AH136" s="579">
        <f t="shared" ca="1" si="91"/>
        <v>0.2034</v>
      </c>
      <c r="AJ136" s="581">
        <v>10</v>
      </c>
      <c r="AL136" s="611"/>
      <c r="AM136" s="430">
        <f t="shared" ca="1" si="93"/>
        <v>0</v>
      </c>
      <c r="AN136" s="654">
        <f t="shared" ca="1" si="92"/>
        <v>0</v>
      </c>
    </row>
    <row r="137" spans="1:40" ht="25.5" x14ac:dyDescent="0.2">
      <c r="A137" t="str">
        <f t="shared" si="78"/>
        <v>S</v>
      </c>
      <c r="B137">
        <f t="shared" ca="1" si="95"/>
        <v>2</v>
      </c>
      <c r="C137" t="str">
        <f t="shared" ca="1" si="96"/>
        <v>S</v>
      </c>
      <c r="D137">
        <f t="shared" ca="1" si="97"/>
        <v>0</v>
      </c>
      <c r="E137">
        <f ca="1">IF($C137=1,OFFSET(E137,-1,0)+MAX(1,COUNTIF(QCI!$A$13:$A$24,OFFSET(ORÇAMENTO!E137,-1,0))),OFFSET(E137,-1,0))</f>
        <v>1</v>
      </c>
      <c r="F137">
        <f t="shared" ca="1" si="98"/>
        <v>18</v>
      </c>
      <c r="G137">
        <f t="shared" ca="1" si="99"/>
        <v>0</v>
      </c>
      <c r="H137">
        <f t="shared" ca="1" si="100"/>
        <v>0</v>
      </c>
      <c r="I137">
        <f t="shared" ca="1" si="101"/>
        <v>0</v>
      </c>
      <c r="J137">
        <f t="shared" ca="1" si="94"/>
        <v>0</v>
      </c>
      <c r="K137">
        <f ca="1">IF(OR($C137="S",$C137=0),0,MATCH(OFFSET($D137,0,$C137)+IF($C137&lt;&gt;1,1,COUNTIF(QCI!$A$13:$A$24,ORÇAMENTO!E137)),OFFSET($D137,1,$C137,ROW($C$192)-ROW($C137)),0))</f>
        <v>0</v>
      </c>
      <c r="L137" s="143" t="str">
        <f t="shared" ca="1" si="102"/>
        <v/>
      </c>
      <c r="M137" s="144" t="s">
        <v>199</v>
      </c>
      <c r="N137" s="145" t="str">
        <f t="shared" ca="1" si="103"/>
        <v>Serviço</v>
      </c>
      <c r="O137" s="146" t="str">
        <f t="shared" ca="1" si="104"/>
        <v>-</v>
      </c>
      <c r="P137" s="147" t="s">
        <v>453</v>
      </c>
      <c r="Q137" s="148" t="s">
        <v>601</v>
      </c>
      <c r="R137" s="149" t="s">
        <v>731</v>
      </c>
      <c r="S137" s="150" t="s">
        <v>785</v>
      </c>
      <c r="T137" s="151">
        <f ca="1">OFFSET(CÁLCULO!H$15,ROW($T137)-ROW(T$15),0)</f>
        <v>8</v>
      </c>
      <c r="U137" s="152"/>
      <c r="V137" s="153" t="s">
        <v>156</v>
      </c>
      <c r="W137" s="151">
        <f ca="1">IF($C137="S",ROUND(IF(TIPOORCAMENTO="Proposto",ORÇAMENTO.CustoUnitario*(1+$AH137),ORÇAMENTO.PrecoUnitarioLicitado),15-13*$AF$10),0)</f>
        <v>0</v>
      </c>
      <c r="X137" s="154">
        <f ca="1">IF($C137="S",IF(Import.TipoArredondamento&lt;&gt;"TransfereGOV",VTOTAL1,SUM(OFFSET(CÁLCULO!$AA$15,ROW($X137)-ROW($X$15),1):OFFSET(CÁLCULO!$AL$15,ROW($X137)-ROW($X$15),-1))),IF($C137=0,0,ROUND(SomaAgrup,15-13*$AF$11)))</f>
        <v>0</v>
      </c>
      <c r="Y137" s="155" t="s">
        <v>245</v>
      </c>
      <c r="Z137" t="str">
        <f t="shared" ca="1" si="105"/>
        <v/>
      </c>
      <c r="AA137" s="156">
        <f ca="1">IF($C137="S",IF($Z137="CP",$X137,IF($Z137="RA",(($X137)*QCI!$AA$3),0)),SomaAgrup)</f>
        <v>0</v>
      </c>
      <c r="AB137" s="157">
        <f t="shared" ca="1" si="90"/>
        <v>0</v>
      </c>
      <c r="AC137" s="158" t="str">
        <f ca="1">IF($N137="","",IF(ORÇAMENTO.Descricao="","DESCRIÇÃO",IF(AND($C137="S",ORÇAMENTO.Unidade=""),"UNIDADE",IF($X137&lt;0,"VALOR NEGATIVO",IF(OR(AND(TIPOORCAMENTO="Proposto",$AG137&lt;&gt;"",$AG137&gt;0,ORÇAMENTO.CustoUnitario&gt;$AG137),AND(TIPOORCAMENTO="LICITADO",ORÇAMENTO.PrecoUnitarioLicitado&gt;$AN137)),"ACIMA REF.","")))))</f>
        <v/>
      </c>
      <c r="AD137" s="688" t="str">
        <f ca="1">IF(C137&lt;=CRONO.NivelExibicao,MAX($AD$15:OFFSET(AD137,-1,0))+IF($C137&lt;&gt;1,1,MAX(1,COUNTIF(QCI!$A$13:$A$24,OFFSET($E137,-1,0)))),"")</f>
        <v/>
      </c>
      <c r="AE137" s="114" t="str">
        <f ca="1">IF(AND($C137="S",ORÇAMENTO.CodBarra&lt;&gt;""),IF(ORÇAMENTO.Fonte="",ORÇAMENTO.CodBarra,CONCATENATE(ORÇAMENTO.Fonte," ",ORÇAMENTO.CodBarra)))</f>
        <v>SINAPI-I 1585</v>
      </c>
      <c r="AF137" s="159">
        <f ca="1">IF(ISERROR(INDIRECT(ORÇAMENTO.BancoRef)),"(abra o arquivo 'Referência "&amp;Excel_BuiltIn_Database&amp;".xlsm)",IF(OR($C137&lt;&gt;"S",ORÇAMENTO.CodBarra=""),"(Sem Código)",IF(ISERROR(MATCH($AE137,INDIRECT(ORÇAMENTO.BancoRef),0)),"(Código não identificado nas referências)",MATCH($AE137,INDIRECT(ORÇAMENTO.BancoRef),0))))</f>
        <v>4217</v>
      </c>
      <c r="AG137" s="578">
        <f ca="1">ROUND(IF(DESONERACAO="sim",REFERENCIA.Desonerado,REFERENCIA.NaoDesonerado),2)</f>
        <v>6.17</v>
      </c>
      <c r="AH137" s="579">
        <f t="shared" ca="1" si="91"/>
        <v>0.2034</v>
      </c>
      <c r="AJ137" s="581">
        <v>8</v>
      </c>
      <c r="AL137" s="611"/>
      <c r="AM137" s="430">
        <f t="shared" ca="1" si="93"/>
        <v>0</v>
      </c>
      <c r="AN137" s="654">
        <f t="shared" ca="1" si="92"/>
        <v>0</v>
      </c>
    </row>
    <row r="138" spans="1:40" ht="25.5" x14ac:dyDescent="0.2">
      <c r="A138" t="str">
        <f t="shared" si="78"/>
        <v>S</v>
      </c>
      <c r="B138">
        <f t="shared" ca="1" si="95"/>
        <v>2</v>
      </c>
      <c r="C138" t="str">
        <f t="shared" ca="1" si="96"/>
        <v>S</v>
      </c>
      <c r="D138">
        <f t="shared" ca="1" si="97"/>
        <v>0</v>
      </c>
      <c r="E138">
        <f ca="1">IF($C138=1,OFFSET(E138,-1,0)+MAX(1,COUNTIF(QCI!$A$13:$A$24,OFFSET(ORÇAMENTO!E138,-1,0))),OFFSET(E138,-1,0))</f>
        <v>1</v>
      </c>
      <c r="F138">
        <f t="shared" ca="1" si="98"/>
        <v>18</v>
      </c>
      <c r="G138">
        <f t="shared" ca="1" si="99"/>
        <v>0</v>
      </c>
      <c r="H138">
        <f t="shared" ca="1" si="100"/>
        <v>0</v>
      </c>
      <c r="I138">
        <f t="shared" ca="1" si="101"/>
        <v>0</v>
      </c>
      <c r="J138">
        <f t="shared" ca="1" si="94"/>
        <v>0</v>
      </c>
      <c r="K138">
        <f ca="1">IF(OR($C138="S",$C138=0),0,MATCH(OFFSET($D138,0,$C138)+IF($C138&lt;&gt;1,1,COUNTIF(QCI!$A$13:$A$24,ORÇAMENTO!E138)),OFFSET($D138,1,$C138,ROW($C$192)-ROW($C138)),0))</f>
        <v>0</v>
      </c>
      <c r="L138" s="143" t="str">
        <f t="shared" ca="1" si="102"/>
        <v/>
      </c>
      <c r="M138" s="144" t="s">
        <v>199</v>
      </c>
      <c r="N138" s="145" t="str">
        <f t="shared" ca="1" si="103"/>
        <v>Serviço</v>
      </c>
      <c r="O138" s="146" t="str">
        <f t="shared" ca="1" si="104"/>
        <v>-</v>
      </c>
      <c r="P138" s="147" t="s">
        <v>453</v>
      </c>
      <c r="Q138" s="148" t="s">
        <v>602</v>
      </c>
      <c r="R138" s="149" t="s">
        <v>732</v>
      </c>
      <c r="S138" s="150" t="s">
        <v>785</v>
      </c>
      <c r="T138" s="151">
        <f ca="1">OFFSET(CÁLCULO!H$15,ROW($T138)-ROW(T$15),0)</f>
        <v>21</v>
      </c>
      <c r="U138" s="152"/>
      <c r="V138" s="153" t="s">
        <v>156</v>
      </c>
      <c r="W138" s="151">
        <f ca="1">IF($C138="S",ROUND(IF(TIPOORCAMENTO="Proposto",ORÇAMENTO.CustoUnitario*(1+$AH138),ORÇAMENTO.PrecoUnitarioLicitado),15-13*$AF$10),0)</f>
        <v>0</v>
      </c>
      <c r="X138" s="154">
        <f ca="1">IF($C138="S",IF(Import.TipoArredondamento&lt;&gt;"TransfereGOV",VTOTAL1,SUM(OFFSET(CÁLCULO!$AA$15,ROW($X138)-ROW($X$15),1):OFFSET(CÁLCULO!$AL$15,ROW($X138)-ROW($X$15),-1))),IF($C138=0,0,ROUND(SomaAgrup,15-13*$AF$11)))</f>
        <v>0</v>
      </c>
      <c r="Y138" s="155" t="s">
        <v>245</v>
      </c>
      <c r="Z138" t="str">
        <f t="shared" ca="1" si="105"/>
        <v/>
      </c>
      <c r="AA138" s="156">
        <f ca="1">IF($C138="S",IF($Z138="CP",$X138,IF($Z138="RA",(($X138)*QCI!$AA$3),0)),SomaAgrup)</f>
        <v>0</v>
      </c>
      <c r="AB138" s="157">
        <f t="shared" ca="1" si="90"/>
        <v>0</v>
      </c>
      <c r="AC138" s="158" t="str">
        <f ca="1">IF($N138="","",IF(ORÇAMENTO.Descricao="","DESCRIÇÃO",IF(AND($C138="S",ORÇAMENTO.Unidade=""),"UNIDADE",IF($X138&lt;0,"VALOR NEGATIVO",IF(OR(AND(TIPOORCAMENTO="Proposto",$AG138&lt;&gt;"",$AG138&gt;0,ORÇAMENTO.CustoUnitario&gt;$AG138),AND(TIPOORCAMENTO="LICITADO",ORÇAMENTO.PrecoUnitarioLicitado&gt;$AN138)),"ACIMA REF.","")))))</f>
        <v/>
      </c>
      <c r="AD138" s="688" t="str">
        <f ca="1">IF(C138&lt;=CRONO.NivelExibicao,MAX($AD$15:OFFSET(AD138,-1,0))+IF($C138&lt;&gt;1,1,MAX(1,COUNTIF(QCI!$A$13:$A$24,OFFSET($E138,-1,0)))),"")</f>
        <v/>
      </c>
      <c r="AE138" s="114" t="str">
        <f ca="1">IF(AND($C138="S",ORÇAMENTO.CodBarra&lt;&gt;""),IF(ORÇAMENTO.Fonte="",ORÇAMENTO.CodBarra,CONCATENATE(ORÇAMENTO.Fonte," ",ORÇAMENTO.CodBarra)))</f>
        <v>SINAPI-I 1535</v>
      </c>
      <c r="AF138" s="159">
        <f ca="1">IF(ISERROR(INDIRECT(ORÇAMENTO.BancoRef)),"(abra o arquivo 'Referência "&amp;Excel_BuiltIn_Database&amp;".xlsm)",IF(OR($C138&lt;&gt;"S",ORÇAMENTO.CodBarra=""),"(Sem Código)",IF(ISERROR(MATCH($AE138,INDIRECT(ORÇAMENTO.BancoRef),0)),"(Código não identificado nas referências)",MATCH($AE138,INDIRECT(ORÇAMENTO.BancoRef),0))))</f>
        <v>4226</v>
      </c>
      <c r="AG138" s="578">
        <f ca="1">ROUND(IF(DESONERACAO="sim",REFERENCIA.Desonerado,REFERENCIA.NaoDesonerado),2)</f>
        <v>6.29</v>
      </c>
      <c r="AH138" s="579">
        <f t="shared" ca="1" si="91"/>
        <v>0.2034</v>
      </c>
      <c r="AJ138" s="581">
        <v>21</v>
      </c>
      <c r="AL138" s="611"/>
      <c r="AM138" s="430">
        <f t="shared" ca="1" si="93"/>
        <v>0</v>
      </c>
      <c r="AN138" s="654">
        <f t="shared" ca="1" si="92"/>
        <v>0</v>
      </c>
    </row>
    <row r="139" spans="1:40" ht="25.5" x14ac:dyDescent="0.2">
      <c r="A139" t="str">
        <f t="shared" si="78"/>
        <v>S</v>
      </c>
      <c r="B139">
        <f t="shared" ca="1" si="95"/>
        <v>2</v>
      </c>
      <c r="C139" t="str">
        <f t="shared" ca="1" si="96"/>
        <v>S</v>
      </c>
      <c r="D139">
        <f t="shared" ca="1" si="97"/>
        <v>0</v>
      </c>
      <c r="E139">
        <f ca="1">IF($C139=1,OFFSET(E139,-1,0)+MAX(1,COUNTIF(QCI!$A$13:$A$24,OFFSET(ORÇAMENTO!E139,-1,0))),OFFSET(E139,-1,0))</f>
        <v>1</v>
      </c>
      <c r="F139">
        <f t="shared" ca="1" si="98"/>
        <v>18</v>
      </c>
      <c r="G139">
        <f t="shared" ca="1" si="99"/>
        <v>0</v>
      </c>
      <c r="H139">
        <f t="shared" ca="1" si="100"/>
        <v>0</v>
      </c>
      <c r="I139">
        <f t="shared" ca="1" si="101"/>
        <v>0</v>
      </c>
      <c r="J139">
        <f t="shared" ca="1" si="94"/>
        <v>0</v>
      </c>
      <c r="K139">
        <f ca="1">IF(OR($C139="S",$C139=0),0,MATCH(OFFSET($D139,0,$C139)+IF($C139&lt;&gt;1,1,COUNTIF(QCI!$A$13:$A$24,ORÇAMENTO!E139)),OFFSET($D139,1,$C139,ROW($C$192)-ROW($C139)),0))</f>
        <v>0</v>
      </c>
      <c r="L139" s="143" t="str">
        <f t="shared" ca="1" si="102"/>
        <v/>
      </c>
      <c r="M139" s="144" t="s">
        <v>199</v>
      </c>
      <c r="N139" s="145" t="str">
        <f t="shared" ca="1" si="103"/>
        <v>Serviço</v>
      </c>
      <c r="O139" s="146" t="str">
        <f t="shared" ca="1" si="104"/>
        <v>-</v>
      </c>
      <c r="P139" s="147" t="s">
        <v>453</v>
      </c>
      <c r="Q139" s="148" t="s">
        <v>603</v>
      </c>
      <c r="R139" s="149" t="s">
        <v>733</v>
      </c>
      <c r="S139" s="150" t="s">
        <v>785</v>
      </c>
      <c r="T139" s="151">
        <f ca="1">OFFSET(CÁLCULO!H$15,ROW($T139)-ROW(T$15),0)</f>
        <v>24</v>
      </c>
      <c r="U139" s="152"/>
      <c r="V139" s="153" t="s">
        <v>156</v>
      </c>
      <c r="W139" s="151">
        <f ca="1">IF($C139="S",ROUND(IF(TIPOORCAMENTO="Proposto",ORÇAMENTO.CustoUnitario*(1+$AH139),ORÇAMENTO.PrecoUnitarioLicitado),15-13*$AF$10),0)</f>
        <v>0</v>
      </c>
      <c r="X139" s="154">
        <f ca="1">IF($C139="S",IF(Import.TipoArredondamento&lt;&gt;"TransfereGOV",VTOTAL1,SUM(OFFSET(CÁLCULO!$AA$15,ROW($X139)-ROW($X$15),1):OFFSET(CÁLCULO!$AL$15,ROW($X139)-ROW($X$15),-1))),IF($C139=0,0,ROUND(SomaAgrup,15-13*$AF$11)))</f>
        <v>0</v>
      </c>
      <c r="Y139" s="155" t="s">
        <v>245</v>
      </c>
      <c r="Z139" t="str">
        <f t="shared" ca="1" si="105"/>
        <v/>
      </c>
      <c r="AA139" s="156">
        <f ca="1">IF($C139="S",IF($Z139="CP",$X139,IF($Z139="RA",(($X139)*QCI!$AA$3),0)),SomaAgrup)</f>
        <v>0</v>
      </c>
      <c r="AB139" s="157">
        <f t="shared" ca="1" si="90"/>
        <v>0</v>
      </c>
      <c r="AC139" s="158" t="str">
        <f ca="1">IF($N139="","",IF(ORÇAMENTO.Descricao="","DESCRIÇÃO",IF(AND($C139="S",ORÇAMENTO.Unidade=""),"UNIDADE",IF($X139&lt;0,"VALOR NEGATIVO",IF(OR(AND(TIPOORCAMENTO="Proposto",$AG139&lt;&gt;"",$AG139&gt;0,ORÇAMENTO.CustoUnitario&gt;$AG139),AND(TIPOORCAMENTO="LICITADO",ORÇAMENTO.PrecoUnitarioLicitado&gt;$AN139)),"ACIMA REF.","")))))</f>
        <v/>
      </c>
      <c r="AD139" s="688" t="str">
        <f ca="1">IF(C139&lt;=CRONO.NivelExibicao,MAX($AD$15:OFFSET(AD139,-1,0))+IF($C139&lt;&gt;1,1,MAX(1,COUNTIF(QCI!$A$13:$A$24,OFFSET($E139,-1,0)))),"")</f>
        <v/>
      </c>
      <c r="AE139" s="114" t="str">
        <f ca="1">IF(AND($C139="S",ORÇAMENTO.CodBarra&lt;&gt;""),IF(ORÇAMENTO.Fonte="",ORÇAMENTO.CodBarra,CONCATENATE(ORÇAMENTO.Fonte," ",ORÇAMENTO.CodBarra)))</f>
        <v>SINAPI-I 1570</v>
      </c>
      <c r="AF139" s="159">
        <f ca="1">IF(ISERROR(INDIRECT(ORÇAMENTO.BancoRef)),"(abra o arquivo 'Referência "&amp;Excel_BuiltIn_Database&amp;".xlsm)",IF(OR($C139&lt;&gt;"S",ORÇAMENTO.CodBarra=""),"(Sem Código)",IF(ISERROR(MATCH($AE139,INDIRECT(ORÇAMENTO.BancoRef),0)),"(Código não identificado nas referências)",MATCH($AE139,INDIRECT(ORÇAMENTO.BancoRef),0))))</f>
        <v>4202</v>
      </c>
      <c r="AG139" s="578">
        <f ca="1">ROUND(IF(DESONERACAO="sim",REFERENCIA.Desonerado,REFERENCIA.NaoDesonerado),2)</f>
        <v>1.1399999999999999</v>
      </c>
      <c r="AH139" s="579">
        <f t="shared" ca="1" si="91"/>
        <v>0.2034</v>
      </c>
      <c r="AJ139" s="581">
        <f>18+6</f>
        <v>24</v>
      </c>
      <c r="AL139" s="611"/>
      <c r="AM139" s="430">
        <f t="shared" ca="1" si="93"/>
        <v>0</v>
      </c>
      <c r="AN139" s="654">
        <f t="shared" ca="1" si="92"/>
        <v>0</v>
      </c>
    </row>
    <row r="140" spans="1:40" ht="25.5" x14ac:dyDescent="0.2">
      <c r="A140" t="str">
        <f t="shared" si="78"/>
        <v>S</v>
      </c>
      <c r="B140">
        <f t="shared" ca="1" si="95"/>
        <v>2</v>
      </c>
      <c r="C140" t="str">
        <f t="shared" ca="1" si="96"/>
        <v>S</v>
      </c>
      <c r="D140">
        <f t="shared" ca="1" si="97"/>
        <v>0</v>
      </c>
      <c r="E140">
        <f ca="1">IF($C140=1,OFFSET(E140,-1,0)+MAX(1,COUNTIF(QCI!$A$13:$A$24,OFFSET(ORÇAMENTO!E140,-1,0))),OFFSET(E140,-1,0))</f>
        <v>1</v>
      </c>
      <c r="F140">
        <f t="shared" ca="1" si="98"/>
        <v>18</v>
      </c>
      <c r="G140">
        <f t="shared" ca="1" si="99"/>
        <v>0</v>
      </c>
      <c r="H140">
        <f t="shared" ca="1" si="100"/>
        <v>0</v>
      </c>
      <c r="I140">
        <f t="shared" ca="1" si="101"/>
        <v>0</v>
      </c>
      <c r="J140">
        <f t="shared" ca="1" si="94"/>
        <v>0</v>
      </c>
      <c r="K140">
        <f ca="1">IF(OR($C140="S",$C140=0),0,MATCH(OFFSET($D140,0,$C140)+IF($C140&lt;&gt;1,1,COUNTIF(QCI!$A$13:$A$24,ORÇAMENTO!E140)),OFFSET($D140,1,$C140,ROW($C$192)-ROW($C140)),0))</f>
        <v>0</v>
      </c>
      <c r="L140" s="143" t="str">
        <f t="shared" ca="1" si="102"/>
        <v/>
      </c>
      <c r="M140" s="144" t="s">
        <v>199</v>
      </c>
      <c r="N140" s="145" t="str">
        <f t="shared" ca="1" si="103"/>
        <v>Serviço</v>
      </c>
      <c r="O140" s="146" t="str">
        <f t="shared" ca="1" si="104"/>
        <v>-</v>
      </c>
      <c r="P140" s="147" t="s">
        <v>453</v>
      </c>
      <c r="Q140" s="148" t="s">
        <v>612</v>
      </c>
      <c r="R140" s="149" t="s">
        <v>734</v>
      </c>
      <c r="S140" s="150" t="s">
        <v>785</v>
      </c>
      <c r="T140" s="151">
        <f ca="1">OFFSET(CÁLCULO!H$15,ROW($T140)-ROW(T$15),0)</f>
        <v>3</v>
      </c>
      <c r="U140" s="152"/>
      <c r="V140" s="153" t="s">
        <v>156</v>
      </c>
      <c r="W140" s="151">
        <f ca="1">IF($C140="S",ROUND(IF(TIPOORCAMENTO="Proposto",ORÇAMENTO.CustoUnitario*(1+$AH140),ORÇAMENTO.PrecoUnitarioLicitado),15-13*$AF$10),0)</f>
        <v>0</v>
      </c>
      <c r="X140" s="154">
        <f ca="1">IF($C140="S",IF(Import.TipoArredondamento&lt;&gt;"TransfereGOV",VTOTAL1,SUM(OFFSET(CÁLCULO!$AA$15,ROW($X140)-ROW($X$15),1):OFFSET(CÁLCULO!$AL$15,ROW($X140)-ROW($X$15),-1))),IF($C140=0,0,ROUND(SomaAgrup,15-13*$AF$11)))</f>
        <v>0</v>
      </c>
      <c r="Y140" s="155" t="s">
        <v>245</v>
      </c>
      <c r="Z140" t="str">
        <f t="shared" ca="1" si="105"/>
        <v/>
      </c>
      <c r="AA140" s="156">
        <f ca="1">IF($C140="S",IF($Z140="CP",$X140,IF($Z140="RA",(($X140)*QCI!$AA$3),0)),SomaAgrup)</f>
        <v>0</v>
      </c>
      <c r="AB140" s="157">
        <f t="shared" ca="1" si="90"/>
        <v>0</v>
      </c>
      <c r="AC140" s="158" t="str">
        <f ca="1">IF($N140="","",IF(ORÇAMENTO.Descricao="","DESCRIÇÃO",IF(AND($C140="S",ORÇAMENTO.Unidade=""),"UNIDADE",IF($X140&lt;0,"VALOR NEGATIVO",IF(OR(AND(TIPOORCAMENTO="Proposto",$AG140&lt;&gt;"",$AG140&gt;0,ORÇAMENTO.CustoUnitario&gt;$AG140),AND(TIPOORCAMENTO="LICITADO",ORÇAMENTO.PrecoUnitarioLicitado&gt;$AN140)),"ACIMA REF.","")))))</f>
        <v/>
      </c>
      <c r="AD140" s="690" t="str">
        <f ca="1">IF(C140&lt;=CRONO.NivelExibicao,MAX($AD$15:OFFSET(AD140,-1,0))+IF($C140&lt;&gt;1,1,MAX(1,COUNTIF(QCI!$A$13:$A$24,OFFSET($E140,-1,0)))),"")</f>
        <v/>
      </c>
      <c r="AE140" s="114" t="str">
        <f ca="1">IF(AND($C140="S",ORÇAMENTO.CodBarra&lt;&gt;""),IF(ORÇAMENTO.Fonte="",ORÇAMENTO.CodBarra,CONCATENATE(ORÇAMENTO.Fonte," ",ORÇAMENTO.CodBarra)))</f>
        <v>SINAPI-I 43437</v>
      </c>
      <c r="AF140" s="159">
        <f ca="1">IF(ISERROR(INDIRECT(ORÇAMENTO.BancoRef)),"(abra o arquivo 'Referência "&amp;Excel_BuiltIn_Database&amp;".xlsm)",IF(OR($C140&lt;&gt;"S",ORÇAMENTO.CodBarra=""),"(Sem Código)",IF(ISERROR(MATCH($AE140,INDIRECT(ORÇAMENTO.BancoRef),0)),"(Código não identificado nas referências)",MATCH($AE140,INDIRECT(ORÇAMENTO.BancoRef),0))))</f>
        <v>866</v>
      </c>
      <c r="AG140" s="578">
        <f ca="1">ROUND(IF(DESONERACAO="sim",REFERENCIA.Desonerado,REFERENCIA.NaoDesonerado),2)</f>
        <v>662.8</v>
      </c>
      <c r="AH140" s="579">
        <f t="shared" ca="1" si="91"/>
        <v>0.2034</v>
      </c>
      <c r="AJ140" s="581">
        <v>3</v>
      </c>
      <c r="AL140" s="611"/>
      <c r="AM140" s="430">
        <f t="shared" ca="1" si="93"/>
        <v>0</v>
      </c>
      <c r="AN140" s="654">
        <f t="shared" ca="1" si="92"/>
        <v>0</v>
      </c>
    </row>
    <row r="141" spans="1:40" ht="25.5" x14ac:dyDescent="0.2">
      <c r="A141" t="str">
        <f t="shared" si="78"/>
        <v>S</v>
      </c>
      <c r="B141">
        <f t="shared" ca="1" si="95"/>
        <v>2</v>
      </c>
      <c r="C141" t="str">
        <f t="shared" ca="1" si="96"/>
        <v>S</v>
      </c>
      <c r="D141">
        <f t="shared" ca="1" si="97"/>
        <v>0</v>
      </c>
      <c r="E141">
        <f ca="1">IF($C141=1,OFFSET(E141,-1,0)+MAX(1,COUNTIF(QCI!$A$13:$A$24,OFFSET(ORÇAMENTO!E141,-1,0))),OFFSET(E141,-1,0))</f>
        <v>1</v>
      </c>
      <c r="F141">
        <f t="shared" ca="1" si="98"/>
        <v>18</v>
      </c>
      <c r="G141">
        <f t="shared" ca="1" si="99"/>
        <v>0</v>
      </c>
      <c r="H141">
        <f t="shared" ca="1" si="100"/>
        <v>0</v>
      </c>
      <c r="I141">
        <f t="shared" ca="1" si="101"/>
        <v>0</v>
      </c>
      <c r="J141">
        <f t="shared" ca="1" si="94"/>
        <v>0</v>
      </c>
      <c r="K141">
        <f ca="1">IF(OR($C141="S",$C141=0),0,MATCH(OFFSET($D141,0,$C141)+IF($C141&lt;&gt;1,1,COUNTIF(QCI!$A$13:$A$24,ORÇAMENTO!E141)),OFFSET($D141,1,$C141,ROW($C$192)-ROW($C141)),0))</f>
        <v>0</v>
      </c>
      <c r="L141" s="143" t="str">
        <f t="shared" ca="1" si="102"/>
        <v/>
      </c>
      <c r="M141" s="144" t="s">
        <v>199</v>
      </c>
      <c r="N141" s="145" t="str">
        <f t="shared" ca="1" si="103"/>
        <v>Serviço</v>
      </c>
      <c r="O141" s="146" t="str">
        <f t="shared" ca="1" si="104"/>
        <v>-</v>
      </c>
      <c r="P141" s="147" t="s">
        <v>453</v>
      </c>
      <c r="Q141" s="148" t="s">
        <v>615</v>
      </c>
      <c r="R141" s="149" t="s">
        <v>735</v>
      </c>
      <c r="S141" s="150" t="s">
        <v>785</v>
      </c>
      <c r="T141" s="151">
        <f ca="1">OFFSET(CÁLCULO!H$15,ROW($T141)-ROW(T$15),0)</f>
        <v>20</v>
      </c>
      <c r="U141" s="152"/>
      <c r="V141" s="153" t="s">
        <v>156</v>
      </c>
      <c r="W141" s="151">
        <f ca="1">IF($C141="S",ROUND(IF(TIPOORCAMENTO="Proposto",ORÇAMENTO.CustoUnitario*(1+$AH141),ORÇAMENTO.PrecoUnitarioLicitado),15-13*$AF$10),0)</f>
        <v>0</v>
      </c>
      <c r="X141" s="154">
        <f ca="1">IF($C141="S",IF(Import.TipoArredondamento&lt;&gt;"TransfereGOV",VTOTAL1,SUM(OFFSET(CÁLCULO!$AA$15,ROW($X141)-ROW($X$15),1):OFFSET(CÁLCULO!$AL$15,ROW($X141)-ROW($X$15),-1))),IF($C141=0,0,ROUND(SomaAgrup,15-13*$AF$11)))</f>
        <v>0</v>
      </c>
      <c r="Y141" s="155" t="s">
        <v>245</v>
      </c>
      <c r="Z141" t="str">
        <f t="shared" ca="1" si="105"/>
        <v/>
      </c>
      <c r="AA141" s="156">
        <f ca="1">IF($C141="S",IF($Z141="CP",$X141,IF($Z141="RA",(($X141)*QCI!$AA$3),0)),SomaAgrup)</f>
        <v>0</v>
      </c>
      <c r="AB141" s="157">
        <f t="shared" ca="1" si="90"/>
        <v>0</v>
      </c>
      <c r="AC141" s="158" t="str">
        <f ca="1">IF($N141="","",IF(ORÇAMENTO.Descricao="","DESCRIÇÃO",IF(AND($C141="S",ORÇAMENTO.Unidade=""),"UNIDADE",IF($X141&lt;0,"VALOR NEGATIVO",IF(OR(AND(TIPOORCAMENTO="Proposto",$AG141&lt;&gt;"",$AG141&gt;0,ORÇAMENTO.CustoUnitario&gt;$AG141),AND(TIPOORCAMENTO="LICITADO",ORÇAMENTO.PrecoUnitarioLicitado&gt;$AN141)),"ACIMA REF.","")))))</f>
        <v/>
      </c>
      <c r="AD141" s="690" t="str">
        <f ca="1">IF(C141&lt;=CRONO.NivelExibicao,MAX($AD$15:OFFSET(AD141,-1,0))+IF($C141&lt;&gt;1,1,MAX(1,COUNTIF(QCI!$A$13:$A$24,OFFSET($E141,-1,0)))),"")</f>
        <v/>
      </c>
      <c r="AE141" s="114" t="str">
        <f ca="1">IF(AND($C141="S",ORÇAMENTO.CodBarra&lt;&gt;""),IF(ORÇAMENTO.Fonte="",ORÇAMENTO.CodBarra,CONCATENATE(ORÇAMENTO.Fonte," ",ORÇAMENTO.CodBarra)))</f>
        <v>SINAPI-I 1577</v>
      </c>
      <c r="AF141" s="159">
        <f ca="1">IF(ISERROR(INDIRECT(ORÇAMENTO.BancoRef)),"(abra o arquivo 'Referência "&amp;Excel_BuiltIn_Database&amp;".xlsm)",IF(OR($C141&lt;&gt;"S",ORÇAMENTO.CodBarra=""),"(Sem Código)",IF(ISERROR(MATCH($AE141,INDIRECT(ORÇAMENTO.BancoRef),0)),"(Código não identificado nas referências)",MATCH($AE141,INDIRECT(ORÇAMENTO.BancoRef),0))))</f>
        <v>4204</v>
      </c>
      <c r="AG141" s="578">
        <f ca="1">ROUND(IF(DESONERACAO="sim",REFERENCIA.Desonerado,REFERENCIA.NaoDesonerado),2)</f>
        <v>3.56</v>
      </c>
      <c r="AH141" s="579">
        <f t="shared" ca="1" si="91"/>
        <v>0.2034</v>
      </c>
      <c r="AJ141" s="581">
        <v>20</v>
      </c>
      <c r="AL141" s="611"/>
      <c r="AM141" s="430">
        <f t="shared" ca="1" si="93"/>
        <v>0</v>
      </c>
      <c r="AN141" s="654">
        <f t="shared" ca="1" si="92"/>
        <v>0</v>
      </c>
    </row>
    <row r="142" spans="1:40" ht="25.5" x14ac:dyDescent="0.2">
      <c r="A142" t="str">
        <f t="shared" si="78"/>
        <v>S</v>
      </c>
      <c r="B142">
        <f t="shared" ca="1" si="95"/>
        <v>2</v>
      </c>
      <c r="C142" t="str">
        <f t="shared" ca="1" si="96"/>
        <v>S</v>
      </c>
      <c r="D142">
        <f t="shared" ca="1" si="97"/>
        <v>0</v>
      </c>
      <c r="E142">
        <f ca="1">IF($C142=1,OFFSET(E142,-1,0)+MAX(1,COUNTIF(QCI!$A$13:$A$24,OFFSET(ORÇAMENTO!E142,-1,0))),OFFSET(E142,-1,0))</f>
        <v>1</v>
      </c>
      <c r="F142">
        <f t="shared" ca="1" si="98"/>
        <v>18</v>
      </c>
      <c r="G142">
        <f t="shared" ca="1" si="99"/>
        <v>0</v>
      </c>
      <c r="H142">
        <f t="shared" ca="1" si="100"/>
        <v>0</v>
      </c>
      <c r="I142">
        <f t="shared" ca="1" si="101"/>
        <v>0</v>
      </c>
      <c r="J142">
        <f t="shared" ca="1" si="94"/>
        <v>0</v>
      </c>
      <c r="K142">
        <f ca="1">IF(OR($C142="S",$C142=0),0,MATCH(OFFSET($D142,0,$C142)+IF($C142&lt;&gt;1,1,COUNTIF(QCI!$A$13:$A$24,ORÇAMENTO!E142)),OFFSET($D142,1,$C142,ROW($C$192)-ROW($C142)),0))</f>
        <v>0</v>
      </c>
      <c r="L142" s="143" t="str">
        <f t="shared" ca="1" si="102"/>
        <v/>
      </c>
      <c r="M142" s="144" t="s">
        <v>199</v>
      </c>
      <c r="N142" s="145" t="str">
        <f t="shared" ca="1" si="103"/>
        <v>Serviço</v>
      </c>
      <c r="O142" s="146" t="str">
        <f t="shared" ca="1" si="104"/>
        <v>-</v>
      </c>
      <c r="P142" s="147" t="s">
        <v>453</v>
      </c>
      <c r="Q142" s="148" t="s">
        <v>614</v>
      </c>
      <c r="R142" s="149" t="s">
        <v>736</v>
      </c>
      <c r="S142" s="150" t="s">
        <v>785</v>
      </c>
      <c r="T142" s="151">
        <f ca="1">OFFSET(CÁLCULO!H$15,ROW($T142)-ROW(T$15),0)</f>
        <v>16</v>
      </c>
      <c r="U142" s="152"/>
      <c r="V142" s="153" t="s">
        <v>156</v>
      </c>
      <c r="W142" s="151">
        <f ca="1">IF($C142="S",ROUND(IF(TIPOORCAMENTO="Proposto",ORÇAMENTO.CustoUnitario*(1+$AH142),ORÇAMENTO.PrecoUnitarioLicitado),15-13*$AF$10),0)</f>
        <v>0</v>
      </c>
      <c r="X142" s="154">
        <f ca="1">IF($C142="S",IF(Import.TipoArredondamento&lt;&gt;"TransfereGOV",VTOTAL1,SUM(OFFSET(CÁLCULO!$AA$15,ROW($X142)-ROW($X$15),1):OFFSET(CÁLCULO!$AL$15,ROW($X142)-ROW($X$15),-1))),IF($C142=0,0,ROUND(SomaAgrup,15-13*$AF$11)))</f>
        <v>0</v>
      </c>
      <c r="Y142" s="155" t="s">
        <v>245</v>
      </c>
      <c r="Z142" t="str">
        <f t="shared" ca="1" si="105"/>
        <v/>
      </c>
      <c r="AA142" s="156">
        <f ca="1">IF($C142="S",IF($Z142="CP",$X142,IF($Z142="RA",(($X142)*QCI!$AA$3),0)),SomaAgrup)</f>
        <v>0</v>
      </c>
      <c r="AB142" s="157">
        <f t="shared" ca="1" si="90"/>
        <v>0</v>
      </c>
      <c r="AC142" s="158" t="str">
        <f ca="1">IF($N142="","",IF(ORÇAMENTO.Descricao="","DESCRIÇÃO",IF(AND($C142="S",ORÇAMENTO.Unidade=""),"UNIDADE",IF($X142&lt;0,"VALOR NEGATIVO",IF(OR(AND(TIPOORCAMENTO="Proposto",$AG142&lt;&gt;"",$AG142&gt;0,ORÇAMENTO.CustoUnitario&gt;$AG142),AND(TIPOORCAMENTO="LICITADO",ORÇAMENTO.PrecoUnitarioLicitado&gt;$AN142)),"ACIMA REF.","")))))</f>
        <v/>
      </c>
      <c r="AD142" s="690" t="str">
        <f ca="1">IF(C142&lt;=CRONO.NivelExibicao,MAX($AD$15:OFFSET(AD142,-1,0))+IF($C142&lt;&gt;1,1,MAX(1,COUNTIF(QCI!$A$13:$A$24,OFFSET($E142,-1,0)))),"")</f>
        <v/>
      </c>
      <c r="AE142" s="114" t="str">
        <f ca="1">IF(AND($C142="S",ORÇAMENTO.CodBarra&lt;&gt;""),IF(ORÇAMENTO.Fonte="",ORÇAMENTO.CodBarra,CONCATENATE(ORÇAMENTO.Fonte," ",ORÇAMENTO.CodBarra)))</f>
        <v>SINAPI-I 1575</v>
      </c>
      <c r="AF142" s="159">
        <f ca="1">IF(ISERROR(INDIRECT(ORÇAMENTO.BancoRef)),"(abra o arquivo 'Referência "&amp;Excel_BuiltIn_Database&amp;".xlsm)",IF(OR($C142&lt;&gt;"S",ORÇAMENTO.CodBarra=""),"(Sem Código)",IF(ISERROR(MATCH($AE142,INDIRECT(ORÇAMENTO.BancoRef),0)),"(Código não identificado nas referências)",MATCH($AE142,INDIRECT(ORÇAMENTO.BancoRef),0))))</f>
        <v>4201</v>
      </c>
      <c r="AG142" s="578">
        <f ca="1">ROUND(IF(DESONERACAO="sim",REFERENCIA.Desonerado,REFERENCIA.NaoDesonerado),2)</f>
        <v>2.2799999999999998</v>
      </c>
      <c r="AH142" s="579">
        <f t="shared" ca="1" si="91"/>
        <v>0.2034</v>
      </c>
      <c r="AJ142" s="581">
        <v>16</v>
      </c>
      <c r="AL142" s="611"/>
      <c r="AM142" s="430">
        <f t="shared" ca="1" si="93"/>
        <v>0</v>
      </c>
      <c r="AN142" s="654">
        <f t="shared" ca="1" si="92"/>
        <v>0</v>
      </c>
    </row>
    <row r="143" spans="1:40" ht="25.5" x14ac:dyDescent="0.2">
      <c r="A143" t="str">
        <f t="shared" si="78"/>
        <v>S</v>
      </c>
      <c r="B143">
        <f t="shared" ca="1" si="95"/>
        <v>2</v>
      </c>
      <c r="C143" t="str">
        <f t="shared" ca="1" si="96"/>
        <v>S</v>
      </c>
      <c r="D143">
        <f t="shared" ca="1" si="97"/>
        <v>0</v>
      </c>
      <c r="E143">
        <f ca="1">IF($C143=1,OFFSET(E143,-1,0)+MAX(1,COUNTIF(QCI!$A$13:$A$24,OFFSET(ORÇAMENTO!E143,-1,0))),OFFSET(E143,-1,0))</f>
        <v>1</v>
      </c>
      <c r="F143">
        <f t="shared" ca="1" si="98"/>
        <v>18</v>
      </c>
      <c r="G143">
        <f t="shared" ca="1" si="99"/>
        <v>0</v>
      </c>
      <c r="H143">
        <f t="shared" ca="1" si="100"/>
        <v>0</v>
      </c>
      <c r="I143">
        <f t="shared" ca="1" si="101"/>
        <v>0</v>
      </c>
      <c r="J143">
        <f t="shared" ca="1" si="94"/>
        <v>0</v>
      </c>
      <c r="K143">
        <f ca="1">IF(OR($C143="S",$C143=0),0,MATCH(OFFSET($D143,0,$C143)+IF($C143&lt;&gt;1,1,COUNTIF(QCI!$A$13:$A$24,ORÇAMENTO!E143)),OFFSET($D143,1,$C143,ROW($C$192)-ROW($C143)),0))</f>
        <v>0</v>
      </c>
      <c r="L143" s="143" t="str">
        <f t="shared" ca="1" si="102"/>
        <v/>
      </c>
      <c r="M143" s="144" t="s">
        <v>199</v>
      </c>
      <c r="N143" s="145" t="str">
        <f t="shared" ca="1" si="103"/>
        <v>Serviço</v>
      </c>
      <c r="O143" s="146" t="str">
        <f t="shared" ca="1" si="104"/>
        <v>-</v>
      </c>
      <c r="P143" s="147" t="s">
        <v>453</v>
      </c>
      <c r="Q143" s="148" t="s">
        <v>613</v>
      </c>
      <c r="R143" s="149" t="s">
        <v>737</v>
      </c>
      <c r="S143" s="150" t="s">
        <v>785</v>
      </c>
      <c r="T143" s="151">
        <f ca="1">OFFSET(CÁLCULO!H$15,ROW($T143)-ROW(T$15),0)</f>
        <v>42</v>
      </c>
      <c r="U143" s="152"/>
      <c r="V143" s="153" t="s">
        <v>156</v>
      </c>
      <c r="W143" s="151">
        <f ca="1">IF($C143="S",ROUND(IF(TIPOORCAMENTO="Proposto",ORÇAMENTO.CustoUnitario*(1+$AH143),ORÇAMENTO.PrecoUnitarioLicitado),15-13*$AF$10),0)</f>
        <v>0</v>
      </c>
      <c r="X143" s="154">
        <f ca="1">IF($C143="S",IF(Import.TipoArredondamento&lt;&gt;"TransfereGOV",VTOTAL1,SUM(OFFSET(CÁLCULO!$AA$15,ROW($X143)-ROW($X$15),1):OFFSET(CÁLCULO!$AL$15,ROW($X143)-ROW($X$15),-1))),IF($C143=0,0,ROUND(SomaAgrup,15-13*$AF$11)))</f>
        <v>0</v>
      </c>
      <c r="Y143" s="155" t="s">
        <v>245</v>
      </c>
      <c r="Z143" t="str">
        <f t="shared" ca="1" si="105"/>
        <v/>
      </c>
      <c r="AA143" s="156">
        <f ca="1">IF($C143="S",IF($Z143="CP",$X143,IF($Z143="RA",(($X143)*QCI!$AA$3),0)),SomaAgrup)</f>
        <v>0</v>
      </c>
      <c r="AB143" s="157">
        <f t="shared" ca="1" si="90"/>
        <v>0</v>
      </c>
      <c r="AC143" s="158" t="str">
        <f ca="1">IF($N143="","",IF(ORÇAMENTO.Descricao="","DESCRIÇÃO",IF(AND($C143="S",ORÇAMENTO.Unidade=""),"UNIDADE",IF($X143&lt;0,"VALOR NEGATIVO",IF(OR(AND(TIPOORCAMENTO="Proposto",$AG143&lt;&gt;"",$AG143&gt;0,ORÇAMENTO.CustoUnitario&gt;$AG143),AND(TIPOORCAMENTO="LICITADO",ORÇAMENTO.PrecoUnitarioLicitado&gt;$AN143)),"ACIMA REF.","")))))</f>
        <v/>
      </c>
      <c r="AD143" s="690" t="str">
        <f ca="1">IF(C143&lt;=CRONO.NivelExibicao,MAX($AD$15:OFFSET(AD143,-1,0))+IF($C143&lt;&gt;1,1,MAX(1,COUNTIF(QCI!$A$13:$A$24,OFFSET($E143,-1,0)))),"")</f>
        <v/>
      </c>
      <c r="AE143" s="114" t="str">
        <f ca="1">IF(AND($C143="S",ORÇAMENTO.CodBarra&lt;&gt;""),IF(ORÇAMENTO.Fonte="",ORÇAMENTO.CodBarra,CONCATENATE(ORÇAMENTO.Fonte," ",ORÇAMENTO.CodBarra)))</f>
        <v>SINAPI-I 1573</v>
      </c>
      <c r="AF143" s="159">
        <f ca="1">IF(ISERROR(INDIRECT(ORÇAMENTO.BancoRef)),"(abra o arquivo 'Referência "&amp;Excel_BuiltIn_Database&amp;".xlsm)",IF(OR($C143&lt;&gt;"S",ORÇAMENTO.CodBarra=""),"(Sem Código)",IF(ISERROR(MATCH($AE143,INDIRECT(ORÇAMENTO.BancoRef),0)),"(Código não identificado nas referências)",MATCH($AE143,INDIRECT(ORÇAMENTO.BancoRef),0))))</f>
        <v>4207</v>
      </c>
      <c r="AG143" s="578">
        <f ca="1">ROUND(IF(DESONERACAO="sim",REFERENCIA.Desonerado,REFERENCIA.NaoDesonerado),2)</f>
        <v>1.78</v>
      </c>
      <c r="AH143" s="579">
        <f t="shared" ca="1" si="91"/>
        <v>0.2034</v>
      </c>
      <c r="AJ143" s="581">
        <v>42</v>
      </c>
      <c r="AL143" s="611"/>
      <c r="AM143" s="430">
        <f t="shared" ca="1" si="93"/>
        <v>0</v>
      </c>
      <c r="AN143" s="654">
        <f t="shared" ca="1" si="92"/>
        <v>0</v>
      </c>
    </row>
    <row r="144" spans="1:40" ht="25.5" x14ac:dyDescent="0.2">
      <c r="A144" t="str">
        <f t="shared" si="78"/>
        <v>S</v>
      </c>
      <c r="B144">
        <f t="shared" ca="1" si="95"/>
        <v>2</v>
      </c>
      <c r="C144" t="str">
        <f t="shared" ca="1" si="96"/>
        <v>S</v>
      </c>
      <c r="D144">
        <f t="shared" ca="1" si="97"/>
        <v>0</v>
      </c>
      <c r="E144">
        <f ca="1">IF($C144=1,OFFSET(E144,-1,0)+MAX(1,COUNTIF(QCI!$A$13:$A$24,OFFSET(ORÇAMENTO!E144,-1,0))),OFFSET(E144,-1,0))</f>
        <v>1</v>
      </c>
      <c r="F144">
        <f t="shared" ca="1" si="98"/>
        <v>18</v>
      </c>
      <c r="G144">
        <f t="shared" ca="1" si="99"/>
        <v>0</v>
      </c>
      <c r="H144">
        <f t="shared" ca="1" si="100"/>
        <v>0</v>
      </c>
      <c r="I144">
        <f t="shared" ca="1" si="101"/>
        <v>0</v>
      </c>
      <c r="J144">
        <f t="shared" ca="1" si="94"/>
        <v>0</v>
      </c>
      <c r="K144">
        <f ca="1">IF(OR($C144="S",$C144=0),0,MATCH(OFFSET($D144,0,$C144)+IF($C144&lt;&gt;1,1,COUNTIF(QCI!$A$13:$A$24,ORÇAMENTO!E144)),OFFSET($D144,1,$C144,ROW($C$192)-ROW($C144)),0))</f>
        <v>0</v>
      </c>
      <c r="L144" s="143" t="str">
        <f t="shared" ca="1" si="102"/>
        <v/>
      </c>
      <c r="M144" s="144" t="s">
        <v>199</v>
      </c>
      <c r="N144" s="145" t="str">
        <f t="shared" ca="1" si="103"/>
        <v>Serviço</v>
      </c>
      <c r="O144" s="146" t="str">
        <f t="shared" ca="1" si="104"/>
        <v>-</v>
      </c>
      <c r="P144" s="147" t="s">
        <v>453</v>
      </c>
      <c r="Q144" s="148" t="s">
        <v>603</v>
      </c>
      <c r="R144" s="149" t="s">
        <v>733</v>
      </c>
      <c r="S144" s="150" t="s">
        <v>785</v>
      </c>
      <c r="T144" s="151">
        <f ca="1">OFFSET(CÁLCULO!H$15,ROW($T144)-ROW(T$15),0)</f>
        <v>400</v>
      </c>
      <c r="U144" s="152"/>
      <c r="V144" s="153" t="s">
        <v>156</v>
      </c>
      <c r="W144" s="151">
        <f ca="1">IF($C144="S",ROUND(IF(TIPOORCAMENTO="Proposto",ORÇAMENTO.CustoUnitario*(1+$AH144),ORÇAMENTO.PrecoUnitarioLicitado),15-13*$AF$10),0)</f>
        <v>0</v>
      </c>
      <c r="X144" s="154">
        <f ca="1">IF($C144="S",IF(Import.TipoArredondamento&lt;&gt;"TransfereGOV",VTOTAL1,SUM(OFFSET(CÁLCULO!$AA$15,ROW($X144)-ROW($X$15),1):OFFSET(CÁLCULO!$AL$15,ROW($X144)-ROW($X$15),-1))),IF($C144=0,0,ROUND(SomaAgrup,15-13*$AF$11)))</f>
        <v>0</v>
      </c>
      <c r="Y144" s="155" t="s">
        <v>245</v>
      </c>
      <c r="Z144" t="str">
        <f t="shared" ca="1" si="105"/>
        <v/>
      </c>
      <c r="AA144" s="156">
        <f ca="1">IF($C144="S",IF($Z144="CP",$X144,IF($Z144="RA",(($X144)*QCI!$AA$3),0)),SomaAgrup)</f>
        <v>0</v>
      </c>
      <c r="AB144" s="157">
        <f t="shared" ca="1" si="90"/>
        <v>0</v>
      </c>
      <c r="AC144" s="158" t="str">
        <f ca="1">IF($N144="","",IF(ORÇAMENTO.Descricao="","DESCRIÇÃO",IF(AND($C144="S",ORÇAMENTO.Unidade=""),"UNIDADE",IF($X144&lt;0,"VALOR NEGATIVO",IF(OR(AND(TIPOORCAMENTO="Proposto",$AG144&lt;&gt;"",$AG144&gt;0,ORÇAMENTO.CustoUnitario&gt;$AG144),AND(TIPOORCAMENTO="LICITADO",ORÇAMENTO.PrecoUnitarioLicitado&gt;$AN144)),"ACIMA REF.","")))))</f>
        <v/>
      </c>
      <c r="AD144" s="690" t="str">
        <f ca="1">IF(C144&lt;=CRONO.NivelExibicao,MAX($AD$15:OFFSET(AD144,-1,0))+IF($C144&lt;&gt;1,1,MAX(1,COUNTIF(QCI!$A$13:$A$24,OFFSET($E144,-1,0)))),"")</f>
        <v/>
      </c>
      <c r="AE144" s="114" t="str">
        <f ca="1">IF(AND($C144="S",ORÇAMENTO.CodBarra&lt;&gt;""),IF(ORÇAMENTO.Fonte="",ORÇAMENTO.CodBarra,CONCATENATE(ORÇAMENTO.Fonte," ",ORÇAMENTO.CodBarra)))</f>
        <v>SINAPI-I 1570</v>
      </c>
      <c r="AF144" s="159">
        <f ca="1">IF(ISERROR(INDIRECT(ORÇAMENTO.BancoRef)),"(abra o arquivo 'Referência "&amp;Excel_BuiltIn_Database&amp;".xlsm)",IF(OR($C144&lt;&gt;"S",ORÇAMENTO.CodBarra=""),"(Sem Código)",IF(ISERROR(MATCH($AE144,INDIRECT(ORÇAMENTO.BancoRef),0)),"(Código não identificado nas referências)",MATCH($AE144,INDIRECT(ORÇAMENTO.BancoRef),0))))</f>
        <v>4202</v>
      </c>
      <c r="AG144" s="578">
        <f ca="1">ROUND(IF(DESONERACAO="sim",REFERENCIA.Desonerado,REFERENCIA.NaoDesonerado),2)</f>
        <v>1.1399999999999999</v>
      </c>
      <c r="AH144" s="579">
        <f t="shared" ca="1" si="91"/>
        <v>0.2034</v>
      </c>
      <c r="AJ144" s="581">
        <v>400</v>
      </c>
      <c r="AL144" s="611"/>
      <c r="AM144" s="430">
        <f t="shared" ca="1" si="93"/>
        <v>0</v>
      </c>
      <c r="AN144" s="654">
        <f t="shared" ca="1" si="92"/>
        <v>0</v>
      </c>
    </row>
    <row r="145" spans="1:40" ht="25.5" x14ac:dyDescent="0.2">
      <c r="A145" t="str">
        <f>CHOOSE(1+LOG(1+2*(ORÇAMENTO.Nivel="Meta")+4*(ORÇAMENTO.Nivel="Nível 2")+8*(ORÇAMENTO.Nivel="Nível 3")+16*(ORÇAMENTO.Nivel="Nível 4")+32*(ORÇAMENTO.Nivel="Serviço"),2),0,1,2,3,4,"S")</f>
        <v>S</v>
      </c>
      <c r="B145">
        <f ca="1">IF(OR(C145="s",C145=0),OFFSET(B145,-1,0),C145)</f>
        <v>2</v>
      </c>
      <c r="C145" t="str">
        <f ca="1">IF(OFFSET(C145,-1,0)="L",1,IF(OFFSET(C145,-1,0)=1,2,IF(OR(A145="s",A145=0),"S",IF(AND(OFFSET(C145,-1,0)=2,A145=4),3,IF(AND(OR(OFFSET(C145,-1,0)="s",OFFSET(C145,-1,0)=0),A145&lt;&gt;"s",A145&gt;OFFSET(B145,-1,0)),OFFSET(B145,-1,0),A145)))))</f>
        <v>S</v>
      </c>
      <c r="D145">
        <f ca="1">IF(OR(C145="S",C145=0),0,IF(ISERROR(K145),J145,SMALL(J145:K145,1)))</f>
        <v>0</v>
      </c>
      <c r="E145">
        <f ca="1">IF($C145=1,OFFSET(E145,-1,0)+MAX(1,COUNTIF(QCI!$A$13:$A$24,OFFSET(ORÇAMENTO!E145,-1,0))),OFFSET(E145,-1,0))</f>
        <v>1</v>
      </c>
      <c r="F145">
        <f ca="1">IF($C145=1,0,IF($C145=2,OFFSET(F145,-1,0)+1,OFFSET(F145,-1,0)))</f>
        <v>18</v>
      </c>
      <c r="G145">
        <f ca="1">IF(AND($C145&lt;=2,$C145&lt;&gt;0),0,IF($C145=3,OFFSET(G145,-1,0)+1,OFFSET(G145,-1,0)))</f>
        <v>0</v>
      </c>
      <c r="H145">
        <f ca="1">IF(AND($C145&lt;=3,$C145&lt;&gt;0),0,IF($C145=4,OFFSET(H145,-1,0)+1,OFFSET(H145,-1,0)))</f>
        <v>0</v>
      </c>
      <c r="I145">
        <f ca="1">IF(AND($C145&lt;=4,$C145&lt;&gt;0),0,IF(AND($C145="S",$X145&gt;0),OFFSET(I145,-1,0)+1,OFFSET(I145,-1,0)))</f>
        <v>0</v>
      </c>
      <c r="J145">
        <f t="shared" ca="1" si="94"/>
        <v>0</v>
      </c>
      <c r="K145">
        <f ca="1">IF(OR($C145="S",$C145=0),0,MATCH(OFFSET($D145,0,$C145)+IF($C145&lt;&gt;1,1,COUNTIF(QCI!$A$13:$A$24,ORÇAMENTO!E145)),OFFSET($D145,1,$C145,ROW($C$192)-ROW($C145)),0))</f>
        <v>0</v>
      </c>
      <c r="L145" s="143" t="str">
        <f ca="1">IF(OR($X145&gt;0,$C145=1,$C145=2,$C145=3,$C145=4),"F","")</f>
        <v/>
      </c>
      <c r="M145" s="144" t="s">
        <v>199</v>
      </c>
      <c r="N145" s="145" t="str">
        <f ca="1">CHOOSE(1+LOG(1+2*(C145=1)+4*(C145=2)+8*(C145=3)+16*(C145=4)+32*(C145="S"),2),"","Meta","Nível 2","Nível 3","Nível 4","Serviço")</f>
        <v>Serviço</v>
      </c>
      <c r="O145" s="146" t="str">
        <f ca="1">IF(OR($C145=0,$L145=""),"-",CONCATENATE(E145&amp;".",IF(AND($A$5&gt;=2,$C145&gt;=2),F145&amp;".",""),IF(AND($A$5&gt;=3,$C145&gt;=3),G145&amp;".",""),IF(AND($A$5&gt;=4,$C145&gt;=4),H145&amp;".",""),IF($C145="S",I145&amp;".","")))</f>
        <v>-</v>
      </c>
      <c r="P145" s="147" t="s">
        <v>453</v>
      </c>
      <c r="Q145" s="148" t="s">
        <v>603</v>
      </c>
      <c r="R145" s="149" t="s">
        <v>733</v>
      </c>
      <c r="S145" s="150" t="s">
        <v>785</v>
      </c>
      <c r="T145" s="151">
        <f ca="1">OFFSET(CÁLCULO!H$15,ROW($T145)-ROW(T$15),0)</f>
        <v>200</v>
      </c>
      <c r="U145" s="152"/>
      <c r="V145" s="153" t="s">
        <v>156</v>
      </c>
      <c r="W145" s="151">
        <f ca="1">IF($C145="S",ROUND(IF(TIPOORCAMENTO="Proposto",ORÇAMENTO.CustoUnitario*(1+$AH145),ORÇAMENTO.PrecoUnitarioLicitado),15-13*$AF$10),0)</f>
        <v>0</v>
      </c>
      <c r="X145" s="154">
        <f ca="1">IF($C145="S",IF(Import.TipoArredondamento&lt;&gt;"TransfereGOV",VTOTAL1,SUM(OFFSET(CÁLCULO!$AA$15,ROW($X145)-ROW($X$15),1):OFFSET(CÁLCULO!$AL$15,ROW($X145)-ROW($X$15),-1))),IF($C145=0,0,ROUND(SomaAgrup,15-13*$AF$11)))</f>
        <v>0</v>
      </c>
      <c r="Y145" s="155" t="s">
        <v>245</v>
      </c>
      <c r="Z145" t="str">
        <f ca="1">IF(AND($C145="S",$X145&gt;0),IF(ISBLANK($Y145),"RA",LEFT($Y145,2)),"")</f>
        <v/>
      </c>
      <c r="AA145" s="156">
        <f ca="1">IF($C145="S",IF($Z145="CP",$X145,IF($Z145="RA",(($X145)*QCI!$AA$3),0)),SomaAgrup)</f>
        <v>0</v>
      </c>
      <c r="AB145" s="157">
        <f ca="1">IF($C145="S",IF($Z145="OU",ROUND($X145,2),0),SomaAgrup)</f>
        <v>0</v>
      </c>
      <c r="AC145" s="158" t="str">
        <f ca="1">IF($N145="","",IF(ORÇAMENTO.Descricao="","DESCRIÇÃO",IF(AND($C145="S",ORÇAMENTO.Unidade=""),"UNIDADE",IF($X145&lt;0,"VALOR NEGATIVO",IF(OR(AND(TIPOORCAMENTO="Proposto",$AG145&lt;&gt;"",$AG145&gt;0,ORÇAMENTO.CustoUnitario&gt;$AG145),AND(TIPOORCAMENTO="LICITADO",ORÇAMENTO.PrecoUnitarioLicitado&gt;$AN145)),"ACIMA REF.","")))))</f>
        <v/>
      </c>
      <c r="AD145" s="690" t="str">
        <f ca="1">IF(C145&lt;=CRONO.NivelExibicao,MAX($AD$15:OFFSET(AD145,-1,0))+IF($C145&lt;&gt;1,1,MAX(1,COUNTIF(QCI!$A$13:$A$24,OFFSET($E145,-1,0)))),"")</f>
        <v/>
      </c>
      <c r="AE145" s="114" t="str">
        <f ca="1">IF(AND($C145="S",ORÇAMENTO.CodBarra&lt;&gt;""),IF(ORÇAMENTO.Fonte="",ORÇAMENTO.CodBarra,CONCATENATE(ORÇAMENTO.Fonte," ",ORÇAMENTO.CodBarra)))</f>
        <v>SINAPI-I 1570</v>
      </c>
      <c r="AF145" s="159">
        <f ca="1">IF(ISERROR(INDIRECT(ORÇAMENTO.BancoRef)),"(abra o arquivo 'Referência "&amp;Excel_BuiltIn_Database&amp;".xlsm)",IF(OR($C145&lt;&gt;"S",ORÇAMENTO.CodBarra=""),"(Sem Código)",IF(ISERROR(MATCH($AE145,INDIRECT(ORÇAMENTO.BancoRef),0)),"(Código não identificado nas referências)",MATCH($AE145,INDIRECT(ORÇAMENTO.BancoRef),0))))</f>
        <v>4202</v>
      </c>
      <c r="AG145" s="578">
        <f ca="1">ROUND(IF(DESONERACAO="sim",REFERENCIA.Desonerado,REFERENCIA.NaoDesonerado),2)</f>
        <v>1.1399999999999999</v>
      </c>
      <c r="AH145" s="579">
        <f ca="1">ROUND(IF(ISNUMBER(ORÇAMENTO.OpcaoBDI),ORÇAMENTO.OpcaoBDI,IF(LEFT(ORÇAMENTO.OpcaoBDI,3)="BDI",HLOOKUP(ORÇAMENTO.OpcaoBDI,$F$4:$H$5,2,FALSE),0)),15-11*$AF$9)</f>
        <v>0.2034</v>
      </c>
      <c r="AJ145" s="581">
        <v>200</v>
      </c>
      <c r="AL145" s="611"/>
      <c r="AM145" s="430">
        <f t="shared" ca="1" si="93"/>
        <v>0</v>
      </c>
      <c r="AN145" s="654">
        <f ca="1">ROUND(ORÇAMENTO.CustoUnitario*(1+$AH145),2)</f>
        <v>0</v>
      </c>
    </row>
    <row r="146" spans="1:40" ht="25.5" x14ac:dyDescent="0.2">
      <c r="A146" t="str">
        <f>CHOOSE(1+LOG(1+2*(ORÇAMENTO.Nivel="Meta")+4*(ORÇAMENTO.Nivel="Nível 2")+8*(ORÇAMENTO.Nivel="Nível 3")+16*(ORÇAMENTO.Nivel="Nível 4")+32*(ORÇAMENTO.Nivel="Serviço"),2),0,1,2,3,4,"S")</f>
        <v>S</v>
      </c>
      <c r="B146">
        <f t="shared" ref="B146:B147" ca="1" si="106">IF(OR(C146="s",C146=0),OFFSET(B146,-1,0),C146)</f>
        <v>2</v>
      </c>
      <c r="C146" t="str">
        <f t="shared" ref="C146:C147" ca="1" si="107">IF(OFFSET(C146,-1,0)="L",1,IF(OFFSET(C146,-1,0)=1,2,IF(OR(A146="s",A146=0),"S",IF(AND(OFFSET(C146,-1,0)=2,A146=4),3,IF(AND(OR(OFFSET(C146,-1,0)="s",OFFSET(C146,-1,0)=0),A146&lt;&gt;"s",A146&gt;OFFSET(B146,-1,0)),OFFSET(B146,-1,0),A146)))))</f>
        <v>S</v>
      </c>
      <c r="D146">
        <f t="shared" ref="D146:D147" ca="1" si="108">IF(OR(C146="S",C146=0),0,IF(ISERROR(K146),J146,SMALL(J146:K146,1)))</f>
        <v>0</v>
      </c>
      <c r="E146">
        <f ca="1">IF($C146=1,OFFSET(E146,-1,0)+MAX(1,COUNTIF(QCI!$A$13:$A$24,OFFSET(ORÇAMENTO!E146,-1,0))),OFFSET(E146,-1,0))</f>
        <v>1</v>
      </c>
      <c r="F146">
        <f t="shared" ref="F146:F147" ca="1" si="109">IF($C146=1,0,IF($C146=2,OFFSET(F146,-1,0)+1,OFFSET(F146,-1,0)))</f>
        <v>18</v>
      </c>
      <c r="G146">
        <f t="shared" ref="G146:G147" ca="1" si="110">IF(AND($C146&lt;=2,$C146&lt;&gt;0),0,IF($C146=3,OFFSET(G146,-1,0)+1,OFFSET(G146,-1,0)))</f>
        <v>0</v>
      </c>
      <c r="H146">
        <f t="shared" ref="H146:H147" ca="1" si="111">IF(AND($C146&lt;=3,$C146&lt;&gt;0),0,IF($C146=4,OFFSET(H146,-1,0)+1,OFFSET(H146,-1,0)))</f>
        <v>0</v>
      </c>
      <c r="I146">
        <f t="shared" ref="I146:I147" ca="1" si="112">IF(AND($C146&lt;=4,$C146&lt;&gt;0),0,IF(AND($C146="S",$X146&gt;0),OFFSET(I146,-1,0)+1,OFFSET(I146,-1,0)))</f>
        <v>0</v>
      </c>
      <c r="J146">
        <f t="shared" ref="J146:J147" ca="1" si="113">IF(OR($C146="S",$C146=0),0,MATCH(0,OFFSET($D146,1,$C146,ROW($C$192)-ROW($C146)),0))</f>
        <v>0</v>
      </c>
      <c r="K146">
        <f ca="1">IF(OR($C146="S",$C146=0),0,MATCH(OFFSET($D146,0,$C146)+IF($C146&lt;&gt;1,1,COUNTIF(QCI!$A$13:$A$24,ORÇAMENTO!E146)),OFFSET($D146,1,$C146,ROW($C$192)-ROW($C146)),0))</f>
        <v>0</v>
      </c>
      <c r="L146" s="143" t="str">
        <f t="shared" ref="L146:L147" ca="1" si="114">IF(OR($X146&gt;0,$C146=1,$C146=2,$C146=3,$C146=4),"F","")</f>
        <v/>
      </c>
      <c r="M146" s="144" t="s">
        <v>199</v>
      </c>
      <c r="N146" s="145" t="str">
        <f t="shared" ref="N146:N147" ca="1" si="115">CHOOSE(1+LOG(1+2*(C146=1)+4*(C146=2)+8*(C146=3)+16*(C146=4)+32*(C146="S"),2),"","Meta","Nível 2","Nível 3","Nível 4","Serviço")</f>
        <v>Serviço</v>
      </c>
      <c r="O146" s="146" t="str">
        <f t="shared" ref="O146:O147" ca="1" si="116">IF(OR($C146=0,$L146=""),"-",CONCATENATE(E146&amp;".",IF(AND($A$5&gt;=2,$C146&gt;=2),F146&amp;".",""),IF(AND($A$5&gt;=3,$C146&gt;=3),G146&amp;".",""),IF(AND($A$5&gt;=4,$C146&gt;=4),H146&amp;".",""),IF($C146="S",I146&amp;".","")))</f>
        <v>-</v>
      </c>
      <c r="P146" s="147" t="s">
        <v>453</v>
      </c>
      <c r="Q146" s="148" t="s">
        <v>630</v>
      </c>
      <c r="R146" s="149" t="s">
        <v>738</v>
      </c>
      <c r="S146" s="150" t="s">
        <v>785</v>
      </c>
      <c r="T146" s="151">
        <f ca="1">OFFSET(CÁLCULO!H$15,ROW($T146)-ROW(T$15),0)</f>
        <v>4</v>
      </c>
      <c r="U146" s="152"/>
      <c r="V146" s="153" t="s">
        <v>156</v>
      </c>
      <c r="W146" s="151">
        <f ca="1">IF($C146="S",ROUND(IF(TIPOORCAMENTO="Proposto",ORÇAMENTO.CustoUnitario*(1+$AH146),ORÇAMENTO.PrecoUnitarioLicitado),15-13*$AF$10),0)</f>
        <v>0</v>
      </c>
      <c r="X146" s="154">
        <f ca="1">IF($C146="S",IF(Import.TipoArredondamento&lt;&gt;"TransfereGOV",VTOTAL1,SUM(OFFSET(CÁLCULO!$AA$15,ROW($X146)-ROW($X$15),1):OFFSET(CÁLCULO!$AL$15,ROW($X146)-ROW($X$15),-1))),IF($C146=0,0,ROUND(SomaAgrup,15-13*$AF$11)))</f>
        <v>0</v>
      </c>
      <c r="Y146" s="155" t="s">
        <v>245</v>
      </c>
      <c r="Z146" t="str">
        <f t="shared" ref="Z146:Z147" ca="1" si="117">IF(AND($C146="S",$X146&gt;0),IF(ISBLANK($Y146),"RA",LEFT($Y146,2)),"")</f>
        <v/>
      </c>
      <c r="AA146" s="156">
        <f ca="1">IF($C146="S",IF($Z146="CP",$X146,IF($Z146="RA",(($X146)*QCI!$AA$3),0)),SomaAgrup)</f>
        <v>0</v>
      </c>
      <c r="AB146" s="157">
        <f ca="1">IF($C146="S",IF($Z146="OU",ROUND($X146,2),0),SomaAgrup)</f>
        <v>0</v>
      </c>
      <c r="AC146" s="158" t="str">
        <f ca="1">IF($N146="","",IF(ORÇAMENTO.Descricao="","DESCRIÇÃO",IF(AND($C146="S",ORÇAMENTO.Unidade=""),"UNIDADE",IF($X146&lt;0,"VALOR NEGATIVO",IF(OR(AND(TIPOORCAMENTO="Proposto",$AG146&lt;&gt;"",$AG146&gt;0,ORÇAMENTO.CustoUnitario&gt;$AG146),AND(TIPOORCAMENTO="LICITADO",ORÇAMENTO.PrecoUnitarioLicitado&gt;$AN146)),"ACIMA REF.","")))))</f>
        <v/>
      </c>
      <c r="AD146" s="694" t="str">
        <f ca="1">IF(C146&lt;=CRONO.NivelExibicao,MAX($AD$15:OFFSET(AD146,-1,0))+IF($C146&lt;&gt;1,1,MAX(1,COUNTIF(QCI!$A$13:$A$24,OFFSET($E146,-1,0)))),"")</f>
        <v/>
      </c>
      <c r="AE146" s="114" t="str">
        <f ca="1">IF(AND($C146="S",ORÇAMENTO.CodBarra&lt;&gt;""),IF(ORÇAMENTO.Fonte="",ORÇAMENTO.CodBarra,CONCATENATE(ORÇAMENTO.Fonte," ",ORÇAMENTO.CodBarra)))</f>
        <v>SINAPI-I 43432</v>
      </c>
      <c r="AF146" s="159">
        <f ca="1">IF(ISERROR(INDIRECT(ORÇAMENTO.BancoRef)),"(abra o arquivo 'Referência "&amp;Excel_BuiltIn_Database&amp;".xlsm)",IF(OR($C146&lt;&gt;"S",ORÇAMENTO.CodBarra=""),"(Sem Código)",IF(ISERROR(MATCH($AE146,INDIRECT(ORÇAMENTO.BancoRef),0)),"(Código não identificado nas referências)",MATCH($AE146,INDIRECT(ORÇAMENTO.BancoRef),0))))</f>
        <v>874</v>
      </c>
      <c r="AG146" s="578">
        <f ca="1">ROUND(IF(DESONERACAO="sim",REFERENCIA.Desonerado,REFERENCIA.NaoDesonerado),2)</f>
        <v>607.73</v>
      </c>
      <c r="AH146" s="579">
        <f ca="1">ROUND(IF(ISNUMBER(ORÇAMENTO.OpcaoBDI),ORÇAMENTO.OpcaoBDI,IF(LEFT(ORÇAMENTO.OpcaoBDI,3)="BDI",HLOOKUP(ORÇAMENTO.OpcaoBDI,$F$4:$H$5,2,FALSE),0)),15-11*$AF$9)</f>
        <v>0.2034</v>
      </c>
      <c r="AJ146" s="581">
        <v>4</v>
      </c>
      <c r="AL146" s="611"/>
      <c r="AM146" s="430">
        <f t="shared" ca="1" si="93"/>
        <v>0</v>
      </c>
      <c r="AN146" s="654">
        <f ca="1">ROUND(ORÇAMENTO.CustoUnitario*(1+$AH146),2)</f>
        <v>0</v>
      </c>
    </row>
    <row r="147" spans="1:40" ht="38.25" x14ac:dyDescent="0.2">
      <c r="A147" t="str">
        <f>CHOOSE(1+LOG(1+2*(ORÇAMENTO.Nivel="Meta")+4*(ORÇAMENTO.Nivel="Nível 2")+8*(ORÇAMENTO.Nivel="Nível 3")+16*(ORÇAMENTO.Nivel="Nível 4")+32*(ORÇAMENTO.Nivel="Serviço"),2),0,1,2,3,4,"S")</f>
        <v>S</v>
      </c>
      <c r="B147">
        <f t="shared" ca="1" si="106"/>
        <v>2</v>
      </c>
      <c r="C147" t="str">
        <f t="shared" ca="1" si="107"/>
        <v>S</v>
      </c>
      <c r="D147">
        <f t="shared" ca="1" si="108"/>
        <v>0</v>
      </c>
      <c r="E147">
        <f ca="1">IF($C147=1,OFFSET(E147,-1,0)+MAX(1,COUNTIF(QCI!$A$13:$A$24,OFFSET(ORÇAMENTO!E147,-1,0))),OFFSET(E147,-1,0))</f>
        <v>1</v>
      </c>
      <c r="F147">
        <f t="shared" ca="1" si="109"/>
        <v>18</v>
      </c>
      <c r="G147">
        <f t="shared" ca="1" si="110"/>
        <v>0</v>
      </c>
      <c r="H147">
        <f t="shared" ca="1" si="111"/>
        <v>0</v>
      </c>
      <c r="I147">
        <f t="shared" ca="1" si="112"/>
        <v>0</v>
      </c>
      <c r="J147">
        <f t="shared" ca="1" si="113"/>
        <v>0</v>
      </c>
      <c r="K147">
        <f ca="1">IF(OR($C147="S",$C147=0),0,MATCH(OFFSET($D147,0,$C147)+IF($C147&lt;&gt;1,1,COUNTIF(QCI!$A$13:$A$24,ORÇAMENTO!E147)),OFFSET($D147,1,$C147,ROW($C$192)-ROW($C147)),0))</f>
        <v>0</v>
      </c>
      <c r="L147" s="143" t="str">
        <f t="shared" ca="1" si="114"/>
        <v/>
      </c>
      <c r="M147" s="144" t="s">
        <v>199</v>
      </c>
      <c r="N147" s="145" t="str">
        <f t="shared" ca="1" si="115"/>
        <v>Serviço</v>
      </c>
      <c r="O147" s="146" t="str">
        <f t="shared" ca="1" si="116"/>
        <v>-</v>
      </c>
      <c r="P147" s="147" t="s">
        <v>247</v>
      </c>
      <c r="Q147" s="148" t="s">
        <v>631</v>
      </c>
      <c r="R147" s="149" t="s">
        <v>739</v>
      </c>
      <c r="S147" s="150" t="s">
        <v>778</v>
      </c>
      <c r="T147" s="151">
        <f ca="1">OFFSET(CÁLCULO!H$15,ROW($T147)-ROW(T$15),0)</f>
        <v>4</v>
      </c>
      <c r="U147" s="152"/>
      <c r="V147" s="153" t="s">
        <v>156</v>
      </c>
      <c r="W147" s="151">
        <f ca="1">IF($C147="S",ROUND(IF(TIPOORCAMENTO="Proposto",ORÇAMENTO.CustoUnitario*(1+$AH147),ORÇAMENTO.PrecoUnitarioLicitado),15-13*$AF$10),0)</f>
        <v>0</v>
      </c>
      <c r="X147" s="154">
        <f ca="1">IF($C147="S",IF(Import.TipoArredondamento&lt;&gt;"TransfereGOV",VTOTAL1,SUM(OFFSET(CÁLCULO!$AA$15,ROW($X147)-ROW($X$15),1):OFFSET(CÁLCULO!$AL$15,ROW($X147)-ROW($X$15),-1))),IF($C147=0,0,ROUND(SomaAgrup,15-13*$AF$11)))</f>
        <v>0</v>
      </c>
      <c r="Y147" s="155" t="s">
        <v>245</v>
      </c>
      <c r="Z147" t="str">
        <f t="shared" ca="1" si="117"/>
        <v/>
      </c>
      <c r="AA147" s="156">
        <f ca="1">IF($C147="S",IF($Z147="CP",$X147,IF($Z147="RA",(($X147)*QCI!$AA$3),0)),SomaAgrup)</f>
        <v>0</v>
      </c>
      <c r="AB147" s="157">
        <f ca="1">IF($C147="S",IF($Z147="OU",ROUND($X147,2),0),SomaAgrup)</f>
        <v>0</v>
      </c>
      <c r="AC147" s="158" t="str">
        <f ca="1">IF($N147="","",IF(ORÇAMENTO.Descricao="","DESCRIÇÃO",IF(AND($C147="S",ORÇAMENTO.Unidade=""),"UNIDADE",IF($X147&lt;0,"VALOR NEGATIVO",IF(OR(AND(TIPOORCAMENTO="Proposto",$AG147&lt;&gt;"",$AG147&gt;0,ORÇAMENTO.CustoUnitario&gt;$AG147),AND(TIPOORCAMENTO="LICITADO",ORÇAMENTO.PrecoUnitarioLicitado&gt;$AN147)),"ACIMA REF.","")))))</f>
        <v/>
      </c>
      <c r="AD147" s="694" t="str">
        <f ca="1">IF(C147&lt;=CRONO.NivelExibicao,MAX($AD$15:OFFSET(AD147,-1,0))+IF($C147&lt;&gt;1,1,MAX(1,COUNTIF(QCI!$A$13:$A$24,OFFSET($E147,-1,0)))),"")</f>
        <v/>
      </c>
      <c r="AE147" s="114" t="str">
        <f ca="1">IF(AND($C147="S",ORÇAMENTO.CodBarra&lt;&gt;""),IF(ORÇAMENTO.Fonte="",ORÇAMENTO.CodBarra,CONCATENATE(ORÇAMENTO.Fonte," ",ORÇAMENTO.CodBarra)))</f>
        <v>SINAPI 101799</v>
      </c>
      <c r="AF147" s="159">
        <f ca="1">IF(ISERROR(INDIRECT(ORÇAMENTO.BancoRef)),"(abra o arquivo 'Referência "&amp;Excel_BuiltIn_Database&amp;".xlsm)",IF(OR($C147&lt;&gt;"S",ORÇAMENTO.CodBarra=""),"(Sem Código)",IF(ISERROR(MATCH($AE147,INDIRECT(ORÇAMENTO.BancoRef),0)),"(Código não identificado nas referências)",MATCH($AE147,INDIRECT(ORÇAMENTO.BancoRef),0))))</f>
        <v>8360</v>
      </c>
      <c r="AG147" s="578">
        <f ca="1">ROUND(IF(DESONERACAO="sim",REFERENCIA.Desonerado,REFERENCIA.NaoDesonerado),2)</f>
        <v>907.05</v>
      </c>
      <c r="AH147" s="579">
        <f ca="1">ROUND(IF(ISNUMBER(ORÇAMENTO.OpcaoBDI),ORÇAMENTO.OpcaoBDI,IF(LEFT(ORÇAMENTO.OpcaoBDI,3)="BDI",HLOOKUP(ORÇAMENTO.OpcaoBDI,$F$4:$H$5,2,FALSE),0)),15-11*$AF$9)</f>
        <v>0.2034</v>
      </c>
      <c r="AJ147" s="581">
        <v>4</v>
      </c>
      <c r="AL147" s="611"/>
      <c r="AM147" s="430">
        <f t="shared" ca="1" si="93"/>
        <v>0</v>
      </c>
      <c r="AN147" s="654">
        <f ca="1">ROUND(ORÇAMENTO.CustoUnitario*(1+$AH147),2)</f>
        <v>0</v>
      </c>
    </row>
    <row r="148" spans="1:40" ht="38.25" x14ac:dyDescent="0.2">
      <c r="A148" t="str">
        <f>CHOOSE(1+LOG(1+2*(ORÇAMENTO.Nivel="Meta")+4*(ORÇAMENTO.Nivel="Nível 2")+8*(ORÇAMENTO.Nivel="Nível 3")+16*(ORÇAMENTO.Nivel="Nível 4")+32*(ORÇAMENTO.Nivel="Serviço"),2),0,1,2,3,4,"S")</f>
        <v>S</v>
      </c>
      <c r="B148">
        <f ca="1">IF(OR(C148="s",C148=0),OFFSET(B148,-1,0),C148)</f>
        <v>2</v>
      </c>
      <c r="C148" t="str">
        <f ca="1">IF(OFFSET(C148,-1,0)="L",1,IF(OFFSET(C148,-1,0)=1,2,IF(OR(A148="s",A148=0),"S",IF(AND(OFFSET(C148,-1,0)=2,A148=4),3,IF(AND(OR(OFFSET(C148,-1,0)="s",OFFSET(C148,-1,0)=0),A148&lt;&gt;"s",A148&gt;OFFSET(B148,-1,0)),OFFSET(B148,-1,0),A148)))))</f>
        <v>S</v>
      </c>
      <c r="D148">
        <f ca="1">IF(OR(C148="S",C148=0),0,IF(ISERROR(K148),J148,SMALL(J148:K148,1)))</f>
        <v>0</v>
      </c>
      <c r="E148">
        <f ca="1">IF($C148=1,OFFSET(E148,-1,0)+MAX(1,COUNTIF(QCI!$A$13:$A$24,OFFSET(ORÇAMENTO!E148,-1,0))),OFFSET(E148,-1,0))</f>
        <v>1</v>
      </c>
      <c r="F148">
        <f ca="1">IF($C148=1,0,IF($C148=2,OFFSET(F148,-1,0)+1,OFFSET(F148,-1,0)))</f>
        <v>18</v>
      </c>
      <c r="G148">
        <f ca="1">IF(AND($C148&lt;=2,$C148&lt;&gt;0),0,IF($C148=3,OFFSET(G148,-1,0)+1,OFFSET(G148,-1,0)))</f>
        <v>0</v>
      </c>
      <c r="H148">
        <f ca="1">IF(AND($C148&lt;=3,$C148&lt;&gt;0),0,IF($C148=4,OFFSET(H148,-1,0)+1,OFFSET(H148,-1,0)))</f>
        <v>0</v>
      </c>
      <c r="I148">
        <f ca="1">IF(AND($C148&lt;=4,$C148&lt;&gt;0),0,IF(AND($C148="S",$X148&gt;0),OFFSET(I148,-1,0)+1,OFFSET(I148,-1,0)))</f>
        <v>0</v>
      </c>
      <c r="J148">
        <f t="shared" ref="J148:J173" ca="1" si="118">IF(OR($C148="S",$C148=0),0,MATCH(0,OFFSET($D148,1,$C148,ROW($C$192)-ROW($C148)),0))</f>
        <v>0</v>
      </c>
      <c r="K148">
        <f ca="1">IF(OR($C148="S",$C148=0),0,MATCH(OFFSET($D148,0,$C148)+IF($C148&lt;&gt;1,1,COUNTIF(QCI!$A$13:$A$24,ORÇAMENTO!E148)),OFFSET($D148,1,$C148,ROW($C$192)-ROW($C148)),0))</f>
        <v>0</v>
      </c>
      <c r="L148" s="143" t="str">
        <f ca="1">IF(OR($X148&gt;0,$C148=1,$C148=2,$C148=3,$C148=4),"F","")</f>
        <v/>
      </c>
      <c r="M148" s="144" t="s">
        <v>199</v>
      </c>
      <c r="N148" s="145" t="str">
        <f ca="1">CHOOSE(1+LOG(1+2*(C148=1)+4*(C148=2)+8*(C148=3)+16*(C148=4)+32*(C148="S"),2),"","Meta","Nível 2","Nível 3","Nível 4","Serviço")</f>
        <v>Serviço</v>
      </c>
      <c r="O148" s="146" t="str">
        <f ca="1">IF(OR($C148=0,$L148=""),"-",CONCATENATE(E148&amp;".",IF(AND($A$5&gt;=2,$C148&gt;=2),F148&amp;".",""),IF(AND($A$5&gt;=3,$C148&gt;=3),G148&amp;".",""),IF(AND($A$5&gt;=4,$C148&gt;=4),H148&amp;".",""),IF($C148="S",I148&amp;".","")))</f>
        <v>-</v>
      </c>
      <c r="P148" s="147" t="s">
        <v>247</v>
      </c>
      <c r="Q148" s="148" t="s">
        <v>632</v>
      </c>
      <c r="R148" s="149" t="s">
        <v>740</v>
      </c>
      <c r="S148" s="150" t="s">
        <v>779</v>
      </c>
      <c r="T148" s="151">
        <f ca="1">OFFSET(CÁLCULO!H$15,ROW($T148)-ROW(T$15),0)</f>
        <v>100</v>
      </c>
      <c r="U148" s="152"/>
      <c r="V148" s="153" t="s">
        <v>156</v>
      </c>
      <c r="W148" s="151">
        <f ca="1">IF($C148="S",ROUND(IF(TIPOORCAMENTO="Proposto",ORÇAMENTO.CustoUnitario*(1+$AH148),ORÇAMENTO.PrecoUnitarioLicitado),15-13*$AF$10),0)</f>
        <v>0</v>
      </c>
      <c r="X148" s="154">
        <f ca="1">IF($C148="S",IF(Import.TipoArredondamento&lt;&gt;"TransfereGOV",VTOTAL1,SUM(OFFSET(CÁLCULO!$AA$15,ROW($X148)-ROW($X$15),1):OFFSET(CÁLCULO!$AL$15,ROW($X148)-ROW($X$15),-1))),IF($C148=0,0,ROUND(SomaAgrup,15-13*$AF$11)))</f>
        <v>0</v>
      </c>
      <c r="Y148" s="155" t="s">
        <v>245</v>
      </c>
      <c r="Z148" t="str">
        <f ca="1">IF(AND($C148="S",$X148&gt;0),IF(ISBLANK($Y148),"RA",LEFT($Y148,2)),"")</f>
        <v/>
      </c>
      <c r="AA148" s="156">
        <f ca="1">IF($C148="S",IF($Z148="CP",$X148,IF($Z148="RA",(($X148)*QCI!$AA$3),0)),SomaAgrup)</f>
        <v>0</v>
      </c>
      <c r="AB148" s="157">
        <f ca="1">IF($C148="S",IF($Z148="OU",ROUND($X148,2),0),SomaAgrup)</f>
        <v>0</v>
      </c>
      <c r="AC148" s="158" t="str">
        <f ca="1">IF($N148="","",IF(ORÇAMENTO.Descricao="","DESCRIÇÃO",IF(AND($C148="S",ORÇAMENTO.Unidade=""),"UNIDADE",IF($X148&lt;0,"VALOR NEGATIVO",IF(OR(AND(TIPOORCAMENTO="Proposto",$AG148&lt;&gt;"",$AG148&gt;0,ORÇAMENTO.CustoUnitario&gt;$AG148),AND(TIPOORCAMENTO="LICITADO",ORÇAMENTO.PrecoUnitarioLicitado&gt;$AN148)),"ACIMA REF.","")))))</f>
        <v/>
      </c>
      <c r="AD148" s="694" t="str">
        <f ca="1">IF(C148&lt;=CRONO.NivelExibicao,MAX($AD$15:OFFSET(AD148,-1,0))+IF($C148&lt;&gt;1,1,MAX(1,COUNTIF(QCI!$A$13:$A$24,OFFSET($E148,-1,0)))),"")</f>
        <v/>
      </c>
      <c r="AE148" s="114" t="str">
        <f ca="1">IF(AND($C148="S",ORÇAMENTO.CodBarra&lt;&gt;""),IF(ORÇAMENTO.Fonte="",ORÇAMENTO.CodBarra,CONCATENATE(ORÇAMENTO.Fonte," ",ORÇAMENTO.CodBarra)))</f>
        <v>SINAPI 97669</v>
      </c>
      <c r="AF148" s="159">
        <f ca="1">IF(ISERROR(INDIRECT(ORÇAMENTO.BancoRef)),"(abra o arquivo 'Referência "&amp;Excel_BuiltIn_Database&amp;".xlsm)",IF(OR($C148&lt;&gt;"S",ORÇAMENTO.CodBarra=""),"(Sem Código)",IF(ISERROR(MATCH($AE148,INDIRECT(ORÇAMENTO.BancoRef),0)),"(Código não identificado nas referências)",MATCH($AE148,INDIRECT(ORÇAMENTO.BancoRef),0))))</f>
        <v>7803</v>
      </c>
      <c r="AG148" s="578">
        <f ca="1">ROUND(IF(DESONERACAO="sim",REFERENCIA.Desonerado,REFERENCIA.NaoDesonerado),2)</f>
        <v>22.8</v>
      </c>
      <c r="AH148" s="579">
        <f ca="1">ROUND(IF(ISNUMBER(ORÇAMENTO.OpcaoBDI),ORÇAMENTO.OpcaoBDI,IF(LEFT(ORÇAMENTO.OpcaoBDI,3)="BDI",HLOOKUP(ORÇAMENTO.OpcaoBDI,$F$4:$H$5,2,FALSE),0)),15-11*$AF$9)</f>
        <v>0.2034</v>
      </c>
      <c r="AJ148" s="581">
        <v>100</v>
      </c>
      <c r="AL148" s="611"/>
      <c r="AM148" s="430">
        <f t="shared" ca="1" si="93"/>
        <v>0</v>
      </c>
      <c r="AN148" s="654">
        <f ca="1">ROUND(ORÇAMENTO.CustoUnitario*(1+$AH148),2)</f>
        <v>0</v>
      </c>
    </row>
    <row r="149" spans="1:40" x14ac:dyDescent="0.2">
      <c r="A149">
        <f t="shared" si="78"/>
        <v>2</v>
      </c>
      <c r="B149">
        <f t="shared" ca="1" si="95"/>
        <v>2</v>
      </c>
      <c r="C149">
        <f t="shared" ca="1" si="96"/>
        <v>2</v>
      </c>
      <c r="D149">
        <f t="shared" ca="1" si="97"/>
        <v>10</v>
      </c>
      <c r="E149">
        <f ca="1">IF($C149=1,OFFSET(E149,-1,0)+MAX(1,COUNTIF(QCI!$A$13:$A$24,OFFSET(ORÇAMENTO!E149,-1,0))),OFFSET(E149,-1,0))</f>
        <v>1</v>
      </c>
      <c r="F149">
        <f t="shared" ca="1" si="98"/>
        <v>19</v>
      </c>
      <c r="G149">
        <f t="shared" ca="1" si="99"/>
        <v>0</v>
      </c>
      <c r="H149">
        <f t="shared" ca="1" si="100"/>
        <v>0</v>
      </c>
      <c r="I149">
        <f t="shared" ca="1" si="101"/>
        <v>0</v>
      </c>
      <c r="J149">
        <f t="shared" ca="1" si="118"/>
        <v>43</v>
      </c>
      <c r="K149">
        <f ca="1">IF(OR($C149="S",$C149=0),0,MATCH(OFFSET($D149,0,$C149)+IF($C149&lt;&gt;1,1,COUNTIF(QCI!$A$13:$A$24,ORÇAMENTO!E149)),OFFSET($D149,1,$C149,ROW($C$192)-ROW($C149)),0))</f>
        <v>10</v>
      </c>
      <c r="L149" s="143" t="str">
        <f t="shared" ca="1" si="102"/>
        <v>F</v>
      </c>
      <c r="M149" s="144" t="s">
        <v>196</v>
      </c>
      <c r="N149" s="145" t="str">
        <f t="shared" ca="1" si="103"/>
        <v>Nível 2</v>
      </c>
      <c r="O149" s="146" t="str">
        <f t="shared" ca="1" si="104"/>
        <v>1.19.</v>
      </c>
      <c r="P149" s="147" t="s">
        <v>247</v>
      </c>
      <c r="Q149" s="148"/>
      <c r="R149" s="149" t="s">
        <v>516</v>
      </c>
      <c r="S149" s="150" t="s">
        <v>166</v>
      </c>
      <c r="T149" s="151">
        <f ca="1">OFFSET(CÁLCULO!H$15,ROW($T149)-ROW(T$15),0)</f>
        <v>0</v>
      </c>
      <c r="U149" s="152"/>
      <c r="V149" s="153" t="s">
        <v>156</v>
      </c>
      <c r="W149" s="151">
        <f ca="1">IF($C149="S",ROUND(IF(TIPOORCAMENTO="Proposto",ORÇAMENTO.CustoUnitario*(1+$AH149),ORÇAMENTO.PrecoUnitarioLicitado),15-13*$AF$10),0)</f>
        <v>0</v>
      </c>
      <c r="X149" s="154">
        <f ca="1">IF($C149="S",IF(Import.TipoArredondamento&lt;&gt;"TransfereGOV",VTOTAL1,SUM(OFFSET(CÁLCULO!$AA$15,ROW($X149)-ROW($X$15),1):OFFSET(CÁLCULO!$AL$15,ROW($X149)-ROW($X$15),-1))),IF($C149=0,0,ROUND(SomaAgrup,15-13*$AF$11)))</f>
        <v>0</v>
      </c>
      <c r="Y149" s="155" t="s">
        <v>245</v>
      </c>
      <c r="Z149" t="str">
        <f t="shared" ca="1" si="105"/>
        <v/>
      </c>
      <c r="AA149" s="156">
        <f ca="1">IF($C149="S",IF($Z149="CP",$X149,IF($Z149="RA",(($X149)*QCI!$AA$3),0)),SomaAgrup)</f>
        <v>0</v>
      </c>
      <c r="AB149" s="157">
        <f t="shared" ca="1" si="90"/>
        <v>0</v>
      </c>
      <c r="AC149" s="158" t="str">
        <f ca="1">IF($N149="","",IF(ORÇAMENTO.Descricao="","DESCRIÇÃO",IF(AND($C149="S",ORÇAMENTO.Unidade=""),"UNIDADE",IF($X149&lt;0,"VALOR NEGATIVO",IF(OR(AND(TIPOORCAMENTO="Proposto",$AG149&lt;&gt;"",$AG149&gt;0,ORÇAMENTO.CustoUnitario&gt;$AG149),AND(TIPOORCAMENTO="LICITADO",ORÇAMENTO.PrecoUnitarioLicitado&gt;$AN149)),"ACIMA REF.","")))))</f>
        <v/>
      </c>
      <c r="AD149" s="682">
        <f ca="1">IF(C149&lt;=CRONO.NivelExibicao,MAX($AD$15:OFFSET(AD149,-1,0))+IF($C149&lt;&gt;1,1,MAX(1,COUNTIF(QCI!$A$13:$A$24,OFFSET($E149,-1,0)))),"")</f>
        <v>20</v>
      </c>
      <c r="AE149" s="114" t="b">
        <f ca="1">IF(AND($C149="S",ORÇAMENTO.CodBarra&lt;&gt;""),IF(ORÇAMENTO.Fonte="",ORÇAMENTO.CodBarra,CONCATENATE(ORÇAMENTO.Fonte," ",ORÇAMENTO.CodBarra)))</f>
        <v>0</v>
      </c>
      <c r="AF149" s="159" t="str">
        <f ca="1">IF(ISERROR(INDIRECT(ORÇAMENTO.BancoRef)),"(abra o arquivo 'Referência "&amp;Excel_BuiltIn_Database&amp;".xlsm)",IF(OR($C149&lt;&gt;"S",ORÇAMENTO.CodBarra=""),"(Sem Código)",IF(ISERROR(MATCH($AE149,INDIRECT(ORÇAMENTO.BancoRef),0)),"(Código não identificado nas referências)",MATCH($AE149,INDIRECT(ORÇAMENTO.BancoRef),0))))</f>
        <v>(Sem Código)</v>
      </c>
      <c r="AG149" s="578">
        <f ca="1">ROUND(IF(DESONERACAO="sim",REFERENCIA.Desonerado,REFERENCIA.NaoDesonerado),2)</f>
        <v>0</v>
      </c>
      <c r="AH149" s="579">
        <f t="shared" ca="1" si="91"/>
        <v>0.2034</v>
      </c>
      <c r="AJ149" s="581"/>
      <c r="AL149" s="611"/>
      <c r="AM149" s="430">
        <f t="shared" ca="1" si="93"/>
        <v>0</v>
      </c>
      <c r="AN149" s="654">
        <f t="shared" ca="1" si="92"/>
        <v>0</v>
      </c>
    </row>
    <row r="150" spans="1:40" ht="25.5" x14ac:dyDescent="0.2">
      <c r="A150" t="str">
        <f t="shared" ref="A150:A191" si="119">CHOOSE(1+LOG(1+2*(ORÇAMENTO.Nivel="Meta")+4*(ORÇAMENTO.Nivel="Nível 2")+8*(ORÇAMENTO.Nivel="Nível 3")+16*(ORÇAMENTO.Nivel="Nível 4")+32*(ORÇAMENTO.Nivel="Serviço"),2),0,1,2,3,4,"S")</f>
        <v>S</v>
      </c>
      <c r="B150">
        <f ca="1">IF(OR(C150="s",C150=0),OFFSET(B150,-1,0),C150)</f>
        <v>2</v>
      </c>
      <c r="C150" t="str">
        <f ca="1">IF(OFFSET(C150,-1,0)="L",1,IF(OFFSET(C150,-1,0)=1,2,IF(OR(A150="s",A150=0),"S",IF(AND(OFFSET(C150,-1,0)=2,A150=4),3,IF(AND(OR(OFFSET(C150,-1,0)="s",OFFSET(C150,-1,0)=0),A150&lt;&gt;"s",A150&gt;OFFSET(B150,-1,0)),OFFSET(B150,-1,0),A150)))))</f>
        <v>S</v>
      </c>
      <c r="D150">
        <f ca="1">IF(OR(C150="S",C150=0),0,IF(ISERROR(K150),J150,SMALL(J150:K150,1)))</f>
        <v>0</v>
      </c>
      <c r="E150">
        <f ca="1">IF($C150=1,OFFSET(E150,-1,0)+MAX(1,COUNTIF(QCI!$A$13:$A$24,OFFSET(ORÇAMENTO!E150,-1,0))),OFFSET(E150,-1,0))</f>
        <v>1</v>
      </c>
      <c r="F150">
        <f ca="1">IF($C150=1,0,IF($C150=2,OFFSET(F150,-1,0)+1,OFFSET(F150,-1,0)))</f>
        <v>19</v>
      </c>
      <c r="G150">
        <f ca="1">IF(AND($C150&lt;=2,$C150&lt;&gt;0),0,IF($C150=3,OFFSET(G150,-1,0)+1,OFFSET(G150,-1,0)))</f>
        <v>0</v>
      </c>
      <c r="H150">
        <f ca="1">IF(AND($C150&lt;=3,$C150&lt;&gt;0),0,IF($C150=4,OFFSET(H150,-1,0)+1,OFFSET(H150,-1,0)))</f>
        <v>0</v>
      </c>
      <c r="I150">
        <f ca="1">IF(AND($C150&lt;=4,$C150&lt;&gt;0),0,IF(AND($C150="S",$X150&gt;0),OFFSET(I150,-1,0)+1,OFFSET(I150,-1,0)))</f>
        <v>0</v>
      </c>
      <c r="J150">
        <f t="shared" ca="1" si="118"/>
        <v>0</v>
      </c>
      <c r="K150">
        <f ca="1">IF(OR($C150="S",$C150=0),0,MATCH(OFFSET($D150,0,$C150)+IF($C150&lt;&gt;1,1,COUNTIF(QCI!$A$13:$A$24,ORÇAMENTO!E150)),OFFSET($D150,1,$C150,ROW($C$192)-ROW($C150)),0))</f>
        <v>0</v>
      </c>
      <c r="L150" s="143" t="str">
        <f ca="1">IF(OR($X150&gt;0,$C150=1,$C150=2,$C150=3,$C150=4),"F","")</f>
        <v/>
      </c>
      <c r="M150" s="144" t="s">
        <v>199</v>
      </c>
      <c r="N150" s="145" t="str">
        <f ca="1">CHOOSE(1+LOG(1+2*(C150=1)+4*(C150=2)+8*(C150=3)+16*(C150=4)+32*(C150="S"),2),"","Meta","Nível 2","Nível 3","Nível 4","Serviço")</f>
        <v>Serviço</v>
      </c>
      <c r="O150" s="146" t="str">
        <f ca="1">IF(OR($C150=0,$L150=""),"-",CONCATENATE(E150&amp;".",IF(AND($A$5&gt;=2,$C150&gt;=2),F150&amp;".",""),IF(AND($A$5&gt;=3,$C150&gt;=3),G150&amp;".",""),IF(AND($A$5&gt;=4,$C150&gt;=4),H150&amp;".",""),IF($C150="S",I150&amp;".","")))</f>
        <v>-</v>
      </c>
      <c r="P150" s="147" t="s">
        <v>247</v>
      </c>
      <c r="Q150" s="148" t="s">
        <v>531</v>
      </c>
      <c r="R150" s="149" t="s">
        <v>741</v>
      </c>
      <c r="S150" s="150" t="s">
        <v>779</v>
      </c>
      <c r="T150" s="151">
        <f ca="1">OFFSET(CÁLCULO!H$15,ROW($T150)-ROW(T$15),0)</f>
        <v>30</v>
      </c>
      <c r="U150" s="152"/>
      <c r="V150" s="153" t="s">
        <v>156</v>
      </c>
      <c r="W150" s="151">
        <f ca="1">IF($C150="S",ROUND(IF(TIPOORCAMENTO="Proposto",ORÇAMENTO.CustoUnitario*(1+$AH150),ORÇAMENTO.PrecoUnitarioLicitado),15-13*$AF$10),0)</f>
        <v>0</v>
      </c>
      <c r="X150" s="154">
        <f ca="1">IF($C150="S",IF(Import.TipoArredondamento&lt;&gt;"TransfereGOV",VTOTAL1,SUM(OFFSET(CÁLCULO!$AA$15,ROW($X150)-ROW($X$15),1):OFFSET(CÁLCULO!$AL$15,ROW($X150)-ROW($X$15),-1))),IF($C150=0,0,ROUND(SomaAgrup,15-13*$AF$11)))</f>
        <v>0</v>
      </c>
      <c r="Y150" s="155" t="s">
        <v>245</v>
      </c>
      <c r="Z150" t="str">
        <f ca="1">IF(AND($C150="S",$X150&gt;0),IF(ISBLANK($Y150),"RA",LEFT($Y150,2)),"")</f>
        <v/>
      </c>
      <c r="AA150" s="156">
        <f ca="1">IF($C150="S",IF($Z150="CP",$X150,IF($Z150="RA",(($X150)*QCI!$AA$3),0)),SomaAgrup)</f>
        <v>0</v>
      </c>
      <c r="AB150" s="157">
        <f t="shared" ref="AB150:AB191" ca="1" si="120">IF($C150="S",IF($Z150="OU",ROUND($X150,2),0),SomaAgrup)</f>
        <v>0</v>
      </c>
      <c r="AC150" s="158" t="str">
        <f ca="1">IF($N150="","",IF(ORÇAMENTO.Descricao="","DESCRIÇÃO",IF(AND($C150="S",ORÇAMENTO.Unidade=""),"UNIDADE",IF($X150&lt;0,"VALOR NEGATIVO",IF(OR(AND(TIPOORCAMENTO="Proposto",$AG150&lt;&gt;"",$AG150&gt;0,ORÇAMENTO.CustoUnitario&gt;$AG150),AND(TIPOORCAMENTO="LICITADO",ORÇAMENTO.PrecoUnitarioLicitado&gt;$AN150)),"ACIMA REF.","")))))</f>
        <v/>
      </c>
      <c r="AD150" s="682" t="str">
        <f ca="1">IF(C150&lt;=CRONO.NivelExibicao,MAX($AD$15:OFFSET(AD150,-1,0))+IF($C150&lt;&gt;1,1,MAX(1,COUNTIF(QCI!$A$13:$A$24,OFFSET($E150,-1,0)))),"")</f>
        <v/>
      </c>
      <c r="AE150" s="114" t="str">
        <f ca="1">IF(AND($C150="S",ORÇAMENTO.CodBarra&lt;&gt;""),IF(ORÇAMENTO.Fonte="",ORÇAMENTO.CodBarra,CONCATENATE(ORÇAMENTO.Fonte," ",ORÇAMENTO.CodBarra)))</f>
        <v>SINAPI 89356</v>
      </c>
      <c r="AF150" s="159">
        <f ca="1">IF(ISERROR(INDIRECT(ORÇAMENTO.BancoRef)),"(abra o arquivo 'Referência "&amp;Excel_BuiltIn_Database&amp;".xlsm)",IF(OR($C150&lt;&gt;"S",ORÇAMENTO.CodBarra=""),"(Sem Código)",IF(ISERROR(MATCH($AE150,INDIRECT(ORÇAMENTO.BancoRef),0)),"(Código não identificado nas referências)",MATCH($AE150,INDIRECT(ORÇAMENTO.BancoRef),0))))</f>
        <v>8423</v>
      </c>
      <c r="AG150" s="578">
        <f ca="1">ROUND(IF(DESONERACAO="sim",REFERENCIA.Desonerado,REFERENCIA.NaoDesonerado),2)</f>
        <v>24.63</v>
      </c>
      <c r="AH150" s="579">
        <f t="shared" ref="AH150:AH191" ca="1" si="121">ROUND(IF(ISNUMBER(ORÇAMENTO.OpcaoBDI),ORÇAMENTO.OpcaoBDI,IF(LEFT(ORÇAMENTO.OpcaoBDI,3)="BDI",HLOOKUP(ORÇAMENTO.OpcaoBDI,$F$4:$H$5,2,FALSE),0)),15-11*$AF$9)</f>
        <v>0.2034</v>
      </c>
      <c r="AJ150" s="581">
        <v>30</v>
      </c>
      <c r="AL150" s="611"/>
      <c r="AM150" s="430">
        <f t="shared" ca="1" si="93"/>
        <v>0</v>
      </c>
      <c r="AN150" s="654">
        <f t="shared" ref="AN150:AN191" ca="1" si="122">ROUND(ORÇAMENTO.CustoUnitario*(1+$AH150),2)</f>
        <v>0</v>
      </c>
    </row>
    <row r="151" spans="1:40" ht="25.5" x14ac:dyDescent="0.2">
      <c r="A151" t="str">
        <f t="shared" si="119"/>
        <v>S</v>
      </c>
      <c r="B151">
        <f t="shared" ref="B151:B191" ca="1" si="123">IF(OR(C151="s",C151=0),OFFSET(B151,-1,0),C151)</f>
        <v>2</v>
      </c>
      <c r="C151" t="str">
        <f t="shared" ref="C151:C191" ca="1" si="124">IF(OFFSET(C151,-1,0)="L",1,IF(OFFSET(C151,-1,0)=1,2,IF(OR(A151="s",A151=0),"S",IF(AND(OFFSET(C151,-1,0)=2,A151=4),3,IF(AND(OR(OFFSET(C151,-1,0)="s",OFFSET(C151,-1,0)=0),A151&lt;&gt;"s",A151&gt;OFFSET(B151,-1,0)),OFFSET(B151,-1,0),A151)))))</f>
        <v>S</v>
      </c>
      <c r="D151">
        <f t="shared" ref="D151:D191" ca="1" si="125">IF(OR(C151="S",C151=0),0,IF(ISERROR(K151),J151,SMALL(J151:K151,1)))</f>
        <v>0</v>
      </c>
      <c r="E151">
        <f ca="1">IF($C151=1,OFFSET(E151,-1,0)+MAX(1,COUNTIF(QCI!$A$13:$A$24,OFFSET(ORÇAMENTO!E151,-1,0))),OFFSET(E151,-1,0))</f>
        <v>1</v>
      </c>
      <c r="F151">
        <f t="shared" ref="F151:F191" ca="1" si="126">IF($C151=1,0,IF($C151=2,OFFSET(F151,-1,0)+1,OFFSET(F151,-1,0)))</f>
        <v>19</v>
      </c>
      <c r="G151">
        <f t="shared" ref="G151:G191" ca="1" si="127">IF(AND($C151&lt;=2,$C151&lt;&gt;0),0,IF($C151=3,OFFSET(G151,-1,0)+1,OFFSET(G151,-1,0)))</f>
        <v>0</v>
      </c>
      <c r="H151">
        <f t="shared" ref="H151:H191" ca="1" si="128">IF(AND($C151&lt;=3,$C151&lt;&gt;0),0,IF($C151=4,OFFSET(H151,-1,0)+1,OFFSET(H151,-1,0)))</f>
        <v>0</v>
      </c>
      <c r="I151">
        <f t="shared" ref="I151:I191" ca="1" si="129">IF(AND($C151&lt;=4,$C151&lt;&gt;0),0,IF(AND($C151="S",$X151&gt;0),OFFSET(I151,-1,0)+1,OFFSET(I151,-1,0)))</f>
        <v>0</v>
      </c>
      <c r="J151">
        <f t="shared" ca="1" si="118"/>
        <v>0</v>
      </c>
      <c r="K151">
        <f ca="1">IF(OR($C151="S",$C151=0),0,MATCH(OFFSET($D151,0,$C151)+IF($C151&lt;&gt;1,1,COUNTIF(QCI!$A$13:$A$24,ORÇAMENTO!E151)),OFFSET($D151,1,$C151,ROW($C$192)-ROW($C151)),0))</f>
        <v>0</v>
      </c>
      <c r="L151" s="143" t="str">
        <f t="shared" ref="L151:L191" ca="1" si="130">IF(OR($X151&gt;0,$C151=1,$C151=2,$C151=3,$C151=4),"F","")</f>
        <v/>
      </c>
      <c r="M151" s="144" t="s">
        <v>199</v>
      </c>
      <c r="N151" s="145" t="str">
        <f t="shared" ref="N151:N191" ca="1" si="131">CHOOSE(1+LOG(1+2*(C151=1)+4*(C151=2)+8*(C151=3)+16*(C151=4)+32*(C151="S"),2),"","Meta","Nível 2","Nível 3","Nível 4","Serviço")</f>
        <v>Serviço</v>
      </c>
      <c r="O151" s="146" t="str">
        <f t="shared" ref="O151:O191" ca="1" si="132">IF(OR($C151=0,$L151=""),"-",CONCATENATE(E151&amp;".",IF(AND($A$5&gt;=2,$C151&gt;=2),F151&amp;".",""),IF(AND($A$5&gt;=3,$C151&gt;=3),G151&amp;".",""),IF(AND($A$5&gt;=4,$C151&gt;=4),H151&amp;".",""),IF($C151="S",I151&amp;".","")))</f>
        <v>-</v>
      </c>
      <c r="P151" s="147" t="s">
        <v>247</v>
      </c>
      <c r="Q151" s="148" t="s">
        <v>532</v>
      </c>
      <c r="R151" s="149" t="s">
        <v>742</v>
      </c>
      <c r="S151" s="150" t="s">
        <v>778</v>
      </c>
      <c r="T151" s="151">
        <f ca="1">OFFSET(CÁLCULO!H$15,ROW($T151)-ROW(T$15),0)</f>
        <v>3</v>
      </c>
      <c r="U151" s="152"/>
      <c r="V151" s="153" t="s">
        <v>156</v>
      </c>
      <c r="W151" s="151">
        <f ca="1">IF($C151="S",ROUND(IF(TIPOORCAMENTO="Proposto",ORÇAMENTO.CustoUnitario*(1+$AH151),ORÇAMENTO.PrecoUnitarioLicitado),15-13*$AF$10),0)</f>
        <v>0</v>
      </c>
      <c r="X151" s="154">
        <f ca="1">IF($C151="S",IF(Import.TipoArredondamento&lt;&gt;"TransfereGOV",VTOTAL1,SUM(OFFSET(CÁLCULO!$AA$15,ROW($X151)-ROW($X$15),1):OFFSET(CÁLCULO!$AL$15,ROW($X151)-ROW($X$15),-1))),IF($C151=0,0,ROUND(SomaAgrup,15-13*$AF$11)))</f>
        <v>0</v>
      </c>
      <c r="Y151" s="155" t="s">
        <v>245</v>
      </c>
      <c r="Z151" t="str">
        <f t="shared" ref="Z151:Z191" ca="1" si="133">IF(AND($C151="S",$X151&gt;0),IF(ISBLANK($Y151),"RA",LEFT($Y151,2)),"")</f>
        <v/>
      </c>
      <c r="AA151" s="156">
        <f ca="1">IF($C151="S",IF($Z151="CP",$X151,IF($Z151="RA",(($X151)*QCI!$AA$3),0)),SomaAgrup)</f>
        <v>0</v>
      </c>
      <c r="AB151" s="157">
        <f t="shared" ca="1" si="120"/>
        <v>0</v>
      </c>
      <c r="AC151" s="158" t="str">
        <f ca="1">IF($N151="","",IF(ORÇAMENTO.Descricao="","DESCRIÇÃO",IF(AND($C151="S",ORÇAMENTO.Unidade=""),"UNIDADE",IF($X151&lt;0,"VALOR NEGATIVO",IF(OR(AND(TIPOORCAMENTO="Proposto",$AG151&lt;&gt;"",$AG151&gt;0,ORÇAMENTO.CustoUnitario&gt;$AG151),AND(TIPOORCAMENTO="LICITADO",ORÇAMENTO.PrecoUnitarioLicitado&gt;$AN151)),"ACIMA REF.","")))))</f>
        <v/>
      </c>
      <c r="AD151" s="682" t="str">
        <f ca="1">IF(C151&lt;=CRONO.NivelExibicao,MAX($AD$15:OFFSET(AD151,-1,0))+IF($C151&lt;&gt;1,1,MAX(1,COUNTIF(QCI!$A$13:$A$24,OFFSET($E151,-1,0)))),"")</f>
        <v/>
      </c>
      <c r="AE151" s="114" t="str">
        <f ca="1">IF(AND($C151="S",ORÇAMENTO.CodBarra&lt;&gt;""),IF(ORÇAMENTO.Fonte="",ORÇAMENTO.CodBarra,CONCATENATE(ORÇAMENTO.Fonte," ",ORÇAMENTO.CodBarra)))</f>
        <v>SINAPI 89353</v>
      </c>
      <c r="AF151" s="159">
        <f ca="1">IF(ISERROR(INDIRECT(ORÇAMENTO.BancoRef)),"(abra o arquivo 'Referência "&amp;Excel_BuiltIn_Database&amp;".xlsm)",IF(OR($C151&lt;&gt;"S",ORÇAMENTO.CodBarra=""),"(Sem Código)",IF(ISERROR(MATCH($AE151,INDIRECT(ORÇAMENTO.BancoRef),0)),"(Código não identificado nas referências)",MATCH($AE151,INDIRECT(ORÇAMENTO.BancoRef),0))))</f>
        <v>10256</v>
      </c>
      <c r="AG151" s="578">
        <f ca="1">ROUND(IF(DESONERACAO="sim",REFERENCIA.Desonerado,REFERENCIA.NaoDesonerado),2)</f>
        <v>45.84</v>
      </c>
      <c r="AH151" s="579">
        <f t="shared" ca="1" si="121"/>
        <v>0.2034</v>
      </c>
      <c r="AJ151" s="581">
        <v>3</v>
      </c>
      <c r="AL151" s="611"/>
      <c r="AM151" s="430">
        <f t="shared" ca="1" si="93"/>
        <v>0</v>
      </c>
      <c r="AN151" s="654">
        <f t="shared" ca="1" si="122"/>
        <v>0</v>
      </c>
    </row>
    <row r="152" spans="1:40" ht="38.25" x14ac:dyDescent="0.2">
      <c r="A152" t="str">
        <f t="shared" si="119"/>
        <v>S</v>
      </c>
      <c r="B152">
        <f t="shared" ca="1" si="123"/>
        <v>2</v>
      </c>
      <c r="C152" t="str">
        <f t="shared" ca="1" si="124"/>
        <v>S</v>
      </c>
      <c r="D152">
        <f t="shared" ca="1" si="125"/>
        <v>0</v>
      </c>
      <c r="E152">
        <f ca="1">IF($C152=1,OFFSET(E152,-1,0)+MAX(1,COUNTIF(QCI!$A$13:$A$24,OFFSET(ORÇAMENTO!E152,-1,0))),OFFSET(E152,-1,0))</f>
        <v>1</v>
      </c>
      <c r="F152">
        <f t="shared" ca="1" si="126"/>
        <v>19</v>
      </c>
      <c r="G152">
        <f t="shared" ca="1" si="127"/>
        <v>0</v>
      </c>
      <c r="H152">
        <f t="shared" ca="1" si="128"/>
        <v>0</v>
      </c>
      <c r="I152">
        <f t="shared" ca="1" si="129"/>
        <v>0</v>
      </c>
      <c r="J152">
        <f t="shared" ca="1" si="118"/>
        <v>0</v>
      </c>
      <c r="K152">
        <f ca="1">IF(OR($C152="S",$C152=0),0,MATCH(OFFSET($D152,0,$C152)+IF($C152&lt;&gt;1,1,COUNTIF(QCI!$A$13:$A$24,ORÇAMENTO!E152)),OFFSET($D152,1,$C152,ROW($C$192)-ROW($C152)),0))</f>
        <v>0</v>
      </c>
      <c r="L152" s="143" t="str">
        <f t="shared" ca="1" si="130"/>
        <v/>
      </c>
      <c r="M152" s="144" t="s">
        <v>199</v>
      </c>
      <c r="N152" s="145" t="str">
        <f t="shared" ca="1" si="131"/>
        <v>Serviço</v>
      </c>
      <c r="O152" s="146" t="str">
        <f t="shared" ca="1" si="132"/>
        <v>-</v>
      </c>
      <c r="P152" s="147" t="s">
        <v>247</v>
      </c>
      <c r="Q152" s="148" t="s">
        <v>533</v>
      </c>
      <c r="R152" s="149" t="s">
        <v>743</v>
      </c>
      <c r="S152" s="150" t="s">
        <v>778</v>
      </c>
      <c r="T152" s="151">
        <f ca="1">OFFSET(CÁLCULO!H$15,ROW($T152)-ROW(T$15),0)</f>
        <v>13</v>
      </c>
      <c r="U152" s="152"/>
      <c r="V152" s="153" t="s">
        <v>156</v>
      </c>
      <c r="W152" s="151">
        <f ca="1">IF($C152="S",ROUND(IF(TIPOORCAMENTO="Proposto",ORÇAMENTO.CustoUnitario*(1+$AH152),ORÇAMENTO.PrecoUnitarioLicitado),15-13*$AF$10),0)</f>
        <v>0</v>
      </c>
      <c r="X152" s="154">
        <f ca="1">IF($C152="S",IF(Import.TipoArredondamento&lt;&gt;"TransfereGOV",VTOTAL1,SUM(OFFSET(CÁLCULO!$AA$15,ROW($X152)-ROW($X$15),1):OFFSET(CÁLCULO!$AL$15,ROW($X152)-ROW($X$15),-1))),IF($C152=0,0,ROUND(SomaAgrup,15-13*$AF$11)))</f>
        <v>0</v>
      </c>
      <c r="Y152" s="155" t="s">
        <v>245</v>
      </c>
      <c r="Z152" t="str">
        <f t="shared" ca="1" si="133"/>
        <v/>
      </c>
      <c r="AA152" s="156">
        <f ca="1">IF($C152="S",IF($Z152="CP",$X152,IF($Z152="RA",(($X152)*QCI!$AA$3),0)),SomaAgrup)</f>
        <v>0</v>
      </c>
      <c r="AB152" s="157">
        <f t="shared" ca="1" si="120"/>
        <v>0</v>
      </c>
      <c r="AC152" s="158" t="str">
        <f ca="1">IF($N152="","",IF(ORÇAMENTO.Descricao="","DESCRIÇÃO",IF(AND($C152="S",ORÇAMENTO.Unidade=""),"UNIDADE",IF($X152&lt;0,"VALOR NEGATIVO",IF(OR(AND(TIPOORCAMENTO="Proposto",$AG152&lt;&gt;"",$AG152&gt;0,ORÇAMENTO.CustoUnitario&gt;$AG152),AND(TIPOORCAMENTO="LICITADO",ORÇAMENTO.PrecoUnitarioLicitado&gt;$AN152)),"ACIMA REF.","")))))</f>
        <v/>
      </c>
      <c r="AD152" s="682" t="str">
        <f ca="1">IF(C152&lt;=CRONO.NivelExibicao,MAX($AD$15:OFFSET(AD152,-1,0))+IF($C152&lt;&gt;1,1,MAX(1,COUNTIF(QCI!$A$13:$A$24,OFFSET($E152,-1,0)))),"")</f>
        <v/>
      </c>
      <c r="AE152" s="114" t="str">
        <f ca="1">IF(AND($C152="S",ORÇAMENTO.CodBarra&lt;&gt;""),IF(ORÇAMENTO.Fonte="",ORÇAMENTO.CodBarra,CONCATENATE(ORÇAMENTO.Fonte," ",ORÇAMENTO.CodBarra)))</f>
        <v>SINAPI 89410</v>
      </c>
      <c r="AF152" s="159">
        <f ca="1">IF(ISERROR(INDIRECT(ORÇAMENTO.BancoRef)),"(abra o arquivo 'Referência "&amp;Excel_BuiltIn_Database&amp;".xlsm)",IF(OR($C152&lt;&gt;"S",ORÇAMENTO.CodBarra=""),"(Sem Código)",IF(ISERROR(MATCH($AE152,INDIRECT(ORÇAMENTO.BancoRef),0)),"(Código não identificado nas referências)",MATCH($AE152,INDIRECT(ORÇAMENTO.BancoRef),0))))</f>
        <v>8729</v>
      </c>
      <c r="AG152" s="578">
        <f ca="1">ROUND(IF(DESONERACAO="sim",REFERENCIA.Desonerado,REFERENCIA.NaoDesonerado),2)</f>
        <v>11.47</v>
      </c>
      <c r="AH152" s="579">
        <f t="shared" ca="1" si="121"/>
        <v>0.2034</v>
      </c>
      <c r="AJ152" s="581">
        <v>13</v>
      </c>
      <c r="AL152" s="611"/>
      <c r="AM152" s="430">
        <f t="shared" ca="1" si="93"/>
        <v>0</v>
      </c>
      <c r="AN152" s="654">
        <f t="shared" ca="1" si="122"/>
        <v>0</v>
      </c>
    </row>
    <row r="153" spans="1:40" ht="38.25" x14ac:dyDescent="0.2">
      <c r="A153" t="str">
        <f t="shared" si="119"/>
        <v>S</v>
      </c>
      <c r="B153">
        <f t="shared" ca="1" si="123"/>
        <v>2</v>
      </c>
      <c r="C153" t="str">
        <f t="shared" ca="1" si="124"/>
        <v>S</v>
      </c>
      <c r="D153">
        <f t="shared" ca="1" si="125"/>
        <v>0</v>
      </c>
      <c r="E153">
        <f ca="1">IF($C153=1,OFFSET(E153,-1,0)+MAX(1,COUNTIF(QCI!$A$13:$A$24,OFFSET(ORÇAMENTO!E153,-1,0))),OFFSET(E153,-1,0))</f>
        <v>1</v>
      </c>
      <c r="F153">
        <f t="shared" ca="1" si="126"/>
        <v>19</v>
      </c>
      <c r="G153">
        <f t="shared" ca="1" si="127"/>
        <v>0</v>
      </c>
      <c r="H153">
        <f t="shared" ca="1" si="128"/>
        <v>0</v>
      </c>
      <c r="I153">
        <f t="shared" ca="1" si="129"/>
        <v>0</v>
      </c>
      <c r="J153">
        <f t="shared" ca="1" si="118"/>
        <v>0</v>
      </c>
      <c r="K153">
        <f ca="1">IF(OR($C153="S",$C153=0),0,MATCH(OFFSET($D153,0,$C153)+IF($C153&lt;&gt;1,1,COUNTIF(QCI!$A$13:$A$24,ORÇAMENTO!E153)),OFFSET($D153,1,$C153,ROW($C$192)-ROW($C153)),0))</f>
        <v>0</v>
      </c>
      <c r="L153" s="143" t="str">
        <f t="shared" ca="1" si="130"/>
        <v/>
      </c>
      <c r="M153" s="144" t="s">
        <v>199</v>
      </c>
      <c r="N153" s="145" t="str">
        <f t="shared" ca="1" si="131"/>
        <v>Serviço</v>
      </c>
      <c r="O153" s="146" t="str">
        <f t="shared" ca="1" si="132"/>
        <v>-</v>
      </c>
      <c r="P153" s="147" t="s">
        <v>247</v>
      </c>
      <c r="Q153" s="148" t="s">
        <v>534</v>
      </c>
      <c r="R153" s="149" t="s">
        <v>744</v>
      </c>
      <c r="S153" s="150" t="s">
        <v>778</v>
      </c>
      <c r="T153" s="151">
        <f ca="1">OFFSET(CÁLCULO!H$15,ROW($T153)-ROW(T$15),0)</f>
        <v>7</v>
      </c>
      <c r="U153" s="152"/>
      <c r="V153" s="153" t="s">
        <v>156</v>
      </c>
      <c r="W153" s="151">
        <f ca="1">IF($C153="S",ROUND(IF(TIPOORCAMENTO="Proposto",ORÇAMENTO.CustoUnitario*(1+$AH153),ORÇAMENTO.PrecoUnitarioLicitado),15-13*$AF$10),0)</f>
        <v>0</v>
      </c>
      <c r="X153" s="154">
        <f ca="1">IF($C153="S",IF(Import.TipoArredondamento&lt;&gt;"TransfereGOV",VTOTAL1,SUM(OFFSET(CÁLCULO!$AA$15,ROW($X153)-ROW($X$15),1):OFFSET(CÁLCULO!$AL$15,ROW($X153)-ROW($X$15),-1))),IF($C153=0,0,ROUND(SomaAgrup,15-13*$AF$11)))</f>
        <v>0</v>
      </c>
      <c r="Y153" s="155" t="s">
        <v>245</v>
      </c>
      <c r="Z153" t="str">
        <f t="shared" ca="1" si="133"/>
        <v/>
      </c>
      <c r="AA153" s="156">
        <f ca="1">IF($C153="S",IF($Z153="CP",$X153,IF($Z153="RA",(($X153)*QCI!$AA$3),0)),SomaAgrup)</f>
        <v>0</v>
      </c>
      <c r="AB153" s="157">
        <f t="shared" ca="1" si="120"/>
        <v>0</v>
      </c>
      <c r="AC153" s="158" t="str">
        <f ca="1">IF($N153="","",IF(ORÇAMENTO.Descricao="","DESCRIÇÃO",IF(AND($C153="S",ORÇAMENTO.Unidade=""),"UNIDADE",IF($X153&lt;0,"VALOR NEGATIVO",IF(OR(AND(TIPOORCAMENTO="Proposto",$AG153&lt;&gt;"",$AG153&gt;0,ORÇAMENTO.CustoUnitario&gt;$AG153),AND(TIPOORCAMENTO="LICITADO",ORÇAMENTO.PrecoUnitarioLicitado&gt;$AN153)),"ACIMA REF.","")))))</f>
        <v/>
      </c>
      <c r="AD153" s="682" t="str">
        <f ca="1">IF(C153&lt;=CRONO.NivelExibicao,MAX($AD$15:OFFSET(AD153,-1,0))+IF($C153&lt;&gt;1,1,MAX(1,COUNTIF(QCI!$A$13:$A$24,OFFSET($E153,-1,0)))),"")</f>
        <v/>
      </c>
      <c r="AE153" s="114" t="str">
        <f ca="1">IF(AND($C153="S",ORÇAMENTO.CodBarra&lt;&gt;""),IF(ORÇAMENTO.Fonte="",ORÇAMENTO.CodBarra,CONCATENATE(ORÇAMENTO.Fonte," ",ORÇAMENTO.CodBarra)))</f>
        <v>SINAPI 91914</v>
      </c>
      <c r="AF153" s="159">
        <f ca="1">IF(ISERROR(INDIRECT(ORÇAMENTO.BancoRef)),"(abra o arquivo 'Referência "&amp;Excel_BuiltIn_Database&amp;".xlsm)",IF(OR($C153&lt;&gt;"S",ORÇAMENTO.CodBarra=""),"(Sem Código)",IF(ISERROR(MATCH($AE153,INDIRECT(ORÇAMENTO.BancoRef),0)),"(Código não identificado nas referências)",MATCH($AE153,INDIRECT(ORÇAMENTO.BancoRef),0))))</f>
        <v>7835</v>
      </c>
      <c r="AG153" s="578">
        <f ca="1">ROUND(IF(DESONERACAO="sim",REFERENCIA.Desonerado,REFERENCIA.NaoDesonerado),2)</f>
        <v>18.98</v>
      </c>
      <c r="AH153" s="579">
        <f t="shared" ca="1" si="121"/>
        <v>0.2034</v>
      </c>
      <c r="AJ153" s="581">
        <v>7</v>
      </c>
      <c r="AL153" s="611"/>
      <c r="AM153" s="430">
        <f t="shared" ca="1" si="93"/>
        <v>0</v>
      </c>
      <c r="AN153" s="654">
        <f t="shared" ca="1" si="122"/>
        <v>0</v>
      </c>
    </row>
    <row r="154" spans="1:40" ht="25.5" x14ac:dyDescent="0.2">
      <c r="A154" t="str">
        <f t="shared" si="119"/>
        <v>S</v>
      </c>
      <c r="B154">
        <f t="shared" ca="1" si="123"/>
        <v>2</v>
      </c>
      <c r="C154" t="str">
        <f t="shared" ca="1" si="124"/>
        <v>S</v>
      </c>
      <c r="D154">
        <f t="shared" ca="1" si="125"/>
        <v>0</v>
      </c>
      <c r="E154">
        <f ca="1">IF($C154=1,OFFSET(E154,-1,0)+MAX(1,COUNTIF(QCI!$A$13:$A$24,OFFSET(ORÇAMENTO!E154,-1,0))),OFFSET(E154,-1,0))</f>
        <v>1</v>
      </c>
      <c r="F154">
        <f t="shared" ca="1" si="126"/>
        <v>19</v>
      </c>
      <c r="G154">
        <f t="shared" ca="1" si="127"/>
        <v>0</v>
      </c>
      <c r="H154">
        <f t="shared" ca="1" si="128"/>
        <v>0</v>
      </c>
      <c r="I154">
        <f t="shared" ca="1" si="129"/>
        <v>0</v>
      </c>
      <c r="J154">
        <f t="shared" ca="1" si="118"/>
        <v>0</v>
      </c>
      <c r="K154">
        <f ca="1">IF(OR($C154="S",$C154=0),0,MATCH(OFFSET($D154,0,$C154)+IF($C154&lt;&gt;1,1,COUNTIF(QCI!$A$13:$A$24,ORÇAMENTO!E154)),OFFSET($D154,1,$C154,ROW($C$192)-ROW($C154)),0))</f>
        <v>0</v>
      </c>
      <c r="L154" s="143" t="str">
        <f t="shared" ca="1" si="130"/>
        <v/>
      </c>
      <c r="M154" s="144" t="s">
        <v>199</v>
      </c>
      <c r="N154" s="145" t="str">
        <f t="shared" ca="1" si="131"/>
        <v>Serviço</v>
      </c>
      <c r="O154" s="146" t="str">
        <f t="shared" ca="1" si="132"/>
        <v>-</v>
      </c>
      <c r="P154" s="147" t="s">
        <v>247</v>
      </c>
      <c r="Q154" s="148" t="s">
        <v>535</v>
      </c>
      <c r="R154" s="149" t="s">
        <v>745</v>
      </c>
      <c r="S154" s="150" t="s">
        <v>778</v>
      </c>
      <c r="T154" s="151">
        <f ca="1">OFFSET(CÁLCULO!H$15,ROW($T154)-ROW(T$15),0)</f>
        <v>6</v>
      </c>
      <c r="U154" s="152"/>
      <c r="V154" s="153" t="s">
        <v>156</v>
      </c>
      <c r="W154" s="151">
        <f ca="1">IF($C154="S",ROUND(IF(TIPOORCAMENTO="Proposto",ORÇAMENTO.CustoUnitario*(1+$AH154),ORÇAMENTO.PrecoUnitarioLicitado),15-13*$AF$10),0)</f>
        <v>0</v>
      </c>
      <c r="X154" s="154">
        <f ca="1">IF($C154="S",IF(Import.TipoArredondamento&lt;&gt;"TransfereGOV",VTOTAL1,SUM(OFFSET(CÁLCULO!$AA$15,ROW($X154)-ROW($X$15),1):OFFSET(CÁLCULO!$AL$15,ROW($X154)-ROW($X$15),-1))),IF($C154=0,0,ROUND(SomaAgrup,15-13*$AF$11)))</f>
        <v>0</v>
      </c>
      <c r="Y154" s="155" t="s">
        <v>245</v>
      </c>
      <c r="Z154" t="str">
        <f t="shared" ca="1" si="133"/>
        <v/>
      </c>
      <c r="AA154" s="156">
        <f ca="1">IF($C154="S",IF($Z154="CP",$X154,IF($Z154="RA",(($X154)*QCI!$AA$3),0)),SomaAgrup)</f>
        <v>0</v>
      </c>
      <c r="AB154" s="157">
        <f t="shared" ca="1" si="120"/>
        <v>0</v>
      </c>
      <c r="AC154" s="158" t="str">
        <f ca="1">IF($N154="","",IF(ORÇAMENTO.Descricao="","DESCRIÇÃO",IF(AND($C154="S",ORÇAMENTO.Unidade=""),"UNIDADE",IF($X154&lt;0,"VALOR NEGATIVO",IF(OR(AND(TIPOORCAMENTO="Proposto",$AG154&lt;&gt;"",$AG154&gt;0,ORÇAMENTO.CustoUnitario&gt;$AG154),AND(TIPOORCAMENTO="LICITADO",ORÇAMENTO.PrecoUnitarioLicitado&gt;$AN154)),"ACIMA REF.","")))))</f>
        <v/>
      </c>
      <c r="AD154" s="682" t="str">
        <f ca="1">IF(C154&lt;=CRONO.NivelExibicao,MAX($AD$15:OFFSET(AD154,-1,0))+IF($C154&lt;&gt;1,1,MAX(1,COUNTIF(QCI!$A$13:$A$24,OFFSET($E154,-1,0)))),"")</f>
        <v/>
      </c>
      <c r="AE154" s="114" t="str">
        <f ca="1">IF(AND($C154="S",ORÇAMENTO.CodBarra&lt;&gt;""),IF(ORÇAMENTO.Fonte="",ORÇAMENTO.CodBarra,CONCATENATE(ORÇAMENTO.Fonte," ",ORÇAMENTO.CodBarra)))</f>
        <v>SINAPI 89395</v>
      </c>
      <c r="AF154" s="159">
        <f ca="1">IF(ISERROR(INDIRECT(ORÇAMENTO.BancoRef)),"(abra o arquivo 'Referência "&amp;Excel_BuiltIn_Database&amp;".xlsm)",IF(OR($C154&lt;&gt;"S",ORÇAMENTO.CodBarra=""),"(Sem Código)",IF(ISERROR(MATCH($AE154,INDIRECT(ORÇAMENTO.BancoRef),0)),"(Código não identificado nas referências)",MATCH($AE154,INDIRECT(ORÇAMENTO.BancoRef),0))))</f>
        <v>8717</v>
      </c>
      <c r="AG154" s="578">
        <f ca="1">ROUND(IF(DESONERACAO="sim",REFERENCIA.Desonerado,REFERENCIA.NaoDesonerado),2)</f>
        <v>13.57</v>
      </c>
      <c r="AH154" s="579">
        <f t="shared" ca="1" si="121"/>
        <v>0.2034</v>
      </c>
      <c r="AJ154" s="581">
        <v>6</v>
      </c>
      <c r="AL154" s="611"/>
      <c r="AM154" s="430">
        <f t="shared" ca="1" si="93"/>
        <v>0</v>
      </c>
      <c r="AN154" s="654">
        <f t="shared" ca="1" si="122"/>
        <v>0</v>
      </c>
    </row>
    <row r="155" spans="1:40" ht="38.25" x14ac:dyDescent="0.2">
      <c r="A155" t="str">
        <f t="shared" si="119"/>
        <v>S</v>
      </c>
      <c r="B155">
        <f t="shared" ca="1" si="123"/>
        <v>2</v>
      </c>
      <c r="C155" t="str">
        <f t="shared" ca="1" si="124"/>
        <v>S</v>
      </c>
      <c r="D155">
        <f t="shared" ca="1" si="125"/>
        <v>0</v>
      </c>
      <c r="E155">
        <f ca="1">IF($C155=1,OFFSET(E155,-1,0)+MAX(1,COUNTIF(QCI!$A$13:$A$24,OFFSET(ORÇAMENTO!E155,-1,0))),OFFSET(E155,-1,0))</f>
        <v>1</v>
      </c>
      <c r="F155">
        <f t="shared" ca="1" si="126"/>
        <v>19</v>
      </c>
      <c r="G155">
        <f t="shared" ca="1" si="127"/>
        <v>0</v>
      </c>
      <c r="H155">
        <f t="shared" ca="1" si="128"/>
        <v>0</v>
      </c>
      <c r="I155">
        <f t="shared" ca="1" si="129"/>
        <v>0</v>
      </c>
      <c r="J155">
        <f t="shared" ca="1" si="118"/>
        <v>0</v>
      </c>
      <c r="K155">
        <f ca="1">IF(OR($C155="S",$C155=0),0,MATCH(OFFSET($D155,0,$C155)+IF($C155&lt;&gt;1,1,COUNTIF(QCI!$A$13:$A$24,ORÇAMENTO!E155)),OFFSET($D155,1,$C155,ROW($C$192)-ROW($C155)),0))</f>
        <v>0</v>
      </c>
      <c r="L155" s="143" t="str">
        <f t="shared" ca="1" si="130"/>
        <v/>
      </c>
      <c r="M155" s="144" t="s">
        <v>199</v>
      </c>
      <c r="N155" s="145" t="str">
        <f t="shared" ca="1" si="131"/>
        <v>Serviço</v>
      </c>
      <c r="O155" s="146" t="str">
        <f t="shared" ca="1" si="132"/>
        <v>-</v>
      </c>
      <c r="P155" s="147" t="s">
        <v>247</v>
      </c>
      <c r="Q155" s="148" t="s">
        <v>536</v>
      </c>
      <c r="R155" s="149" t="s">
        <v>746</v>
      </c>
      <c r="S155" s="150" t="s">
        <v>778</v>
      </c>
      <c r="T155" s="151">
        <f ca="1">OFFSET(CÁLCULO!H$15,ROW($T155)-ROW(T$15),0)</f>
        <v>5</v>
      </c>
      <c r="U155" s="152"/>
      <c r="V155" s="153" t="s">
        <v>156</v>
      </c>
      <c r="W155" s="151">
        <f ca="1">IF($C155="S",ROUND(IF(TIPOORCAMENTO="Proposto",ORÇAMENTO.CustoUnitario*(1+$AH155),ORÇAMENTO.PrecoUnitarioLicitado),15-13*$AF$10),0)</f>
        <v>0</v>
      </c>
      <c r="X155" s="154">
        <f ca="1">IF($C155="S",IF(Import.TipoArredondamento&lt;&gt;"TransfereGOV",VTOTAL1,SUM(OFFSET(CÁLCULO!$AA$15,ROW($X155)-ROW($X$15),1):OFFSET(CÁLCULO!$AL$15,ROW($X155)-ROW($X$15),-1))),IF($C155=0,0,ROUND(SomaAgrup,15-13*$AF$11)))</f>
        <v>0</v>
      </c>
      <c r="Y155" s="155" t="s">
        <v>245</v>
      </c>
      <c r="Z155" t="str">
        <f t="shared" ca="1" si="133"/>
        <v/>
      </c>
      <c r="AA155" s="156">
        <f ca="1">IF($C155="S",IF($Z155="CP",$X155,IF($Z155="RA",(($X155)*QCI!$AA$3),0)),SomaAgrup)</f>
        <v>0</v>
      </c>
      <c r="AB155" s="157">
        <f t="shared" ca="1" si="120"/>
        <v>0</v>
      </c>
      <c r="AC155" s="158" t="str">
        <f ca="1">IF($N155="","",IF(ORÇAMENTO.Descricao="","DESCRIÇÃO",IF(AND($C155="S",ORÇAMENTO.Unidade=""),"UNIDADE",IF($X155&lt;0,"VALOR NEGATIVO",IF(OR(AND(TIPOORCAMENTO="Proposto",$AG155&lt;&gt;"",$AG155&gt;0,ORÇAMENTO.CustoUnitario&gt;$AG155),AND(TIPOORCAMENTO="LICITADO",ORÇAMENTO.PrecoUnitarioLicitado&gt;$AN155)),"ACIMA REF.","")))))</f>
        <v/>
      </c>
      <c r="AD155" s="682" t="str">
        <f ca="1">IF(C155&lt;=CRONO.NivelExibicao,MAX($AD$15:OFFSET(AD155,-1,0))+IF($C155&lt;&gt;1,1,MAX(1,COUNTIF(QCI!$A$13:$A$24,OFFSET($E155,-1,0)))),"")</f>
        <v/>
      </c>
      <c r="AE155" s="114" t="str">
        <f ca="1">IF(AND($C155="S",ORÇAMENTO.CodBarra&lt;&gt;""),IF(ORÇAMENTO.Fonte="",ORÇAMENTO.CodBarra,CONCATENATE(ORÇAMENTO.Fonte," ",ORÇAMENTO.CodBarra)))</f>
        <v>SINAPI 89740</v>
      </c>
      <c r="AF155" s="159">
        <f ca="1">IF(ISERROR(INDIRECT(ORÇAMENTO.BancoRef)),"(abra o arquivo 'Referência "&amp;Excel_BuiltIn_Database&amp;".xlsm)",IF(OR($C155&lt;&gt;"S",ORÇAMENTO.CodBarra=""),"(Sem Código)",IF(ISERROR(MATCH($AE155,INDIRECT(ORÇAMENTO.BancoRef),0)),"(Código não identificado nas referências)",MATCH($AE155,INDIRECT(ORÇAMENTO.BancoRef),0))))</f>
        <v>8969</v>
      </c>
      <c r="AG155" s="578">
        <f ca="1">ROUND(IF(DESONERACAO="sim",REFERENCIA.Desonerado,REFERENCIA.NaoDesonerado),2)</f>
        <v>9.67</v>
      </c>
      <c r="AH155" s="579">
        <f t="shared" ca="1" si="121"/>
        <v>0.2034</v>
      </c>
      <c r="AJ155" s="581">
        <f>30/6</f>
        <v>5</v>
      </c>
      <c r="AL155" s="611"/>
      <c r="AM155" s="430">
        <f t="shared" ca="1" si="93"/>
        <v>0</v>
      </c>
      <c r="AN155" s="654">
        <f t="shared" ca="1" si="122"/>
        <v>0</v>
      </c>
    </row>
    <row r="156" spans="1:40" ht="38.25" x14ac:dyDescent="0.2">
      <c r="A156" t="str">
        <f t="shared" si="119"/>
        <v>S</v>
      </c>
      <c r="B156">
        <f t="shared" ca="1" si="123"/>
        <v>2</v>
      </c>
      <c r="C156" t="str">
        <f t="shared" ca="1" si="124"/>
        <v>S</v>
      </c>
      <c r="D156">
        <f t="shared" ca="1" si="125"/>
        <v>0</v>
      </c>
      <c r="E156">
        <f ca="1">IF($C156=1,OFFSET(E156,-1,0)+MAX(1,COUNTIF(QCI!$A$13:$A$24,OFFSET(ORÇAMENTO!E156,-1,0))),OFFSET(E156,-1,0))</f>
        <v>1</v>
      </c>
      <c r="F156">
        <f t="shared" ca="1" si="126"/>
        <v>19</v>
      </c>
      <c r="G156">
        <f t="shared" ca="1" si="127"/>
        <v>0</v>
      </c>
      <c r="H156">
        <f t="shared" ca="1" si="128"/>
        <v>0</v>
      </c>
      <c r="I156">
        <f t="shared" ca="1" si="129"/>
        <v>0</v>
      </c>
      <c r="J156">
        <f t="shared" ca="1" si="118"/>
        <v>0</v>
      </c>
      <c r="K156">
        <f ca="1">IF(OR($C156="S",$C156=0),0,MATCH(OFFSET($D156,0,$C156)+IF($C156&lt;&gt;1,1,COUNTIF(QCI!$A$13:$A$24,ORÇAMENTO!E156)),OFFSET($D156,1,$C156,ROW($C$192)-ROW($C156)),0))</f>
        <v>0</v>
      </c>
      <c r="L156" s="143" t="str">
        <f t="shared" ca="1" si="130"/>
        <v/>
      </c>
      <c r="M156" s="144" t="s">
        <v>199</v>
      </c>
      <c r="N156" s="145" t="str">
        <f t="shared" ca="1" si="131"/>
        <v>Serviço</v>
      </c>
      <c r="O156" s="146" t="str">
        <f t="shared" ca="1" si="132"/>
        <v>-</v>
      </c>
      <c r="P156" s="147" t="s">
        <v>247</v>
      </c>
      <c r="Q156" s="148" t="s">
        <v>537</v>
      </c>
      <c r="R156" s="149" t="s">
        <v>747</v>
      </c>
      <c r="S156" s="150" t="s">
        <v>779</v>
      </c>
      <c r="T156" s="151">
        <f ca="1">OFFSET(CÁLCULO!H$15,ROW($T156)-ROW(T$15),0)</f>
        <v>90</v>
      </c>
      <c r="U156" s="152"/>
      <c r="V156" s="153" t="s">
        <v>156</v>
      </c>
      <c r="W156" s="151">
        <f ca="1">IF($C156="S",ROUND(IF(TIPOORCAMENTO="Proposto",ORÇAMENTO.CustoUnitario*(1+$AH156),ORÇAMENTO.PrecoUnitarioLicitado),15-13*$AF$10),0)</f>
        <v>0</v>
      </c>
      <c r="X156" s="154">
        <f ca="1">IF($C156="S",IF(Import.TipoArredondamento&lt;&gt;"TransfereGOV",VTOTAL1,SUM(OFFSET(CÁLCULO!$AA$15,ROW($X156)-ROW($X$15),1):OFFSET(CÁLCULO!$AL$15,ROW($X156)-ROW($X$15),-1))),IF($C156=0,0,ROUND(SomaAgrup,15-13*$AF$11)))</f>
        <v>0</v>
      </c>
      <c r="Y156" s="155" t="s">
        <v>245</v>
      </c>
      <c r="Z156" t="str">
        <f t="shared" ca="1" si="133"/>
        <v/>
      </c>
      <c r="AA156" s="156">
        <f ca="1">IF($C156="S",IF($Z156="CP",$X156,IF($Z156="RA",(($X156)*QCI!$AA$3),0)),SomaAgrup)</f>
        <v>0</v>
      </c>
      <c r="AB156" s="157">
        <f t="shared" ca="1" si="120"/>
        <v>0</v>
      </c>
      <c r="AC156" s="158" t="str">
        <f ca="1">IF($N156="","",IF(ORÇAMENTO.Descricao="","DESCRIÇÃO",IF(AND($C156="S",ORÇAMENTO.Unidade=""),"UNIDADE",IF($X156&lt;0,"VALOR NEGATIVO",IF(OR(AND(TIPOORCAMENTO="Proposto",$AG156&lt;&gt;"",$AG156&gt;0,ORÇAMENTO.CustoUnitario&gt;$AG156),AND(TIPOORCAMENTO="LICITADO",ORÇAMENTO.PrecoUnitarioLicitado&gt;$AN156)),"ACIMA REF.","")))))</f>
        <v/>
      </c>
      <c r="AD156" s="682" t="str">
        <f ca="1">IF(C156&lt;=CRONO.NivelExibicao,MAX($AD$15:OFFSET(AD156,-1,0))+IF($C156&lt;&gt;1,1,MAX(1,COUNTIF(QCI!$A$13:$A$24,OFFSET($E156,-1,0)))),"")</f>
        <v/>
      </c>
      <c r="AE156" s="114" t="str">
        <f ca="1">IF(AND($C156="S",ORÇAMENTO.CodBarra&lt;&gt;""),IF(ORÇAMENTO.Fonte="",ORÇAMENTO.CodBarra,CONCATENATE(ORÇAMENTO.Fonte," ",ORÇAMENTO.CodBarra)))</f>
        <v>SINAPI 89403</v>
      </c>
      <c r="AF156" s="159">
        <f ca="1">IF(ISERROR(INDIRECT(ORÇAMENTO.BancoRef)),"(abra o arquivo 'Referência "&amp;Excel_BuiltIn_Database&amp;".xlsm)",IF(OR($C156&lt;&gt;"S",ORÇAMENTO.CodBarra=""),"(Sem Código)",IF(ISERROR(MATCH($AE156,INDIRECT(ORÇAMENTO.BancoRef),0)),"(Código não identificado nas referências)",MATCH($AE156,INDIRECT(ORÇAMENTO.BancoRef),0))))</f>
        <v>8427</v>
      </c>
      <c r="AG156" s="578">
        <f ca="1">ROUND(IF(DESONERACAO="sim",REFERENCIA.Desonerado,REFERENCIA.NaoDesonerado),2)</f>
        <v>20.16</v>
      </c>
      <c r="AH156" s="579">
        <f t="shared" ca="1" si="121"/>
        <v>0.2034</v>
      </c>
      <c r="AJ156" s="581">
        <v>90</v>
      </c>
      <c r="AL156" s="611"/>
      <c r="AM156" s="430">
        <f t="shared" ca="1" si="93"/>
        <v>0</v>
      </c>
      <c r="AN156" s="654">
        <f t="shared" ca="1" si="122"/>
        <v>0</v>
      </c>
    </row>
    <row r="157" spans="1:40" ht="25.5" x14ac:dyDescent="0.2">
      <c r="A157" t="str">
        <f t="shared" si="119"/>
        <v>S</v>
      </c>
      <c r="B157">
        <f t="shared" ca="1" si="123"/>
        <v>2</v>
      </c>
      <c r="C157" t="str">
        <f t="shared" ca="1" si="124"/>
        <v>S</v>
      </c>
      <c r="D157">
        <f t="shared" ca="1" si="125"/>
        <v>0</v>
      </c>
      <c r="E157">
        <f ca="1">IF($C157=1,OFFSET(E157,-1,0)+MAX(1,COUNTIF(QCI!$A$13:$A$24,OFFSET(ORÇAMENTO!E157,-1,0))),OFFSET(E157,-1,0))</f>
        <v>1</v>
      </c>
      <c r="F157">
        <f t="shared" ca="1" si="126"/>
        <v>19</v>
      </c>
      <c r="G157">
        <f t="shared" ca="1" si="127"/>
        <v>0</v>
      </c>
      <c r="H157">
        <f t="shared" ca="1" si="128"/>
        <v>0</v>
      </c>
      <c r="I157">
        <f t="shared" ca="1" si="129"/>
        <v>0</v>
      </c>
      <c r="J157">
        <f t="shared" ca="1" si="118"/>
        <v>0</v>
      </c>
      <c r="K157">
        <f ca="1">IF(OR($C157="S",$C157=0),0,MATCH(OFFSET($D157,0,$C157)+IF($C157&lt;&gt;1,1,COUNTIF(QCI!$A$13:$A$24,ORÇAMENTO!E157)),OFFSET($D157,1,$C157,ROW($C$192)-ROW($C157)),0))</f>
        <v>0</v>
      </c>
      <c r="L157" s="143" t="str">
        <f t="shared" ca="1" si="130"/>
        <v/>
      </c>
      <c r="M157" s="144" t="s">
        <v>199</v>
      </c>
      <c r="N157" s="145" t="str">
        <f t="shared" ca="1" si="131"/>
        <v>Serviço</v>
      </c>
      <c r="O157" s="146" t="str">
        <f t="shared" ca="1" si="132"/>
        <v>-</v>
      </c>
      <c r="P157" s="147" t="s">
        <v>247</v>
      </c>
      <c r="Q157" s="148" t="s">
        <v>538</v>
      </c>
      <c r="R157" s="149" t="s">
        <v>748</v>
      </c>
      <c r="S157" s="150" t="s">
        <v>778</v>
      </c>
      <c r="T157" s="151">
        <f ca="1">OFFSET(CÁLCULO!H$15,ROW($T157)-ROW(T$15),0)</f>
        <v>15</v>
      </c>
      <c r="U157" s="152"/>
      <c r="V157" s="153" t="s">
        <v>156</v>
      </c>
      <c r="W157" s="151">
        <f ca="1">IF($C157="S",ROUND(IF(TIPOORCAMENTO="Proposto",ORÇAMENTO.CustoUnitario*(1+$AH157),ORÇAMENTO.PrecoUnitarioLicitado),15-13*$AF$10),0)</f>
        <v>0</v>
      </c>
      <c r="X157" s="154">
        <f ca="1">IF($C157="S",IF(Import.TipoArredondamento&lt;&gt;"TransfereGOV",VTOTAL1,SUM(OFFSET(CÁLCULO!$AA$15,ROW($X157)-ROW($X$15),1):OFFSET(CÁLCULO!$AL$15,ROW($X157)-ROW($X$15),-1))),IF($C157=0,0,ROUND(SomaAgrup,15-13*$AF$11)))</f>
        <v>0</v>
      </c>
      <c r="Y157" s="155" t="s">
        <v>245</v>
      </c>
      <c r="Z157" t="str">
        <f t="shared" ca="1" si="133"/>
        <v/>
      </c>
      <c r="AA157" s="156">
        <f ca="1">IF($C157="S",IF($Z157="CP",$X157,IF($Z157="RA",(($X157)*QCI!$AA$3),0)),SomaAgrup)</f>
        <v>0</v>
      </c>
      <c r="AB157" s="157">
        <f t="shared" ca="1" si="120"/>
        <v>0</v>
      </c>
      <c r="AC157" s="158" t="str">
        <f ca="1">IF($N157="","",IF(ORÇAMENTO.Descricao="","DESCRIÇÃO",IF(AND($C157="S",ORÇAMENTO.Unidade=""),"UNIDADE",IF($X157&lt;0,"VALOR NEGATIVO",IF(OR(AND(TIPOORCAMENTO="Proposto",$AG157&lt;&gt;"",$AG157&gt;0,ORÇAMENTO.CustoUnitario&gt;$AG157),AND(TIPOORCAMENTO="LICITADO",ORÇAMENTO.PrecoUnitarioLicitado&gt;$AN157)),"ACIMA REF.","")))))</f>
        <v/>
      </c>
      <c r="AD157" s="682" t="str">
        <f ca="1">IF(C157&lt;=CRONO.NivelExibicao,MAX($AD$15:OFFSET(AD157,-1,0))+IF($C157&lt;&gt;1,1,MAX(1,COUNTIF(QCI!$A$13:$A$24,OFFSET($E157,-1,0)))),"")</f>
        <v/>
      </c>
      <c r="AE157" s="114" t="str">
        <f ca="1">IF(AND($C157="S",ORÇAMENTO.CodBarra&lt;&gt;""),IF(ORÇAMENTO.Fonte="",ORÇAMENTO.CodBarra,CONCATENATE(ORÇAMENTO.Fonte," ",ORÇAMENTO.CodBarra)))</f>
        <v>SINAPI 89386</v>
      </c>
      <c r="AF157" s="159">
        <f ca="1">IF(ISERROR(INDIRECT(ORÇAMENTO.BancoRef)),"(abra o arquivo 'Referência "&amp;Excel_BuiltIn_Database&amp;".xlsm)",IF(OR($C157&lt;&gt;"S",ORÇAMENTO.CodBarra=""),"(Sem Código)",IF(ISERROR(MATCH($AE157,INDIRECT(ORÇAMENTO.BancoRef),0)),"(Código não identificado nas referências)",MATCH($AE157,INDIRECT(ORÇAMENTO.BancoRef),0))))</f>
        <v>8709</v>
      </c>
      <c r="AG157" s="578">
        <f ca="1">ROUND(IF(DESONERACAO="sim",REFERENCIA.Desonerado,REFERENCIA.NaoDesonerado),2)</f>
        <v>10.02</v>
      </c>
      <c r="AH157" s="579">
        <f t="shared" ca="1" si="121"/>
        <v>0.2034</v>
      </c>
      <c r="AJ157" s="581">
        <f>90/6</f>
        <v>15</v>
      </c>
      <c r="AL157" s="611"/>
      <c r="AM157" s="430">
        <f t="shared" ca="1" si="93"/>
        <v>0</v>
      </c>
      <c r="AN157" s="654">
        <f t="shared" ca="1" si="122"/>
        <v>0</v>
      </c>
    </row>
    <row r="158" spans="1:40" ht="38.25" x14ac:dyDescent="0.2">
      <c r="A158" t="str">
        <f t="shared" si="119"/>
        <v>S</v>
      </c>
      <c r="B158">
        <f t="shared" ca="1" si="123"/>
        <v>2</v>
      </c>
      <c r="C158" t="str">
        <f t="shared" ca="1" si="124"/>
        <v>S</v>
      </c>
      <c r="D158">
        <f t="shared" ca="1" si="125"/>
        <v>0</v>
      </c>
      <c r="E158">
        <f ca="1">IF($C158=1,OFFSET(E158,-1,0)+MAX(1,COUNTIF(QCI!$A$13:$A$24,OFFSET(ORÇAMENTO!E158,-1,0))),OFFSET(E158,-1,0))</f>
        <v>1</v>
      </c>
      <c r="F158">
        <f t="shared" ca="1" si="126"/>
        <v>19</v>
      </c>
      <c r="G158">
        <f t="shared" ca="1" si="127"/>
        <v>0</v>
      </c>
      <c r="H158">
        <f t="shared" ca="1" si="128"/>
        <v>0</v>
      </c>
      <c r="I158">
        <f t="shared" ca="1" si="129"/>
        <v>0</v>
      </c>
      <c r="J158">
        <f t="shared" ca="1" si="118"/>
        <v>0</v>
      </c>
      <c r="K158">
        <f ca="1">IF(OR($C158="S",$C158=0),0,MATCH(OFFSET($D158,0,$C158)+IF($C158&lt;&gt;1,1,COUNTIF(QCI!$A$13:$A$24,ORÇAMENTO!E158)),OFFSET($D158,1,$C158,ROW($C$192)-ROW($C158)),0))</f>
        <v>0</v>
      </c>
      <c r="L158" s="143" t="str">
        <f t="shared" ca="1" si="130"/>
        <v/>
      </c>
      <c r="M158" s="144" t="s">
        <v>199</v>
      </c>
      <c r="N158" s="145" t="str">
        <f t="shared" ca="1" si="131"/>
        <v>Serviço</v>
      </c>
      <c r="O158" s="146" t="str">
        <f t="shared" ca="1" si="132"/>
        <v>-</v>
      </c>
      <c r="P158" s="147" t="s">
        <v>247</v>
      </c>
      <c r="Q158" s="148" t="s">
        <v>539</v>
      </c>
      <c r="R158" s="149" t="s">
        <v>749</v>
      </c>
      <c r="S158" s="150" t="s">
        <v>778</v>
      </c>
      <c r="T158" s="151">
        <f ca="1">OFFSET(CÁLCULO!H$15,ROW($T158)-ROW(T$15),0)</f>
        <v>1</v>
      </c>
      <c r="U158" s="152"/>
      <c r="V158" s="153" t="s">
        <v>156</v>
      </c>
      <c r="W158" s="151">
        <f ca="1">IF($C158="S",ROUND(IF(TIPOORCAMENTO="Proposto",ORÇAMENTO.CustoUnitario*(1+$AH158),ORÇAMENTO.PrecoUnitarioLicitado),15-13*$AF$10),0)</f>
        <v>0</v>
      </c>
      <c r="X158" s="154">
        <f ca="1">IF($C158="S",IF(Import.TipoArredondamento&lt;&gt;"TransfereGOV",VTOTAL1,SUM(OFFSET(CÁLCULO!$AA$15,ROW($X158)-ROW($X$15),1):OFFSET(CÁLCULO!$AL$15,ROW($X158)-ROW($X$15),-1))),IF($C158=0,0,ROUND(SomaAgrup,15-13*$AF$11)))</f>
        <v>0</v>
      </c>
      <c r="Y158" s="155" t="s">
        <v>245</v>
      </c>
      <c r="Z158" t="str">
        <f t="shared" ca="1" si="133"/>
        <v/>
      </c>
      <c r="AA158" s="156">
        <f ca="1">IF($C158="S",IF($Z158="CP",$X158,IF($Z158="RA",(($X158)*QCI!$AA$3),0)),SomaAgrup)</f>
        <v>0</v>
      </c>
      <c r="AB158" s="157">
        <f t="shared" ca="1" si="120"/>
        <v>0</v>
      </c>
      <c r="AC158" s="158" t="str">
        <f ca="1">IF($N158="","",IF(ORÇAMENTO.Descricao="","DESCRIÇÃO",IF(AND($C158="S",ORÇAMENTO.Unidade=""),"UNIDADE",IF($X158&lt;0,"VALOR NEGATIVO",IF(OR(AND(TIPOORCAMENTO="Proposto",$AG158&lt;&gt;"",$AG158&gt;0,ORÇAMENTO.CustoUnitario&gt;$AG158),AND(TIPOORCAMENTO="LICITADO",ORÇAMENTO.PrecoUnitarioLicitado&gt;$AN158)),"ACIMA REF.","")))))</f>
        <v/>
      </c>
      <c r="AD158" s="682" t="str">
        <f ca="1">IF(C158&lt;=CRONO.NivelExibicao,MAX($AD$15:OFFSET(AD158,-1,0))+IF($C158&lt;&gt;1,1,MAX(1,COUNTIF(QCI!$A$13:$A$24,OFFSET($E158,-1,0)))),"")</f>
        <v/>
      </c>
      <c r="AE158" s="114" t="str">
        <f ca="1">IF(AND($C158="S",ORÇAMENTO.CodBarra&lt;&gt;""),IF(ORÇAMENTO.Fonte="",ORÇAMENTO.CodBarra,CONCATENATE(ORÇAMENTO.Fonte," ",ORÇAMENTO.CodBarra)))</f>
        <v>SINAPI 89426</v>
      </c>
      <c r="AF158" s="159">
        <f ca="1">IF(ISERROR(INDIRECT(ORÇAMENTO.BancoRef)),"(abra o arquivo 'Referência "&amp;Excel_BuiltIn_Database&amp;".xlsm)",IF(OR($C158&lt;&gt;"S",ORÇAMENTO.CodBarra=""),"(Sem Código)",IF(ISERROR(MATCH($AE158,INDIRECT(ORÇAMENTO.BancoRef),0)),"(Código não identificado nas referências)",MATCH($AE158,INDIRECT(ORÇAMENTO.BancoRef),0))))</f>
        <v>8743</v>
      </c>
      <c r="AG158" s="578">
        <f ca="1">ROUND(IF(DESONERACAO="sim",REFERENCIA.Desonerado,REFERENCIA.NaoDesonerado),2)</f>
        <v>9.91</v>
      </c>
      <c r="AH158" s="579">
        <f t="shared" ca="1" si="121"/>
        <v>0.2034</v>
      </c>
      <c r="AJ158" s="581">
        <v>1</v>
      </c>
      <c r="AL158" s="611"/>
      <c r="AM158" s="430">
        <f t="shared" ca="1" si="93"/>
        <v>0</v>
      </c>
      <c r="AN158" s="654">
        <f t="shared" ca="1" si="122"/>
        <v>0</v>
      </c>
    </row>
    <row r="159" spans="1:40" x14ac:dyDescent="0.2">
      <c r="A159">
        <f t="shared" si="119"/>
        <v>2</v>
      </c>
      <c r="B159">
        <f t="shared" ca="1" si="123"/>
        <v>2</v>
      </c>
      <c r="C159">
        <f t="shared" ca="1" si="124"/>
        <v>2</v>
      </c>
      <c r="D159">
        <f t="shared" ca="1" si="125"/>
        <v>12</v>
      </c>
      <c r="E159">
        <f ca="1">IF($C159=1,OFFSET(E159,-1,0)+MAX(1,COUNTIF(QCI!$A$13:$A$24,OFFSET(ORÇAMENTO!E159,-1,0))),OFFSET(E159,-1,0))</f>
        <v>1</v>
      </c>
      <c r="F159">
        <f t="shared" ca="1" si="126"/>
        <v>20</v>
      </c>
      <c r="G159">
        <f t="shared" ca="1" si="127"/>
        <v>0</v>
      </c>
      <c r="H159">
        <f t="shared" ca="1" si="128"/>
        <v>0</v>
      </c>
      <c r="I159">
        <f t="shared" ca="1" si="129"/>
        <v>0</v>
      </c>
      <c r="J159">
        <f t="shared" ca="1" si="118"/>
        <v>33</v>
      </c>
      <c r="K159">
        <f ca="1">IF(OR($C159="S",$C159=0),0,MATCH(OFFSET($D159,0,$C159)+IF($C159&lt;&gt;1,1,COUNTIF(QCI!$A$13:$A$24,ORÇAMENTO!E159)),OFFSET($D159,1,$C159,ROW($C$192)-ROW($C159)),0))</f>
        <v>12</v>
      </c>
      <c r="L159" s="143" t="str">
        <f t="shared" ca="1" si="130"/>
        <v>F</v>
      </c>
      <c r="M159" s="144" t="s">
        <v>196</v>
      </c>
      <c r="N159" s="145" t="str">
        <f t="shared" ca="1" si="131"/>
        <v>Nível 2</v>
      </c>
      <c r="O159" s="146" t="str">
        <f t="shared" ca="1" si="132"/>
        <v>1.20.</v>
      </c>
      <c r="P159" s="147" t="s">
        <v>247</v>
      </c>
      <c r="Q159" s="148"/>
      <c r="R159" s="149" t="s">
        <v>527</v>
      </c>
      <c r="S159" s="150" t="s">
        <v>166</v>
      </c>
      <c r="T159" s="151">
        <f ca="1">OFFSET(CÁLCULO!H$15,ROW($T159)-ROW(T$15),0)</f>
        <v>0</v>
      </c>
      <c r="U159" s="152"/>
      <c r="V159" s="153" t="s">
        <v>156</v>
      </c>
      <c r="W159" s="151">
        <f ca="1">IF($C159="S",ROUND(IF(TIPOORCAMENTO="Proposto",ORÇAMENTO.CustoUnitario*(1+$AH159),ORÇAMENTO.PrecoUnitarioLicitado),15-13*$AF$10),0)</f>
        <v>0</v>
      </c>
      <c r="X159" s="154">
        <f ca="1">IF($C159="S",IF(Import.TipoArredondamento&lt;&gt;"TransfereGOV",VTOTAL1,SUM(OFFSET(CÁLCULO!$AA$15,ROW($X159)-ROW($X$15),1):OFFSET(CÁLCULO!$AL$15,ROW($X159)-ROW($X$15),-1))),IF($C159=0,0,ROUND(SomaAgrup,15-13*$AF$11)))</f>
        <v>0</v>
      </c>
      <c r="Y159" s="155" t="s">
        <v>245</v>
      </c>
      <c r="Z159" t="str">
        <f t="shared" ca="1" si="133"/>
        <v/>
      </c>
      <c r="AA159" s="156">
        <f ca="1">IF($C159="S",IF($Z159="CP",$X159,IF($Z159="RA",(($X159)*QCI!$AA$3),0)),SomaAgrup)</f>
        <v>0</v>
      </c>
      <c r="AB159" s="157">
        <f t="shared" ca="1" si="120"/>
        <v>0</v>
      </c>
      <c r="AC159" s="158" t="str">
        <f ca="1">IF($N159="","",IF(ORÇAMENTO.Descricao="","DESCRIÇÃO",IF(AND($C159="S",ORÇAMENTO.Unidade=""),"UNIDADE",IF($X159&lt;0,"VALOR NEGATIVO",IF(OR(AND(TIPOORCAMENTO="Proposto",$AG159&lt;&gt;"",$AG159&gt;0,ORÇAMENTO.CustoUnitario&gt;$AG159),AND(TIPOORCAMENTO="LICITADO",ORÇAMENTO.PrecoUnitarioLicitado&gt;$AN159)),"ACIMA REF.","")))))</f>
        <v/>
      </c>
      <c r="AD159" s="682">
        <f ca="1">IF(C159&lt;=CRONO.NivelExibicao,MAX($AD$15:OFFSET(AD159,-1,0))+IF($C159&lt;&gt;1,1,MAX(1,COUNTIF(QCI!$A$13:$A$24,OFFSET($E159,-1,0)))),"")</f>
        <v>21</v>
      </c>
      <c r="AE159" s="114" t="b">
        <f ca="1">IF(AND($C159="S",ORÇAMENTO.CodBarra&lt;&gt;""),IF(ORÇAMENTO.Fonte="",ORÇAMENTO.CodBarra,CONCATENATE(ORÇAMENTO.Fonte," ",ORÇAMENTO.CodBarra)))</f>
        <v>0</v>
      </c>
      <c r="AF159" s="159" t="str">
        <f ca="1">IF(ISERROR(INDIRECT(ORÇAMENTO.BancoRef)),"(abra o arquivo 'Referência "&amp;Excel_BuiltIn_Database&amp;".xlsm)",IF(OR($C159&lt;&gt;"S",ORÇAMENTO.CodBarra=""),"(Sem Código)",IF(ISERROR(MATCH($AE159,INDIRECT(ORÇAMENTO.BancoRef),0)),"(Código não identificado nas referências)",MATCH($AE159,INDIRECT(ORÇAMENTO.BancoRef),0))))</f>
        <v>(Sem Código)</v>
      </c>
      <c r="AG159" s="578">
        <f ca="1">ROUND(IF(DESONERACAO="sim",REFERENCIA.Desonerado,REFERENCIA.NaoDesonerado),2)</f>
        <v>0</v>
      </c>
      <c r="AH159" s="579">
        <f t="shared" ca="1" si="121"/>
        <v>0.2034</v>
      </c>
      <c r="AJ159" s="581"/>
      <c r="AL159" s="611"/>
      <c r="AM159" s="430">
        <f t="shared" ca="1" si="93"/>
        <v>0</v>
      </c>
      <c r="AN159" s="654">
        <f t="shared" ca="1" si="122"/>
        <v>0</v>
      </c>
    </row>
    <row r="160" spans="1:40" ht="38.25" x14ac:dyDescent="0.2">
      <c r="A160" t="str">
        <f t="shared" si="119"/>
        <v>S</v>
      </c>
      <c r="B160">
        <f t="shared" ca="1" si="123"/>
        <v>2</v>
      </c>
      <c r="C160" t="str">
        <f t="shared" ca="1" si="124"/>
        <v>S</v>
      </c>
      <c r="D160">
        <f t="shared" ca="1" si="125"/>
        <v>0</v>
      </c>
      <c r="E160">
        <f ca="1">IF($C160=1,OFFSET(E160,-1,0)+MAX(1,COUNTIF(QCI!$A$13:$A$24,OFFSET(ORÇAMENTO!E160,-1,0))),OFFSET(E160,-1,0))</f>
        <v>1</v>
      </c>
      <c r="F160">
        <f t="shared" ca="1" si="126"/>
        <v>20</v>
      </c>
      <c r="G160">
        <f t="shared" ca="1" si="127"/>
        <v>0</v>
      </c>
      <c r="H160">
        <f t="shared" ca="1" si="128"/>
        <v>0</v>
      </c>
      <c r="I160">
        <f t="shared" ca="1" si="129"/>
        <v>0</v>
      </c>
      <c r="J160">
        <f t="shared" ca="1" si="118"/>
        <v>0</v>
      </c>
      <c r="K160">
        <f ca="1">IF(OR($C160="S",$C160=0),0,MATCH(OFFSET($D160,0,$C160)+IF($C160&lt;&gt;1,1,COUNTIF(QCI!$A$13:$A$24,ORÇAMENTO!E160)),OFFSET($D160,1,$C160,ROW($C$192)-ROW($C160)),0))</f>
        <v>0</v>
      </c>
      <c r="L160" s="143" t="str">
        <f t="shared" ca="1" si="130"/>
        <v/>
      </c>
      <c r="M160" s="144" t="s">
        <v>199</v>
      </c>
      <c r="N160" s="145" t="str">
        <f t="shared" ca="1" si="131"/>
        <v>Serviço</v>
      </c>
      <c r="O160" s="146" t="str">
        <f t="shared" ca="1" si="132"/>
        <v>-</v>
      </c>
      <c r="P160" s="147" t="s">
        <v>247</v>
      </c>
      <c r="Q160" s="148" t="s">
        <v>540</v>
      </c>
      <c r="R160" s="149" t="s">
        <v>750</v>
      </c>
      <c r="S160" s="150" t="s">
        <v>779</v>
      </c>
      <c r="T160" s="151">
        <f ca="1">OFFSET(CÁLCULO!H$15,ROW($T160)-ROW(T$15),0)</f>
        <v>12</v>
      </c>
      <c r="U160" s="152"/>
      <c r="V160" s="153" t="s">
        <v>156</v>
      </c>
      <c r="W160" s="151">
        <f ca="1">IF($C160="S",ROUND(IF(TIPOORCAMENTO="Proposto",ORÇAMENTO.CustoUnitario*(1+$AH160),ORÇAMENTO.PrecoUnitarioLicitado),15-13*$AF$10),0)</f>
        <v>0</v>
      </c>
      <c r="X160" s="154">
        <f ca="1">IF($C160="S",IF(Import.TipoArredondamento&lt;&gt;"TransfereGOV",VTOTAL1,SUM(OFFSET(CÁLCULO!$AA$15,ROW($X160)-ROW($X$15),1):OFFSET(CÁLCULO!$AL$15,ROW($X160)-ROW($X$15),-1))),IF($C160=0,0,ROUND(SomaAgrup,15-13*$AF$11)))</f>
        <v>0</v>
      </c>
      <c r="Y160" s="155" t="s">
        <v>245</v>
      </c>
      <c r="Z160" t="str">
        <f t="shared" ca="1" si="133"/>
        <v/>
      </c>
      <c r="AA160" s="156">
        <f ca="1">IF($C160="S",IF($Z160="CP",$X160,IF($Z160="RA",(($X160)*QCI!$AA$3),0)),SomaAgrup)</f>
        <v>0</v>
      </c>
      <c r="AB160" s="157">
        <f t="shared" ca="1" si="120"/>
        <v>0</v>
      </c>
      <c r="AC160" s="158" t="str">
        <f ca="1">IF($N160="","",IF(ORÇAMENTO.Descricao="","DESCRIÇÃO",IF(AND($C160="S",ORÇAMENTO.Unidade=""),"UNIDADE",IF($X160&lt;0,"VALOR NEGATIVO",IF(OR(AND(TIPOORCAMENTO="Proposto",$AG160&lt;&gt;"",$AG160&gt;0,ORÇAMENTO.CustoUnitario&gt;$AG160),AND(TIPOORCAMENTO="LICITADO",ORÇAMENTO.PrecoUnitarioLicitado&gt;$AN160)),"ACIMA REF.","")))))</f>
        <v/>
      </c>
      <c r="AD160" s="682" t="str">
        <f ca="1">IF(C160&lt;=CRONO.NivelExibicao,MAX($AD$15:OFFSET(AD160,-1,0))+IF($C160&lt;&gt;1,1,MAX(1,COUNTIF(QCI!$A$13:$A$24,OFFSET($E160,-1,0)))),"")</f>
        <v/>
      </c>
      <c r="AE160" s="114" t="str">
        <f ca="1">IF(AND($C160="S",ORÇAMENTO.CodBarra&lt;&gt;""),IF(ORÇAMENTO.Fonte="",ORÇAMENTO.CodBarra,CONCATENATE(ORÇAMENTO.Fonte," ",ORÇAMENTO.CodBarra)))</f>
        <v>SINAPI 89712</v>
      </c>
      <c r="AF160" s="159">
        <f ca="1">IF(ISERROR(INDIRECT(ORÇAMENTO.BancoRef)),"(abra o arquivo 'Referência "&amp;Excel_BuiltIn_Database&amp;".xlsm)",IF(OR($C160&lt;&gt;"S",ORÇAMENTO.CodBarra=""),"(Sem Código)",IF(ISERROR(MATCH($AE160,INDIRECT(ORÇAMENTO.BancoRef),0)),"(Código não identificado nas referências)",MATCH($AE160,INDIRECT(ORÇAMENTO.BancoRef),0))))</f>
        <v>8447</v>
      </c>
      <c r="AG160" s="578">
        <f ca="1">ROUND(IF(DESONERACAO="sim",REFERENCIA.Desonerado,REFERENCIA.NaoDesonerado),2)</f>
        <v>28.34</v>
      </c>
      <c r="AH160" s="579">
        <f t="shared" ca="1" si="121"/>
        <v>0.2034</v>
      </c>
      <c r="AJ160" s="581">
        <v>12</v>
      </c>
      <c r="AL160" s="611"/>
      <c r="AM160" s="430">
        <f t="shared" ca="1" si="93"/>
        <v>0</v>
      </c>
      <c r="AN160" s="654">
        <f t="shared" ca="1" si="122"/>
        <v>0</v>
      </c>
    </row>
    <row r="161" spans="1:40" ht="38.25" x14ac:dyDescent="0.2">
      <c r="A161" t="str">
        <f t="shared" si="119"/>
        <v>S</v>
      </c>
      <c r="B161">
        <f t="shared" ca="1" si="123"/>
        <v>2</v>
      </c>
      <c r="C161" t="str">
        <f t="shared" ca="1" si="124"/>
        <v>S</v>
      </c>
      <c r="D161">
        <f t="shared" ca="1" si="125"/>
        <v>0</v>
      </c>
      <c r="E161">
        <f ca="1">IF($C161=1,OFFSET(E161,-1,0)+MAX(1,COUNTIF(QCI!$A$13:$A$24,OFFSET(ORÇAMENTO!E161,-1,0))),OFFSET(E161,-1,0))</f>
        <v>1</v>
      </c>
      <c r="F161">
        <f t="shared" ca="1" si="126"/>
        <v>20</v>
      </c>
      <c r="G161">
        <f t="shared" ca="1" si="127"/>
        <v>0</v>
      </c>
      <c r="H161">
        <f t="shared" ca="1" si="128"/>
        <v>0</v>
      </c>
      <c r="I161">
        <f t="shared" ca="1" si="129"/>
        <v>0</v>
      </c>
      <c r="J161">
        <f t="shared" ca="1" si="118"/>
        <v>0</v>
      </c>
      <c r="K161">
        <f ca="1">IF(OR($C161="S",$C161=0),0,MATCH(OFFSET($D161,0,$C161)+IF($C161&lt;&gt;1,1,COUNTIF(QCI!$A$13:$A$24,ORÇAMENTO!E161)),OFFSET($D161,1,$C161,ROW($C$192)-ROW($C161)),0))</f>
        <v>0</v>
      </c>
      <c r="L161" s="143" t="str">
        <f t="shared" ca="1" si="130"/>
        <v/>
      </c>
      <c r="M161" s="144" t="s">
        <v>199</v>
      </c>
      <c r="N161" s="145" t="str">
        <f t="shared" ca="1" si="131"/>
        <v>Serviço</v>
      </c>
      <c r="O161" s="146" t="str">
        <f t="shared" ca="1" si="132"/>
        <v>-</v>
      </c>
      <c r="P161" s="147" t="s">
        <v>247</v>
      </c>
      <c r="Q161" s="148" t="s">
        <v>541</v>
      </c>
      <c r="R161" s="149" t="s">
        <v>751</v>
      </c>
      <c r="S161" s="150" t="s">
        <v>779</v>
      </c>
      <c r="T161" s="151">
        <f ca="1">OFFSET(CÁLCULO!H$15,ROW($T161)-ROW(T$15),0)</f>
        <v>1</v>
      </c>
      <c r="U161" s="152"/>
      <c r="V161" s="153" t="s">
        <v>156</v>
      </c>
      <c r="W161" s="151">
        <f ca="1">IF($C161="S",ROUND(IF(TIPOORCAMENTO="Proposto",ORÇAMENTO.CustoUnitario*(1+$AH161),ORÇAMENTO.PrecoUnitarioLicitado),15-13*$AF$10),0)</f>
        <v>0</v>
      </c>
      <c r="X161" s="154">
        <f ca="1">IF($C161="S",IF(Import.TipoArredondamento&lt;&gt;"TransfereGOV",VTOTAL1,SUM(OFFSET(CÁLCULO!$AA$15,ROW($X161)-ROW($X$15),1):OFFSET(CÁLCULO!$AL$15,ROW($X161)-ROW($X$15),-1))),IF($C161=0,0,ROUND(SomaAgrup,15-13*$AF$11)))</f>
        <v>0</v>
      </c>
      <c r="Y161" s="155" t="s">
        <v>245</v>
      </c>
      <c r="Z161" t="str">
        <f t="shared" ca="1" si="133"/>
        <v/>
      </c>
      <c r="AA161" s="156">
        <f ca="1">IF($C161="S",IF($Z161="CP",$X161,IF($Z161="RA",(($X161)*QCI!$AA$3),0)),SomaAgrup)</f>
        <v>0</v>
      </c>
      <c r="AB161" s="157">
        <f t="shared" ca="1" si="120"/>
        <v>0</v>
      </c>
      <c r="AC161" s="158" t="str">
        <f ca="1">IF($N161="","",IF(ORÇAMENTO.Descricao="","DESCRIÇÃO",IF(AND($C161="S",ORÇAMENTO.Unidade=""),"UNIDADE",IF($X161&lt;0,"VALOR NEGATIVO",IF(OR(AND(TIPOORCAMENTO="Proposto",$AG161&lt;&gt;"",$AG161&gt;0,ORÇAMENTO.CustoUnitario&gt;$AG161),AND(TIPOORCAMENTO="LICITADO",ORÇAMENTO.PrecoUnitarioLicitado&gt;$AN161)),"ACIMA REF.","")))))</f>
        <v/>
      </c>
      <c r="AD161" s="682" t="str">
        <f ca="1">IF(C161&lt;=CRONO.NivelExibicao,MAX($AD$15:OFFSET(AD161,-1,0))+IF($C161&lt;&gt;1,1,MAX(1,COUNTIF(QCI!$A$13:$A$24,OFFSET($E161,-1,0)))),"")</f>
        <v/>
      </c>
      <c r="AE161" s="114" t="str">
        <f ca="1">IF(AND($C161="S",ORÇAMENTO.CodBarra&lt;&gt;""),IF(ORÇAMENTO.Fonte="",ORÇAMENTO.CodBarra,CONCATENATE(ORÇAMENTO.Fonte," ",ORÇAMENTO.CodBarra)))</f>
        <v>SINAPI 89713</v>
      </c>
      <c r="AF161" s="159">
        <f ca="1">IF(ISERROR(INDIRECT(ORÇAMENTO.BancoRef)),"(abra o arquivo 'Referência "&amp;Excel_BuiltIn_Database&amp;".xlsm)",IF(OR($C161&lt;&gt;"S",ORÇAMENTO.CodBarra=""),"(Sem Código)",IF(ISERROR(MATCH($AE161,INDIRECT(ORÇAMENTO.BancoRef),0)),"(Código não identificado nas referências)",MATCH($AE161,INDIRECT(ORÇAMENTO.BancoRef),0))))</f>
        <v>8448</v>
      </c>
      <c r="AG161" s="578">
        <f ca="1">ROUND(IF(DESONERACAO="sim",REFERENCIA.Desonerado,REFERENCIA.NaoDesonerado),2)</f>
        <v>35.31</v>
      </c>
      <c r="AH161" s="579">
        <f t="shared" ca="1" si="121"/>
        <v>0.2034</v>
      </c>
      <c r="AJ161" s="581">
        <v>1</v>
      </c>
      <c r="AL161" s="611"/>
      <c r="AM161" s="430">
        <f t="shared" ca="1" si="93"/>
        <v>0</v>
      </c>
      <c r="AN161" s="654">
        <f t="shared" ca="1" si="122"/>
        <v>0</v>
      </c>
    </row>
    <row r="162" spans="1:40" ht="38.25" x14ac:dyDescent="0.2">
      <c r="A162" t="str">
        <f t="shared" si="119"/>
        <v>S</v>
      </c>
      <c r="B162">
        <f t="shared" ca="1" si="123"/>
        <v>2</v>
      </c>
      <c r="C162" t="str">
        <f t="shared" ca="1" si="124"/>
        <v>S</v>
      </c>
      <c r="D162">
        <f t="shared" ca="1" si="125"/>
        <v>0</v>
      </c>
      <c r="E162">
        <f ca="1">IF($C162=1,OFFSET(E162,-1,0)+MAX(1,COUNTIF(QCI!$A$13:$A$24,OFFSET(ORÇAMENTO!E162,-1,0))),OFFSET(E162,-1,0))</f>
        <v>1</v>
      </c>
      <c r="F162">
        <f t="shared" ca="1" si="126"/>
        <v>20</v>
      </c>
      <c r="G162">
        <f t="shared" ca="1" si="127"/>
        <v>0</v>
      </c>
      <c r="H162">
        <f t="shared" ca="1" si="128"/>
        <v>0</v>
      </c>
      <c r="I162">
        <f t="shared" ca="1" si="129"/>
        <v>0</v>
      </c>
      <c r="J162">
        <f t="shared" ca="1" si="118"/>
        <v>0</v>
      </c>
      <c r="K162">
        <f ca="1">IF(OR($C162="S",$C162=0),0,MATCH(OFFSET($D162,0,$C162)+IF($C162&lt;&gt;1,1,COUNTIF(QCI!$A$13:$A$24,ORÇAMENTO!E162)),OFFSET($D162,1,$C162,ROW($C$192)-ROW($C162)),0))</f>
        <v>0</v>
      </c>
      <c r="L162" s="143" t="str">
        <f t="shared" ca="1" si="130"/>
        <v/>
      </c>
      <c r="M162" s="144" t="s">
        <v>199</v>
      </c>
      <c r="N162" s="145" t="str">
        <f t="shared" ca="1" si="131"/>
        <v>Serviço</v>
      </c>
      <c r="O162" s="146" t="str">
        <f t="shared" ca="1" si="132"/>
        <v>-</v>
      </c>
      <c r="P162" s="147" t="s">
        <v>247</v>
      </c>
      <c r="Q162" s="148" t="s">
        <v>542</v>
      </c>
      <c r="R162" s="149" t="s">
        <v>752</v>
      </c>
      <c r="S162" s="150" t="s">
        <v>779</v>
      </c>
      <c r="T162" s="151">
        <f ca="1">OFFSET(CÁLCULO!H$15,ROW($T162)-ROW(T$15),0)</f>
        <v>84</v>
      </c>
      <c r="U162" s="152"/>
      <c r="V162" s="153" t="s">
        <v>156</v>
      </c>
      <c r="W162" s="151">
        <f ca="1">IF($C162="S",ROUND(IF(TIPOORCAMENTO="Proposto",ORÇAMENTO.CustoUnitario*(1+$AH162),ORÇAMENTO.PrecoUnitarioLicitado),15-13*$AF$10),0)</f>
        <v>0</v>
      </c>
      <c r="X162" s="154">
        <f ca="1">IF($C162="S",IF(Import.TipoArredondamento&lt;&gt;"TransfereGOV",VTOTAL1,SUM(OFFSET(CÁLCULO!$AA$15,ROW($X162)-ROW($X$15),1):OFFSET(CÁLCULO!$AL$15,ROW($X162)-ROW($X$15),-1))),IF($C162=0,0,ROUND(SomaAgrup,15-13*$AF$11)))</f>
        <v>0</v>
      </c>
      <c r="Y162" s="155" t="s">
        <v>245</v>
      </c>
      <c r="Z162" t="str">
        <f t="shared" ca="1" si="133"/>
        <v/>
      </c>
      <c r="AA162" s="156">
        <f ca="1">IF($C162="S",IF($Z162="CP",$X162,IF($Z162="RA",(($X162)*QCI!$AA$3),0)),SomaAgrup)</f>
        <v>0</v>
      </c>
      <c r="AB162" s="157">
        <f t="shared" ca="1" si="120"/>
        <v>0</v>
      </c>
      <c r="AC162" s="158" t="str">
        <f ca="1">IF($N162="","",IF(ORÇAMENTO.Descricao="","DESCRIÇÃO",IF(AND($C162="S",ORÇAMENTO.Unidade=""),"UNIDADE",IF($X162&lt;0,"VALOR NEGATIVO",IF(OR(AND(TIPOORCAMENTO="Proposto",$AG162&lt;&gt;"",$AG162&gt;0,ORÇAMENTO.CustoUnitario&gt;$AG162),AND(TIPOORCAMENTO="LICITADO",ORÇAMENTO.PrecoUnitarioLicitado&gt;$AN162)),"ACIMA REF.","")))))</f>
        <v/>
      </c>
      <c r="AD162" s="682" t="str">
        <f ca="1">IF(C162&lt;=CRONO.NivelExibicao,MAX($AD$15:OFFSET(AD162,-1,0))+IF($C162&lt;&gt;1,1,MAX(1,COUNTIF(QCI!$A$13:$A$24,OFFSET($E162,-1,0)))),"")</f>
        <v/>
      </c>
      <c r="AE162" s="114" t="str">
        <f ca="1">IF(AND($C162="S",ORÇAMENTO.CodBarra&lt;&gt;""),IF(ORÇAMENTO.Fonte="",ORÇAMENTO.CodBarra,CONCATENATE(ORÇAMENTO.Fonte," ",ORÇAMENTO.CodBarra)))</f>
        <v>SINAPI 89714</v>
      </c>
      <c r="AF162" s="159">
        <f ca="1">IF(ISERROR(INDIRECT(ORÇAMENTO.BancoRef)),"(abra o arquivo 'Referência "&amp;Excel_BuiltIn_Database&amp;".xlsm)",IF(OR($C162&lt;&gt;"S",ORÇAMENTO.CodBarra=""),"(Sem Código)",IF(ISERROR(MATCH($AE162,INDIRECT(ORÇAMENTO.BancoRef),0)),"(Código não identificado nas referências)",MATCH($AE162,INDIRECT(ORÇAMENTO.BancoRef),0))))</f>
        <v>8449</v>
      </c>
      <c r="AG162" s="578">
        <f ca="1">ROUND(IF(DESONERACAO="sim",REFERENCIA.Desonerado,REFERENCIA.NaoDesonerado),2)</f>
        <v>39.46</v>
      </c>
      <c r="AH162" s="579">
        <f t="shared" ca="1" si="121"/>
        <v>0.2034</v>
      </c>
      <c r="AJ162" s="581">
        <v>84</v>
      </c>
      <c r="AL162" s="611"/>
      <c r="AM162" s="430">
        <f t="shared" ca="1" si="93"/>
        <v>0</v>
      </c>
      <c r="AN162" s="654">
        <f t="shared" ca="1" si="122"/>
        <v>0</v>
      </c>
    </row>
    <row r="163" spans="1:40" ht="25.5" x14ac:dyDescent="0.2">
      <c r="A163" t="str">
        <f t="shared" si="119"/>
        <v>S</v>
      </c>
      <c r="B163">
        <f t="shared" ca="1" si="123"/>
        <v>2</v>
      </c>
      <c r="C163" t="str">
        <f t="shared" ca="1" si="124"/>
        <v>S</v>
      </c>
      <c r="D163">
        <f t="shared" ca="1" si="125"/>
        <v>0</v>
      </c>
      <c r="E163">
        <f ca="1">IF($C163=1,OFFSET(E163,-1,0)+MAX(1,COUNTIF(QCI!$A$13:$A$24,OFFSET(ORÇAMENTO!E163,-1,0))),OFFSET(E163,-1,0))</f>
        <v>1</v>
      </c>
      <c r="F163">
        <f t="shared" ca="1" si="126"/>
        <v>20</v>
      </c>
      <c r="G163">
        <f t="shared" ca="1" si="127"/>
        <v>0</v>
      </c>
      <c r="H163">
        <f t="shared" ca="1" si="128"/>
        <v>0</v>
      </c>
      <c r="I163">
        <f t="shared" ca="1" si="129"/>
        <v>0</v>
      </c>
      <c r="J163">
        <f t="shared" ca="1" si="118"/>
        <v>0</v>
      </c>
      <c r="K163">
        <f ca="1">IF(OR($C163="S",$C163=0),0,MATCH(OFFSET($D163,0,$C163)+IF($C163&lt;&gt;1,1,COUNTIF(QCI!$A$13:$A$24,ORÇAMENTO!E163)),OFFSET($D163,1,$C163,ROW($C$192)-ROW($C163)),0))</f>
        <v>0</v>
      </c>
      <c r="L163" s="143" t="str">
        <f t="shared" ca="1" si="130"/>
        <v/>
      </c>
      <c r="M163" s="144" t="s">
        <v>199</v>
      </c>
      <c r="N163" s="145" t="str">
        <f t="shared" ca="1" si="131"/>
        <v>Serviço</v>
      </c>
      <c r="O163" s="146" t="str">
        <f t="shared" ca="1" si="132"/>
        <v>-</v>
      </c>
      <c r="P163" s="147" t="s">
        <v>247</v>
      </c>
      <c r="Q163" s="148" t="s">
        <v>543</v>
      </c>
      <c r="R163" s="149" t="s">
        <v>753</v>
      </c>
      <c r="S163" s="150" t="s">
        <v>778</v>
      </c>
      <c r="T163" s="151">
        <f ca="1">OFFSET(CÁLCULO!H$15,ROW($T163)-ROW(T$15),0)</f>
        <v>1</v>
      </c>
      <c r="U163" s="152"/>
      <c r="V163" s="153" t="s">
        <v>156</v>
      </c>
      <c r="W163" s="151">
        <f ca="1">IF($C163="S",ROUND(IF(TIPOORCAMENTO="Proposto",ORÇAMENTO.CustoUnitario*(1+$AH163),ORÇAMENTO.PrecoUnitarioLicitado),15-13*$AF$10),0)</f>
        <v>0</v>
      </c>
      <c r="X163" s="154">
        <f ca="1">IF($C163="S",IF(Import.TipoArredondamento&lt;&gt;"TransfereGOV",VTOTAL1,SUM(OFFSET(CÁLCULO!$AA$15,ROW($X163)-ROW($X$15),1):OFFSET(CÁLCULO!$AL$15,ROW($X163)-ROW($X$15),-1))),IF($C163=0,0,ROUND(SomaAgrup,15-13*$AF$11)))</f>
        <v>0</v>
      </c>
      <c r="Y163" s="155" t="s">
        <v>245</v>
      </c>
      <c r="Z163" t="str">
        <f t="shared" ca="1" si="133"/>
        <v/>
      </c>
      <c r="AA163" s="156">
        <f ca="1">IF($C163="S",IF($Z163="CP",$X163,IF($Z163="RA",(($X163)*QCI!$AA$3),0)),SomaAgrup)</f>
        <v>0</v>
      </c>
      <c r="AB163" s="157">
        <f t="shared" ca="1" si="120"/>
        <v>0</v>
      </c>
      <c r="AC163" s="158" t="str">
        <f ca="1">IF($N163="","",IF(ORÇAMENTO.Descricao="","DESCRIÇÃO",IF(AND($C163="S",ORÇAMENTO.Unidade=""),"UNIDADE",IF($X163&lt;0,"VALOR NEGATIVO",IF(OR(AND(TIPOORCAMENTO="Proposto",$AG163&lt;&gt;"",$AG163&gt;0,ORÇAMENTO.CustoUnitario&gt;$AG163),AND(TIPOORCAMENTO="LICITADO",ORÇAMENTO.PrecoUnitarioLicitado&gt;$AN163)),"ACIMA REF.","")))))</f>
        <v/>
      </c>
      <c r="AD163" s="682" t="str">
        <f ca="1">IF(C163&lt;=CRONO.NivelExibicao,MAX($AD$15:OFFSET(AD163,-1,0))+IF($C163&lt;&gt;1,1,MAX(1,COUNTIF(QCI!$A$13:$A$24,OFFSET($E163,-1,0)))),"")</f>
        <v/>
      </c>
      <c r="AE163" s="114" t="str">
        <f ca="1">IF(AND($C163="S",ORÇAMENTO.CodBarra&lt;&gt;""),IF(ORÇAMENTO.Fonte="",ORÇAMENTO.CodBarra,CONCATENATE(ORÇAMENTO.Fonte," ",ORÇAMENTO.CodBarra)))</f>
        <v>SINAPI 98110</v>
      </c>
      <c r="AF163" s="159">
        <f ca="1">IF(ISERROR(INDIRECT(ORÇAMENTO.BancoRef)),"(abra o arquivo 'Referência "&amp;Excel_BuiltIn_Database&amp;".xlsm)",IF(OR($C163&lt;&gt;"S",ORÇAMENTO.CodBarra=""),"(Sem Código)",IF(ISERROR(MATCH($AE163,INDIRECT(ORÇAMENTO.BancoRef),0)),"(Código não identificado nas referências)",MATCH($AE163,INDIRECT(ORÇAMENTO.BancoRef),0))))</f>
        <v>10248</v>
      </c>
      <c r="AG163" s="578">
        <f ca="1">ROUND(IF(DESONERACAO="sim",REFERENCIA.Desonerado,REFERENCIA.NaoDesonerado),2)</f>
        <v>359.94</v>
      </c>
      <c r="AH163" s="579">
        <f t="shared" ca="1" si="121"/>
        <v>0.2034</v>
      </c>
      <c r="AJ163" s="581">
        <v>1</v>
      </c>
      <c r="AL163" s="611"/>
      <c r="AM163" s="430">
        <f t="shared" ca="1" si="93"/>
        <v>0</v>
      </c>
      <c r="AN163" s="654">
        <f t="shared" ca="1" si="122"/>
        <v>0</v>
      </c>
    </row>
    <row r="164" spans="1:40" ht="38.25" x14ac:dyDescent="0.2">
      <c r="A164" t="str">
        <f t="shared" si="119"/>
        <v>S</v>
      </c>
      <c r="B164">
        <f t="shared" ca="1" si="123"/>
        <v>2</v>
      </c>
      <c r="C164" t="str">
        <f t="shared" ca="1" si="124"/>
        <v>S</v>
      </c>
      <c r="D164">
        <f t="shared" ca="1" si="125"/>
        <v>0</v>
      </c>
      <c r="E164">
        <f ca="1">IF($C164=1,OFFSET(E164,-1,0)+MAX(1,COUNTIF(QCI!$A$13:$A$24,OFFSET(ORÇAMENTO!E164,-1,0))),OFFSET(E164,-1,0))</f>
        <v>1</v>
      </c>
      <c r="F164">
        <f t="shared" ca="1" si="126"/>
        <v>20</v>
      </c>
      <c r="G164">
        <f t="shared" ca="1" si="127"/>
        <v>0</v>
      </c>
      <c r="H164">
        <f t="shared" ca="1" si="128"/>
        <v>0</v>
      </c>
      <c r="I164">
        <f t="shared" ca="1" si="129"/>
        <v>0</v>
      </c>
      <c r="J164">
        <f t="shared" ca="1" si="118"/>
        <v>0</v>
      </c>
      <c r="K164">
        <f ca="1">IF(OR($C164="S",$C164=0),0,MATCH(OFFSET($D164,0,$C164)+IF($C164&lt;&gt;1,1,COUNTIF(QCI!$A$13:$A$24,ORÇAMENTO!E164)),OFFSET($D164,1,$C164,ROW($C$192)-ROW($C164)),0))</f>
        <v>0</v>
      </c>
      <c r="L164" s="143" t="str">
        <f t="shared" ca="1" si="130"/>
        <v/>
      </c>
      <c r="M164" s="144" t="s">
        <v>199</v>
      </c>
      <c r="N164" s="145" t="str">
        <f t="shared" ca="1" si="131"/>
        <v>Serviço</v>
      </c>
      <c r="O164" s="146" t="str">
        <f t="shared" ca="1" si="132"/>
        <v>-</v>
      </c>
      <c r="P164" s="147" t="s">
        <v>247</v>
      </c>
      <c r="Q164" s="148" t="s">
        <v>544</v>
      </c>
      <c r="R164" s="149" t="s">
        <v>754</v>
      </c>
      <c r="S164" s="150" t="s">
        <v>778</v>
      </c>
      <c r="T164" s="151">
        <f ca="1">OFFSET(CÁLCULO!H$15,ROW($T164)-ROW(T$15),0)</f>
        <v>6</v>
      </c>
      <c r="U164" s="152"/>
      <c r="V164" s="153" t="s">
        <v>156</v>
      </c>
      <c r="W164" s="151">
        <f ca="1">IF($C164="S",ROUND(IF(TIPOORCAMENTO="Proposto",ORÇAMENTO.CustoUnitario*(1+$AH164),ORÇAMENTO.PrecoUnitarioLicitado),15-13*$AF$10),0)</f>
        <v>0</v>
      </c>
      <c r="X164" s="154">
        <f ca="1">IF($C164="S",IF(Import.TipoArredondamento&lt;&gt;"TransfereGOV",VTOTAL1,SUM(OFFSET(CÁLCULO!$AA$15,ROW($X164)-ROW($X$15),1):OFFSET(CÁLCULO!$AL$15,ROW($X164)-ROW($X$15),-1))),IF($C164=0,0,ROUND(SomaAgrup,15-13*$AF$11)))</f>
        <v>0</v>
      </c>
      <c r="Y164" s="155" t="s">
        <v>245</v>
      </c>
      <c r="Z164" t="str">
        <f t="shared" ca="1" si="133"/>
        <v/>
      </c>
      <c r="AA164" s="156">
        <f ca="1">IF($C164="S",IF($Z164="CP",$X164,IF($Z164="RA",(($X164)*QCI!$AA$3),0)),SomaAgrup)</f>
        <v>0</v>
      </c>
      <c r="AB164" s="157">
        <f t="shared" ca="1" si="120"/>
        <v>0</v>
      </c>
      <c r="AC164" s="158" t="str">
        <f ca="1">IF($N164="","",IF(ORÇAMENTO.Descricao="","DESCRIÇÃO",IF(AND($C164="S",ORÇAMENTO.Unidade=""),"UNIDADE",IF($X164&lt;0,"VALOR NEGATIVO",IF(OR(AND(TIPOORCAMENTO="Proposto",$AG164&lt;&gt;"",$AG164&gt;0,ORÇAMENTO.CustoUnitario&gt;$AG164),AND(TIPOORCAMENTO="LICITADO",ORÇAMENTO.PrecoUnitarioLicitado&gt;$AN164)),"ACIMA REF.","")))))</f>
        <v/>
      </c>
      <c r="AD164" s="682" t="str">
        <f ca="1">IF(C164&lt;=CRONO.NivelExibicao,MAX($AD$15:OFFSET(AD164,-1,0))+IF($C164&lt;&gt;1,1,MAX(1,COUNTIF(QCI!$A$13:$A$24,OFFSET($E164,-1,0)))),"")</f>
        <v/>
      </c>
      <c r="AE164" s="114" t="str">
        <f ca="1">IF(AND($C164="S",ORÇAMENTO.CodBarra&lt;&gt;""),IF(ORÇAMENTO.Fonte="",ORÇAMENTO.CodBarra,CONCATENATE(ORÇAMENTO.Fonte," ",ORÇAMENTO.CodBarra)))</f>
        <v>SINAPI 97906</v>
      </c>
      <c r="AF164" s="159">
        <f ca="1">IF(ISERROR(INDIRECT(ORÇAMENTO.BancoRef)),"(abra o arquivo 'Referência "&amp;Excel_BuiltIn_Database&amp;".xlsm)",IF(OR($C164&lt;&gt;"S",ORÇAMENTO.CodBarra=""),"(Sem Código)",IF(ISERROR(MATCH($AE164,INDIRECT(ORÇAMENTO.BancoRef),0)),"(Código não identificado nas referências)",MATCH($AE164,INDIRECT(ORÇAMENTO.BancoRef),0))))</f>
        <v>10033</v>
      </c>
      <c r="AG164" s="578">
        <f ca="1">ROUND(IF(DESONERACAO="sim",REFERENCIA.Desonerado,REFERENCIA.NaoDesonerado),2)</f>
        <v>456.21</v>
      </c>
      <c r="AH164" s="579">
        <f t="shared" ca="1" si="121"/>
        <v>0.2034</v>
      </c>
      <c r="AJ164" s="581">
        <v>6</v>
      </c>
      <c r="AL164" s="611"/>
      <c r="AM164" s="430">
        <f t="shared" ca="1" si="93"/>
        <v>0</v>
      </c>
      <c r="AN164" s="654">
        <f t="shared" ca="1" si="122"/>
        <v>0</v>
      </c>
    </row>
    <row r="165" spans="1:40" ht="38.25" x14ac:dyDescent="0.2">
      <c r="A165" t="str">
        <f t="shared" si="119"/>
        <v>S</v>
      </c>
      <c r="B165">
        <f t="shared" ca="1" si="123"/>
        <v>2</v>
      </c>
      <c r="C165" t="str">
        <f t="shared" ca="1" si="124"/>
        <v>S</v>
      </c>
      <c r="D165">
        <f t="shared" ca="1" si="125"/>
        <v>0</v>
      </c>
      <c r="E165">
        <f ca="1">IF($C165=1,OFFSET(E165,-1,0)+MAX(1,COUNTIF(QCI!$A$13:$A$24,OFFSET(ORÇAMENTO!E165,-1,0))),OFFSET(E165,-1,0))</f>
        <v>1</v>
      </c>
      <c r="F165">
        <f t="shared" ca="1" si="126"/>
        <v>20</v>
      </c>
      <c r="G165">
        <f t="shared" ca="1" si="127"/>
        <v>0</v>
      </c>
      <c r="H165">
        <f t="shared" ca="1" si="128"/>
        <v>0</v>
      </c>
      <c r="I165">
        <f t="shared" ca="1" si="129"/>
        <v>0</v>
      </c>
      <c r="J165">
        <f t="shared" ca="1" si="118"/>
        <v>0</v>
      </c>
      <c r="K165">
        <f ca="1">IF(OR($C165="S",$C165=0),0,MATCH(OFFSET($D165,0,$C165)+IF($C165&lt;&gt;1,1,COUNTIF(QCI!$A$13:$A$24,ORÇAMENTO!E165)),OFFSET($D165,1,$C165,ROW($C$192)-ROW($C165)),0))</f>
        <v>0</v>
      </c>
      <c r="L165" s="143" t="str">
        <f t="shared" ca="1" si="130"/>
        <v/>
      </c>
      <c r="M165" s="144" t="s">
        <v>199</v>
      </c>
      <c r="N165" s="145" t="str">
        <f t="shared" ca="1" si="131"/>
        <v>Serviço</v>
      </c>
      <c r="O165" s="146" t="str">
        <f t="shared" ca="1" si="132"/>
        <v>-</v>
      </c>
      <c r="P165" s="147" t="s">
        <v>247</v>
      </c>
      <c r="Q165" s="148" t="s">
        <v>545</v>
      </c>
      <c r="R165" s="149" t="s">
        <v>755</v>
      </c>
      <c r="S165" s="150" t="s">
        <v>778</v>
      </c>
      <c r="T165" s="151">
        <f ca="1">OFFSET(CÁLCULO!H$15,ROW($T165)-ROW(T$15),0)</f>
        <v>3</v>
      </c>
      <c r="U165" s="152"/>
      <c r="V165" s="153" t="s">
        <v>156</v>
      </c>
      <c r="W165" s="151">
        <f ca="1">IF($C165="S",ROUND(IF(TIPOORCAMENTO="Proposto",ORÇAMENTO.CustoUnitario*(1+$AH165),ORÇAMENTO.PrecoUnitarioLicitado),15-13*$AF$10),0)</f>
        <v>0</v>
      </c>
      <c r="X165" s="154">
        <f ca="1">IF($C165="S",IF(Import.TipoArredondamento&lt;&gt;"TransfereGOV",VTOTAL1,SUM(OFFSET(CÁLCULO!$AA$15,ROW($X165)-ROW($X$15),1):OFFSET(CÁLCULO!$AL$15,ROW($X165)-ROW($X$15),-1))),IF($C165=0,0,ROUND(SomaAgrup,15-13*$AF$11)))</f>
        <v>0</v>
      </c>
      <c r="Y165" s="155" t="s">
        <v>245</v>
      </c>
      <c r="Z165" t="str">
        <f t="shared" ca="1" si="133"/>
        <v/>
      </c>
      <c r="AA165" s="156">
        <f ca="1">IF($C165="S",IF($Z165="CP",$X165,IF($Z165="RA",(($X165)*QCI!$AA$3),0)),SomaAgrup)</f>
        <v>0</v>
      </c>
      <c r="AB165" s="157">
        <f t="shared" ca="1" si="120"/>
        <v>0</v>
      </c>
      <c r="AC165" s="158" t="str">
        <f ca="1">IF($N165="","",IF(ORÇAMENTO.Descricao="","DESCRIÇÃO",IF(AND($C165="S",ORÇAMENTO.Unidade=""),"UNIDADE",IF($X165&lt;0,"VALOR NEGATIVO",IF(OR(AND(TIPOORCAMENTO="Proposto",$AG165&lt;&gt;"",$AG165&gt;0,ORÇAMENTO.CustoUnitario&gt;$AG165),AND(TIPOORCAMENTO="LICITADO",ORÇAMENTO.PrecoUnitarioLicitado&gt;$AN165)),"ACIMA REF.","")))))</f>
        <v/>
      </c>
      <c r="AD165" s="682" t="str">
        <f ca="1">IF(C165&lt;=CRONO.NivelExibicao,MAX($AD$15:OFFSET(AD165,-1,0))+IF($C165&lt;&gt;1,1,MAX(1,COUNTIF(QCI!$A$13:$A$24,OFFSET($E165,-1,0)))),"")</f>
        <v/>
      </c>
      <c r="AE165" s="114" t="str">
        <f ca="1">IF(AND($C165="S",ORÇAMENTO.CodBarra&lt;&gt;""),IF(ORÇAMENTO.Fonte="",ORÇAMENTO.CodBarra,CONCATENATE(ORÇAMENTO.Fonte," ",ORÇAMENTO.CodBarra)))</f>
        <v>SINAPI 89811</v>
      </c>
      <c r="AF165" s="159">
        <f ca="1">IF(ISERROR(INDIRECT(ORÇAMENTO.BancoRef)),"(abra o arquivo 'Referência "&amp;Excel_BuiltIn_Database&amp;".xlsm)",IF(OR($C165&lt;&gt;"S",ORÇAMENTO.CodBarra=""),"(Sem Código)",IF(ISERROR(MATCH($AE165,INDIRECT(ORÇAMENTO.BancoRef),0)),"(Código não identificado nas referências)",MATCH($AE165,INDIRECT(ORÇAMENTO.BancoRef),0))))</f>
        <v>9030</v>
      </c>
      <c r="AG165" s="578">
        <f ca="1">ROUND(IF(DESONERACAO="sim",REFERENCIA.Desonerado,REFERENCIA.NaoDesonerado),2)</f>
        <v>44.85</v>
      </c>
      <c r="AH165" s="579">
        <f t="shared" ca="1" si="121"/>
        <v>0.2034</v>
      </c>
      <c r="AJ165" s="581">
        <v>3</v>
      </c>
      <c r="AL165" s="611"/>
      <c r="AM165" s="430">
        <f t="shared" ca="1" si="93"/>
        <v>0</v>
      </c>
      <c r="AN165" s="654">
        <f t="shared" ca="1" si="122"/>
        <v>0</v>
      </c>
    </row>
    <row r="166" spans="1:40" ht="38.25" x14ac:dyDescent="0.2">
      <c r="A166" t="str">
        <f t="shared" si="119"/>
        <v>S</v>
      </c>
      <c r="B166">
        <f t="shared" ca="1" si="123"/>
        <v>2</v>
      </c>
      <c r="C166" t="str">
        <f t="shared" ca="1" si="124"/>
        <v>S</v>
      </c>
      <c r="D166">
        <f t="shared" ca="1" si="125"/>
        <v>0</v>
      </c>
      <c r="E166">
        <f ca="1">IF($C166=1,OFFSET(E166,-1,0)+MAX(1,COUNTIF(QCI!$A$13:$A$24,OFFSET(ORÇAMENTO!E166,-1,0))),OFFSET(E166,-1,0))</f>
        <v>1</v>
      </c>
      <c r="F166">
        <f t="shared" ca="1" si="126"/>
        <v>20</v>
      </c>
      <c r="G166">
        <f t="shared" ca="1" si="127"/>
        <v>0</v>
      </c>
      <c r="H166">
        <f t="shared" ca="1" si="128"/>
        <v>0</v>
      </c>
      <c r="I166">
        <f t="shared" ca="1" si="129"/>
        <v>0</v>
      </c>
      <c r="J166">
        <f t="shared" ca="1" si="118"/>
        <v>0</v>
      </c>
      <c r="K166">
        <f ca="1">IF(OR($C166="S",$C166=0),0,MATCH(OFFSET($D166,0,$C166)+IF($C166&lt;&gt;1,1,COUNTIF(QCI!$A$13:$A$24,ORÇAMENTO!E166)),OFFSET($D166,1,$C166,ROW($C$192)-ROW($C166)),0))</f>
        <v>0</v>
      </c>
      <c r="L166" s="143" t="str">
        <f t="shared" ca="1" si="130"/>
        <v/>
      </c>
      <c r="M166" s="144" t="s">
        <v>199</v>
      </c>
      <c r="N166" s="145" t="str">
        <f t="shared" ca="1" si="131"/>
        <v>Serviço</v>
      </c>
      <c r="O166" s="146" t="str">
        <f t="shared" ca="1" si="132"/>
        <v>-</v>
      </c>
      <c r="P166" s="147" t="s">
        <v>247</v>
      </c>
      <c r="Q166" s="148" t="s">
        <v>546</v>
      </c>
      <c r="R166" s="149" t="s">
        <v>756</v>
      </c>
      <c r="S166" s="150" t="s">
        <v>778</v>
      </c>
      <c r="T166" s="151">
        <f ca="1">OFFSET(CÁLCULO!H$15,ROW($T166)-ROW(T$15),0)</f>
        <v>3</v>
      </c>
      <c r="U166" s="152"/>
      <c r="V166" s="153" t="s">
        <v>156</v>
      </c>
      <c r="W166" s="151">
        <f ca="1">IF($C166="S",ROUND(IF(TIPOORCAMENTO="Proposto",ORÇAMENTO.CustoUnitario*(1+$AH166),ORÇAMENTO.PrecoUnitarioLicitado),15-13*$AF$10),0)</f>
        <v>0</v>
      </c>
      <c r="X166" s="154">
        <f ca="1">IF($C166="S",IF(Import.TipoArredondamento&lt;&gt;"TransfereGOV",VTOTAL1,SUM(OFFSET(CÁLCULO!$AA$15,ROW($X166)-ROW($X$15),1):OFFSET(CÁLCULO!$AL$15,ROW($X166)-ROW($X$15),-1))),IF($C166=0,0,ROUND(SomaAgrup,15-13*$AF$11)))</f>
        <v>0</v>
      </c>
      <c r="Y166" s="155" t="s">
        <v>245</v>
      </c>
      <c r="Z166" t="str">
        <f t="shared" ca="1" si="133"/>
        <v/>
      </c>
      <c r="AA166" s="156">
        <f ca="1">IF($C166="S",IF($Z166="CP",$X166,IF($Z166="RA",(($X166)*QCI!$AA$3),0)),SomaAgrup)</f>
        <v>0</v>
      </c>
      <c r="AB166" s="157">
        <f t="shared" ca="1" si="120"/>
        <v>0</v>
      </c>
      <c r="AC166" s="158" t="str">
        <f ca="1">IF($N166="","",IF(ORÇAMENTO.Descricao="","DESCRIÇÃO",IF(AND($C166="S",ORÇAMENTO.Unidade=""),"UNIDADE",IF($X166&lt;0,"VALOR NEGATIVO",IF(OR(AND(TIPOORCAMENTO="Proposto",$AG166&lt;&gt;"",$AG166&gt;0,ORÇAMENTO.CustoUnitario&gt;$AG166),AND(TIPOORCAMENTO="LICITADO",ORÇAMENTO.PrecoUnitarioLicitado&gt;$AN166)),"ACIMA REF.","")))))</f>
        <v/>
      </c>
      <c r="AD166" s="682" t="str">
        <f ca="1">IF(C166&lt;=CRONO.NivelExibicao,MAX($AD$15:OFFSET(AD166,-1,0))+IF($C166&lt;&gt;1,1,MAX(1,COUNTIF(QCI!$A$13:$A$24,OFFSET($E166,-1,0)))),"")</f>
        <v/>
      </c>
      <c r="AE166" s="114" t="str">
        <f ca="1">IF(AND($C166="S",ORÇAMENTO.CodBarra&lt;&gt;""),IF(ORÇAMENTO.Fonte="",ORÇAMENTO.CodBarra,CONCATENATE(ORÇAMENTO.Fonte," ",ORÇAMENTO.CodBarra)))</f>
        <v>SINAPI 104344</v>
      </c>
      <c r="AF166" s="159">
        <f ca="1">IF(ISERROR(INDIRECT(ORÇAMENTO.BancoRef)),"(abra o arquivo 'Referência "&amp;Excel_BuiltIn_Database&amp;".xlsm)",IF(OR($C166&lt;&gt;"S",ORÇAMENTO.CodBarra=""),"(Sem Código)",IF(ISERROR(MATCH($AE166,INDIRECT(ORÇAMENTO.BancoRef),0)),"(Código não identificado nas referências)",MATCH($AE166,INDIRECT(ORÇAMENTO.BancoRef),0))))</f>
        <v>9922</v>
      </c>
      <c r="AG166" s="578">
        <f ca="1">ROUND(IF(DESONERACAO="sim",REFERENCIA.Desonerado,REFERENCIA.NaoDesonerado),2)</f>
        <v>41.47</v>
      </c>
      <c r="AH166" s="579">
        <f t="shared" ca="1" si="121"/>
        <v>0.2034</v>
      </c>
      <c r="AJ166" s="581">
        <v>3</v>
      </c>
      <c r="AL166" s="611"/>
      <c r="AM166" s="430">
        <f t="shared" ca="1" si="93"/>
        <v>0</v>
      </c>
      <c r="AN166" s="654">
        <f t="shared" ca="1" si="122"/>
        <v>0</v>
      </c>
    </row>
    <row r="167" spans="1:40" ht="38.25" x14ac:dyDescent="0.2">
      <c r="A167" t="str">
        <f t="shared" si="119"/>
        <v>S</v>
      </c>
      <c r="B167">
        <f t="shared" ca="1" si="123"/>
        <v>2</v>
      </c>
      <c r="C167" t="str">
        <f t="shared" ca="1" si="124"/>
        <v>S</v>
      </c>
      <c r="D167">
        <f t="shared" ca="1" si="125"/>
        <v>0</v>
      </c>
      <c r="E167">
        <f ca="1">IF($C167=1,OFFSET(E167,-1,0)+MAX(1,COUNTIF(QCI!$A$13:$A$24,OFFSET(ORÇAMENTO!E167,-1,0))),OFFSET(E167,-1,0))</f>
        <v>1</v>
      </c>
      <c r="F167">
        <f t="shared" ca="1" si="126"/>
        <v>20</v>
      </c>
      <c r="G167">
        <f t="shared" ca="1" si="127"/>
        <v>0</v>
      </c>
      <c r="H167">
        <f t="shared" ca="1" si="128"/>
        <v>0</v>
      </c>
      <c r="I167">
        <f t="shared" ca="1" si="129"/>
        <v>0</v>
      </c>
      <c r="J167">
        <f t="shared" ca="1" si="118"/>
        <v>0</v>
      </c>
      <c r="K167">
        <f ca="1">IF(OR($C167="S",$C167=0),0,MATCH(OFFSET($D167,0,$C167)+IF($C167&lt;&gt;1,1,COUNTIF(QCI!$A$13:$A$24,ORÇAMENTO!E167)),OFFSET($D167,1,$C167,ROW($C$192)-ROW($C167)),0))</f>
        <v>0</v>
      </c>
      <c r="L167" s="143" t="str">
        <f t="shared" ca="1" si="130"/>
        <v/>
      </c>
      <c r="M167" s="144" t="s">
        <v>199</v>
      </c>
      <c r="N167" s="145" t="str">
        <f t="shared" ca="1" si="131"/>
        <v>Serviço</v>
      </c>
      <c r="O167" s="146" t="str">
        <f t="shared" ca="1" si="132"/>
        <v>-</v>
      </c>
      <c r="P167" s="147" t="s">
        <v>247</v>
      </c>
      <c r="Q167" s="148" t="s">
        <v>547</v>
      </c>
      <c r="R167" s="149" t="s">
        <v>757</v>
      </c>
      <c r="S167" s="150" t="s">
        <v>778</v>
      </c>
      <c r="T167" s="151">
        <f ca="1">OFFSET(CÁLCULO!H$15,ROW($T167)-ROW(T$15),0)</f>
        <v>2</v>
      </c>
      <c r="U167" s="152"/>
      <c r="V167" s="153" t="s">
        <v>156</v>
      </c>
      <c r="W167" s="151">
        <f ca="1">IF($C167="S",ROUND(IF(TIPOORCAMENTO="Proposto",ORÇAMENTO.CustoUnitario*(1+$AH167),ORÇAMENTO.PrecoUnitarioLicitado),15-13*$AF$10),0)</f>
        <v>0</v>
      </c>
      <c r="X167" s="154">
        <f ca="1">IF($C167="S",IF(Import.TipoArredondamento&lt;&gt;"TransfereGOV",VTOTAL1,SUM(OFFSET(CÁLCULO!$AA$15,ROW($X167)-ROW($X$15),1):OFFSET(CÁLCULO!$AL$15,ROW($X167)-ROW($X$15),-1))),IF($C167=0,0,ROUND(SomaAgrup,15-13*$AF$11)))</f>
        <v>0</v>
      </c>
      <c r="Y167" s="155" t="s">
        <v>245</v>
      </c>
      <c r="Z167" t="str">
        <f t="shared" ca="1" si="133"/>
        <v/>
      </c>
      <c r="AA167" s="156">
        <f ca="1">IF($C167="S",IF($Z167="CP",$X167,IF($Z167="RA",(($X167)*QCI!$AA$3),0)),SomaAgrup)</f>
        <v>0</v>
      </c>
      <c r="AB167" s="157">
        <f t="shared" ca="1" si="120"/>
        <v>0</v>
      </c>
      <c r="AC167" s="158" t="str">
        <f ca="1">IF($N167="","",IF(ORÇAMENTO.Descricao="","DESCRIÇÃO",IF(AND($C167="S",ORÇAMENTO.Unidade=""),"UNIDADE",IF($X167&lt;0,"VALOR NEGATIVO",IF(OR(AND(TIPOORCAMENTO="Proposto",$AG167&lt;&gt;"",$AG167&gt;0,ORÇAMENTO.CustoUnitario&gt;$AG167),AND(TIPOORCAMENTO="LICITADO",ORÇAMENTO.PrecoUnitarioLicitado&gt;$AN167)),"ACIMA REF.","")))))</f>
        <v/>
      </c>
      <c r="AD167" s="682" t="str">
        <f ca="1">IF(C167&lt;=CRONO.NivelExibicao,MAX($AD$15:OFFSET(AD167,-1,0))+IF($C167&lt;&gt;1,1,MAX(1,COUNTIF(QCI!$A$13:$A$24,OFFSET($E167,-1,0)))),"")</f>
        <v/>
      </c>
      <c r="AE167" s="114" t="str">
        <f ca="1">IF(AND($C167="S",ORÇAMENTO.CodBarra&lt;&gt;""),IF(ORÇAMENTO.Fonte="",ORÇAMENTO.CodBarra,CONCATENATE(ORÇAMENTO.Fonte," ",ORÇAMENTO.CodBarra)))</f>
        <v>SINAPI 89833</v>
      </c>
      <c r="AF167" s="159">
        <f ca="1">IF(ISERROR(INDIRECT(ORÇAMENTO.BancoRef)),"(abra o arquivo 'Referência "&amp;Excel_BuiltIn_Database&amp;".xlsm)",IF(OR($C167&lt;&gt;"S",ORÇAMENTO.CodBarra=""),"(Sem Código)",IF(ISERROR(MATCH($AE167,INDIRECT(ORÇAMENTO.BancoRef),0)),"(Código não identificado nas referências)",MATCH($AE167,INDIRECT(ORÇAMENTO.BancoRef),0))))</f>
        <v>9051</v>
      </c>
      <c r="AG167" s="578">
        <f ca="1">ROUND(IF(DESONERACAO="sim",REFERENCIA.Desonerado,REFERENCIA.NaoDesonerado),2)</f>
        <v>45.61</v>
      </c>
      <c r="AH167" s="579">
        <f t="shared" ca="1" si="121"/>
        <v>0.2034</v>
      </c>
      <c r="AJ167" s="581">
        <v>2</v>
      </c>
      <c r="AL167" s="611"/>
      <c r="AM167" s="430">
        <f t="shared" ca="1" si="93"/>
        <v>0</v>
      </c>
      <c r="AN167" s="654">
        <f t="shared" ca="1" si="122"/>
        <v>0</v>
      </c>
    </row>
    <row r="168" spans="1:40" ht="25.5" x14ac:dyDescent="0.2">
      <c r="A168" t="str">
        <f t="shared" si="119"/>
        <v>S</v>
      </c>
      <c r="B168">
        <f t="shared" ca="1" si="123"/>
        <v>2</v>
      </c>
      <c r="C168" t="str">
        <f t="shared" ca="1" si="124"/>
        <v>S</v>
      </c>
      <c r="D168">
        <f t="shared" ca="1" si="125"/>
        <v>0</v>
      </c>
      <c r="E168">
        <f ca="1">IF($C168=1,OFFSET(E168,-1,0)+MAX(1,COUNTIF(QCI!$A$13:$A$24,OFFSET(ORÇAMENTO!E168,-1,0))),OFFSET(E168,-1,0))</f>
        <v>1</v>
      </c>
      <c r="F168">
        <f t="shared" ca="1" si="126"/>
        <v>20</v>
      </c>
      <c r="G168">
        <f t="shared" ca="1" si="127"/>
        <v>0</v>
      </c>
      <c r="H168">
        <f t="shared" ca="1" si="128"/>
        <v>0</v>
      </c>
      <c r="I168">
        <f t="shared" ca="1" si="129"/>
        <v>0</v>
      </c>
      <c r="J168">
        <f t="shared" ca="1" si="118"/>
        <v>0</v>
      </c>
      <c r="K168">
        <f ca="1">IF(OR($C168="S",$C168=0),0,MATCH(OFFSET($D168,0,$C168)+IF($C168&lt;&gt;1,1,COUNTIF(QCI!$A$13:$A$24,ORÇAMENTO!E168)),OFFSET($D168,1,$C168,ROW($C$192)-ROW($C168)),0))</f>
        <v>0</v>
      </c>
      <c r="L168" s="143" t="str">
        <f t="shared" ca="1" si="130"/>
        <v/>
      </c>
      <c r="M168" s="144" t="s">
        <v>199</v>
      </c>
      <c r="N168" s="145" t="str">
        <f t="shared" ca="1" si="131"/>
        <v>Serviço</v>
      </c>
      <c r="O168" s="146" t="str">
        <f t="shared" ca="1" si="132"/>
        <v>-</v>
      </c>
      <c r="P168" s="147" t="s">
        <v>247</v>
      </c>
      <c r="Q168" s="148" t="s">
        <v>548</v>
      </c>
      <c r="R168" s="149" t="s">
        <v>758</v>
      </c>
      <c r="S168" s="150" t="s">
        <v>778</v>
      </c>
      <c r="T168" s="151">
        <f ca="1">OFFSET(CÁLCULO!H$15,ROW($T168)-ROW(T$15),0)</f>
        <v>2</v>
      </c>
      <c r="U168" s="152"/>
      <c r="V168" s="153" t="s">
        <v>156</v>
      </c>
      <c r="W168" s="151">
        <f ca="1">IF($C168="S",ROUND(IF(TIPOORCAMENTO="Proposto",ORÇAMENTO.CustoUnitario*(1+$AH168),ORÇAMENTO.PrecoUnitarioLicitado),15-13*$AF$10),0)</f>
        <v>0</v>
      </c>
      <c r="X168" s="154">
        <f ca="1">IF($C168="S",IF(Import.TipoArredondamento&lt;&gt;"TransfereGOV",VTOTAL1,SUM(OFFSET(CÁLCULO!$AA$15,ROW($X168)-ROW($X$15),1):OFFSET(CÁLCULO!$AL$15,ROW($X168)-ROW($X$15),-1))),IF($C168=0,0,ROUND(SomaAgrup,15-13*$AF$11)))</f>
        <v>0</v>
      </c>
      <c r="Y168" s="155" t="s">
        <v>245</v>
      </c>
      <c r="Z168" t="str">
        <f t="shared" ca="1" si="133"/>
        <v/>
      </c>
      <c r="AA168" s="156">
        <f ca="1">IF($C168="S",IF($Z168="CP",$X168,IF($Z168="RA",(($X168)*QCI!$AA$3),0)),SomaAgrup)</f>
        <v>0</v>
      </c>
      <c r="AB168" s="157">
        <f t="shared" ca="1" si="120"/>
        <v>0</v>
      </c>
      <c r="AC168" s="158" t="str">
        <f ca="1">IF($N168="","",IF(ORÇAMENTO.Descricao="","DESCRIÇÃO",IF(AND($C168="S",ORÇAMENTO.Unidade=""),"UNIDADE",IF($X168&lt;0,"VALOR NEGATIVO",IF(OR(AND(TIPOORCAMENTO="Proposto",$AG168&lt;&gt;"",$AG168&gt;0,ORÇAMENTO.CustoUnitario&gt;$AG168),AND(TIPOORCAMENTO="LICITADO",ORÇAMENTO.PrecoUnitarioLicitado&gt;$AN168)),"ACIMA REF.","")))))</f>
        <v/>
      </c>
      <c r="AD168" s="682" t="str">
        <f ca="1">IF(C168&lt;=CRONO.NivelExibicao,MAX($AD$15:OFFSET(AD168,-1,0))+IF($C168&lt;&gt;1,1,MAX(1,COUNTIF(QCI!$A$13:$A$24,OFFSET($E168,-1,0)))),"")</f>
        <v/>
      </c>
      <c r="AE168" s="114" t="str">
        <f ca="1">IF(AND($C168="S",ORÇAMENTO.CodBarra&lt;&gt;""),IF(ORÇAMENTO.Fonte="",ORÇAMENTO.CodBarra,CONCATENATE(ORÇAMENTO.Fonte," ",ORÇAMENTO.CodBarra)))</f>
        <v>SINAPI 104063</v>
      </c>
      <c r="AF168" s="159">
        <f ca="1">IF(ISERROR(INDIRECT(ORÇAMENTO.BancoRef)),"(abra o arquivo 'Referência "&amp;Excel_BuiltIn_Database&amp;".xlsm)",IF(OR($C168&lt;&gt;"S",ORÇAMENTO.CodBarra=""),"(Sem Código)",IF(ISERROR(MATCH($AE168,INDIRECT(ORÇAMENTO.BancoRef),0)),"(Código não identificado nas referências)",MATCH($AE168,INDIRECT(ORÇAMENTO.BancoRef),0))))</f>
        <v>10509</v>
      </c>
      <c r="AG168" s="578">
        <f ca="1">ROUND(IF(DESONERACAO="sim",REFERENCIA.Desonerado,REFERENCIA.NaoDesonerado),2)</f>
        <v>69.61</v>
      </c>
      <c r="AH168" s="579">
        <f t="shared" ca="1" si="121"/>
        <v>0.2034</v>
      </c>
      <c r="AJ168" s="581">
        <v>2</v>
      </c>
      <c r="AL168" s="611"/>
      <c r="AM168" s="430">
        <f t="shared" ca="1" si="93"/>
        <v>0</v>
      </c>
      <c r="AN168" s="654">
        <f t="shared" ca="1" si="122"/>
        <v>0</v>
      </c>
    </row>
    <row r="169" spans="1:40" ht="38.25" x14ac:dyDescent="0.2">
      <c r="A169" t="str">
        <f t="shared" si="119"/>
        <v>S</v>
      </c>
      <c r="B169">
        <f t="shared" ca="1" si="123"/>
        <v>2</v>
      </c>
      <c r="C169" t="str">
        <f t="shared" ca="1" si="124"/>
        <v>S</v>
      </c>
      <c r="D169">
        <f t="shared" ca="1" si="125"/>
        <v>0</v>
      </c>
      <c r="E169">
        <f ca="1">IF($C169=1,OFFSET(E169,-1,0)+MAX(1,COUNTIF(QCI!$A$13:$A$24,OFFSET(ORÇAMENTO!E169,-1,0))),OFFSET(E169,-1,0))</f>
        <v>1</v>
      </c>
      <c r="F169">
        <f t="shared" ca="1" si="126"/>
        <v>20</v>
      </c>
      <c r="G169">
        <f t="shared" ca="1" si="127"/>
        <v>0</v>
      </c>
      <c r="H169">
        <f t="shared" ca="1" si="128"/>
        <v>0</v>
      </c>
      <c r="I169">
        <f t="shared" ca="1" si="129"/>
        <v>0</v>
      </c>
      <c r="J169">
        <f t="shared" ca="1" si="118"/>
        <v>0</v>
      </c>
      <c r="K169">
        <f ca="1">IF(OR($C169="S",$C169=0),0,MATCH(OFFSET($D169,0,$C169)+IF($C169&lt;&gt;1,1,COUNTIF(QCI!$A$13:$A$24,ORÇAMENTO!E169)),OFFSET($D169,1,$C169,ROW($C$192)-ROW($C169)),0))</f>
        <v>0</v>
      </c>
      <c r="L169" s="143" t="str">
        <f t="shared" ca="1" si="130"/>
        <v/>
      </c>
      <c r="M169" s="144" t="s">
        <v>199</v>
      </c>
      <c r="N169" s="145" t="str">
        <f t="shared" ca="1" si="131"/>
        <v>Serviço</v>
      </c>
      <c r="O169" s="146" t="str">
        <f t="shared" ca="1" si="132"/>
        <v>-</v>
      </c>
      <c r="P169" s="147" t="s">
        <v>247</v>
      </c>
      <c r="Q169" s="148" t="s">
        <v>549</v>
      </c>
      <c r="R169" s="149" t="s">
        <v>759</v>
      </c>
      <c r="S169" s="150" t="s">
        <v>778</v>
      </c>
      <c r="T169" s="151">
        <f ca="1">OFFSET(CÁLCULO!H$15,ROW($T169)-ROW(T$15),0)</f>
        <v>9</v>
      </c>
      <c r="U169" s="152"/>
      <c r="V169" s="153" t="s">
        <v>156</v>
      </c>
      <c r="W169" s="151">
        <f ca="1">IF($C169="S",ROUND(IF(TIPOORCAMENTO="Proposto",ORÇAMENTO.CustoUnitario*(1+$AH169),ORÇAMENTO.PrecoUnitarioLicitado),15-13*$AF$10),0)</f>
        <v>0</v>
      </c>
      <c r="X169" s="154">
        <f ca="1">IF($C169="S",IF(Import.TipoArredondamento&lt;&gt;"TransfereGOV",VTOTAL1,SUM(OFFSET(CÁLCULO!$AA$15,ROW($X169)-ROW($X$15),1):OFFSET(CÁLCULO!$AL$15,ROW($X169)-ROW($X$15),-1))),IF($C169=0,0,ROUND(SomaAgrup,15-13*$AF$11)))</f>
        <v>0</v>
      </c>
      <c r="Y169" s="155" t="s">
        <v>245</v>
      </c>
      <c r="Z169" t="str">
        <f t="shared" ca="1" si="133"/>
        <v/>
      </c>
      <c r="AA169" s="156">
        <f ca="1">IF($C169="S",IF($Z169="CP",$X169,IF($Z169="RA",(($X169)*QCI!$AA$3),0)),SomaAgrup)</f>
        <v>0</v>
      </c>
      <c r="AB169" s="157">
        <f t="shared" ca="1" si="120"/>
        <v>0</v>
      </c>
      <c r="AC169" s="158" t="str">
        <f ca="1">IF($N169="","",IF(ORÇAMENTO.Descricao="","DESCRIÇÃO",IF(AND($C169="S",ORÇAMENTO.Unidade=""),"UNIDADE",IF($X169&lt;0,"VALOR NEGATIVO",IF(OR(AND(TIPOORCAMENTO="Proposto",$AG169&lt;&gt;"",$AG169&gt;0,ORÇAMENTO.CustoUnitario&gt;$AG169),AND(TIPOORCAMENTO="LICITADO",ORÇAMENTO.PrecoUnitarioLicitado&gt;$AN169)),"ACIMA REF.","")))))</f>
        <v/>
      </c>
      <c r="AD169" s="682" t="str">
        <f ca="1">IF(C169&lt;=CRONO.NivelExibicao,MAX($AD$15:OFFSET(AD169,-1,0))+IF($C169&lt;&gt;1,1,MAX(1,COUNTIF(QCI!$A$13:$A$24,OFFSET($E169,-1,0)))),"")</f>
        <v/>
      </c>
      <c r="AE169" s="114" t="str">
        <f ca="1">IF(AND($C169="S",ORÇAMENTO.CodBarra&lt;&gt;""),IF(ORÇAMENTO.Fonte="",ORÇAMENTO.CodBarra,CONCATENATE(ORÇAMENTO.Fonte," ",ORÇAMENTO.CodBarra)))</f>
        <v>SINAPI 89733</v>
      </c>
      <c r="AF169" s="159">
        <f ca="1">IF(ISERROR(INDIRECT(ORÇAMENTO.BancoRef)),"(abra o arquivo 'Referência "&amp;Excel_BuiltIn_Database&amp;".xlsm)",IF(OR($C169&lt;&gt;"S",ORÇAMENTO.CodBarra=""),"(Sem Código)",IF(ISERROR(MATCH($AE169,INDIRECT(ORÇAMENTO.BancoRef),0)),"(Código não identificado nas referências)",MATCH($AE169,INDIRECT(ORÇAMENTO.BancoRef),0))))</f>
        <v>8962</v>
      </c>
      <c r="AG169" s="578">
        <f ca="1">ROUND(IF(DESONERACAO="sim",REFERENCIA.Desonerado,REFERENCIA.NaoDesonerado),2)</f>
        <v>23.94</v>
      </c>
      <c r="AH169" s="579">
        <f t="shared" ca="1" si="121"/>
        <v>0.2034</v>
      </c>
      <c r="AJ169" s="581">
        <v>9</v>
      </c>
      <c r="AL169" s="611"/>
      <c r="AM169" s="430">
        <f t="shared" ca="1" si="93"/>
        <v>0</v>
      </c>
      <c r="AN169" s="654">
        <f t="shared" ca="1" si="122"/>
        <v>0</v>
      </c>
    </row>
    <row r="170" spans="1:40" ht="38.25" x14ac:dyDescent="0.2">
      <c r="A170" t="str">
        <f t="shared" si="119"/>
        <v>S</v>
      </c>
      <c r="B170">
        <f t="shared" ca="1" si="123"/>
        <v>2</v>
      </c>
      <c r="C170" t="str">
        <f t="shared" ca="1" si="124"/>
        <v>S</v>
      </c>
      <c r="D170">
        <f t="shared" ca="1" si="125"/>
        <v>0</v>
      </c>
      <c r="E170">
        <f ca="1">IF($C170=1,OFFSET(E170,-1,0)+MAX(1,COUNTIF(QCI!$A$13:$A$24,OFFSET(ORÇAMENTO!E170,-1,0))),OFFSET(E170,-1,0))</f>
        <v>1</v>
      </c>
      <c r="F170">
        <f t="shared" ca="1" si="126"/>
        <v>20</v>
      </c>
      <c r="G170">
        <f t="shared" ca="1" si="127"/>
        <v>0</v>
      </c>
      <c r="H170">
        <f t="shared" ca="1" si="128"/>
        <v>0</v>
      </c>
      <c r="I170">
        <f t="shared" ca="1" si="129"/>
        <v>0</v>
      </c>
      <c r="J170">
        <f t="shared" ca="1" si="118"/>
        <v>0</v>
      </c>
      <c r="K170">
        <f ca="1">IF(OR($C170="S",$C170=0),0,MATCH(OFFSET($D170,0,$C170)+IF($C170&lt;&gt;1,1,COUNTIF(QCI!$A$13:$A$24,ORÇAMENTO!E170)),OFFSET($D170,1,$C170,ROW($C$192)-ROW($C170)),0))</f>
        <v>0</v>
      </c>
      <c r="L170" s="143" t="str">
        <f t="shared" ca="1" si="130"/>
        <v/>
      </c>
      <c r="M170" s="144" t="s">
        <v>199</v>
      </c>
      <c r="N170" s="145" t="str">
        <f t="shared" ca="1" si="131"/>
        <v>Serviço</v>
      </c>
      <c r="O170" s="146" t="str">
        <f t="shared" ca="1" si="132"/>
        <v>-</v>
      </c>
      <c r="P170" s="147" t="s">
        <v>247</v>
      </c>
      <c r="Q170" s="148" t="s">
        <v>550</v>
      </c>
      <c r="R170" s="149" t="s">
        <v>760</v>
      </c>
      <c r="S170" s="150" t="s">
        <v>778</v>
      </c>
      <c r="T170" s="151">
        <f ca="1">OFFSET(CÁLCULO!H$15,ROW($T170)-ROW(T$15),0)</f>
        <v>3</v>
      </c>
      <c r="U170" s="152"/>
      <c r="V170" s="153" t="s">
        <v>156</v>
      </c>
      <c r="W170" s="151">
        <f ca="1">IF($C170="S",ROUND(IF(TIPOORCAMENTO="Proposto",ORÇAMENTO.CustoUnitario*(1+$AH170),ORÇAMENTO.PrecoUnitarioLicitado),15-13*$AF$10),0)</f>
        <v>0</v>
      </c>
      <c r="X170" s="154">
        <f ca="1">IF($C170="S",IF(Import.TipoArredondamento&lt;&gt;"TransfereGOV",VTOTAL1,SUM(OFFSET(CÁLCULO!$AA$15,ROW($X170)-ROW($X$15),1):OFFSET(CÁLCULO!$AL$15,ROW($X170)-ROW($X$15),-1))),IF($C170=0,0,ROUND(SomaAgrup,15-13*$AF$11)))</f>
        <v>0</v>
      </c>
      <c r="Y170" s="155" t="s">
        <v>245</v>
      </c>
      <c r="Z170" t="str">
        <f t="shared" ca="1" si="133"/>
        <v/>
      </c>
      <c r="AA170" s="156">
        <f ca="1">IF($C170="S",IF($Z170="CP",$X170,IF($Z170="RA",(($X170)*QCI!$AA$3),0)),SomaAgrup)</f>
        <v>0</v>
      </c>
      <c r="AB170" s="157">
        <f t="shared" ca="1" si="120"/>
        <v>0</v>
      </c>
      <c r="AC170" s="158" t="str">
        <f ca="1">IF($N170="","",IF(ORÇAMENTO.Descricao="","DESCRIÇÃO",IF(AND($C170="S",ORÇAMENTO.Unidade=""),"UNIDADE",IF($X170&lt;0,"VALOR NEGATIVO",IF(OR(AND(TIPOORCAMENTO="Proposto",$AG170&lt;&gt;"",$AG170&gt;0,ORÇAMENTO.CustoUnitario&gt;$AG170),AND(TIPOORCAMENTO="LICITADO",ORÇAMENTO.PrecoUnitarioLicitado&gt;$AN170)),"ACIMA REF.","")))))</f>
        <v/>
      </c>
      <c r="AD170" s="682" t="str">
        <f ca="1">IF(C170&lt;=CRONO.NivelExibicao,MAX($AD$15:OFFSET(AD170,-1,0))+IF($C170&lt;&gt;1,1,MAX(1,COUNTIF(QCI!$A$13:$A$24,OFFSET($E170,-1,0)))),"")</f>
        <v/>
      </c>
      <c r="AE170" s="114" t="str">
        <f ca="1">IF(AND($C170="S",ORÇAMENTO.CodBarra&lt;&gt;""),IF(ORÇAMENTO.Fonte="",ORÇAMENTO.CodBarra,CONCATENATE(ORÇAMENTO.Fonte," ",ORÇAMENTO.CodBarra)))</f>
        <v>SINAPI 104329</v>
      </c>
      <c r="AF170" s="159">
        <f ca="1">IF(ISERROR(INDIRECT(ORÇAMENTO.BancoRef)),"(abra o arquivo 'Referência "&amp;Excel_BuiltIn_Database&amp;".xlsm)",IF(OR($C170&lt;&gt;"S",ORÇAMENTO.CodBarra=""),"(Sem Código)",IF(ISERROR(MATCH($AE170,INDIRECT(ORÇAMENTO.BancoRef),0)),"(Código não identificado nas referências)",MATCH($AE170,INDIRECT(ORÇAMENTO.BancoRef),0))))</f>
        <v>10098</v>
      </c>
      <c r="AG170" s="578">
        <f ca="1">ROUND(IF(DESONERACAO="sim",REFERENCIA.Desonerado,REFERENCIA.NaoDesonerado),2)</f>
        <v>76.510000000000005</v>
      </c>
      <c r="AH170" s="579">
        <f t="shared" ca="1" si="121"/>
        <v>0.2034</v>
      </c>
      <c r="AJ170" s="581">
        <v>3</v>
      </c>
      <c r="AL170" s="611"/>
      <c r="AM170" s="430">
        <f t="shared" ca="1" si="93"/>
        <v>0</v>
      </c>
      <c r="AN170" s="654">
        <f t="shared" ca="1" si="122"/>
        <v>0</v>
      </c>
    </row>
    <row r="171" spans="1:40" x14ac:dyDescent="0.2">
      <c r="A171">
        <f t="shared" si="119"/>
        <v>2</v>
      </c>
      <c r="B171">
        <f t="shared" ca="1" si="123"/>
        <v>2</v>
      </c>
      <c r="C171">
        <f t="shared" ca="1" si="124"/>
        <v>2</v>
      </c>
      <c r="D171">
        <f t="shared" ca="1" si="125"/>
        <v>4</v>
      </c>
      <c r="E171">
        <f ca="1">IF($C171=1,OFFSET(E171,-1,0)+MAX(1,COUNTIF(QCI!$A$13:$A$24,OFFSET(ORÇAMENTO!E171,-1,0))),OFFSET(E171,-1,0))</f>
        <v>1</v>
      </c>
      <c r="F171">
        <f t="shared" ca="1" si="126"/>
        <v>21</v>
      </c>
      <c r="G171">
        <f t="shared" ca="1" si="127"/>
        <v>0</v>
      </c>
      <c r="H171">
        <f t="shared" ca="1" si="128"/>
        <v>0</v>
      </c>
      <c r="I171">
        <f t="shared" ca="1" si="129"/>
        <v>0</v>
      </c>
      <c r="J171">
        <f t="shared" ca="1" si="118"/>
        <v>21</v>
      </c>
      <c r="K171">
        <f ca="1">IF(OR($C171="S",$C171=0),0,MATCH(OFFSET($D171,0,$C171)+IF($C171&lt;&gt;1,1,COUNTIF(QCI!$A$13:$A$24,ORÇAMENTO!E171)),OFFSET($D171,1,$C171,ROW($C$192)-ROW($C171)),0))</f>
        <v>4</v>
      </c>
      <c r="L171" s="143" t="str">
        <f t="shared" ca="1" si="130"/>
        <v>F</v>
      </c>
      <c r="M171" s="144" t="s">
        <v>196</v>
      </c>
      <c r="N171" s="145" t="str">
        <f t="shared" ca="1" si="131"/>
        <v>Nível 2</v>
      </c>
      <c r="O171" s="146" t="str">
        <f t="shared" ca="1" si="132"/>
        <v>1.21.</v>
      </c>
      <c r="P171" s="147" t="s">
        <v>247</v>
      </c>
      <c r="Q171" s="148"/>
      <c r="R171" s="149" t="s">
        <v>526</v>
      </c>
      <c r="S171" s="150" t="s">
        <v>166</v>
      </c>
      <c r="T171" s="151">
        <f ca="1">OFFSET(CÁLCULO!H$15,ROW($T171)-ROW(T$15),0)</f>
        <v>0</v>
      </c>
      <c r="U171" s="152"/>
      <c r="V171" s="153" t="s">
        <v>156</v>
      </c>
      <c r="W171" s="151">
        <f ca="1">IF($C171="S",ROUND(IF(TIPOORCAMENTO="Proposto",ORÇAMENTO.CustoUnitario*(1+$AH171),ORÇAMENTO.PrecoUnitarioLicitado),15-13*$AF$10),0)</f>
        <v>0</v>
      </c>
      <c r="X171" s="154">
        <f ca="1">IF($C171="S",IF(Import.TipoArredondamento&lt;&gt;"TransfereGOV",VTOTAL1,SUM(OFFSET(CÁLCULO!$AA$15,ROW($X171)-ROW($X$15),1):OFFSET(CÁLCULO!$AL$15,ROW($X171)-ROW($X$15),-1))),IF($C171=0,0,ROUND(SomaAgrup,15-13*$AF$11)))</f>
        <v>0</v>
      </c>
      <c r="Y171" s="155" t="s">
        <v>245</v>
      </c>
      <c r="Z171" t="str">
        <f t="shared" ca="1" si="133"/>
        <v/>
      </c>
      <c r="AA171" s="156">
        <f ca="1">IF($C171="S",IF($Z171="CP",$X171,IF($Z171="RA",(($X171)*QCI!$AA$3),0)),SomaAgrup)</f>
        <v>0</v>
      </c>
      <c r="AB171" s="157">
        <f t="shared" ca="1" si="120"/>
        <v>0</v>
      </c>
      <c r="AC171" s="158" t="str">
        <f ca="1">IF($N171="","",IF(ORÇAMENTO.Descricao="","DESCRIÇÃO",IF(AND($C171="S",ORÇAMENTO.Unidade=""),"UNIDADE",IF($X171&lt;0,"VALOR NEGATIVO",IF(OR(AND(TIPOORCAMENTO="Proposto",$AG171&lt;&gt;"",$AG171&gt;0,ORÇAMENTO.CustoUnitario&gt;$AG171),AND(TIPOORCAMENTO="LICITADO",ORÇAMENTO.PrecoUnitarioLicitado&gt;$AN171)),"ACIMA REF.","")))))</f>
        <v/>
      </c>
      <c r="AD171" s="682">
        <f ca="1">IF(C171&lt;=CRONO.NivelExibicao,MAX($AD$15:OFFSET(AD171,-1,0))+IF($C171&lt;&gt;1,1,MAX(1,COUNTIF(QCI!$A$13:$A$24,OFFSET($E171,-1,0)))),"")</f>
        <v>22</v>
      </c>
      <c r="AE171" s="114" t="b">
        <f ca="1">IF(AND($C171="S",ORÇAMENTO.CodBarra&lt;&gt;""),IF(ORÇAMENTO.Fonte="",ORÇAMENTO.CodBarra,CONCATENATE(ORÇAMENTO.Fonte," ",ORÇAMENTO.CodBarra)))</f>
        <v>0</v>
      </c>
      <c r="AF171" s="159" t="str">
        <f ca="1">IF(ISERROR(INDIRECT(ORÇAMENTO.BancoRef)),"(abra o arquivo 'Referência "&amp;Excel_BuiltIn_Database&amp;".xlsm)",IF(OR($C171&lt;&gt;"S",ORÇAMENTO.CodBarra=""),"(Sem Código)",IF(ISERROR(MATCH($AE171,INDIRECT(ORÇAMENTO.BancoRef),0)),"(Código não identificado nas referências)",MATCH($AE171,INDIRECT(ORÇAMENTO.BancoRef),0))))</f>
        <v>(Sem Código)</v>
      </c>
      <c r="AG171" s="578">
        <f ca="1">ROUND(IF(DESONERACAO="sim",REFERENCIA.Desonerado,REFERENCIA.NaoDesonerado),2)</f>
        <v>0</v>
      </c>
      <c r="AH171" s="579">
        <f t="shared" ca="1" si="121"/>
        <v>0.2034</v>
      </c>
      <c r="AJ171" s="581"/>
      <c r="AL171" s="611"/>
      <c r="AM171" s="430">
        <f t="shared" ca="1" si="93"/>
        <v>0</v>
      </c>
      <c r="AN171" s="654">
        <f t="shared" ca="1" si="122"/>
        <v>0</v>
      </c>
    </row>
    <row r="172" spans="1:40" ht="38.25" x14ac:dyDescent="0.2">
      <c r="A172" t="str">
        <f t="shared" si="119"/>
        <v>S</v>
      </c>
      <c r="B172">
        <f t="shared" ca="1" si="123"/>
        <v>2</v>
      </c>
      <c r="C172" t="str">
        <f t="shared" ca="1" si="124"/>
        <v>S</v>
      </c>
      <c r="D172">
        <f t="shared" ca="1" si="125"/>
        <v>0</v>
      </c>
      <c r="E172">
        <f ca="1">IF($C172=1,OFFSET(E172,-1,0)+MAX(1,COUNTIF(QCI!$A$13:$A$24,OFFSET(ORÇAMENTO!E172,-1,0))),OFFSET(E172,-1,0))</f>
        <v>1</v>
      </c>
      <c r="F172">
        <f t="shared" ca="1" si="126"/>
        <v>21</v>
      </c>
      <c r="G172">
        <f t="shared" ca="1" si="127"/>
        <v>0</v>
      </c>
      <c r="H172">
        <f t="shared" ca="1" si="128"/>
        <v>0</v>
      </c>
      <c r="I172">
        <f t="shared" ca="1" si="129"/>
        <v>0</v>
      </c>
      <c r="J172">
        <f t="shared" ca="1" si="118"/>
        <v>0</v>
      </c>
      <c r="K172">
        <f ca="1">IF(OR($C172="S",$C172=0),0,MATCH(OFFSET($D172,0,$C172)+IF($C172&lt;&gt;1,1,COUNTIF(QCI!$A$13:$A$24,ORÇAMENTO!E172)),OFFSET($D172,1,$C172,ROW($C$192)-ROW($C172)),0))</f>
        <v>0</v>
      </c>
      <c r="L172" s="143" t="str">
        <f t="shared" ca="1" si="130"/>
        <v/>
      </c>
      <c r="M172" s="144" t="s">
        <v>199</v>
      </c>
      <c r="N172" s="145" t="str">
        <f t="shared" ca="1" si="131"/>
        <v>Serviço</v>
      </c>
      <c r="O172" s="146" t="str">
        <f t="shared" ca="1" si="132"/>
        <v>-</v>
      </c>
      <c r="P172" s="147" t="s">
        <v>247</v>
      </c>
      <c r="Q172" s="148" t="s">
        <v>524</v>
      </c>
      <c r="R172" s="149" t="s">
        <v>761</v>
      </c>
      <c r="S172" s="150" t="s">
        <v>778</v>
      </c>
      <c r="T172" s="151">
        <f ca="1">OFFSET(CÁLCULO!H$15,ROW($T172)-ROW(T$15),0)</f>
        <v>3</v>
      </c>
      <c r="U172" s="152"/>
      <c r="V172" s="153" t="s">
        <v>156</v>
      </c>
      <c r="W172" s="151">
        <f ca="1">IF($C172="S",ROUND(IF(TIPOORCAMENTO="Proposto",ORÇAMENTO.CustoUnitario*(1+$AH172),ORÇAMENTO.PrecoUnitarioLicitado),15-13*$AF$10),0)</f>
        <v>0</v>
      </c>
      <c r="X172" s="154">
        <f ca="1">IF($C172="S",IF(Import.TipoArredondamento&lt;&gt;"TransfereGOV",VTOTAL1,SUM(OFFSET(CÁLCULO!$AA$15,ROW($X172)-ROW($X$15),1):OFFSET(CÁLCULO!$AL$15,ROW($X172)-ROW($X$15),-1))),IF($C172=0,0,ROUND(SomaAgrup,15-13*$AF$11)))</f>
        <v>0</v>
      </c>
      <c r="Y172" s="155" t="s">
        <v>245</v>
      </c>
      <c r="Z172" t="str">
        <f t="shared" ca="1" si="133"/>
        <v/>
      </c>
      <c r="AA172" s="156">
        <f ca="1">IF($C172="S",IF($Z172="CP",$X172,IF($Z172="RA",(($X172)*QCI!$AA$3),0)),SomaAgrup)</f>
        <v>0</v>
      </c>
      <c r="AB172" s="157">
        <f t="shared" ca="1" si="120"/>
        <v>0</v>
      </c>
      <c r="AC172" s="158" t="str">
        <f ca="1">IF($N172="","",IF(ORÇAMENTO.Descricao="","DESCRIÇÃO",IF(AND($C172="S",ORÇAMENTO.Unidade=""),"UNIDADE",IF($X172&lt;0,"VALOR NEGATIVO",IF(OR(AND(TIPOORCAMENTO="Proposto",$AG172&lt;&gt;"",$AG172&gt;0,ORÇAMENTO.CustoUnitario&gt;$AG172),AND(TIPOORCAMENTO="LICITADO",ORÇAMENTO.PrecoUnitarioLicitado&gt;$AN172)),"ACIMA REF.","")))))</f>
        <v/>
      </c>
      <c r="AD172" s="682" t="str">
        <f ca="1">IF(C172&lt;=CRONO.NivelExibicao,MAX($AD$15:OFFSET(AD172,-1,0))+IF($C172&lt;&gt;1,1,MAX(1,COUNTIF(QCI!$A$13:$A$24,OFFSET($E172,-1,0)))),"")</f>
        <v/>
      </c>
      <c r="AE172" s="114" t="str">
        <f ca="1">IF(AND($C172="S",ORÇAMENTO.CodBarra&lt;&gt;""),IF(ORÇAMENTO.Fonte="",ORÇAMENTO.CodBarra,CONCATENATE(ORÇAMENTO.Fonte," ",ORÇAMENTO.CodBarra)))</f>
        <v>SINAPI 86932</v>
      </c>
      <c r="AF172" s="159">
        <f ca="1">IF(ISERROR(INDIRECT(ORÇAMENTO.BancoRef)),"(abra o arquivo 'Referência "&amp;Excel_BuiltIn_Database&amp;".xlsm)",IF(OR($C172&lt;&gt;"S",ORÇAMENTO.CodBarra=""),"(Sem Código)",IF(ISERROR(MATCH($AE172,INDIRECT(ORÇAMENTO.BancoRef),0)),"(Código não identificado nas referências)",MATCH($AE172,INDIRECT(ORÇAMENTO.BancoRef),0))))</f>
        <v>10148</v>
      </c>
      <c r="AG172" s="578">
        <f ca="1">ROUND(IF(DESONERACAO="sim",REFERENCIA.Desonerado,REFERENCIA.NaoDesonerado),2)</f>
        <v>542.37</v>
      </c>
      <c r="AH172" s="579">
        <f t="shared" ca="1" si="121"/>
        <v>0.2034</v>
      </c>
      <c r="AJ172" s="581">
        <v>3</v>
      </c>
      <c r="AL172" s="611"/>
      <c r="AM172" s="430">
        <f t="shared" ca="1" si="93"/>
        <v>0</v>
      </c>
      <c r="AN172" s="654">
        <f t="shared" ca="1" si="122"/>
        <v>0</v>
      </c>
    </row>
    <row r="173" spans="1:40" ht="63.75" x14ac:dyDescent="0.2">
      <c r="A173" t="str">
        <f t="shared" si="119"/>
        <v>S</v>
      </c>
      <c r="B173">
        <f t="shared" ca="1" si="123"/>
        <v>2</v>
      </c>
      <c r="C173" t="str">
        <f t="shared" ca="1" si="124"/>
        <v>S</v>
      </c>
      <c r="D173">
        <f t="shared" ca="1" si="125"/>
        <v>0</v>
      </c>
      <c r="E173">
        <f ca="1">IF($C173=1,OFFSET(E173,-1,0)+MAX(1,COUNTIF(QCI!$A$13:$A$24,OFFSET(ORÇAMENTO!E173,-1,0))),OFFSET(E173,-1,0))</f>
        <v>1</v>
      </c>
      <c r="F173">
        <f t="shared" ca="1" si="126"/>
        <v>21</v>
      </c>
      <c r="G173">
        <f t="shared" ca="1" si="127"/>
        <v>0</v>
      </c>
      <c r="H173">
        <f t="shared" ca="1" si="128"/>
        <v>0</v>
      </c>
      <c r="I173">
        <f t="shared" ca="1" si="129"/>
        <v>0</v>
      </c>
      <c r="J173">
        <f t="shared" ca="1" si="118"/>
        <v>0</v>
      </c>
      <c r="K173">
        <f ca="1">IF(OR($C173="S",$C173=0),0,MATCH(OFFSET($D173,0,$C173)+IF($C173&lt;&gt;1,1,COUNTIF(QCI!$A$13:$A$24,ORÇAMENTO!E173)),OFFSET($D173,1,$C173,ROW($C$192)-ROW($C173)),0))</f>
        <v>0</v>
      </c>
      <c r="L173" s="143" t="str">
        <f t="shared" ca="1" si="130"/>
        <v/>
      </c>
      <c r="M173" s="144" t="s">
        <v>199</v>
      </c>
      <c r="N173" s="145" t="str">
        <f t="shared" ca="1" si="131"/>
        <v>Serviço</v>
      </c>
      <c r="O173" s="146" t="str">
        <f t="shared" ca="1" si="132"/>
        <v>-</v>
      </c>
      <c r="P173" s="147" t="s">
        <v>247</v>
      </c>
      <c r="Q173" s="148" t="s">
        <v>525</v>
      </c>
      <c r="R173" s="149" t="s">
        <v>762</v>
      </c>
      <c r="S173" s="150" t="s">
        <v>778</v>
      </c>
      <c r="T173" s="151">
        <f ca="1">OFFSET(CÁLCULO!H$15,ROW($T173)-ROW(T$15),0)</f>
        <v>1</v>
      </c>
      <c r="U173" s="152"/>
      <c r="V173" s="153" t="s">
        <v>156</v>
      </c>
      <c r="W173" s="151">
        <f ca="1">IF($C173="S",ROUND(IF(TIPOORCAMENTO="Proposto",ORÇAMENTO.CustoUnitario*(1+$AH173),ORÇAMENTO.PrecoUnitarioLicitado),15-13*$AF$10),0)</f>
        <v>0</v>
      </c>
      <c r="X173" s="154">
        <f ca="1">IF($C173="S",IF(Import.TipoArredondamento&lt;&gt;"TransfereGOV",VTOTAL1,SUM(OFFSET(CÁLCULO!$AA$15,ROW($X173)-ROW($X$15),1):OFFSET(CÁLCULO!$AL$15,ROW($X173)-ROW($X$15),-1))),IF($C173=0,0,ROUND(SomaAgrup,15-13*$AF$11)))</f>
        <v>0</v>
      </c>
      <c r="Y173" s="155" t="s">
        <v>245</v>
      </c>
      <c r="Z173" t="str">
        <f t="shared" ca="1" si="133"/>
        <v/>
      </c>
      <c r="AA173" s="156">
        <f ca="1">IF($C173="S",IF($Z173="CP",$X173,IF($Z173="RA",(($X173)*QCI!$AA$3),0)),SomaAgrup)</f>
        <v>0</v>
      </c>
      <c r="AB173" s="157">
        <f t="shared" ca="1" si="120"/>
        <v>0</v>
      </c>
      <c r="AC173" s="158" t="str">
        <f ca="1">IF($N173="","",IF(ORÇAMENTO.Descricao="","DESCRIÇÃO",IF(AND($C173="S",ORÇAMENTO.Unidade=""),"UNIDADE",IF($X173&lt;0,"VALOR NEGATIVO",IF(OR(AND(TIPOORCAMENTO="Proposto",$AG173&lt;&gt;"",$AG173&gt;0,ORÇAMENTO.CustoUnitario&gt;$AG173),AND(TIPOORCAMENTO="LICITADO",ORÇAMENTO.PrecoUnitarioLicitado&gt;$AN173)),"ACIMA REF.","")))))</f>
        <v/>
      </c>
      <c r="AD173" s="682" t="str">
        <f ca="1">IF(C173&lt;=CRONO.NivelExibicao,MAX($AD$15:OFFSET(AD173,-1,0))+IF($C173&lt;&gt;1,1,MAX(1,COUNTIF(QCI!$A$13:$A$24,OFFSET($E173,-1,0)))),"")</f>
        <v/>
      </c>
      <c r="AE173" s="114" t="str">
        <f ca="1">IF(AND($C173="S",ORÇAMENTO.CodBarra&lt;&gt;""),IF(ORÇAMENTO.Fonte="",ORÇAMENTO.CodBarra,CONCATENATE(ORÇAMENTO.Fonte," ",ORÇAMENTO.CodBarra)))</f>
        <v>SINAPI 93441</v>
      </c>
      <c r="AF173" s="159">
        <f ca="1">IF(ISERROR(INDIRECT(ORÇAMENTO.BancoRef)),"(abra o arquivo 'Referência "&amp;Excel_BuiltIn_Database&amp;".xlsm)",IF(OR($C173&lt;&gt;"S",ORÇAMENTO.CodBarra=""),"(Sem Código)",IF(ISERROR(MATCH($AE173,INDIRECT(ORÇAMENTO.BancoRef),0)),"(Código não identificado nas referências)",MATCH($AE173,INDIRECT(ORÇAMENTO.BancoRef),0))))</f>
        <v>10162</v>
      </c>
      <c r="AG173" s="578">
        <f ca="1">ROUND(IF(DESONERACAO="sim",REFERENCIA.Desonerado,REFERENCIA.NaoDesonerado),2)</f>
        <v>1267.4100000000001</v>
      </c>
      <c r="AH173" s="579">
        <f t="shared" ca="1" si="121"/>
        <v>0.2034</v>
      </c>
      <c r="AJ173" s="581">
        <v>1</v>
      </c>
      <c r="AL173" s="611"/>
      <c r="AM173" s="430">
        <f t="shared" ca="1" si="93"/>
        <v>0</v>
      </c>
      <c r="AN173" s="654">
        <f t="shared" ca="1" si="122"/>
        <v>0</v>
      </c>
    </row>
    <row r="174" spans="1:40" ht="63.75" x14ac:dyDescent="0.2">
      <c r="A174" t="str">
        <f t="shared" si="119"/>
        <v>S</v>
      </c>
      <c r="B174">
        <f t="shared" ca="1" si="123"/>
        <v>2</v>
      </c>
      <c r="C174" t="str">
        <f t="shared" ca="1" si="124"/>
        <v>S</v>
      </c>
      <c r="D174">
        <f t="shared" ca="1" si="125"/>
        <v>0</v>
      </c>
      <c r="E174">
        <f ca="1">IF($C174=1,OFFSET(E174,-1,0)+MAX(1,COUNTIF(QCI!$A$13:$A$24,OFFSET(ORÇAMENTO!E174,-1,0))),OFFSET(E174,-1,0))</f>
        <v>1</v>
      </c>
      <c r="F174">
        <f t="shared" ca="1" si="126"/>
        <v>21</v>
      </c>
      <c r="G174">
        <f t="shared" ca="1" si="127"/>
        <v>0</v>
      </c>
      <c r="H174">
        <f t="shared" ca="1" si="128"/>
        <v>0</v>
      </c>
      <c r="I174">
        <f t="shared" ca="1" si="129"/>
        <v>0</v>
      </c>
      <c r="J174">
        <f t="shared" ref="J174:J191" ca="1" si="134">IF(OR($C174="S",$C174=0),0,MATCH(0,OFFSET($D174,1,$C174,ROW($C$192)-ROW($C174)),0))</f>
        <v>0</v>
      </c>
      <c r="K174">
        <f ca="1">IF(OR($C174="S",$C174=0),0,MATCH(OFFSET($D174,0,$C174)+IF($C174&lt;&gt;1,1,COUNTIF(QCI!$A$13:$A$24,ORÇAMENTO!E174)),OFFSET($D174,1,$C174,ROW($C$192)-ROW($C174)),0))</f>
        <v>0</v>
      </c>
      <c r="L174" s="143" t="str">
        <f t="shared" ca="1" si="130"/>
        <v/>
      </c>
      <c r="M174" s="144" t="s">
        <v>199</v>
      </c>
      <c r="N174" s="145" t="str">
        <f t="shared" ca="1" si="131"/>
        <v>Serviço</v>
      </c>
      <c r="O174" s="146" t="str">
        <f t="shared" ca="1" si="132"/>
        <v>-</v>
      </c>
      <c r="P174" s="147" t="s">
        <v>247</v>
      </c>
      <c r="Q174" s="148" t="s">
        <v>528</v>
      </c>
      <c r="R174" s="149" t="s">
        <v>763</v>
      </c>
      <c r="S174" s="150" t="s">
        <v>778</v>
      </c>
      <c r="T174" s="151">
        <f ca="1">OFFSET(CÁLCULO!H$15,ROW($T174)-ROW(T$15),0)</f>
        <v>3</v>
      </c>
      <c r="U174" s="152"/>
      <c r="V174" s="153" t="s">
        <v>156</v>
      </c>
      <c r="W174" s="151">
        <f ca="1">IF($C174="S",ROUND(IF(TIPOORCAMENTO="Proposto",ORÇAMENTO.CustoUnitario*(1+$AH174),ORÇAMENTO.PrecoUnitarioLicitado),15-13*$AF$10),0)</f>
        <v>0</v>
      </c>
      <c r="X174" s="154">
        <f ca="1">IF($C174="S",IF(Import.TipoArredondamento&lt;&gt;"TransfereGOV",VTOTAL1,SUM(OFFSET(CÁLCULO!$AA$15,ROW($X174)-ROW($X$15),1):OFFSET(CÁLCULO!$AL$15,ROW($X174)-ROW($X$15),-1))),IF($C174=0,0,ROUND(SomaAgrup,15-13*$AF$11)))</f>
        <v>0</v>
      </c>
      <c r="Y174" s="155" t="s">
        <v>245</v>
      </c>
      <c r="Z174" t="str">
        <f t="shared" ca="1" si="133"/>
        <v/>
      </c>
      <c r="AA174" s="156">
        <f ca="1">IF($C174="S",IF($Z174="CP",$X174,IF($Z174="RA",(($X174)*QCI!$AA$3),0)),SomaAgrup)</f>
        <v>0</v>
      </c>
      <c r="AB174" s="157">
        <f t="shared" ca="1" si="120"/>
        <v>0</v>
      </c>
      <c r="AC174" s="158" t="str">
        <f ca="1">IF($N174="","",IF(ORÇAMENTO.Descricao="","DESCRIÇÃO",IF(AND($C174="S",ORÇAMENTO.Unidade=""),"UNIDADE",IF($X174&lt;0,"VALOR NEGATIVO",IF(OR(AND(TIPOORCAMENTO="Proposto",$AG174&lt;&gt;"",$AG174&gt;0,ORÇAMENTO.CustoUnitario&gt;$AG174),AND(TIPOORCAMENTO="LICITADO",ORÇAMENTO.PrecoUnitarioLicitado&gt;$AN174)),"ACIMA REF.","")))))</f>
        <v/>
      </c>
      <c r="AD174" s="682" t="str">
        <f ca="1">IF(C174&lt;=CRONO.NivelExibicao,MAX($AD$15:OFFSET(AD174,-1,0))+IF($C174&lt;&gt;1,1,MAX(1,COUNTIF(QCI!$A$13:$A$24,OFFSET($E174,-1,0)))),"")</f>
        <v/>
      </c>
      <c r="AE174" s="114" t="str">
        <f ca="1">IF(AND($C174="S",ORÇAMENTO.CodBarra&lt;&gt;""),IF(ORÇAMENTO.Fonte="",ORÇAMENTO.CodBarra,CONCATENATE(ORÇAMENTO.Fonte," ",ORÇAMENTO.CodBarra)))</f>
        <v>SINAPI 86942</v>
      </c>
      <c r="AF174" s="159">
        <f ca="1">IF(ISERROR(INDIRECT(ORÇAMENTO.BancoRef)),"(abra o arquivo 'Referência "&amp;Excel_BuiltIn_Database&amp;".xlsm)",IF(OR($C174&lt;&gt;"S",ORÇAMENTO.CodBarra=""),"(Sem Código)",IF(ISERROR(MATCH($AE174,INDIRECT(ORÇAMENTO.BancoRef),0)),"(Código não identificado nas referências)",MATCH($AE174,INDIRECT(ORÇAMENTO.BancoRef),0))))</f>
        <v>10158</v>
      </c>
      <c r="AG174" s="578">
        <f ca="1">ROUND(IF(DESONERACAO="sim",REFERENCIA.Desonerado,REFERENCIA.NaoDesonerado),2)</f>
        <v>309.94</v>
      </c>
      <c r="AH174" s="579">
        <f t="shared" ca="1" si="121"/>
        <v>0.2034</v>
      </c>
      <c r="AJ174" s="581">
        <v>3</v>
      </c>
      <c r="AL174" s="611"/>
      <c r="AM174" s="430">
        <f t="shared" ca="1" si="93"/>
        <v>0</v>
      </c>
      <c r="AN174" s="654">
        <f t="shared" ca="1" si="122"/>
        <v>0</v>
      </c>
    </row>
    <row r="175" spans="1:40" x14ac:dyDescent="0.2">
      <c r="A175">
        <f t="shared" si="119"/>
        <v>2</v>
      </c>
      <c r="B175">
        <f t="shared" ca="1" si="123"/>
        <v>2</v>
      </c>
      <c r="C175">
        <f t="shared" ca="1" si="124"/>
        <v>2</v>
      </c>
      <c r="D175">
        <f t="shared" ca="1" si="125"/>
        <v>4</v>
      </c>
      <c r="E175">
        <f ca="1">IF($C175=1,OFFSET(E175,-1,0)+MAX(1,COUNTIF(QCI!$A$13:$A$24,OFFSET(ORÇAMENTO!E175,-1,0))),OFFSET(E175,-1,0))</f>
        <v>1</v>
      </c>
      <c r="F175">
        <f t="shared" ca="1" si="126"/>
        <v>22</v>
      </c>
      <c r="G175">
        <f t="shared" ca="1" si="127"/>
        <v>0</v>
      </c>
      <c r="H175">
        <f t="shared" ca="1" si="128"/>
        <v>0</v>
      </c>
      <c r="I175">
        <f t="shared" ca="1" si="129"/>
        <v>0</v>
      </c>
      <c r="J175">
        <f t="shared" ca="1" si="134"/>
        <v>17</v>
      </c>
      <c r="K175">
        <f ca="1">IF(OR($C175="S",$C175=0),0,MATCH(OFFSET($D175,0,$C175)+IF($C175&lt;&gt;1,1,COUNTIF(QCI!$A$13:$A$24,ORÇAMENTO!E175)),OFFSET($D175,1,$C175,ROW($C$192)-ROW($C175)),0))</f>
        <v>4</v>
      </c>
      <c r="L175" s="143" t="str">
        <f t="shared" ca="1" si="130"/>
        <v>F</v>
      </c>
      <c r="M175" s="144" t="s">
        <v>196</v>
      </c>
      <c r="N175" s="145" t="str">
        <f t="shared" ca="1" si="131"/>
        <v>Nível 2</v>
      </c>
      <c r="O175" s="146" t="str">
        <f t="shared" ca="1" si="132"/>
        <v>1.22.</v>
      </c>
      <c r="P175" s="147" t="s">
        <v>247</v>
      </c>
      <c r="Q175" s="148"/>
      <c r="R175" s="149" t="s">
        <v>608</v>
      </c>
      <c r="S175" s="150" t="s">
        <v>166</v>
      </c>
      <c r="T175" s="151">
        <f ca="1">OFFSET(CÁLCULO!H$15,ROW($T175)-ROW(T$15),0)</f>
        <v>0</v>
      </c>
      <c r="U175" s="152"/>
      <c r="V175" s="153" t="s">
        <v>156</v>
      </c>
      <c r="W175" s="151">
        <f ca="1">IF($C175="S",ROUND(IF(TIPOORCAMENTO="Proposto",ORÇAMENTO.CustoUnitario*(1+$AH175),ORÇAMENTO.PrecoUnitarioLicitado),15-13*$AF$10),0)</f>
        <v>0</v>
      </c>
      <c r="X175" s="154">
        <f ca="1">IF($C175="S",IF(Import.TipoArredondamento&lt;&gt;"TransfereGOV",VTOTAL1,SUM(OFFSET(CÁLCULO!$AA$15,ROW($X175)-ROW($X$15),1):OFFSET(CÁLCULO!$AL$15,ROW($X175)-ROW($X$15),-1))),IF($C175=0,0,ROUND(SomaAgrup,15-13*$AF$11)))</f>
        <v>0</v>
      </c>
      <c r="Y175" s="155" t="s">
        <v>245</v>
      </c>
      <c r="Z175" t="str">
        <f t="shared" ca="1" si="133"/>
        <v/>
      </c>
      <c r="AA175" s="156">
        <f ca="1">IF($C175="S",IF($Z175="CP",$X175,IF($Z175="RA",(($X175)*QCI!$AA$3),0)),SomaAgrup)</f>
        <v>0</v>
      </c>
      <c r="AB175" s="157">
        <f t="shared" ca="1" si="120"/>
        <v>0</v>
      </c>
      <c r="AC175" s="158" t="str">
        <f ca="1">IF($N175="","",IF(ORÇAMENTO.Descricao="","DESCRIÇÃO",IF(AND($C175="S",ORÇAMENTO.Unidade=""),"UNIDADE",IF($X175&lt;0,"VALOR NEGATIVO",IF(OR(AND(TIPOORCAMENTO="Proposto",$AG175&lt;&gt;"",$AG175&gt;0,ORÇAMENTO.CustoUnitario&gt;$AG175),AND(TIPOORCAMENTO="LICITADO",ORÇAMENTO.PrecoUnitarioLicitado&gt;$AN175)),"ACIMA REF.","")))))</f>
        <v/>
      </c>
      <c r="AD175" s="690">
        <f ca="1">IF(C175&lt;=CRONO.NivelExibicao,MAX($AD$15:OFFSET(AD175,-1,0))+IF($C175&lt;&gt;1,1,MAX(1,COUNTIF(QCI!$A$13:$A$24,OFFSET($E175,-1,0)))),"")</f>
        <v>23</v>
      </c>
      <c r="AE175" s="114" t="b">
        <f ca="1">IF(AND($C175="S",ORÇAMENTO.CodBarra&lt;&gt;""),IF(ORÇAMENTO.Fonte="",ORÇAMENTO.CodBarra,CONCATENATE(ORÇAMENTO.Fonte," ",ORÇAMENTO.CodBarra)))</f>
        <v>0</v>
      </c>
      <c r="AF175" s="159" t="str">
        <f ca="1">IF(ISERROR(INDIRECT(ORÇAMENTO.BancoRef)),"(abra o arquivo 'Referência "&amp;Excel_BuiltIn_Database&amp;".xlsm)",IF(OR($C175&lt;&gt;"S",ORÇAMENTO.CodBarra=""),"(Sem Código)",IF(ISERROR(MATCH($AE175,INDIRECT(ORÇAMENTO.BancoRef),0)),"(Código não identificado nas referências)",MATCH($AE175,INDIRECT(ORÇAMENTO.BancoRef),0))))</f>
        <v>(Sem Código)</v>
      </c>
      <c r="AG175" s="578">
        <f ca="1">ROUND(IF(DESONERACAO="sim",REFERENCIA.Desonerado,REFERENCIA.NaoDesonerado),2)</f>
        <v>0</v>
      </c>
      <c r="AH175" s="579">
        <f t="shared" ca="1" si="121"/>
        <v>0.2034</v>
      </c>
      <c r="AJ175" s="581"/>
      <c r="AL175" s="611"/>
      <c r="AM175" s="430">
        <f t="shared" ca="1" si="93"/>
        <v>0</v>
      </c>
      <c r="AN175" s="654">
        <f t="shared" ca="1" si="122"/>
        <v>0</v>
      </c>
    </row>
    <row r="176" spans="1:40" ht="38.25" x14ac:dyDescent="0.2">
      <c r="A176" t="str">
        <f t="shared" si="119"/>
        <v>S</v>
      </c>
      <c r="B176">
        <f t="shared" ca="1" si="123"/>
        <v>2</v>
      </c>
      <c r="C176" t="str">
        <f t="shared" ca="1" si="124"/>
        <v>S</v>
      </c>
      <c r="D176">
        <f t="shared" ca="1" si="125"/>
        <v>0</v>
      </c>
      <c r="E176">
        <f ca="1">IF($C176=1,OFFSET(E176,-1,0)+MAX(1,COUNTIF(QCI!$A$13:$A$24,OFFSET(ORÇAMENTO!E176,-1,0))),OFFSET(E176,-1,0))</f>
        <v>1</v>
      </c>
      <c r="F176">
        <f t="shared" ca="1" si="126"/>
        <v>22</v>
      </c>
      <c r="G176">
        <f t="shared" ca="1" si="127"/>
        <v>0</v>
      </c>
      <c r="H176">
        <f t="shared" ca="1" si="128"/>
        <v>0</v>
      </c>
      <c r="I176">
        <f t="shared" ca="1" si="129"/>
        <v>0</v>
      </c>
      <c r="J176">
        <f t="shared" ca="1" si="134"/>
        <v>0</v>
      </c>
      <c r="K176">
        <f ca="1">IF(OR($C176="S",$C176=0),0,MATCH(OFFSET($D176,0,$C176)+IF($C176&lt;&gt;1,1,COUNTIF(QCI!$A$13:$A$24,ORÇAMENTO!E176)),OFFSET($D176,1,$C176,ROW($C$192)-ROW($C176)),0))</f>
        <v>0</v>
      </c>
      <c r="L176" s="143" t="str">
        <f t="shared" ca="1" si="130"/>
        <v/>
      </c>
      <c r="M176" s="144" t="s">
        <v>199</v>
      </c>
      <c r="N176" s="145" t="str">
        <f t="shared" ca="1" si="131"/>
        <v>Serviço</v>
      </c>
      <c r="O176" s="146" t="str">
        <f t="shared" ca="1" si="132"/>
        <v>-</v>
      </c>
      <c r="P176" s="147" t="s">
        <v>247</v>
      </c>
      <c r="Q176" s="148" t="s">
        <v>609</v>
      </c>
      <c r="R176" s="149" t="s">
        <v>764</v>
      </c>
      <c r="S176" s="150" t="s">
        <v>778</v>
      </c>
      <c r="T176" s="151">
        <f ca="1">OFFSET(CÁLCULO!H$15,ROW($T176)-ROW(T$15),0)</f>
        <v>7</v>
      </c>
      <c r="U176" s="152"/>
      <c r="V176" s="153" t="s">
        <v>156</v>
      </c>
      <c r="W176" s="151">
        <f ca="1">IF($C176="S",ROUND(IF(TIPOORCAMENTO="Proposto",ORÇAMENTO.CustoUnitario*(1+$AH176),ORÇAMENTO.PrecoUnitarioLicitado),15-13*$AF$10),0)</f>
        <v>0</v>
      </c>
      <c r="X176" s="154">
        <f ca="1">IF($C176="S",IF(Import.TipoArredondamento&lt;&gt;"TransfereGOV",VTOTAL1,SUM(OFFSET(CÁLCULO!$AA$15,ROW($X176)-ROW($X$15),1):OFFSET(CÁLCULO!$AL$15,ROW($X176)-ROW($X$15),-1))),IF($C176=0,0,ROUND(SomaAgrup,15-13*$AF$11)))</f>
        <v>0</v>
      </c>
      <c r="Y176" s="155" t="s">
        <v>245</v>
      </c>
      <c r="Z176" t="str">
        <f t="shared" ca="1" si="133"/>
        <v/>
      </c>
      <c r="AA176" s="156">
        <f ca="1">IF($C176="S",IF($Z176="CP",$X176,IF($Z176="RA",(($X176)*QCI!$AA$3),0)),SomaAgrup)</f>
        <v>0</v>
      </c>
      <c r="AB176" s="157">
        <f t="shared" ca="1" si="120"/>
        <v>0</v>
      </c>
      <c r="AC176" s="158" t="str">
        <f ca="1">IF($N176="","",IF(ORÇAMENTO.Descricao="","DESCRIÇÃO",IF(AND($C176="S",ORÇAMENTO.Unidade=""),"UNIDADE",IF($X176&lt;0,"VALOR NEGATIVO",IF(OR(AND(TIPOORCAMENTO="Proposto",$AG176&lt;&gt;"",$AG176&gt;0,ORÇAMENTO.CustoUnitario&gt;$AG176),AND(TIPOORCAMENTO="LICITADO",ORÇAMENTO.PrecoUnitarioLicitado&gt;$AN176)),"ACIMA REF.","")))))</f>
        <v/>
      </c>
      <c r="AD176" s="690" t="str">
        <f ca="1">IF(C176&lt;=CRONO.NivelExibicao,MAX($AD$15:OFFSET(AD176,-1,0))+IF($C176&lt;&gt;1,1,MAX(1,COUNTIF(QCI!$A$13:$A$24,OFFSET($E176,-1,0)))),"")</f>
        <v/>
      </c>
      <c r="AE176" s="114" t="str">
        <f ca="1">IF(AND($C176="S",ORÇAMENTO.CodBarra&lt;&gt;""),IF(ORÇAMENTO.Fonte="",ORÇAMENTO.CodBarra,CONCATENATE(ORÇAMENTO.Fonte," ",ORÇAMENTO.CodBarra)))</f>
        <v>SINAPI 103255</v>
      </c>
      <c r="AF176" s="159">
        <f ca="1">IF(ISERROR(INDIRECT(ORÇAMENTO.BancoRef)),"(abra o arquivo 'Referência "&amp;Excel_BuiltIn_Database&amp;".xlsm)",IF(OR($C176&lt;&gt;"S",ORÇAMENTO.CodBarra=""),"(Sem Código)",IF(ISERROR(MATCH($AE176,INDIRECT(ORÇAMENTO.BancoRef),0)),"(Código não identificado nas referências)",MATCH($AE176,INDIRECT(ORÇAMENTO.BancoRef),0))))</f>
        <v>8373</v>
      </c>
      <c r="AG176" s="578">
        <f ca="1">ROUND(IF(DESONERACAO="sim",REFERENCIA.Desonerado,REFERENCIA.NaoDesonerado),2)</f>
        <v>4318.3</v>
      </c>
      <c r="AH176" s="579">
        <f t="shared" ca="1" si="121"/>
        <v>0.2034</v>
      </c>
      <c r="AJ176" s="581">
        <v>7</v>
      </c>
      <c r="AL176" s="611"/>
      <c r="AM176" s="430">
        <f t="shared" ca="1" si="93"/>
        <v>0</v>
      </c>
      <c r="AN176" s="654">
        <f t="shared" ca="1" si="122"/>
        <v>0</v>
      </c>
    </row>
    <row r="177" spans="1:40" ht="51" x14ac:dyDescent="0.2">
      <c r="A177" t="str">
        <f t="shared" si="119"/>
        <v>S</v>
      </c>
      <c r="B177">
        <f t="shared" ca="1" si="123"/>
        <v>2</v>
      </c>
      <c r="C177" t="str">
        <f t="shared" ca="1" si="124"/>
        <v>S</v>
      </c>
      <c r="D177">
        <f t="shared" ca="1" si="125"/>
        <v>0</v>
      </c>
      <c r="E177">
        <f ca="1">IF($C177=1,OFFSET(E177,-1,0)+MAX(1,COUNTIF(QCI!$A$13:$A$24,OFFSET(ORÇAMENTO!E177,-1,0))),OFFSET(E177,-1,0))</f>
        <v>1</v>
      </c>
      <c r="F177">
        <f t="shared" ca="1" si="126"/>
        <v>22</v>
      </c>
      <c r="G177">
        <f t="shared" ca="1" si="127"/>
        <v>0</v>
      </c>
      <c r="H177">
        <f t="shared" ca="1" si="128"/>
        <v>0</v>
      </c>
      <c r="I177">
        <f t="shared" ca="1" si="129"/>
        <v>0</v>
      </c>
      <c r="J177">
        <f t="shared" ca="1" si="134"/>
        <v>0</v>
      </c>
      <c r="K177">
        <f ca="1">IF(OR($C177="S",$C177=0),0,MATCH(OFFSET($D177,0,$C177)+IF($C177&lt;&gt;1,1,COUNTIF(QCI!$A$13:$A$24,ORÇAMENTO!E177)),OFFSET($D177,1,$C177,ROW($C$192)-ROW($C177)),0))</f>
        <v>0</v>
      </c>
      <c r="L177" s="143" t="str">
        <f t="shared" ca="1" si="130"/>
        <v/>
      </c>
      <c r="M177" s="144" t="s">
        <v>199</v>
      </c>
      <c r="N177" s="145" t="str">
        <f t="shared" ca="1" si="131"/>
        <v>Serviço</v>
      </c>
      <c r="O177" s="146" t="str">
        <f t="shared" ca="1" si="132"/>
        <v>-</v>
      </c>
      <c r="P177" s="147" t="s">
        <v>247</v>
      </c>
      <c r="Q177" s="148" t="s">
        <v>610</v>
      </c>
      <c r="R177" s="149" t="s">
        <v>765</v>
      </c>
      <c r="S177" s="150" t="s">
        <v>779</v>
      </c>
      <c r="T177" s="151">
        <f ca="1">OFFSET(CÁLCULO!H$15,ROW($T177)-ROW(T$15),0)</f>
        <v>28</v>
      </c>
      <c r="U177" s="152"/>
      <c r="V177" s="153" t="s">
        <v>156</v>
      </c>
      <c r="W177" s="151">
        <f ca="1">IF($C177="S",ROUND(IF(TIPOORCAMENTO="Proposto",ORÇAMENTO.CustoUnitario*(1+$AH177),ORÇAMENTO.PrecoUnitarioLicitado),15-13*$AF$10),0)</f>
        <v>0</v>
      </c>
      <c r="X177" s="154">
        <f ca="1">IF($C177="S",IF(Import.TipoArredondamento&lt;&gt;"TransfereGOV",VTOTAL1,SUM(OFFSET(CÁLCULO!$AA$15,ROW($X177)-ROW($X$15),1):OFFSET(CÁLCULO!$AL$15,ROW($X177)-ROW($X$15),-1))),IF($C177=0,0,ROUND(SomaAgrup,15-13*$AF$11)))</f>
        <v>0</v>
      </c>
      <c r="Y177" s="155" t="s">
        <v>245</v>
      </c>
      <c r="Z177" t="str">
        <f t="shared" ca="1" si="133"/>
        <v/>
      </c>
      <c r="AA177" s="156">
        <f ca="1">IF($C177="S",IF($Z177="CP",$X177,IF($Z177="RA",(($X177)*QCI!$AA$3),0)),SomaAgrup)</f>
        <v>0</v>
      </c>
      <c r="AB177" s="157">
        <f t="shared" ca="1" si="120"/>
        <v>0</v>
      </c>
      <c r="AC177" s="158" t="str">
        <f ca="1">IF($N177="","",IF(ORÇAMENTO.Descricao="","DESCRIÇÃO",IF(AND($C177="S",ORÇAMENTO.Unidade=""),"UNIDADE",IF($X177&lt;0,"VALOR NEGATIVO",IF(OR(AND(TIPOORCAMENTO="Proposto",$AG177&lt;&gt;"",$AG177&gt;0,ORÇAMENTO.CustoUnitario&gt;$AG177),AND(TIPOORCAMENTO="LICITADO",ORÇAMENTO.PrecoUnitarioLicitado&gt;$AN177)),"ACIMA REF.","")))))</f>
        <v/>
      </c>
      <c r="AD177" s="690" t="str">
        <f ca="1">IF(C177&lt;=CRONO.NivelExibicao,MAX($AD$15:OFFSET(AD177,-1,0))+IF($C177&lt;&gt;1,1,MAX(1,COUNTIF(QCI!$A$13:$A$24,OFFSET($E177,-1,0)))),"")</f>
        <v/>
      </c>
      <c r="AE177" s="114" t="str">
        <f ca="1">IF(AND($C177="S",ORÇAMENTO.CodBarra&lt;&gt;""),IF(ORÇAMENTO.Fonte="",ORÇAMENTO.CodBarra,CONCATENATE(ORÇAMENTO.Fonte," ",ORÇAMENTO.CodBarra)))</f>
        <v>SINAPI 97328</v>
      </c>
      <c r="AF177" s="159">
        <f ca="1">IF(ISERROR(INDIRECT(ORÇAMENTO.BancoRef)),"(abra o arquivo 'Referência "&amp;Excel_BuiltIn_Database&amp;".xlsm)",IF(OR($C177&lt;&gt;"S",ORÇAMENTO.CodBarra=""),"(Sem Código)",IF(ISERROR(MATCH($AE177,INDIRECT(ORÇAMENTO.BancoRef),0)),"(Código não identificado nas referências)",MATCH($AE177,INDIRECT(ORÇAMENTO.BancoRef),0))))</f>
        <v>8589</v>
      </c>
      <c r="AG177" s="578">
        <f ca="1">ROUND(IF(DESONERACAO="sim",REFERENCIA.Desonerado,REFERENCIA.NaoDesonerado),2)</f>
        <v>44.49</v>
      </c>
      <c r="AH177" s="579">
        <f t="shared" ca="1" si="121"/>
        <v>0.2034</v>
      </c>
      <c r="AJ177" s="581">
        <v>28</v>
      </c>
      <c r="AL177" s="611"/>
      <c r="AM177" s="430">
        <f t="shared" ca="1" si="93"/>
        <v>0</v>
      </c>
      <c r="AN177" s="654">
        <f t="shared" ca="1" si="122"/>
        <v>0</v>
      </c>
    </row>
    <row r="178" spans="1:40" ht="25.5" x14ac:dyDescent="0.2">
      <c r="A178" t="str">
        <f t="shared" si="119"/>
        <v>S</v>
      </c>
      <c r="B178">
        <f t="shared" ca="1" si="123"/>
        <v>2</v>
      </c>
      <c r="C178" t="str">
        <f t="shared" ca="1" si="124"/>
        <v>S</v>
      </c>
      <c r="D178">
        <f t="shared" ca="1" si="125"/>
        <v>0</v>
      </c>
      <c r="E178">
        <f ca="1">IF($C178=1,OFFSET(E178,-1,0)+MAX(1,COUNTIF(QCI!$A$13:$A$24,OFFSET(ORÇAMENTO!E178,-1,0))),OFFSET(E178,-1,0))</f>
        <v>1</v>
      </c>
      <c r="F178">
        <f t="shared" ca="1" si="126"/>
        <v>22</v>
      </c>
      <c r="G178">
        <f t="shared" ca="1" si="127"/>
        <v>0</v>
      </c>
      <c r="H178">
        <f t="shared" ca="1" si="128"/>
        <v>0</v>
      </c>
      <c r="I178">
        <f t="shared" ca="1" si="129"/>
        <v>0</v>
      </c>
      <c r="J178">
        <f t="shared" ca="1" si="134"/>
        <v>0</v>
      </c>
      <c r="K178">
        <f ca="1">IF(OR($C178="S",$C178=0),0,MATCH(OFFSET($D178,0,$C178)+IF($C178&lt;&gt;1,1,COUNTIF(QCI!$A$13:$A$24,ORÇAMENTO!E178)),OFFSET($D178,1,$C178,ROW($C$192)-ROW($C178)),0))</f>
        <v>0</v>
      </c>
      <c r="L178" s="143" t="str">
        <f t="shared" ca="1" si="130"/>
        <v/>
      </c>
      <c r="M178" s="144" t="s">
        <v>199</v>
      </c>
      <c r="N178" s="145" t="str">
        <f t="shared" ca="1" si="131"/>
        <v>Serviço</v>
      </c>
      <c r="O178" s="146" t="str">
        <f t="shared" ca="1" si="132"/>
        <v>-</v>
      </c>
      <c r="P178" s="147" t="s">
        <v>247</v>
      </c>
      <c r="Q178" s="148" t="s">
        <v>611</v>
      </c>
      <c r="R178" s="149" t="s">
        <v>766</v>
      </c>
      <c r="S178" s="150" t="s">
        <v>779</v>
      </c>
      <c r="T178" s="151">
        <f ca="1">OFFSET(CÁLCULO!H$15,ROW($T178)-ROW(T$15),0)</f>
        <v>21</v>
      </c>
      <c r="U178" s="152"/>
      <c r="V178" s="153" t="s">
        <v>156</v>
      </c>
      <c r="W178" s="151">
        <f ca="1">IF($C178="S",ROUND(IF(TIPOORCAMENTO="Proposto",ORÇAMENTO.CustoUnitario*(1+$AH178),ORÇAMENTO.PrecoUnitarioLicitado),15-13*$AF$10),0)</f>
        <v>0</v>
      </c>
      <c r="X178" s="154">
        <f ca="1">IF($C178="S",IF(Import.TipoArredondamento&lt;&gt;"TransfereGOV",VTOTAL1,SUM(OFFSET(CÁLCULO!$AA$15,ROW($X178)-ROW($X$15),1):OFFSET(CÁLCULO!$AL$15,ROW($X178)-ROW($X$15),-1))),IF($C178=0,0,ROUND(SomaAgrup,15-13*$AF$11)))</f>
        <v>0</v>
      </c>
      <c r="Y178" s="155" t="s">
        <v>245</v>
      </c>
      <c r="Z178" t="str">
        <f t="shared" ca="1" si="133"/>
        <v/>
      </c>
      <c r="AA178" s="156">
        <f ca="1">IF($C178="S",IF($Z178="CP",$X178,IF($Z178="RA",(($X178)*QCI!$AA$3),0)),SomaAgrup)</f>
        <v>0</v>
      </c>
      <c r="AB178" s="157">
        <f t="shared" ca="1" si="120"/>
        <v>0</v>
      </c>
      <c r="AC178" s="158" t="str">
        <f ca="1">IF($N178="","",IF(ORÇAMENTO.Descricao="","DESCRIÇÃO",IF(AND($C178="S",ORÇAMENTO.Unidade=""),"UNIDADE",IF($X178&lt;0,"VALOR NEGATIVO",IF(OR(AND(TIPOORCAMENTO="Proposto",$AG178&lt;&gt;"",$AG178&gt;0,ORÇAMENTO.CustoUnitario&gt;$AG178),AND(TIPOORCAMENTO="LICITADO",ORÇAMENTO.PrecoUnitarioLicitado&gt;$AN178)),"ACIMA REF.","")))))</f>
        <v/>
      </c>
      <c r="AD178" s="690" t="str">
        <f ca="1">IF(C178&lt;=CRONO.NivelExibicao,MAX($AD$15:OFFSET(AD178,-1,0))+IF($C178&lt;&gt;1,1,MAX(1,COUNTIF(QCI!$A$13:$A$24,OFFSET($E178,-1,0)))),"")</f>
        <v/>
      </c>
      <c r="AE178" s="114" t="str">
        <f ca="1">IF(AND($C178="S",ORÇAMENTO.CodBarra&lt;&gt;""),IF(ORÇAMENTO.Fonte="",ORÇAMENTO.CodBarra,CONCATENATE(ORÇAMENTO.Fonte," ",ORÇAMENTO.CodBarra)))</f>
        <v>SINAPI 89865</v>
      </c>
      <c r="AF178" s="159">
        <f ca="1">IF(ISERROR(INDIRECT(ORÇAMENTO.BancoRef)),"(abra o arquivo 'Referência "&amp;Excel_BuiltIn_Database&amp;".xlsm)",IF(OR($C178&lt;&gt;"S",ORÇAMENTO.CodBarra=""),"(Sem Código)",IF(ISERROR(MATCH($AE178,INDIRECT(ORÇAMENTO.BancoRef),0)),"(Código não identificado nas referências)",MATCH($AE178,INDIRECT(ORÇAMENTO.BancoRef),0))))</f>
        <v>8461</v>
      </c>
      <c r="AG178" s="578">
        <f ca="1">ROUND(IF(DESONERACAO="sim",REFERENCIA.Desonerado,REFERENCIA.NaoDesonerado),2)</f>
        <v>18</v>
      </c>
      <c r="AH178" s="579">
        <f t="shared" ca="1" si="121"/>
        <v>0.2034</v>
      </c>
      <c r="AJ178" s="581">
        <v>21</v>
      </c>
      <c r="AL178" s="611"/>
      <c r="AM178" s="430">
        <f t="shared" ca="1" si="93"/>
        <v>0</v>
      </c>
      <c r="AN178" s="654">
        <f t="shared" ca="1" si="122"/>
        <v>0</v>
      </c>
    </row>
    <row r="179" spans="1:40" x14ac:dyDescent="0.2">
      <c r="A179">
        <f t="shared" si="119"/>
        <v>2</v>
      </c>
      <c r="B179">
        <f t="shared" ca="1" si="123"/>
        <v>2</v>
      </c>
      <c r="C179">
        <f t="shared" ca="1" si="124"/>
        <v>2</v>
      </c>
      <c r="D179">
        <f t="shared" ca="1" si="125"/>
        <v>5</v>
      </c>
      <c r="E179">
        <f ca="1">IF($C179=1,OFFSET(E179,-1,0)+MAX(1,COUNTIF(QCI!$A$13:$A$24,OFFSET(ORÇAMENTO!E179,-1,0))),OFFSET(E179,-1,0))</f>
        <v>1</v>
      </c>
      <c r="F179">
        <f t="shared" ca="1" si="126"/>
        <v>23</v>
      </c>
      <c r="G179">
        <f t="shared" ca="1" si="127"/>
        <v>0</v>
      </c>
      <c r="H179">
        <f t="shared" ca="1" si="128"/>
        <v>0</v>
      </c>
      <c r="I179">
        <f t="shared" ca="1" si="129"/>
        <v>0</v>
      </c>
      <c r="J179">
        <f t="shared" ca="1" si="134"/>
        <v>13</v>
      </c>
      <c r="K179">
        <f ca="1">IF(OR($C179="S",$C179=0),0,MATCH(OFFSET($D179,0,$C179)+IF($C179&lt;&gt;1,1,COUNTIF(QCI!$A$13:$A$24,ORÇAMENTO!E179)),OFFSET($D179,1,$C179,ROW($C$192)-ROW($C179)),0))</f>
        <v>5</v>
      </c>
      <c r="L179" s="143" t="str">
        <f t="shared" ca="1" si="130"/>
        <v>F</v>
      </c>
      <c r="M179" s="144" t="s">
        <v>196</v>
      </c>
      <c r="N179" s="145" t="str">
        <f t="shared" ca="1" si="131"/>
        <v>Nível 2</v>
      </c>
      <c r="O179" s="146" t="str">
        <f t="shared" ca="1" si="132"/>
        <v>1.23.</v>
      </c>
      <c r="P179" s="147" t="s">
        <v>247</v>
      </c>
      <c r="Q179" s="148"/>
      <c r="R179" s="149" t="s">
        <v>604</v>
      </c>
      <c r="S179" s="150" t="s">
        <v>166</v>
      </c>
      <c r="T179" s="151">
        <f ca="1">OFFSET(CÁLCULO!H$15,ROW($T179)-ROW(T$15),0)</f>
        <v>0</v>
      </c>
      <c r="U179" s="152"/>
      <c r="V179" s="153" t="s">
        <v>156</v>
      </c>
      <c r="W179" s="151">
        <f ca="1">IF($C179="S",ROUND(IF(TIPOORCAMENTO="Proposto",ORÇAMENTO.CustoUnitario*(1+$AH179),ORÇAMENTO.PrecoUnitarioLicitado),15-13*$AF$10),0)</f>
        <v>0</v>
      </c>
      <c r="X179" s="154">
        <f ca="1">IF($C179="S",IF(Import.TipoArredondamento&lt;&gt;"TransfereGOV",VTOTAL1,SUM(OFFSET(CÁLCULO!$AA$15,ROW($X179)-ROW($X$15),1):OFFSET(CÁLCULO!$AL$15,ROW($X179)-ROW($X$15),-1))),IF($C179=0,0,ROUND(SomaAgrup,15-13*$AF$11)))</f>
        <v>0</v>
      </c>
      <c r="Y179" s="155" t="s">
        <v>245</v>
      </c>
      <c r="Z179" t="str">
        <f t="shared" ca="1" si="133"/>
        <v/>
      </c>
      <c r="AA179" s="156">
        <f ca="1">IF($C179="S",IF($Z179="CP",$X179,IF($Z179="RA",(($X179)*QCI!$AA$3),0)),SomaAgrup)</f>
        <v>0</v>
      </c>
      <c r="AB179" s="157">
        <f t="shared" ca="1" si="120"/>
        <v>0</v>
      </c>
      <c r="AC179" s="158" t="str">
        <f ca="1">IF($N179="","",IF(ORÇAMENTO.Descricao="","DESCRIÇÃO",IF(AND($C179="S",ORÇAMENTO.Unidade=""),"UNIDADE",IF($X179&lt;0,"VALOR NEGATIVO",IF(OR(AND(TIPOORCAMENTO="Proposto",$AG179&lt;&gt;"",$AG179&gt;0,ORÇAMENTO.CustoUnitario&gt;$AG179),AND(TIPOORCAMENTO="LICITADO",ORÇAMENTO.PrecoUnitarioLicitado&gt;$AN179)),"ACIMA REF.","")))))</f>
        <v/>
      </c>
      <c r="AD179" s="689">
        <f ca="1">IF(C179&lt;=CRONO.NivelExibicao,MAX($AD$15:OFFSET(AD179,-1,0))+IF($C179&lt;&gt;1,1,MAX(1,COUNTIF(QCI!$A$13:$A$24,OFFSET($E179,-1,0)))),"")</f>
        <v>24</v>
      </c>
      <c r="AE179" s="114" t="b">
        <f ca="1">IF(AND($C179="S",ORÇAMENTO.CodBarra&lt;&gt;""),IF(ORÇAMENTO.Fonte="",ORÇAMENTO.CodBarra,CONCATENATE(ORÇAMENTO.Fonte," ",ORÇAMENTO.CodBarra)))</f>
        <v>0</v>
      </c>
      <c r="AF179" s="159" t="str">
        <f ca="1">IF(ISERROR(INDIRECT(ORÇAMENTO.BancoRef)),"(abra o arquivo 'Referência "&amp;Excel_BuiltIn_Database&amp;".xlsm)",IF(OR($C179&lt;&gt;"S",ORÇAMENTO.CodBarra=""),"(Sem Código)",IF(ISERROR(MATCH($AE179,INDIRECT(ORÇAMENTO.BancoRef),0)),"(Código não identificado nas referências)",MATCH($AE179,INDIRECT(ORÇAMENTO.BancoRef),0))))</f>
        <v>(Sem Código)</v>
      </c>
      <c r="AG179" s="578">
        <f ca="1">ROUND(IF(DESONERACAO="sim",REFERENCIA.Desonerado,REFERENCIA.NaoDesonerado),2)</f>
        <v>0</v>
      </c>
      <c r="AH179" s="579">
        <f t="shared" ca="1" si="121"/>
        <v>0.2034</v>
      </c>
      <c r="AJ179" s="581"/>
      <c r="AL179" s="611"/>
      <c r="AM179" s="430">
        <f t="shared" ca="1" si="93"/>
        <v>0</v>
      </c>
      <c r="AN179" s="654">
        <f t="shared" ca="1" si="122"/>
        <v>0</v>
      </c>
    </row>
    <row r="180" spans="1:40" ht="25.5" x14ac:dyDescent="0.2">
      <c r="A180" t="str">
        <f t="shared" si="119"/>
        <v>S</v>
      </c>
      <c r="B180">
        <f t="shared" ca="1" si="123"/>
        <v>2</v>
      </c>
      <c r="C180" t="str">
        <f t="shared" ca="1" si="124"/>
        <v>S</v>
      </c>
      <c r="D180">
        <f t="shared" ca="1" si="125"/>
        <v>0</v>
      </c>
      <c r="E180">
        <f ca="1">IF($C180=1,OFFSET(E180,-1,0)+MAX(1,COUNTIF(QCI!$A$13:$A$24,OFFSET(ORÇAMENTO!E180,-1,0))),OFFSET(E180,-1,0))</f>
        <v>1</v>
      </c>
      <c r="F180">
        <f t="shared" ca="1" si="126"/>
        <v>23</v>
      </c>
      <c r="G180">
        <f t="shared" ca="1" si="127"/>
        <v>0</v>
      </c>
      <c r="H180">
        <f t="shared" ca="1" si="128"/>
        <v>0</v>
      </c>
      <c r="I180">
        <f t="shared" ca="1" si="129"/>
        <v>0</v>
      </c>
      <c r="J180">
        <f t="shared" ca="1" si="134"/>
        <v>0</v>
      </c>
      <c r="K180">
        <f ca="1">IF(OR($C180="S",$C180=0),0,MATCH(OFFSET($D180,0,$C180)+IF($C180&lt;&gt;1,1,COUNTIF(QCI!$A$13:$A$24,ORÇAMENTO!E180)),OFFSET($D180,1,$C180,ROW($C$192)-ROW($C180)),0))</f>
        <v>0</v>
      </c>
      <c r="L180" s="143" t="str">
        <f t="shared" ca="1" si="130"/>
        <v/>
      </c>
      <c r="M180" s="144" t="s">
        <v>199</v>
      </c>
      <c r="N180" s="145" t="str">
        <f t="shared" ca="1" si="131"/>
        <v>Serviço</v>
      </c>
      <c r="O180" s="146" t="str">
        <f t="shared" ca="1" si="132"/>
        <v>-</v>
      </c>
      <c r="P180" s="147" t="s">
        <v>247</v>
      </c>
      <c r="Q180" s="148" t="s">
        <v>605</v>
      </c>
      <c r="R180" s="149" t="s">
        <v>767</v>
      </c>
      <c r="S180" s="150" t="s">
        <v>779</v>
      </c>
      <c r="T180" s="151">
        <f ca="1">OFFSET(CÁLCULO!H$15,ROW($T180)-ROW(T$15),0)</f>
        <v>75</v>
      </c>
      <c r="U180" s="152"/>
      <c r="V180" s="153" t="s">
        <v>156</v>
      </c>
      <c r="W180" s="151">
        <f ca="1">IF($C180="S",ROUND(IF(TIPOORCAMENTO="Proposto",ORÇAMENTO.CustoUnitario*(1+$AH180),ORÇAMENTO.PrecoUnitarioLicitado),15-13*$AF$10),0)</f>
        <v>0</v>
      </c>
      <c r="X180" s="154">
        <f ca="1">IF($C180="S",IF(Import.TipoArredondamento&lt;&gt;"TransfereGOV",VTOTAL1,SUM(OFFSET(CÁLCULO!$AA$15,ROW($X180)-ROW($X$15),1):OFFSET(CÁLCULO!$AL$15,ROW($X180)-ROW($X$15),-1))),IF($C180=0,0,ROUND(SomaAgrup,15-13*$AF$11)))</f>
        <v>0</v>
      </c>
      <c r="Y180" s="155" t="s">
        <v>245</v>
      </c>
      <c r="Z180" t="str">
        <f t="shared" ca="1" si="133"/>
        <v/>
      </c>
      <c r="AA180" s="156">
        <f ca="1">IF($C180="S",IF($Z180="CP",$X180,IF($Z180="RA",(($X180)*QCI!$AA$3),0)),SomaAgrup)</f>
        <v>0</v>
      </c>
      <c r="AB180" s="157">
        <f t="shared" ca="1" si="120"/>
        <v>0</v>
      </c>
      <c r="AC180" s="158" t="str">
        <f ca="1">IF($N180="","",IF(ORÇAMENTO.Descricao="","DESCRIÇÃO",IF(AND($C180="S",ORÇAMENTO.Unidade=""),"UNIDADE",IF($X180&lt;0,"VALOR NEGATIVO",IF(OR(AND(TIPOORCAMENTO="Proposto",$AG180&lt;&gt;"",$AG180&gt;0,ORÇAMENTO.CustoUnitario&gt;$AG180),AND(TIPOORCAMENTO="LICITADO",ORÇAMENTO.PrecoUnitarioLicitado&gt;$AN180)),"ACIMA REF.","")))))</f>
        <v/>
      </c>
      <c r="AD180" s="689" t="str">
        <f ca="1">IF(C180&lt;=CRONO.NivelExibicao,MAX($AD$15:OFFSET(AD180,-1,0))+IF($C180&lt;&gt;1,1,MAX(1,COUNTIF(QCI!$A$13:$A$24,OFFSET($E180,-1,0)))),"")</f>
        <v/>
      </c>
      <c r="AE180" s="114" t="str">
        <f ca="1">IF(AND($C180="S",ORÇAMENTO.CodBarra&lt;&gt;""),IF(ORÇAMENTO.Fonte="",ORÇAMENTO.CodBarra,CONCATENATE(ORÇAMENTO.Fonte," ",ORÇAMENTO.CodBarra)))</f>
        <v>SINAPI 101094</v>
      </c>
      <c r="AF180" s="159">
        <f ca="1">IF(ISERROR(INDIRECT(ORÇAMENTO.BancoRef)),"(abra o arquivo 'Referência "&amp;Excel_BuiltIn_Database&amp;".xlsm)",IF(OR($C180&lt;&gt;"S",ORÇAMENTO.CodBarra=""),"(Sem Código)",IF(ISERROR(MATCH($AE180,INDIRECT(ORÇAMENTO.BancoRef),0)),"(Código não identificado nas referências)",MATCH($AE180,INDIRECT(ORÇAMENTO.BancoRef),0))))</f>
        <v>11190</v>
      </c>
      <c r="AG180" s="578">
        <f ca="1">ROUND(IF(DESONERACAO="sim",REFERENCIA.Desonerado,REFERENCIA.NaoDesonerado),2)</f>
        <v>166.14</v>
      </c>
      <c r="AH180" s="579">
        <f t="shared" ca="1" si="121"/>
        <v>0.2034</v>
      </c>
      <c r="AJ180" s="581">
        <v>75</v>
      </c>
      <c r="AL180" s="611"/>
      <c r="AM180" s="430">
        <f t="shared" ca="1" si="93"/>
        <v>0</v>
      </c>
      <c r="AN180" s="654">
        <f t="shared" ca="1" si="122"/>
        <v>0</v>
      </c>
    </row>
    <row r="181" spans="1:40" ht="38.25" x14ac:dyDescent="0.2">
      <c r="A181" t="str">
        <f t="shared" si="119"/>
        <v>S</v>
      </c>
      <c r="B181">
        <f t="shared" ca="1" si="123"/>
        <v>2</v>
      </c>
      <c r="C181" t="str">
        <f t="shared" ca="1" si="124"/>
        <v>S</v>
      </c>
      <c r="D181">
        <f t="shared" ca="1" si="125"/>
        <v>0</v>
      </c>
      <c r="E181">
        <f ca="1">IF($C181=1,OFFSET(E181,-1,0)+MAX(1,COUNTIF(QCI!$A$13:$A$24,OFFSET(ORÇAMENTO!E181,-1,0))),OFFSET(E181,-1,0))</f>
        <v>1</v>
      </c>
      <c r="F181">
        <f t="shared" ca="1" si="126"/>
        <v>23</v>
      </c>
      <c r="G181">
        <f t="shared" ca="1" si="127"/>
        <v>0</v>
      </c>
      <c r="H181">
        <f t="shared" ca="1" si="128"/>
        <v>0</v>
      </c>
      <c r="I181">
        <f t="shared" ca="1" si="129"/>
        <v>0</v>
      </c>
      <c r="J181">
        <f t="shared" ca="1" si="134"/>
        <v>0</v>
      </c>
      <c r="K181">
        <f ca="1">IF(OR($C181="S",$C181=0),0,MATCH(OFFSET($D181,0,$C181)+IF($C181&lt;&gt;1,1,COUNTIF(QCI!$A$13:$A$24,ORÇAMENTO!E181)),OFFSET($D181,1,$C181,ROW($C$192)-ROW($C181)),0))</f>
        <v>0</v>
      </c>
      <c r="L181" s="143" t="str">
        <f t="shared" ca="1" si="130"/>
        <v/>
      </c>
      <c r="M181" s="144" t="s">
        <v>199</v>
      </c>
      <c r="N181" s="145" t="str">
        <f t="shared" ca="1" si="131"/>
        <v>Serviço</v>
      </c>
      <c r="O181" s="146" t="str">
        <f t="shared" ca="1" si="132"/>
        <v>-</v>
      </c>
      <c r="P181" s="147" t="s">
        <v>247</v>
      </c>
      <c r="Q181" s="148" t="s">
        <v>606</v>
      </c>
      <c r="R181" s="149" t="s">
        <v>768</v>
      </c>
      <c r="S181" s="150" t="s">
        <v>778</v>
      </c>
      <c r="T181" s="151">
        <f ca="1">OFFSET(CÁLCULO!H$15,ROW($T181)-ROW(T$15),0)</f>
        <v>6</v>
      </c>
      <c r="U181" s="152"/>
      <c r="V181" s="153" t="s">
        <v>156</v>
      </c>
      <c r="W181" s="151">
        <f ca="1">IF($C181="S",ROUND(IF(TIPOORCAMENTO="Proposto",ORÇAMENTO.CustoUnitario*(1+$AH181),ORÇAMENTO.PrecoUnitarioLicitado),15-13*$AF$10),0)</f>
        <v>0</v>
      </c>
      <c r="X181" s="154">
        <f ca="1">IF($C181="S",IF(Import.TipoArredondamento&lt;&gt;"TransfereGOV",VTOTAL1,SUM(OFFSET(CÁLCULO!$AA$15,ROW($X181)-ROW($X$15),1):OFFSET(CÁLCULO!$AL$15,ROW($X181)-ROW($X$15),-1))),IF($C181=0,0,ROUND(SomaAgrup,15-13*$AF$11)))</f>
        <v>0</v>
      </c>
      <c r="Y181" s="155" t="s">
        <v>245</v>
      </c>
      <c r="Z181" t="str">
        <f t="shared" ca="1" si="133"/>
        <v/>
      </c>
      <c r="AA181" s="156">
        <f ca="1">IF($C181="S",IF($Z181="CP",$X181,IF($Z181="RA",(($X181)*QCI!$AA$3),0)),SomaAgrup)</f>
        <v>0</v>
      </c>
      <c r="AB181" s="157">
        <f t="shared" ca="1" si="120"/>
        <v>0</v>
      </c>
      <c r="AC181" s="158" t="str">
        <f ca="1">IF($N181="","",IF(ORÇAMENTO.Descricao="","DESCRIÇÃO",IF(AND($C181="S",ORÇAMENTO.Unidade=""),"UNIDADE",IF($X181&lt;0,"VALOR NEGATIVO",IF(OR(AND(TIPOORCAMENTO="Proposto",$AG181&lt;&gt;"",$AG181&gt;0,ORÇAMENTO.CustoUnitario&gt;$AG181),AND(TIPOORCAMENTO="LICITADO",ORÇAMENTO.PrecoUnitarioLicitado&gt;$AN181)),"ACIMA REF.","")))))</f>
        <v/>
      </c>
      <c r="AD181" s="689" t="str">
        <f ca="1">IF(C181&lt;=CRONO.NivelExibicao,MAX($AD$15:OFFSET(AD181,-1,0))+IF($C181&lt;&gt;1,1,MAX(1,COUNTIF(QCI!$A$13:$A$24,OFFSET($E181,-1,0)))),"")</f>
        <v/>
      </c>
      <c r="AE181" s="114" t="str">
        <f ca="1">IF(AND($C181="S",ORÇAMENTO.CodBarra&lt;&gt;""),IF(ORÇAMENTO.Fonte="",ORÇAMENTO.CodBarra,CONCATENATE(ORÇAMENTO.Fonte," ",ORÇAMENTO.CodBarra)))</f>
        <v>SINAPI 100867</v>
      </c>
      <c r="AF181" s="159">
        <f ca="1">IF(ISERROR(INDIRECT(ORÇAMENTO.BancoRef)),"(abra o arquivo 'Referência "&amp;Excel_BuiltIn_Database&amp;".xlsm)",IF(OR($C181&lt;&gt;"S",ORÇAMENTO.CodBarra=""),"(Sem Código)",IF(ISERROR(MATCH($AE181,INDIRECT(ORÇAMENTO.BancoRef),0)),"(Código não identificado nas referências)",MATCH($AE181,INDIRECT(ORÇAMENTO.BancoRef),0))))</f>
        <v>10191</v>
      </c>
      <c r="AG181" s="578">
        <f ca="1">ROUND(IF(DESONERACAO="sim",REFERENCIA.Desonerado,REFERENCIA.NaoDesonerado),2)</f>
        <v>414.13</v>
      </c>
      <c r="AH181" s="579">
        <f t="shared" ca="1" si="121"/>
        <v>0.2034</v>
      </c>
      <c r="AJ181" s="581">
        <v>6</v>
      </c>
      <c r="AL181" s="611"/>
      <c r="AM181" s="430">
        <f t="shared" ca="1" si="93"/>
        <v>0</v>
      </c>
      <c r="AN181" s="654">
        <f t="shared" ca="1" si="122"/>
        <v>0</v>
      </c>
    </row>
    <row r="182" spans="1:40" ht="25.5" x14ac:dyDescent="0.2">
      <c r="A182" t="str">
        <f t="shared" si="119"/>
        <v>S</v>
      </c>
      <c r="B182">
        <f t="shared" ca="1" si="123"/>
        <v>2</v>
      </c>
      <c r="C182" t="str">
        <f t="shared" ca="1" si="124"/>
        <v>S</v>
      </c>
      <c r="D182">
        <f t="shared" ca="1" si="125"/>
        <v>0</v>
      </c>
      <c r="E182">
        <f ca="1">IF($C182=1,OFFSET(E182,-1,0)+MAX(1,COUNTIF(QCI!$A$13:$A$24,OFFSET(ORÇAMENTO!E182,-1,0))),OFFSET(E182,-1,0))</f>
        <v>1</v>
      </c>
      <c r="F182">
        <f t="shared" ca="1" si="126"/>
        <v>23</v>
      </c>
      <c r="G182">
        <f t="shared" ca="1" si="127"/>
        <v>0</v>
      </c>
      <c r="H182">
        <f t="shared" ca="1" si="128"/>
        <v>0</v>
      </c>
      <c r="I182">
        <f t="shared" ca="1" si="129"/>
        <v>0</v>
      </c>
      <c r="J182">
        <f t="shared" ca="1" si="134"/>
        <v>0</v>
      </c>
      <c r="K182">
        <f ca="1">IF(OR($C182="S",$C182=0),0,MATCH(OFFSET($D182,0,$C182)+IF($C182&lt;&gt;1,1,COUNTIF(QCI!$A$13:$A$24,ORÇAMENTO!E182)),OFFSET($D182,1,$C182,ROW($C$192)-ROW($C182)),0))</f>
        <v>0</v>
      </c>
      <c r="L182" s="143" t="str">
        <f t="shared" ca="1" si="130"/>
        <v/>
      </c>
      <c r="M182" s="144" t="s">
        <v>199</v>
      </c>
      <c r="N182" s="145" t="str">
        <f t="shared" ca="1" si="131"/>
        <v>Serviço</v>
      </c>
      <c r="O182" s="146" t="str">
        <f t="shared" ca="1" si="132"/>
        <v>-</v>
      </c>
      <c r="P182" s="147" t="s">
        <v>247</v>
      </c>
      <c r="Q182" s="148" t="s">
        <v>607</v>
      </c>
      <c r="R182" s="149" t="s">
        <v>769</v>
      </c>
      <c r="S182" s="150" t="s">
        <v>778</v>
      </c>
      <c r="T182" s="151">
        <f ca="1">OFFSET(CÁLCULO!H$15,ROW($T182)-ROW(T$15),0)</f>
        <v>2</v>
      </c>
      <c r="U182" s="152"/>
      <c r="V182" s="153" t="s">
        <v>156</v>
      </c>
      <c r="W182" s="151">
        <f ca="1">IF($C182="S",ROUND(IF(TIPOORCAMENTO="Proposto",ORÇAMENTO.CustoUnitario*(1+$AH182),ORÇAMENTO.PrecoUnitarioLicitado),15-13*$AF$10),0)</f>
        <v>0</v>
      </c>
      <c r="X182" s="154">
        <f ca="1">IF($C182="S",IF(Import.TipoArredondamento&lt;&gt;"TransfereGOV",VTOTAL1,SUM(OFFSET(CÁLCULO!$AA$15,ROW($X182)-ROW($X$15),1):OFFSET(CÁLCULO!$AL$15,ROW($X182)-ROW($X$15),-1))),IF($C182=0,0,ROUND(SomaAgrup,15-13*$AF$11)))</f>
        <v>0</v>
      </c>
      <c r="Y182" s="155" t="s">
        <v>245</v>
      </c>
      <c r="Z182" t="str">
        <f t="shared" ca="1" si="133"/>
        <v/>
      </c>
      <c r="AA182" s="156">
        <f ca="1">IF($C182="S",IF($Z182="CP",$X182,IF($Z182="RA",(($X182)*QCI!$AA$3),0)),SomaAgrup)</f>
        <v>0</v>
      </c>
      <c r="AB182" s="157">
        <f t="shared" ca="1" si="120"/>
        <v>0</v>
      </c>
      <c r="AC182" s="158" t="str">
        <f ca="1">IF($N182="","",IF(ORÇAMENTO.Descricao="","DESCRIÇÃO",IF(AND($C182="S",ORÇAMENTO.Unidade=""),"UNIDADE",IF($X182&lt;0,"VALOR NEGATIVO",IF(OR(AND(TIPOORCAMENTO="Proposto",$AG182&lt;&gt;"",$AG182&gt;0,ORÇAMENTO.CustoUnitario&gt;$AG182),AND(TIPOORCAMENTO="LICITADO",ORÇAMENTO.PrecoUnitarioLicitado&gt;$AN182)),"ACIMA REF.","")))))</f>
        <v/>
      </c>
      <c r="AD182" s="689" t="str">
        <f ca="1">IF(C182&lt;=CRONO.NivelExibicao,MAX($AD$15:OFFSET(AD182,-1,0))+IF($C182&lt;&gt;1,1,MAX(1,COUNTIF(QCI!$A$13:$A$24,OFFSET($E182,-1,0)))),"")</f>
        <v/>
      </c>
      <c r="AE182" s="114" t="str">
        <f ca="1">IF(AND($C182="S",ORÇAMENTO.CodBarra&lt;&gt;""),IF(ORÇAMENTO.Fonte="",ORÇAMENTO.CodBarra,CONCATENATE(ORÇAMENTO.Fonte," ",ORÇAMENTO.CodBarra)))</f>
        <v>SINAPI 100853</v>
      </c>
      <c r="AF182" s="159">
        <f ca="1">IF(ISERROR(INDIRECT(ORÇAMENTO.BancoRef)),"(abra o arquivo 'Referência "&amp;Excel_BuiltIn_Database&amp;".xlsm)",IF(OR($C182&lt;&gt;"S",ORÇAMENTO.CodBarra=""),"(Sem Código)",IF(ISERROR(MATCH($AE182,INDIRECT(ORÇAMENTO.BancoRef),0)),"(Código não identificado nas referências)",MATCH($AE182,INDIRECT(ORÇAMENTO.BancoRef),0))))</f>
        <v>10178</v>
      </c>
      <c r="AG182" s="578">
        <f ca="1">ROUND(IF(DESONERACAO="sim",REFERENCIA.Desonerado,REFERENCIA.NaoDesonerado),2)</f>
        <v>551.39</v>
      </c>
      <c r="AH182" s="579">
        <f t="shared" ca="1" si="121"/>
        <v>0.2034</v>
      </c>
      <c r="AJ182" s="581">
        <v>2</v>
      </c>
      <c r="AL182" s="611"/>
      <c r="AM182" s="430">
        <f t="shared" ca="1" si="93"/>
        <v>0</v>
      </c>
      <c r="AN182" s="654">
        <f t="shared" ca="1" si="122"/>
        <v>0</v>
      </c>
    </row>
    <row r="183" spans="1:40" x14ac:dyDescent="0.2">
      <c r="A183" t="str">
        <f>CHOOSE(1+LOG(1+2*(ORÇAMENTO.Nivel="Meta")+4*(ORÇAMENTO.Nivel="Nível 2")+8*(ORÇAMENTO.Nivel="Nível 3")+16*(ORÇAMENTO.Nivel="Nível 4")+32*(ORÇAMENTO.Nivel="Serviço"),2),0,1,2,3,4,"S")</f>
        <v>S</v>
      </c>
      <c r="B183">
        <f ca="1">IF(OR(C183="s",C183=0),OFFSET(B183,-1,0),C183)</f>
        <v>2</v>
      </c>
      <c r="C183" t="str">
        <f ca="1">IF(OFFSET(C183,-1,0)="L",1,IF(OFFSET(C183,-1,0)=1,2,IF(OR(A183="s",A183=0),"S",IF(AND(OFFSET(C183,-1,0)=2,A183=4),3,IF(AND(OR(OFFSET(C183,-1,0)="s",OFFSET(C183,-1,0)=0),A183&lt;&gt;"s",A183&gt;OFFSET(B183,-1,0)),OFFSET(B183,-1,0),A183)))))</f>
        <v>S</v>
      </c>
      <c r="D183">
        <f ca="1">IF(OR(C183="S",C183=0),0,IF(ISERROR(K183),J183,SMALL(J183:K183,1)))</f>
        <v>0</v>
      </c>
      <c r="E183">
        <f ca="1">IF($C183=1,OFFSET(E183,-1,0)+MAX(1,COUNTIF(QCI!$A$13:$A$24,OFFSET(ORÇAMENTO!E183,-1,0))),OFFSET(E183,-1,0))</f>
        <v>1</v>
      </c>
      <c r="F183">
        <f ca="1">IF($C183=1,0,IF($C183=2,OFFSET(F183,-1,0)+1,OFFSET(F183,-1,0)))</f>
        <v>23</v>
      </c>
      <c r="G183">
        <f ca="1">IF(AND($C183&lt;=2,$C183&lt;&gt;0),0,IF($C183=3,OFFSET(G183,-1,0)+1,OFFSET(G183,-1,0)))</f>
        <v>0</v>
      </c>
      <c r="H183">
        <f ca="1">IF(AND($C183&lt;=3,$C183&lt;&gt;0),0,IF($C183=4,OFFSET(H183,-1,0)+1,OFFSET(H183,-1,0)))</f>
        <v>0</v>
      </c>
      <c r="I183">
        <f ca="1">IF(AND($C183&lt;=4,$C183&lt;&gt;0),0,IF(AND($C183="S",$X183&gt;0),OFFSET(I183,-1,0)+1,OFFSET(I183,-1,0)))</f>
        <v>0</v>
      </c>
      <c r="J183">
        <f ca="1">IF(OR($C183="S",$C183=0),0,MATCH(0,OFFSET($D183,1,$C183,ROW($C$192)-ROW($C183)),0))</f>
        <v>0</v>
      </c>
      <c r="K183">
        <f ca="1">IF(OR($C183="S",$C183=0),0,MATCH(OFFSET($D183,0,$C183)+IF($C183&lt;&gt;1,1,COUNTIF(QCI!$A$13:$A$24,ORÇAMENTO!E183)),OFFSET($D183,1,$C183,ROW($C$192)-ROW($C183)),0))</f>
        <v>0</v>
      </c>
      <c r="L183" s="143" t="str">
        <f ca="1">IF(OR($X183&gt;0,$C183=1,$C183=2,$C183=3,$C183=4),"F","")</f>
        <v/>
      </c>
      <c r="M183" s="144" t="s">
        <v>199</v>
      </c>
      <c r="N183" s="145" t="str">
        <f ca="1">CHOOSE(1+LOG(1+2*(C183=1)+4*(C183=2)+8*(C183=3)+16*(C183=4)+32*(C183="S"),2),"","Meta","Nível 2","Nível 3","Nível 4","Serviço")</f>
        <v>Serviço</v>
      </c>
      <c r="O183" s="146" t="str">
        <f ca="1">IF(OR($C183=0,$L183=""),"-",CONCATENATE(E183&amp;".",IF(AND($A$5&gt;=2,$C183&gt;=2),F183&amp;".",""),IF(AND($A$5&gt;=3,$C183&gt;=3),G183&amp;".",""),IF(AND($A$5&gt;=4,$C183&gt;=4),H183&amp;".",""),IF($C183="S",I183&amp;".","")))</f>
        <v>-</v>
      </c>
      <c r="P183" s="147" t="s">
        <v>624</v>
      </c>
      <c r="Q183" s="148" t="s">
        <v>625</v>
      </c>
      <c r="R183" s="149" t="s">
        <v>770</v>
      </c>
      <c r="S183" s="150" t="s">
        <v>784</v>
      </c>
      <c r="T183" s="151">
        <f ca="1">OFFSET(CÁLCULO!H$15,ROW($T183)-ROW(T$15),0)</f>
        <v>2</v>
      </c>
      <c r="U183" s="152"/>
      <c r="V183" s="153" t="s">
        <v>156</v>
      </c>
      <c r="W183" s="151">
        <f ca="1">IF($C183="S",ROUND(IF(TIPOORCAMENTO="Proposto",ORÇAMENTO.CustoUnitario*(1+$AH183),ORÇAMENTO.PrecoUnitarioLicitado),15-13*$AF$10),0)</f>
        <v>0</v>
      </c>
      <c r="X183" s="154">
        <f ca="1">IF($C183="S",IF(Import.TipoArredondamento&lt;&gt;"TransfereGOV",VTOTAL1,SUM(OFFSET(CÁLCULO!$AA$15,ROW($X183)-ROW($X$15),1):OFFSET(CÁLCULO!$AL$15,ROW($X183)-ROW($X$15),-1))),IF($C183=0,0,ROUND(SomaAgrup,15-13*$AF$11)))</f>
        <v>0</v>
      </c>
      <c r="Y183" s="155" t="s">
        <v>245</v>
      </c>
      <c r="Z183" t="str">
        <f ca="1">IF(AND($C183="S",$X183&gt;0),IF(ISBLANK($Y183),"RA",LEFT($Y183,2)),"")</f>
        <v/>
      </c>
      <c r="AA183" s="156">
        <f ca="1">IF($C183="S",IF($Z183="CP",$X183,IF($Z183="RA",(($X183)*QCI!$AA$3),0)),SomaAgrup)</f>
        <v>0</v>
      </c>
      <c r="AB183" s="157">
        <f ca="1">IF($C183="S",IF($Z183="OU",ROUND($X183,2),0),SomaAgrup)</f>
        <v>0</v>
      </c>
      <c r="AC183" s="158" t="str">
        <f ca="1">IF($N183="","",IF(ORÇAMENTO.Descricao="","DESCRIÇÃO",IF(AND($C183="S",ORÇAMENTO.Unidade=""),"UNIDADE",IF($X183&lt;0,"VALOR NEGATIVO",IF(OR(AND(TIPOORCAMENTO="Proposto",$AG183&lt;&gt;"",$AG183&gt;0,ORÇAMENTO.CustoUnitario&gt;$AG183),AND(TIPOORCAMENTO="LICITADO",ORÇAMENTO.PrecoUnitarioLicitado&gt;$AN183)),"ACIMA REF.","")))))</f>
        <v/>
      </c>
      <c r="AD183" s="693" t="str">
        <f ca="1">IF(C183&lt;=CRONO.NivelExibicao,MAX($AD$15:OFFSET(AD183,-1,0))+IF($C183&lt;&gt;1,1,MAX(1,COUNTIF(QCI!$A$13:$A$24,OFFSET($E183,-1,0)))),"")</f>
        <v/>
      </c>
      <c r="AE183" s="114" t="str">
        <f ca="1">IF(AND($C183="S",ORÇAMENTO.CodBarra&lt;&gt;""),IF(ORÇAMENTO.Fonte="",ORÇAMENTO.CodBarra,CONCATENATE(ORÇAMENTO.Fonte," ",ORÇAMENTO.CodBarra)))</f>
        <v>ORSE 11961</v>
      </c>
      <c r="AF183" s="159">
        <f ca="1">IF(ISERROR(INDIRECT(ORÇAMENTO.BancoRef)),"(abra o arquivo 'Referência "&amp;Excel_BuiltIn_Database&amp;".xlsm)",IF(OR($C183&lt;&gt;"S",ORÇAMENTO.CodBarra=""),"(Sem Código)",IF(ISERROR(MATCH($AE183,INDIRECT(ORÇAMENTO.BancoRef),0)),"(Código não identificado nas referências)",MATCH($AE183,INDIRECT(ORÇAMENTO.BancoRef),0))))</f>
        <v>14811</v>
      </c>
      <c r="AG183" s="578">
        <f ca="1">ROUND(IF(DESONERACAO="sim",REFERENCIA.Desonerado,REFERENCIA.NaoDesonerado),2)</f>
        <v>549.85</v>
      </c>
      <c r="AH183" s="579">
        <f ca="1">ROUND(IF(ISNUMBER(ORÇAMENTO.OpcaoBDI),ORÇAMENTO.OpcaoBDI,IF(LEFT(ORÇAMENTO.OpcaoBDI,3)="BDI",HLOOKUP(ORÇAMENTO.OpcaoBDI,$F$4:$H$5,2,FALSE),0)),15-11*$AF$9)</f>
        <v>0.2034</v>
      </c>
      <c r="AJ183" s="581">
        <v>2</v>
      </c>
      <c r="AL183" s="611"/>
      <c r="AM183" s="430">
        <f t="shared" ca="1" si="93"/>
        <v>0</v>
      </c>
      <c r="AN183" s="654">
        <f ca="1">ROUND(ORÇAMENTO.CustoUnitario*(1+$AH183),2)</f>
        <v>0</v>
      </c>
    </row>
    <row r="184" spans="1:40" x14ac:dyDescent="0.2">
      <c r="A184">
        <f t="shared" si="119"/>
        <v>2</v>
      </c>
      <c r="B184">
        <f t="shared" ca="1" si="123"/>
        <v>2</v>
      </c>
      <c r="C184">
        <f t="shared" ca="1" si="124"/>
        <v>2</v>
      </c>
      <c r="D184">
        <f t="shared" ca="1" si="125"/>
        <v>4</v>
      </c>
      <c r="E184">
        <f ca="1">IF($C184=1,OFFSET(E184,-1,0)+MAX(1,COUNTIF(QCI!$A$13:$A$24,OFFSET(ORÇAMENTO!E184,-1,0))),OFFSET(E184,-1,0))</f>
        <v>1</v>
      </c>
      <c r="F184">
        <f t="shared" ca="1" si="126"/>
        <v>24</v>
      </c>
      <c r="G184">
        <f t="shared" ca="1" si="127"/>
        <v>0</v>
      </c>
      <c r="H184">
        <f t="shared" ca="1" si="128"/>
        <v>0</v>
      </c>
      <c r="I184">
        <f t="shared" ca="1" si="129"/>
        <v>0</v>
      </c>
      <c r="J184">
        <f t="shared" ca="1" si="134"/>
        <v>8</v>
      </c>
      <c r="K184">
        <f ca="1">IF(OR($C184="S",$C184=0),0,MATCH(OFFSET($D184,0,$C184)+IF($C184&lt;&gt;1,1,COUNTIF(QCI!$A$13:$A$24,ORÇAMENTO!E184)),OFFSET($D184,1,$C184,ROW($C$192)-ROW($C184)),0))</f>
        <v>4</v>
      </c>
      <c r="L184" s="143" t="str">
        <f t="shared" ca="1" si="130"/>
        <v>F</v>
      </c>
      <c r="M184" s="144" t="s">
        <v>196</v>
      </c>
      <c r="N184" s="145" t="str">
        <f t="shared" ca="1" si="131"/>
        <v>Nível 2</v>
      </c>
      <c r="O184" s="146" t="str">
        <f t="shared" ca="1" si="132"/>
        <v>1.24.</v>
      </c>
      <c r="P184" s="147" t="s">
        <v>247</v>
      </c>
      <c r="Q184" s="148"/>
      <c r="R184" s="149" t="s">
        <v>555</v>
      </c>
      <c r="S184" s="150" t="s">
        <v>166</v>
      </c>
      <c r="T184" s="151">
        <f ca="1">OFFSET(CÁLCULO!H$15,ROW($T184)-ROW(T$15),0)</f>
        <v>0</v>
      </c>
      <c r="U184" s="152"/>
      <c r="V184" s="153" t="s">
        <v>156</v>
      </c>
      <c r="W184" s="151">
        <f ca="1">IF($C184="S",ROUND(IF(TIPOORCAMENTO="Proposto",ORÇAMENTO.CustoUnitario*(1+$AH184),ORÇAMENTO.PrecoUnitarioLicitado),15-13*$AF$10),0)</f>
        <v>0</v>
      </c>
      <c r="X184" s="154">
        <f ca="1">IF($C184="S",IF(Import.TipoArredondamento&lt;&gt;"TransfereGOV",VTOTAL1,SUM(OFFSET(CÁLCULO!$AA$15,ROW($X184)-ROW($X$15),1):OFFSET(CÁLCULO!$AL$15,ROW($X184)-ROW($X$15),-1))),IF($C184=0,0,ROUND(SomaAgrup,15-13*$AF$11)))</f>
        <v>0</v>
      </c>
      <c r="Y184" s="155" t="s">
        <v>245</v>
      </c>
      <c r="Z184" t="str">
        <f t="shared" ca="1" si="133"/>
        <v/>
      </c>
      <c r="AA184" s="156">
        <f ca="1">IF($C184="S",IF($Z184="CP",$X184,IF($Z184="RA",(($X184)*QCI!$AA$3),0)),SomaAgrup)</f>
        <v>0</v>
      </c>
      <c r="AB184" s="157">
        <f t="shared" ca="1" si="120"/>
        <v>0</v>
      </c>
      <c r="AC184" s="158" t="str">
        <f ca="1">IF($N184="","",IF(ORÇAMENTO.Descricao="","DESCRIÇÃO",IF(AND($C184="S",ORÇAMENTO.Unidade=""),"UNIDADE",IF($X184&lt;0,"VALOR NEGATIVO",IF(OR(AND(TIPOORCAMENTO="Proposto",$AG184&lt;&gt;"",$AG184&gt;0,ORÇAMENTO.CustoUnitario&gt;$AG184),AND(TIPOORCAMENTO="LICITADO",ORÇAMENTO.PrecoUnitarioLicitado&gt;$AN184)),"ACIMA REF.","")))))</f>
        <v/>
      </c>
      <c r="AD184" s="682">
        <f ca="1">IF(C184&lt;=CRONO.NivelExibicao,MAX($AD$15:OFFSET(AD184,-1,0))+IF($C184&lt;&gt;1,1,MAX(1,COUNTIF(QCI!$A$13:$A$24,OFFSET($E184,-1,0)))),"")</f>
        <v>25</v>
      </c>
      <c r="AE184" s="114" t="b">
        <f ca="1">IF(AND($C184="S",ORÇAMENTO.CodBarra&lt;&gt;""),IF(ORÇAMENTO.Fonte="",ORÇAMENTO.CodBarra,CONCATENATE(ORÇAMENTO.Fonte," ",ORÇAMENTO.CodBarra)))</f>
        <v>0</v>
      </c>
      <c r="AF184" s="159" t="str">
        <f ca="1">IF(ISERROR(INDIRECT(ORÇAMENTO.BancoRef)),"(abra o arquivo 'Referência "&amp;Excel_BuiltIn_Database&amp;".xlsm)",IF(OR($C184&lt;&gt;"S",ORÇAMENTO.CodBarra=""),"(Sem Código)",IF(ISERROR(MATCH($AE184,INDIRECT(ORÇAMENTO.BancoRef),0)),"(Código não identificado nas referências)",MATCH($AE184,INDIRECT(ORÇAMENTO.BancoRef),0))))</f>
        <v>(Sem Código)</v>
      </c>
      <c r="AG184" s="578">
        <f ca="1">ROUND(IF(DESONERACAO="sim",REFERENCIA.Desonerado,REFERENCIA.NaoDesonerado),2)</f>
        <v>0</v>
      </c>
      <c r="AH184" s="579">
        <f t="shared" ca="1" si="121"/>
        <v>0.2034</v>
      </c>
      <c r="AJ184" s="581"/>
      <c r="AL184" s="611"/>
      <c r="AM184" s="430">
        <f t="shared" ca="1" si="93"/>
        <v>0</v>
      </c>
      <c r="AN184" s="654">
        <f t="shared" ca="1" si="122"/>
        <v>0</v>
      </c>
    </row>
    <row r="185" spans="1:40" ht="38.25" x14ac:dyDescent="0.2">
      <c r="A185" t="str">
        <f t="shared" si="119"/>
        <v>S</v>
      </c>
      <c r="B185">
        <f t="shared" ca="1" si="123"/>
        <v>2</v>
      </c>
      <c r="C185" t="str">
        <f t="shared" ca="1" si="124"/>
        <v>S</v>
      </c>
      <c r="D185">
        <f t="shared" ca="1" si="125"/>
        <v>0</v>
      </c>
      <c r="E185">
        <f ca="1">IF($C185=1,OFFSET(E185,-1,0)+MAX(1,COUNTIF(QCI!$A$13:$A$24,OFFSET(ORÇAMENTO!E185,-1,0))),OFFSET(E185,-1,0))</f>
        <v>1</v>
      </c>
      <c r="F185">
        <f t="shared" ca="1" si="126"/>
        <v>24</v>
      </c>
      <c r="G185">
        <f t="shared" ca="1" si="127"/>
        <v>0</v>
      </c>
      <c r="H185">
        <f t="shared" ca="1" si="128"/>
        <v>0</v>
      </c>
      <c r="I185">
        <f t="shared" ca="1" si="129"/>
        <v>0</v>
      </c>
      <c r="J185">
        <f t="shared" ca="1" si="134"/>
        <v>0</v>
      </c>
      <c r="K185">
        <f ca="1">IF(OR($C185="S",$C185=0),0,MATCH(OFFSET($D185,0,$C185)+IF($C185&lt;&gt;1,1,COUNTIF(QCI!$A$13:$A$24,ORÇAMENTO!E185)),OFFSET($D185,1,$C185,ROW($C$192)-ROW($C185)),0))</f>
        <v>0</v>
      </c>
      <c r="L185" s="143" t="str">
        <f t="shared" ca="1" si="130"/>
        <v/>
      </c>
      <c r="M185" s="144" t="s">
        <v>199</v>
      </c>
      <c r="N185" s="145" t="str">
        <f t="shared" ca="1" si="131"/>
        <v>Serviço</v>
      </c>
      <c r="O185" s="146" t="str">
        <f t="shared" ca="1" si="132"/>
        <v>-</v>
      </c>
      <c r="P185" s="147" t="s">
        <v>247</v>
      </c>
      <c r="Q185" s="148" t="s">
        <v>476</v>
      </c>
      <c r="R185" s="149" t="s">
        <v>671</v>
      </c>
      <c r="S185" s="150" t="s">
        <v>777</v>
      </c>
      <c r="T185" s="151">
        <f ca="1">OFFSET(CÁLCULO!H$15,ROW($T185)-ROW(T$15),0)</f>
        <v>112.2</v>
      </c>
      <c r="U185" s="152"/>
      <c r="V185" s="153" t="s">
        <v>156</v>
      </c>
      <c r="W185" s="151">
        <f ca="1">IF($C185="S",ROUND(IF(TIPOORCAMENTO="Proposto",ORÇAMENTO.CustoUnitario*(1+$AH185),ORÇAMENTO.PrecoUnitarioLicitado),15-13*$AF$10),0)</f>
        <v>0</v>
      </c>
      <c r="X185" s="154">
        <f ca="1">IF($C185="S",IF(Import.TipoArredondamento&lt;&gt;"TransfereGOV",VTOTAL1,SUM(OFFSET(CÁLCULO!$AA$15,ROW($X185)-ROW($X$15),1):OFFSET(CÁLCULO!$AL$15,ROW($X185)-ROW($X$15),-1))),IF($C185=0,0,ROUND(SomaAgrup,15-13*$AF$11)))</f>
        <v>0</v>
      </c>
      <c r="Y185" s="155" t="s">
        <v>245</v>
      </c>
      <c r="Z185" t="str">
        <f t="shared" ca="1" si="133"/>
        <v/>
      </c>
      <c r="AA185" s="156">
        <f ca="1">IF($C185="S",IF($Z185="CP",$X185,IF($Z185="RA",(($X185)*QCI!$AA$3),0)),SomaAgrup)</f>
        <v>0</v>
      </c>
      <c r="AB185" s="157">
        <f t="shared" ca="1" si="120"/>
        <v>0</v>
      </c>
      <c r="AC185" s="158" t="str">
        <f ca="1">IF($N185="","",IF(ORÇAMENTO.Descricao="","DESCRIÇÃO",IF(AND($C185="S",ORÇAMENTO.Unidade=""),"UNIDADE",IF($X185&lt;0,"VALOR NEGATIVO",IF(OR(AND(TIPOORCAMENTO="Proposto",$AG185&lt;&gt;"",$AG185&gt;0,ORÇAMENTO.CustoUnitario&gt;$AG185),AND(TIPOORCAMENTO="LICITADO",ORÇAMENTO.PrecoUnitarioLicitado&gt;$AN185)),"ACIMA REF.","")))))</f>
        <v/>
      </c>
      <c r="AD185" s="682" t="str">
        <f ca="1">IF(C185&lt;=CRONO.NivelExibicao,MAX($AD$15:OFFSET(AD185,-1,0))+IF($C185&lt;&gt;1,1,MAX(1,COUNTIF(QCI!$A$13:$A$24,OFFSET($E185,-1,0)))),"")</f>
        <v/>
      </c>
      <c r="AE185" s="114" t="str">
        <f ca="1">IF(AND($C185="S",ORÇAMENTO.CodBarra&lt;&gt;""),IF(ORÇAMENTO.Fonte="",ORÇAMENTO.CodBarra,CONCATENATE(ORÇAMENTO.Fonte," ",ORÇAMENTO.CodBarra)))</f>
        <v>SINAPI 97084</v>
      </c>
      <c r="AF185" s="159">
        <f ca="1">IF(ISERROR(INDIRECT(ORÇAMENTO.BancoRef)),"(abra o arquivo 'Referência "&amp;Excel_BuiltIn_Database&amp;".xlsm)",IF(OR($C185&lt;&gt;"S",ORÇAMENTO.CodBarra=""),"(Sem Código)",IF(ISERROR(MATCH($AE185,INDIRECT(ORÇAMENTO.BancoRef),0)),"(Código não identificado nas referências)",MATCH($AE185,INDIRECT(ORÇAMENTO.BancoRef),0))))</f>
        <v>7177</v>
      </c>
      <c r="AG185" s="578">
        <f ca="1">ROUND(IF(DESONERACAO="sim",REFERENCIA.Desonerado,REFERENCIA.NaoDesonerado),2)</f>
        <v>0.71</v>
      </c>
      <c r="AH185" s="579">
        <f t="shared" ca="1" si="121"/>
        <v>0.2034</v>
      </c>
      <c r="AJ185" s="581">
        <v>112.2</v>
      </c>
      <c r="AL185" s="611"/>
      <c r="AM185" s="430">
        <f t="shared" ca="1" si="93"/>
        <v>0</v>
      </c>
      <c r="AN185" s="654">
        <f t="shared" ca="1" si="122"/>
        <v>0</v>
      </c>
    </row>
    <row r="186" spans="1:40" ht="25.5" x14ac:dyDescent="0.2">
      <c r="A186" t="str">
        <f t="shared" si="119"/>
        <v>S</v>
      </c>
      <c r="B186">
        <f t="shared" ca="1" si="123"/>
        <v>2</v>
      </c>
      <c r="C186" t="str">
        <f t="shared" ca="1" si="124"/>
        <v>S</v>
      </c>
      <c r="D186">
        <f t="shared" ca="1" si="125"/>
        <v>0</v>
      </c>
      <c r="E186">
        <f ca="1">IF($C186=1,OFFSET(E186,-1,0)+MAX(1,COUNTIF(QCI!$A$13:$A$24,OFFSET(ORÇAMENTO!E186,-1,0))),OFFSET(E186,-1,0))</f>
        <v>1</v>
      </c>
      <c r="F186">
        <f t="shared" ca="1" si="126"/>
        <v>24</v>
      </c>
      <c r="G186">
        <f t="shared" ca="1" si="127"/>
        <v>0</v>
      </c>
      <c r="H186">
        <f t="shared" ca="1" si="128"/>
        <v>0</v>
      </c>
      <c r="I186">
        <f t="shared" ca="1" si="129"/>
        <v>0</v>
      </c>
      <c r="J186">
        <f t="shared" ca="1" si="134"/>
        <v>0</v>
      </c>
      <c r="K186">
        <f ca="1">IF(OR($C186="S",$C186=0),0,MATCH(OFFSET($D186,0,$C186)+IF($C186&lt;&gt;1,1,COUNTIF(QCI!$A$13:$A$24,ORÇAMENTO!E186)),OFFSET($D186,1,$C186,ROW($C$192)-ROW($C186)),0))</f>
        <v>0</v>
      </c>
      <c r="L186" s="143" t="str">
        <f t="shared" ca="1" si="130"/>
        <v/>
      </c>
      <c r="M186" s="144" t="s">
        <v>199</v>
      </c>
      <c r="N186" s="145" t="str">
        <f t="shared" ca="1" si="131"/>
        <v>Serviço</v>
      </c>
      <c r="O186" s="146" t="str">
        <f t="shared" ca="1" si="132"/>
        <v>-</v>
      </c>
      <c r="P186" s="147" t="s">
        <v>247</v>
      </c>
      <c r="Q186" s="148" t="s">
        <v>556</v>
      </c>
      <c r="R186" s="149" t="s">
        <v>771</v>
      </c>
      <c r="S186" s="150" t="s">
        <v>780</v>
      </c>
      <c r="T186" s="151">
        <f ca="1">OFFSET(CÁLCULO!H$15,ROW($T186)-ROW(T$15),0)</f>
        <v>5.61</v>
      </c>
      <c r="U186" s="152"/>
      <c r="V186" s="153" t="s">
        <v>156</v>
      </c>
      <c r="W186" s="151">
        <f ca="1">IF($C186="S",ROUND(IF(TIPOORCAMENTO="Proposto",ORÇAMENTO.CustoUnitario*(1+$AH186),ORÇAMENTO.PrecoUnitarioLicitado),15-13*$AF$10),0)</f>
        <v>0</v>
      </c>
      <c r="X186" s="154">
        <f ca="1">IF($C186="S",IF(Import.TipoArredondamento&lt;&gt;"TransfereGOV",VTOTAL1,SUM(OFFSET(CÁLCULO!$AA$15,ROW($X186)-ROW($X$15),1):OFFSET(CÁLCULO!$AL$15,ROW($X186)-ROW($X$15),-1))),IF($C186=0,0,ROUND(SomaAgrup,15-13*$AF$11)))</f>
        <v>0</v>
      </c>
      <c r="Y186" s="155" t="s">
        <v>245</v>
      </c>
      <c r="Z186" t="str">
        <f t="shared" ca="1" si="133"/>
        <v/>
      </c>
      <c r="AA186" s="156">
        <f ca="1">IF($C186="S",IF($Z186="CP",$X186,IF($Z186="RA",(($X186)*QCI!$AA$3),0)),SomaAgrup)</f>
        <v>0</v>
      </c>
      <c r="AB186" s="157">
        <f t="shared" ca="1" si="120"/>
        <v>0</v>
      </c>
      <c r="AC186" s="158" t="str">
        <f ca="1">IF($N186="","",IF(ORÇAMENTO.Descricao="","DESCRIÇÃO",IF(AND($C186="S",ORÇAMENTO.Unidade=""),"UNIDADE",IF($X186&lt;0,"VALOR NEGATIVO",IF(OR(AND(TIPOORCAMENTO="Proposto",$AG186&lt;&gt;"",$AG186&gt;0,ORÇAMENTO.CustoUnitario&gt;$AG186),AND(TIPOORCAMENTO="LICITADO",ORÇAMENTO.PrecoUnitarioLicitado&gt;$AN186)),"ACIMA REF.","")))))</f>
        <v/>
      </c>
      <c r="AD186" s="682" t="str">
        <f ca="1">IF(C186&lt;=CRONO.NivelExibicao,MAX($AD$15:OFFSET(AD186,-1,0))+IF($C186&lt;&gt;1,1,MAX(1,COUNTIF(QCI!$A$13:$A$24,OFFSET($E186,-1,0)))),"")</f>
        <v/>
      </c>
      <c r="AE186" s="114" t="str">
        <f ca="1">IF(AND($C186="S",ORÇAMENTO.CodBarra&lt;&gt;""),IF(ORÇAMENTO.Fonte="",ORÇAMENTO.CodBarra,CONCATENATE(ORÇAMENTO.Fonte," ",ORÇAMENTO.CodBarra)))</f>
        <v>SINAPI 96622</v>
      </c>
      <c r="AF186" s="159">
        <f ca="1">IF(ISERROR(INDIRECT(ORÇAMENTO.BancoRef)),"(abra o arquivo 'Referência "&amp;Excel_BuiltIn_Database&amp;".xlsm)",IF(OR($C186&lt;&gt;"S",ORÇAMENTO.CodBarra=""),"(Sem Código)",IF(ISERROR(MATCH($AE186,INDIRECT(ORÇAMENTO.BancoRef),0)),"(Código não identificado nas referências)",MATCH($AE186,INDIRECT(ORÇAMENTO.BancoRef),0))))</f>
        <v>7172</v>
      </c>
      <c r="AG186" s="578">
        <f ca="1">ROUND(IF(DESONERACAO="sim",REFERENCIA.Desonerado,REFERENCIA.NaoDesonerado),2)</f>
        <v>186.52</v>
      </c>
      <c r="AH186" s="579">
        <f t="shared" ca="1" si="121"/>
        <v>0.2034</v>
      </c>
      <c r="AJ186" s="581">
        <f>0.05*112.2</f>
        <v>5.61</v>
      </c>
      <c r="AL186" s="611"/>
      <c r="AM186" s="430">
        <f t="shared" ca="1" si="93"/>
        <v>0</v>
      </c>
      <c r="AN186" s="654">
        <f t="shared" ca="1" si="122"/>
        <v>0</v>
      </c>
    </row>
    <row r="187" spans="1:40" ht="38.25" x14ac:dyDescent="0.2">
      <c r="A187" t="str">
        <f t="shared" si="119"/>
        <v>S</v>
      </c>
      <c r="B187">
        <f t="shared" ca="1" si="123"/>
        <v>2</v>
      </c>
      <c r="C187" t="str">
        <f t="shared" ca="1" si="124"/>
        <v>S</v>
      </c>
      <c r="D187">
        <f t="shared" ca="1" si="125"/>
        <v>0</v>
      </c>
      <c r="E187">
        <f ca="1">IF($C187=1,OFFSET(E187,-1,0)+MAX(1,COUNTIF(QCI!$A$13:$A$24,OFFSET(ORÇAMENTO!E187,-1,0))),OFFSET(E187,-1,0))</f>
        <v>1</v>
      </c>
      <c r="F187">
        <f t="shared" ca="1" si="126"/>
        <v>24</v>
      </c>
      <c r="G187">
        <f t="shared" ca="1" si="127"/>
        <v>0</v>
      </c>
      <c r="H187">
        <f t="shared" ca="1" si="128"/>
        <v>0</v>
      </c>
      <c r="I187">
        <f t="shared" ca="1" si="129"/>
        <v>0</v>
      </c>
      <c r="J187">
        <f t="shared" ca="1" si="134"/>
        <v>0</v>
      </c>
      <c r="K187">
        <f ca="1">IF(OR($C187="S",$C187=0),0,MATCH(OFFSET($D187,0,$C187)+IF($C187&lt;&gt;1,1,COUNTIF(QCI!$A$13:$A$24,ORÇAMENTO!E187)),OFFSET($D187,1,$C187,ROW($C$192)-ROW($C187)),0))</f>
        <v>0</v>
      </c>
      <c r="L187" s="143" t="str">
        <f t="shared" ca="1" si="130"/>
        <v/>
      </c>
      <c r="M187" s="144" t="s">
        <v>199</v>
      </c>
      <c r="N187" s="145" t="str">
        <f t="shared" ca="1" si="131"/>
        <v>Serviço</v>
      </c>
      <c r="O187" s="146" t="str">
        <f t="shared" ca="1" si="132"/>
        <v>-</v>
      </c>
      <c r="P187" s="147" t="s">
        <v>247</v>
      </c>
      <c r="Q187" s="148" t="s">
        <v>557</v>
      </c>
      <c r="R187" s="149" t="s">
        <v>772</v>
      </c>
      <c r="S187" s="150" t="s">
        <v>777</v>
      </c>
      <c r="T187" s="151">
        <f ca="1">OFFSET(CÁLCULO!H$15,ROW($T187)-ROW(T$15),0)</f>
        <v>112.2</v>
      </c>
      <c r="U187" s="152"/>
      <c r="V187" s="153" t="s">
        <v>156</v>
      </c>
      <c r="W187" s="151">
        <f ca="1">IF($C187="S",ROUND(IF(TIPOORCAMENTO="Proposto",ORÇAMENTO.CustoUnitario*(1+$AH187),ORÇAMENTO.PrecoUnitarioLicitado),15-13*$AF$10),0)</f>
        <v>0</v>
      </c>
      <c r="X187" s="154">
        <f ca="1">IF($C187="S",IF(Import.TipoArredondamento&lt;&gt;"TransfereGOV",VTOTAL1,SUM(OFFSET(CÁLCULO!$AA$15,ROW($X187)-ROW($X$15),1):OFFSET(CÁLCULO!$AL$15,ROW($X187)-ROW($X$15),-1))),IF($C187=0,0,ROUND(SomaAgrup,15-13*$AF$11)))</f>
        <v>0</v>
      </c>
      <c r="Y187" s="155" t="s">
        <v>245</v>
      </c>
      <c r="Z187" t="str">
        <f t="shared" ca="1" si="133"/>
        <v/>
      </c>
      <c r="AA187" s="156">
        <f ca="1">IF($C187="S",IF($Z187="CP",$X187,IF($Z187="RA",(($X187)*QCI!$AA$3),0)),SomaAgrup)</f>
        <v>0</v>
      </c>
      <c r="AB187" s="157">
        <f t="shared" ca="1" si="120"/>
        <v>0</v>
      </c>
      <c r="AC187" s="158" t="str">
        <f ca="1">IF($N187="","",IF(ORÇAMENTO.Descricao="","DESCRIÇÃO",IF(AND($C187="S",ORÇAMENTO.Unidade=""),"UNIDADE",IF($X187&lt;0,"VALOR NEGATIVO",IF(OR(AND(TIPOORCAMENTO="Proposto",$AG187&lt;&gt;"",$AG187&gt;0,ORÇAMENTO.CustoUnitario&gt;$AG187),AND(TIPOORCAMENTO="LICITADO",ORÇAMENTO.PrecoUnitarioLicitado&gt;$AN187)),"ACIMA REF.","")))))</f>
        <v/>
      </c>
      <c r="AD187" s="682" t="str">
        <f ca="1">IF(C187&lt;=CRONO.NivelExibicao,MAX($AD$15:OFFSET(AD187,-1,0))+IF($C187&lt;&gt;1,1,MAX(1,COUNTIF(QCI!$A$13:$A$24,OFFSET($E187,-1,0)))),"")</f>
        <v/>
      </c>
      <c r="AE187" s="114" t="str">
        <f ca="1">IF(AND($C187="S",ORÇAMENTO.CodBarra&lt;&gt;""),IF(ORÇAMENTO.Fonte="",ORÇAMENTO.CodBarra,CONCATENATE(ORÇAMENTO.Fonte," ",ORÇAMENTO.CodBarra)))</f>
        <v>SINAPI 94993</v>
      </c>
      <c r="AF187" s="159">
        <f ca="1">IF(ISERROR(INDIRECT(ORÇAMENTO.BancoRef)),"(abra o arquivo 'Referência "&amp;Excel_BuiltIn_Database&amp;".xlsm)",IF(OR($C187&lt;&gt;"S",ORÇAMENTO.CodBarra=""),"(Sem Código)",IF(ISERROR(MATCH($AE187,INDIRECT(ORÇAMENTO.BancoRef),0)),"(Código não identificado nas referências)",MATCH($AE187,INDIRECT(ORÇAMENTO.BancoRef),0))))</f>
        <v>11213</v>
      </c>
      <c r="AG187" s="578">
        <f ca="1">ROUND(IF(DESONERACAO="sim",REFERENCIA.Desonerado,REFERENCIA.NaoDesonerado),2)</f>
        <v>76.27</v>
      </c>
      <c r="AH187" s="579">
        <f t="shared" ca="1" si="121"/>
        <v>0.2034</v>
      </c>
      <c r="AJ187" s="581">
        <v>112.2</v>
      </c>
      <c r="AL187" s="611"/>
      <c r="AM187" s="430">
        <f t="shared" ca="1" si="93"/>
        <v>0</v>
      </c>
      <c r="AN187" s="654">
        <f t="shared" ca="1" si="122"/>
        <v>0</v>
      </c>
    </row>
    <row r="188" spans="1:40" x14ac:dyDescent="0.2">
      <c r="A188">
        <f t="shared" si="119"/>
        <v>2</v>
      </c>
      <c r="B188">
        <f t="shared" ca="1" si="123"/>
        <v>2</v>
      </c>
      <c r="C188">
        <f t="shared" ca="1" si="124"/>
        <v>2</v>
      </c>
      <c r="D188">
        <f t="shared" ca="1" si="125"/>
        <v>4</v>
      </c>
      <c r="E188">
        <f ca="1">IF($C188=1,OFFSET(E188,-1,0)+MAX(1,COUNTIF(QCI!$A$13:$A$24,OFFSET(ORÇAMENTO!E188,-1,0))),OFFSET(E188,-1,0))</f>
        <v>1</v>
      </c>
      <c r="F188">
        <f t="shared" ca="1" si="126"/>
        <v>25</v>
      </c>
      <c r="G188">
        <f t="shared" ca="1" si="127"/>
        <v>0</v>
      </c>
      <c r="H188">
        <f t="shared" ca="1" si="128"/>
        <v>0</v>
      </c>
      <c r="I188">
        <f t="shared" ca="1" si="129"/>
        <v>0</v>
      </c>
      <c r="J188">
        <f t="shared" ca="1" si="134"/>
        <v>4</v>
      </c>
      <c r="K188" t="e">
        <f ca="1">IF(OR($C188="S",$C188=0),0,MATCH(OFFSET($D188,0,$C188)+IF($C188&lt;&gt;1,1,COUNTIF(QCI!$A$13:$A$24,ORÇAMENTO!E188)),OFFSET($D188,1,$C188,ROW($C$192)-ROW($C188)),0))</f>
        <v>#N/A</v>
      </c>
      <c r="L188" s="143" t="str">
        <f t="shared" ca="1" si="130"/>
        <v>F</v>
      </c>
      <c r="M188" s="144" t="s">
        <v>196</v>
      </c>
      <c r="N188" s="145" t="str">
        <f t="shared" ca="1" si="131"/>
        <v>Nível 2</v>
      </c>
      <c r="O188" s="146" t="str">
        <f t="shared" ca="1" si="132"/>
        <v>1.25.</v>
      </c>
      <c r="P188" s="147" t="s">
        <v>247</v>
      </c>
      <c r="Q188" s="148"/>
      <c r="R188" s="149" t="s">
        <v>523</v>
      </c>
      <c r="S188" s="150" t="s">
        <v>166</v>
      </c>
      <c r="T188" s="151">
        <f ca="1">OFFSET(CÁLCULO!H$15,ROW($T188)-ROW(T$15),0)</f>
        <v>0</v>
      </c>
      <c r="U188" s="152"/>
      <c r="V188" s="153" t="s">
        <v>156</v>
      </c>
      <c r="W188" s="151">
        <f ca="1">IF($C188="S",ROUND(IF(TIPOORCAMENTO="Proposto",ORÇAMENTO.CustoUnitario*(1+$AH188),ORÇAMENTO.PrecoUnitarioLicitado),15-13*$AF$10),0)</f>
        <v>0</v>
      </c>
      <c r="X188" s="154">
        <f ca="1">IF($C188="S",IF(Import.TipoArredondamento&lt;&gt;"TransfereGOV",VTOTAL1,SUM(OFFSET(CÁLCULO!$AA$15,ROW($X188)-ROW($X$15),1):OFFSET(CÁLCULO!$AL$15,ROW($X188)-ROW($X$15),-1))),IF($C188=0,0,ROUND(SomaAgrup,15-13*$AF$11)))</f>
        <v>0</v>
      </c>
      <c r="Y188" s="155" t="s">
        <v>245</v>
      </c>
      <c r="Z188" t="str">
        <f t="shared" ca="1" si="133"/>
        <v/>
      </c>
      <c r="AA188" s="156">
        <f ca="1">IF($C188="S",IF($Z188="CP",$X188,IF($Z188="RA",(($X188)*QCI!$AA$3),0)),SomaAgrup)</f>
        <v>0</v>
      </c>
      <c r="AB188" s="157">
        <f t="shared" ca="1" si="120"/>
        <v>0</v>
      </c>
      <c r="AC188" s="158" t="str">
        <f ca="1">IF($N188="","",IF(ORÇAMENTO.Descricao="","DESCRIÇÃO",IF(AND($C188="S",ORÇAMENTO.Unidade=""),"UNIDADE",IF($X188&lt;0,"VALOR NEGATIVO",IF(OR(AND(TIPOORCAMENTO="Proposto",$AG188&lt;&gt;"",$AG188&gt;0,ORÇAMENTO.CustoUnitario&gt;$AG188),AND(TIPOORCAMENTO="LICITADO",ORÇAMENTO.PrecoUnitarioLicitado&gt;$AN188)),"ACIMA REF.","")))))</f>
        <v/>
      </c>
      <c r="AD188" s="682">
        <f ca="1">IF(C188&lt;=CRONO.NivelExibicao,MAX($AD$15:OFFSET(AD188,-1,0))+IF($C188&lt;&gt;1,1,MAX(1,COUNTIF(QCI!$A$13:$A$24,OFFSET($E188,-1,0)))),"")</f>
        <v>26</v>
      </c>
      <c r="AE188" s="114" t="b">
        <f ca="1">IF(AND($C188="S",ORÇAMENTO.CodBarra&lt;&gt;""),IF(ORÇAMENTO.Fonte="",ORÇAMENTO.CodBarra,CONCATENATE(ORÇAMENTO.Fonte," ",ORÇAMENTO.CodBarra)))</f>
        <v>0</v>
      </c>
      <c r="AF188" s="159" t="str">
        <f ca="1">IF(ISERROR(INDIRECT(ORÇAMENTO.BancoRef)),"(abra o arquivo 'Referência "&amp;Excel_BuiltIn_Database&amp;".xlsm)",IF(OR($C188&lt;&gt;"S",ORÇAMENTO.CodBarra=""),"(Sem Código)",IF(ISERROR(MATCH($AE188,INDIRECT(ORÇAMENTO.BancoRef),0)),"(Código não identificado nas referências)",MATCH($AE188,INDIRECT(ORÇAMENTO.BancoRef),0))))</f>
        <v>(Sem Código)</v>
      </c>
      <c r="AG188" s="578">
        <f ca="1">ROUND(IF(DESONERACAO="sim",REFERENCIA.Desonerado,REFERENCIA.NaoDesonerado),2)</f>
        <v>0</v>
      </c>
      <c r="AH188" s="579">
        <f t="shared" ca="1" si="121"/>
        <v>0.2034</v>
      </c>
      <c r="AJ188" s="581"/>
      <c r="AL188" s="611"/>
      <c r="AM188" s="430">
        <f t="shared" ca="1" si="93"/>
        <v>0</v>
      </c>
      <c r="AN188" s="654">
        <f t="shared" ca="1" si="122"/>
        <v>0</v>
      </c>
    </row>
    <row r="189" spans="1:40" ht="25.5" x14ac:dyDescent="0.2">
      <c r="A189" t="str">
        <f t="shared" si="119"/>
        <v>S</v>
      </c>
      <c r="B189">
        <f t="shared" ca="1" si="123"/>
        <v>2</v>
      </c>
      <c r="C189" t="str">
        <f t="shared" ca="1" si="124"/>
        <v>S</v>
      </c>
      <c r="D189">
        <f t="shared" ca="1" si="125"/>
        <v>0</v>
      </c>
      <c r="E189">
        <f ca="1">IF($C189=1,OFFSET(E189,-1,0)+MAX(1,COUNTIF(QCI!$A$13:$A$24,OFFSET(ORÇAMENTO!E189,-1,0))),OFFSET(E189,-1,0))</f>
        <v>1</v>
      </c>
      <c r="F189">
        <f t="shared" ca="1" si="126"/>
        <v>25</v>
      </c>
      <c r="G189">
        <f t="shared" ca="1" si="127"/>
        <v>0</v>
      </c>
      <c r="H189">
        <f t="shared" ca="1" si="128"/>
        <v>0</v>
      </c>
      <c r="I189">
        <f t="shared" ca="1" si="129"/>
        <v>0</v>
      </c>
      <c r="J189">
        <f t="shared" ca="1" si="134"/>
        <v>0</v>
      </c>
      <c r="K189">
        <f ca="1">IF(OR($C189="S",$C189=0),0,MATCH(OFFSET($D189,0,$C189)+IF($C189&lt;&gt;1,1,COUNTIF(QCI!$A$13:$A$24,ORÇAMENTO!E189)),OFFSET($D189,1,$C189,ROW($C$192)-ROW($C189)),0))</f>
        <v>0</v>
      </c>
      <c r="L189" s="143" t="str">
        <f t="shared" ca="1" si="130"/>
        <v/>
      </c>
      <c r="M189" s="144" t="s">
        <v>199</v>
      </c>
      <c r="N189" s="145" t="str">
        <f t="shared" ca="1" si="131"/>
        <v>Serviço</v>
      </c>
      <c r="O189" s="146" t="str">
        <f t="shared" ca="1" si="132"/>
        <v>-</v>
      </c>
      <c r="P189" s="147" t="s">
        <v>247</v>
      </c>
      <c r="Q189" s="148" t="s">
        <v>529</v>
      </c>
      <c r="R189" s="149" t="s">
        <v>773</v>
      </c>
      <c r="S189" s="150" t="s">
        <v>777</v>
      </c>
      <c r="T189" s="151">
        <f ca="1">OFFSET(CÁLCULO!H$15,ROW($T189)-ROW(T$15),0)</f>
        <v>680</v>
      </c>
      <c r="U189" s="152"/>
      <c r="V189" s="153" t="s">
        <v>156</v>
      </c>
      <c r="W189" s="151">
        <f ca="1">IF($C189="S",ROUND(IF(TIPOORCAMENTO="Proposto",ORÇAMENTO.CustoUnitario*(1+$AH189),ORÇAMENTO.PrecoUnitarioLicitado),15-13*$AF$10),0)</f>
        <v>0</v>
      </c>
      <c r="X189" s="154">
        <f ca="1">IF($C189="S",IF(Import.TipoArredondamento&lt;&gt;"TransfereGOV",VTOTAL1,SUM(OFFSET(CÁLCULO!$AA$15,ROW($X189)-ROW($X$15),1):OFFSET(CÁLCULO!$AL$15,ROW($X189)-ROW($X$15),-1))),IF($C189=0,0,ROUND(SomaAgrup,15-13*$AF$11)))</f>
        <v>0</v>
      </c>
      <c r="Y189" s="155" t="s">
        <v>245</v>
      </c>
      <c r="Z189" t="str">
        <f t="shared" ca="1" si="133"/>
        <v/>
      </c>
      <c r="AA189" s="156">
        <f ca="1">IF($C189="S",IF($Z189="CP",$X189,IF($Z189="RA",(($X189)*QCI!$AA$3),0)),SomaAgrup)</f>
        <v>0</v>
      </c>
      <c r="AB189" s="157">
        <f t="shared" ca="1" si="120"/>
        <v>0</v>
      </c>
      <c r="AC189" s="158" t="str">
        <f ca="1">IF($N189="","",IF(ORÇAMENTO.Descricao="","DESCRIÇÃO",IF(AND($C189="S",ORÇAMENTO.Unidade=""),"UNIDADE",IF($X189&lt;0,"VALOR NEGATIVO",IF(OR(AND(TIPOORCAMENTO="Proposto",$AG189&lt;&gt;"",$AG189&gt;0,ORÇAMENTO.CustoUnitario&gt;$AG189),AND(TIPOORCAMENTO="LICITADO",ORÇAMENTO.PrecoUnitarioLicitado&gt;$AN189)),"ACIMA REF.","")))))</f>
        <v/>
      </c>
      <c r="AD189" s="682" t="str">
        <f ca="1">IF(C189&lt;=CRONO.NivelExibicao,MAX($AD$15:OFFSET(AD189,-1,0))+IF($C189&lt;&gt;1,1,MAX(1,COUNTIF(QCI!$A$13:$A$24,OFFSET($E189,-1,0)))),"")</f>
        <v/>
      </c>
      <c r="AE189" s="114" t="str">
        <f ca="1">IF(AND($C189="S",ORÇAMENTO.CodBarra&lt;&gt;""),IF(ORÇAMENTO.Fonte="",ORÇAMENTO.CodBarra,CONCATENATE(ORÇAMENTO.Fonte," ",ORÇAMENTO.CodBarra)))</f>
        <v>SINAPI 99804</v>
      </c>
      <c r="AF189" s="159">
        <f ca="1">IF(ISERROR(INDIRECT(ORÇAMENTO.BancoRef)),"(abra o arquivo 'Referência "&amp;Excel_BuiltIn_Database&amp;".xlsm)",IF(OR($C189&lt;&gt;"S",ORÇAMENTO.CodBarra=""),"(Sem Código)",IF(ISERROR(MATCH($AE189,INDIRECT(ORÇAMENTO.BancoRef),0)),"(Código não identificado nas referências)",MATCH($AE189,INDIRECT(ORÇAMENTO.BancoRef),0))))</f>
        <v>11794</v>
      </c>
      <c r="AG189" s="578">
        <f ca="1">ROUND(IF(DESONERACAO="sim",REFERENCIA.Desonerado,REFERENCIA.NaoDesonerado),2)</f>
        <v>5.64</v>
      </c>
      <c r="AH189" s="579">
        <f t="shared" ca="1" si="121"/>
        <v>0.2034</v>
      </c>
      <c r="AJ189" s="581">
        <v>680</v>
      </c>
      <c r="AL189" s="611"/>
      <c r="AM189" s="430">
        <f t="shared" ca="1" si="93"/>
        <v>0</v>
      </c>
      <c r="AN189" s="654">
        <f t="shared" ca="1" si="122"/>
        <v>0</v>
      </c>
    </row>
    <row r="190" spans="1:40" x14ac:dyDescent="0.2">
      <c r="A190" t="str">
        <f>CHOOSE(1+LOG(1+2*(ORÇAMENTO.Nivel="Meta")+4*(ORÇAMENTO.Nivel="Nível 2")+8*(ORÇAMENTO.Nivel="Nível 3")+16*(ORÇAMENTO.Nivel="Nível 4")+32*(ORÇAMENTO.Nivel="Serviço"),2),0,1,2,3,4,"S")</f>
        <v>S</v>
      </c>
      <c r="B190">
        <f ca="1">IF(OR(C190="s",C190=0),OFFSET(B190,-1,0),C190)</f>
        <v>2</v>
      </c>
      <c r="C190" t="str">
        <f ca="1">IF(OFFSET(C190,-1,0)="L",1,IF(OFFSET(C190,-1,0)=1,2,IF(OR(A190="s",A190=0),"S",IF(AND(OFFSET(C190,-1,0)=2,A190=4),3,IF(AND(OR(OFFSET(C190,-1,0)="s",OFFSET(C190,-1,0)=0),A190&lt;&gt;"s",A190&gt;OFFSET(B190,-1,0)),OFFSET(B190,-1,0),A190)))))</f>
        <v>S</v>
      </c>
      <c r="D190">
        <f ca="1">IF(OR(C190="S",C190=0),0,IF(ISERROR(K190),J190,SMALL(J190:K190,1)))</f>
        <v>0</v>
      </c>
      <c r="E190">
        <f ca="1">IF($C190=1,OFFSET(E190,-1,0)+MAX(1,COUNTIF(QCI!$A$13:$A$24,OFFSET(ORÇAMENTO!E190,-1,0))),OFFSET(E190,-1,0))</f>
        <v>1</v>
      </c>
      <c r="F190">
        <f ca="1">IF($C190=1,0,IF($C190=2,OFFSET(F190,-1,0)+1,OFFSET(F190,-1,0)))</f>
        <v>25</v>
      </c>
      <c r="G190">
        <f ca="1">IF(AND($C190&lt;=2,$C190&lt;&gt;0),0,IF($C190=3,OFFSET(G190,-1,0)+1,OFFSET(G190,-1,0)))</f>
        <v>0</v>
      </c>
      <c r="H190">
        <f ca="1">IF(AND($C190&lt;=3,$C190&lt;&gt;0),0,IF($C190=4,OFFSET(H190,-1,0)+1,OFFSET(H190,-1,0)))</f>
        <v>0</v>
      </c>
      <c r="I190">
        <f ca="1">IF(AND($C190&lt;=4,$C190&lt;&gt;0),0,IF(AND($C190="S",$X190&gt;0),OFFSET(I190,-1,0)+1,OFFSET(I190,-1,0)))</f>
        <v>0</v>
      </c>
      <c r="J190">
        <f ca="1">IF(OR($C190="S",$C190=0),0,MATCH(0,OFFSET($D190,1,$C190,ROW($C$192)-ROW($C190)),0))</f>
        <v>0</v>
      </c>
      <c r="K190">
        <f ca="1">IF(OR($C190="S",$C190=0),0,MATCH(OFFSET($D190,0,$C190)+IF($C190&lt;&gt;1,1,COUNTIF(QCI!$A$13:$A$24,ORÇAMENTO!E190)),OFFSET($D190,1,$C190,ROW($C$192)-ROW($C190)),0))</f>
        <v>0</v>
      </c>
      <c r="L190" s="143" t="str">
        <f ca="1">IF(OR($X190&gt;0,$C190=1,$C190=2,$C190=3,$C190=4),"F","")</f>
        <v/>
      </c>
      <c r="M190" s="144" t="s">
        <v>199</v>
      </c>
      <c r="N190" s="145" t="str">
        <f ca="1">CHOOSE(1+LOG(1+2*(C190=1)+4*(C190=2)+8*(C190=3)+16*(C190=4)+32*(C190="S"),2),"","Meta","Nível 2","Nível 3","Nível 4","Serviço")</f>
        <v>Serviço</v>
      </c>
      <c r="O190" s="146" t="str">
        <f ca="1">IF(OR($C190=0,$L190=""),"-",CONCATENATE(E190&amp;".",IF(AND($A$5&gt;=2,$C190&gt;=2),F190&amp;".",""),IF(AND($A$5&gt;=3,$C190&gt;=3),G190&amp;".",""),IF(AND($A$5&gt;=4,$C190&gt;=4),H190&amp;".",""),IF($C190="S",I190&amp;".","")))</f>
        <v>-</v>
      </c>
      <c r="P190" s="147" t="s">
        <v>453</v>
      </c>
      <c r="Q190" s="148" t="s">
        <v>619</v>
      </c>
      <c r="R190" s="149" t="s">
        <v>774</v>
      </c>
      <c r="S190" s="150" t="s">
        <v>785</v>
      </c>
      <c r="T190" s="151">
        <f ca="1">OFFSET(CÁLCULO!H$15,ROW($T190)-ROW(T$15),0)</f>
        <v>1</v>
      </c>
      <c r="U190" s="152"/>
      <c r="V190" s="153" t="s">
        <v>156</v>
      </c>
      <c r="W190" s="151">
        <f ca="1">IF($C190="S",ROUND(IF(TIPOORCAMENTO="Proposto",ORÇAMENTO.CustoUnitario*(1+$AH190),ORÇAMENTO.PrecoUnitarioLicitado),15-13*$AF$10),0)</f>
        <v>0</v>
      </c>
      <c r="X190" s="154">
        <f ca="1">IF($C190="S",IF(Import.TipoArredondamento&lt;&gt;"TransfereGOV",VTOTAL1,SUM(OFFSET(CÁLCULO!$AA$15,ROW($X190)-ROW($X$15),1):OFFSET(CÁLCULO!$AL$15,ROW($X190)-ROW($X$15),-1))),IF($C190=0,0,ROUND(SomaAgrup,15-13*$AF$11)))</f>
        <v>0</v>
      </c>
      <c r="Y190" s="155" t="s">
        <v>245</v>
      </c>
      <c r="Z190" t="str">
        <f ca="1">IF(AND($C190="S",$X190&gt;0),IF(ISBLANK($Y190),"RA",LEFT($Y190,2)),"")</f>
        <v/>
      </c>
      <c r="AA190" s="156">
        <f ca="1">IF($C190="S",IF($Z190="CP",$X190,IF($Z190="RA",(($X190)*QCI!$AA$3),0)),SomaAgrup)</f>
        <v>0</v>
      </c>
      <c r="AB190" s="157">
        <f ca="1">IF($C190="S",IF($Z190="OU",ROUND($X190,2),0),SomaAgrup)</f>
        <v>0</v>
      </c>
      <c r="AC190" s="158" t="str">
        <f ca="1">IF($N190="","",IF(ORÇAMENTO.Descricao="","DESCRIÇÃO",IF(AND($C190="S",ORÇAMENTO.Unidade=""),"UNIDADE",IF($X190&lt;0,"VALOR NEGATIVO",IF(OR(AND(TIPOORCAMENTO="Proposto",$AG190&lt;&gt;"",$AG190&gt;0,ORÇAMENTO.CustoUnitario&gt;$AG190),AND(TIPOORCAMENTO="LICITADO",ORÇAMENTO.PrecoUnitarioLicitado&gt;$AN190)),"ACIMA REF.","")))))</f>
        <v/>
      </c>
      <c r="AD190" s="691" t="str">
        <f ca="1">IF(C190&lt;=CRONO.NivelExibicao,MAX($AD$15:OFFSET(AD190,-1,0))+IF($C190&lt;&gt;1,1,MAX(1,COUNTIF(QCI!$A$13:$A$24,OFFSET($E190,-1,0)))),"")</f>
        <v/>
      </c>
      <c r="AE190" s="114" t="str">
        <f ca="1">IF(AND($C190="S",ORÇAMENTO.CodBarra&lt;&gt;""),IF(ORÇAMENTO.Fonte="",ORÇAMENTO.CodBarra,CONCATENATE(ORÇAMENTO.Fonte," ",ORÇAMENTO.CodBarra)))</f>
        <v>SINAPI-I 10848</v>
      </c>
      <c r="AF190" s="159">
        <f ca="1">IF(ISERROR(INDIRECT(ORÇAMENTO.BancoRef)),"(abra o arquivo 'Referência "&amp;Excel_BuiltIn_Database&amp;".xlsm)",IF(OR($C190&lt;&gt;"S",ORÇAMENTO.CodBarra=""),"(Sem Código)",IF(ISERROR(MATCH($AE190,INDIRECT(ORÇAMENTO.BancoRef),0)),"(Código não identificado nas referências)",MATCH($AE190,INDIRECT(ORÇAMENTO.BancoRef),0))))</f>
        <v>3379</v>
      </c>
      <c r="AG190" s="578">
        <f ca="1">ROUND(IF(DESONERACAO="sim",REFERENCIA.Desonerado,REFERENCIA.NaoDesonerado),2)</f>
        <v>753.75</v>
      </c>
      <c r="AH190" s="579">
        <f ca="1">ROUND(IF(ISNUMBER(ORÇAMENTO.OpcaoBDI),ORÇAMENTO.OpcaoBDI,IF(LEFT(ORÇAMENTO.OpcaoBDI,3)="BDI",HLOOKUP(ORÇAMENTO.OpcaoBDI,$F$4:$H$5,2,FALSE),0)),15-11*$AF$9)</f>
        <v>0.2034</v>
      </c>
      <c r="AJ190" s="581">
        <v>1</v>
      </c>
      <c r="AL190" s="611"/>
      <c r="AM190" s="430">
        <f t="shared" ca="1" si="93"/>
        <v>0</v>
      </c>
      <c r="AN190" s="654">
        <f ca="1">ROUND(ORÇAMENTO.CustoUnitario*(1+$AH190),2)</f>
        <v>0</v>
      </c>
    </row>
    <row r="191" spans="1:40" ht="25.5" x14ac:dyDescent="0.2">
      <c r="A191" t="str">
        <f t="shared" si="119"/>
        <v>S</v>
      </c>
      <c r="B191">
        <f t="shared" ca="1" si="123"/>
        <v>2</v>
      </c>
      <c r="C191" t="str">
        <f t="shared" ca="1" si="124"/>
        <v>S</v>
      </c>
      <c r="D191">
        <f t="shared" ca="1" si="125"/>
        <v>0</v>
      </c>
      <c r="E191">
        <f ca="1">IF($C191=1,OFFSET(E191,-1,0)+MAX(1,COUNTIF(QCI!$A$13:$A$24,OFFSET(ORÇAMENTO!E191,-1,0))),OFFSET(E191,-1,0))</f>
        <v>1</v>
      </c>
      <c r="F191">
        <f t="shared" ca="1" si="126"/>
        <v>25</v>
      </c>
      <c r="G191">
        <f t="shared" ca="1" si="127"/>
        <v>0</v>
      </c>
      <c r="H191">
        <f t="shared" ca="1" si="128"/>
        <v>0</v>
      </c>
      <c r="I191">
        <f t="shared" ca="1" si="129"/>
        <v>0</v>
      </c>
      <c r="J191">
        <f t="shared" ca="1" si="134"/>
        <v>0</v>
      </c>
      <c r="K191">
        <f ca="1">IF(OR($C191="S",$C191=0),0,MATCH(OFFSET($D191,0,$C191)+IF($C191&lt;&gt;1,1,COUNTIF(QCI!$A$13:$A$24,ORÇAMENTO!E191)),OFFSET($D191,1,$C191,ROW($C$192)-ROW($C191)),0))</f>
        <v>0</v>
      </c>
      <c r="L191" s="143" t="str">
        <f t="shared" ca="1" si="130"/>
        <v/>
      </c>
      <c r="M191" s="144" t="s">
        <v>199</v>
      </c>
      <c r="N191" s="145" t="str">
        <f t="shared" ca="1" si="131"/>
        <v>Serviço</v>
      </c>
      <c r="O191" s="146" t="str">
        <f t="shared" ca="1" si="132"/>
        <v>-</v>
      </c>
      <c r="P191" s="147" t="s">
        <v>247</v>
      </c>
      <c r="Q191" s="148" t="s">
        <v>530</v>
      </c>
      <c r="R191" s="149" t="s">
        <v>775</v>
      </c>
      <c r="S191" s="150" t="s">
        <v>777</v>
      </c>
      <c r="T191" s="151">
        <f ca="1">OFFSET(CÁLCULO!H$15,ROW($T191)-ROW(T$15),0)</f>
        <v>294.24</v>
      </c>
      <c r="U191" s="152"/>
      <c r="V191" s="153" t="s">
        <v>156</v>
      </c>
      <c r="W191" s="151">
        <f ca="1">IF($C191="S",ROUND(IF(TIPOORCAMENTO="Proposto",ORÇAMENTO.CustoUnitario*(1+$AH191),ORÇAMENTO.PrecoUnitarioLicitado),15-13*$AF$10),0)</f>
        <v>0</v>
      </c>
      <c r="X191" s="154">
        <f ca="1">IF($C191="S",IF(Import.TipoArredondamento&lt;&gt;"TransfereGOV",VTOTAL1,SUM(OFFSET(CÁLCULO!$AA$15,ROW($X191)-ROW($X$15),1):OFFSET(CÁLCULO!$AL$15,ROW($X191)-ROW($X$15),-1))),IF($C191=0,0,ROUND(SomaAgrup,15-13*$AF$11)))</f>
        <v>0</v>
      </c>
      <c r="Y191" s="155" t="s">
        <v>245</v>
      </c>
      <c r="Z191" t="str">
        <f t="shared" ca="1" si="133"/>
        <v/>
      </c>
      <c r="AA191" s="156">
        <f ca="1">IF($C191="S",IF($Z191="CP",$X191,IF($Z191="RA",(($X191)*QCI!$AA$3),0)),SomaAgrup)</f>
        <v>0</v>
      </c>
      <c r="AB191" s="157">
        <f t="shared" ca="1" si="120"/>
        <v>0</v>
      </c>
      <c r="AC191" s="158" t="str">
        <f ca="1">IF($N191="","",IF(ORÇAMENTO.Descricao="","DESCRIÇÃO",IF(AND($C191="S",ORÇAMENTO.Unidade=""),"UNIDADE",IF($X191&lt;0,"VALOR NEGATIVO",IF(OR(AND(TIPOORCAMENTO="Proposto",$AG191&lt;&gt;"",$AG191&gt;0,ORÇAMENTO.CustoUnitario&gt;$AG191),AND(TIPOORCAMENTO="LICITADO",ORÇAMENTO.PrecoUnitarioLicitado&gt;$AN191)),"ACIMA REF.","")))))</f>
        <v/>
      </c>
      <c r="AD191" s="682" t="str">
        <f ca="1">IF(C191&lt;=CRONO.NivelExibicao,MAX($AD$15:OFFSET(AD191,-1,0))+IF($C191&lt;&gt;1,1,MAX(1,COUNTIF(QCI!$A$13:$A$24,OFFSET($E191,-1,0)))),"")</f>
        <v/>
      </c>
      <c r="AE191" s="114" t="str">
        <f ca="1">IF(AND($C191="S",ORÇAMENTO.CodBarra&lt;&gt;""),IF(ORÇAMENTO.Fonte="",ORÇAMENTO.CodBarra,CONCATENATE(ORÇAMENTO.Fonte," ",ORÇAMENTO.CodBarra)))</f>
        <v>SINAPI 99821</v>
      </c>
      <c r="AF191" s="159">
        <f ca="1">IF(ISERROR(INDIRECT(ORÇAMENTO.BancoRef)),"(abra o arquivo 'Referência "&amp;Excel_BuiltIn_Database&amp;".xlsm)",IF(OR($C191&lt;&gt;"S",ORÇAMENTO.CodBarra=""),"(Sem Código)",IF(ISERROR(MATCH($AE191,INDIRECT(ORÇAMENTO.BancoRef),0)),"(Código não identificado nas referências)",MATCH($AE191,INDIRECT(ORÇAMENTO.BancoRef),0))))</f>
        <v>11811</v>
      </c>
      <c r="AG191" s="578">
        <f ca="1">ROUND(IF(DESONERACAO="sim",REFERENCIA.Desonerado,REFERENCIA.NaoDesonerado),2)</f>
        <v>3.46</v>
      </c>
      <c r="AH191" s="579">
        <f t="shared" ca="1" si="121"/>
        <v>0.2034</v>
      </c>
      <c r="AJ191" s="581">
        <f>SUM(AJ95,AJ96,AJ97)*2</f>
        <v>294.24</v>
      </c>
      <c r="AL191" s="611"/>
      <c r="AM191" s="430">
        <f t="shared" ca="1" si="93"/>
        <v>0</v>
      </c>
      <c r="AN191" s="654">
        <f t="shared" ca="1" si="122"/>
        <v>0</v>
      </c>
    </row>
    <row r="192" spans="1:40" ht="5.0999999999999996" customHeight="1" x14ac:dyDescent="0.2">
      <c r="A192">
        <v>-1</v>
      </c>
      <c r="C192">
        <v>-1</v>
      </c>
      <c r="E192">
        <v>0</v>
      </c>
      <c r="F192">
        <v>0</v>
      </c>
      <c r="G192">
        <v>0</v>
      </c>
      <c r="H192">
        <v>0</v>
      </c>
      <c r="I192">
        <v>0</v>
      </c>
      <c r="L192" s="143" t="s">
        <v>246</v>
      </c>
      <c r="M192" s="571"/>
      <c r="N192" s="572"/>
      <c r="O192" s="571"/>
      <c r="P192" s="573"/>
      <c r="Q192" s="573"/>
      <c r="R192" s="573"/>
      <c r="S192" s="573"/>
      <c r="T192" s="573"/>
      <c r="U192" s="573"/>
      <c r="V192" s="573"/>
      <c r="W192" s="573"/>
      <c r="X192" s="574"/>
      <c r="Y192" s="104"/>
      <c r="AA192" s="104"/>
      <c r="AB192" s="104"/>
      <c r="AC192" s="104"/>
      <c r="AD192" s="104"/>
      <c r="AE192" s="104"/>
      <c r="AF192" s="104"/>
      <c r="AG192" s="566"/>
      <c r="AH192" s="564"/>
      <c r="AJ192" s="575"/>
      <c r="AL192" s="566"/>
      <c r="AM192" s="563"/>
      <c r="AN192" s="564"/>
    </row>
    <row r="193" spans="1:40" x14ac:dyDescent="0.2">
      <c r="M193" s="105"/>
      <c r="N193" s="105"/>
      <c r="O193" s="105"/>
      <c r="P193" s="105"/>
      <c r="Q193" s="105"/>
      <c r="R193" s="105"/>
      <c r="S193" s="105"/>
      <c r="T193" s="105"/>
      <c r="U193" s="105"/>
      <c r="V193" s="105"/>
      <c r="W193" s="105"/>
      <c r="X193" s="105"/>
      <c r="Y193" s="104"/>
      <c r="AA193" s="104"/>
      <c r="AB193" s="104"/>
      <c r="AC193" s="104"/>
      <c r="AD193" s="104"/>
      <c r="AE193" s="104"/>
      <c r="AF193" s="104"/>
      <c r="AG193" s="104"/>
      <c r="AH193" s="104"/>
      <c r="AN193" s="104"/>
    </row>
    <row r="194" spans="1:40" x14ac:dyDescent="0.2">
      <c r="M194" s="105"/>
      <c r="N194" s="105"/>
      <c r="O194" s="105"/>
      <c r="P194" s="105"/>
      <c r="Q194" s="105"/>
      <c r="R194" s="105"/>
      <c r="S194" s="105"/>
      <c r="T194" s="105"/>
      <c r="U194" s="105"/>
      <c r="V194" s="105"/>
      <c r="W194" s="105"/>
      <c r="X194" s="105"/>
      <c r="Y194" s="104"/>
      <c r="AA194" s="104"/>
      <c r="AB194" s="104"/>
      <c r="AC194" s="104"/>
      <c r="AD194" s="104"/>
      <c r="AE194" s="104"/>
      <c r="AF194" s="104"/>
      <c r="AG194" s="104"/>
      <c r="AH194" s="104"/>
      <c r="AN194" s="104"/>
    </row>
    <row r="195" spans="1:40" ht="14.25" x14ac:dyDescent="0.2">
      <c r="A195" s="104"/>
      <c r="B195" s="104"/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69" t="s">
        <v>248</v>
      </c>
      <c r="P195" s="104"/>
      <c r="Q195" s="739" t="s">
        <v>249</v>
      </c>
      <c r="R195" s="739"/>
      <c r="S195" s="739"/>
      <c r="T195" s="739"/>
      <c r="U195" s="739"/>
      <c r="V195" s="739"/>
      <c r="W195" s="739"/>
      <c r="X195" s="739"/>
      <c r="Y195" s="104"/>
      <c r="Z195" s="104"/>
      <c r="AA195" s="104"/>
      <c r="AB195" s="104"/>
      <c r="AC195" s="104"/>
      <c r="AD195" s="104"/>
      <c r="AE195" s="104"/>
      <c r="AF195" s="104"/>
      <c r="AG195" s="104"/>
      <c r="AH195" s="104"/>
      <c r="AN195" s="104"/>
    </row>
    <row r="196" spans="1:40" x14ac:dyDescent="0.2">
      <c r="A196" s="104"/>
      <c r="B196" s="104"/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  <c r="T196" s="104"/>
      <c r="U196" s="104"/>
      <c r="V196" s="104"/>
      <c r="W196" s="104"/>
      <c r="X196" s="104"/>
      <c r="Y196" s="104"/>
      <c r="Z196" s="104"/>
      <c r="AA196" s="104"/>
      <c r="AB196" s="104"/>
      <c r="AC196" s="104"/>
      <c r="AD196" s="104"/>
      <c r="AE196" s="104"/>
      <c r="AF196" s="104"/>
      <c r="AG196" s="104"/>
      <c r="AH196" s="104"/>
      <c r="AN196" s="104"/>
    </row>
    <row r="197" spans="1:40" ht="14.25" x14ac:dyDescent="0.2">
      <c r="A197" s="104"/>
      <c r="B197" s="104"/>
      <c r="C197" s="104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70" t="s">
        <v>187</v>
      </c>
      <c r="P197" s="105"/>
      <c r="Q197" s="105"/>
      <c r="R197" s="105"/>
      <c r="S197" s="105"/>
      <c r="T197" s="105"/>
      <c r="U197" s="105"/>
      <c r="V197" s="105"/>
      <c r="W197" s="105"/>
      <c r="X197" s="171"/>
      <c r="Y197" s="104"/>
      <c r="Z197" s="104"/>
      <c r="AA197" s="104"/>
      <c r="AB197" s="104"/>
      <c r="AC197" s="104"/>
      <c r="AD197" s="104"/>
      <c r="AE197" s="104"/>
      <c r="AF197" s="104"/>
      <c r="AG197" s="104"/>
      <c r="AH197" s="104"/>
      <c r="AN197" s="104"/>
    </row>
    <row r="198" spans="1:40" ht="12.75" customHeight="1" x14ac:dyDescent="0.2">
      <c r="A198" s="104"/>
      <c r="B198" s="104"/>
      <c r="C198" s="104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740"/>
      <c r="P198" s="740"/>
      <c r="Q198" s="740"/>
      <c r="R198" s="740"/>
      <c r="S198" s="740"/>
      <c r="T198" s="740"/>
      <c r="U198" s="740"/>
      <c r="V198" s="740"/>
      <c r="W198" s="740"/>
      <c r="X198" s="740"/>
      <c r="Y198" s="104"/>
      <c r="Z198" s="104"/>
      <c r="AA198" s="104"/>
      <c r="AB198" s="104"/>
      <c r="AC198" s="104"/>
      <c r="AD198" s="104"/>
      <c r="AE198" s="104"/>
      <c r="AF198" s="104"/>
      <c r="AG198" s="104"/>
      <c r="AH198" s="104"/>
      <c r="AN198" s="104"/>
    </row>
    <row r="199" spans="1:40" x14ac:dyDescent="0.2">
      <c r="A199" s="104"/>
      <c r="B199" s="104"/>
      <c r="C199" s="104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740"/>
      <c r="P199" s="740"/>
      <c r="Q199" s="740"/>
      <c r="R199" s="740"/>
      <c r="S199" s="740"/>
      <c r="T199" s="740"/>
      <c r="U199" s="740"/>
      <c r="V199" s="740"/>
      <c r="W199" s="740"/>
      <c r="X199" s="740"/>
      <c r="Y199" s="104"/>
      <c r="Z199" s="104"/>
      <c r="AA199" s="104"/>
      <c r="AB199" s="104"/>
      <c r="AC199" s="104"/>
      <c r="AD199" s="104"/>
      <c r="AE199" s="104"/>
      <c r="AF199" s="104"/>
      <c r="AG199" s="104"/>
      <c r="AH199" s="104"/>
      <c r="AN199" s="104"/>
    </row>
    <row r="200" spans="1:40" x14ac:dyDescent="0.2">
      <c r="A200" s="104"/>
      <c r="B200" s="104"/>
      <c r="C200" s="104"/>
      <c r="D200" s="104"/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  <c r="O200" s="740"/>
      <c r="P200" s="740"/>
      <c r="Q200" s="740"/>
      <c r="R200" s="740"/>
      <c r="S200" s="740"/>
      <c r="T200" s="740"/>
      <c r="U200" s="740"/>
      <c r="V200" s="740"/>
      <c r="W200" s="740"/>
      <c r="X200" s="740"/>
      <c r="Y200" s="104"/>
      <c r="Z200" s="104"/>
      <c r="AA200" s="104"/>
      <c r="AB200" s="104"/>
      <c r="AC200" s="104"/>
      <c r="AD200" s="104"/>
      <c r="AE200" s="104"/>
      <c r="AF200" s="104"/>
      <c r="AG200" s="104"/>
      <c r="AH200" s="104"/>
      <c r="AN200" s="104"/>
    </row>
    <row r="201" spans="1:40" ht="14.25" x14ac:dyDescent="0.2">
      <c r="A201" s="104"/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618"/>
      <c r="P201" s="618"/>
      <c r="Q201" s="618"/>
      <c r="R201" s="618"/>
      <c r="S201" s="618"/>
      <c r="T201" s="618"/>
      <c r="U201" s="618"/>
      <c r="V201" s="618"/>
      <c r="W201" s="618"/>
      <c r="X201" s="618"/>
      <c r="Y201" s="618"/>
      <c r="Z201" s="172"/>
      <c r="AA201" s="172"/>
      <c r="AB201" s="172"/>
      <c r="AC201" s="104"/>
      <c r="AD201" s="104"/>
      <c r="AE201" s="104"/>
      <c r="AF201" s="104"/>
      <c r="AG201" s="104"/>
      <c r="AH201" s="104"/>
      <c r="AN201" s="104"/>
    </row>
    <row r="202" spans="1:40" ht="15" x14ac:dyDescent="0.25">
      <c r="A202" s="104"/>
      <c r="B202" s="104"/>
      <c r="C202" s="104"/>
      <c r="D202" s="104"/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  <c r="O202" s="741" t="str">
        <f>IF(AND($AF$7=FALSE,$AF$8=FALSE,$AF$9=FALSE,$AF$10=FALSE,$AF$11=FALSE),"Não foi considerado arredondamento nos valores da planilha.",CONCATENATE("Foi considerado arredondamento de duas casas decimais para ",IF($AF$7=TRUE,"Quantidade; ",""),IF($AF$8=TRUE,"Custo Unitário; ",""),IF($AF$9=TRUE,"BDI; ",""),IF($AF$10=TRUE,"Preço Unitário; ",""),IF($AF$11=TRUE,"Preço Total.","")))</f>
        <v>Foi considerado arredondamento de duas casas decimais para Quantidade; Custo Unitário; BDI; Preço Unitário; Preço Total.</v>
      </c>
      <c r="P202" s="741"/>
      <c r="Q202" s="741"/>
      <c r="R202" s="741"/>
      <c r="S202" s="741"/>
      <c r="T202" s="741"/>
      <c r="U202" s="741"/>
      <c r="V202" s="741"/>
      <c r="W202" s="741"/>
      <c r="X202" s="741"/>
      <c r="Y202" s="173"/>
      <c r="Z202" s="173"/>
      <c r="AA202" s="173"/>
      <c r="AB202" s="173"/>
      <c r="AC202" s="104"/>
      <c r="AD202" s="104"/>
      <c r="AE202" s="104"/>
      <c r="AF202" s="104"/>
      <c r="AG202" s="104"/>
      <c r="AH202" s="104"/>
      <c r="AN202" s="104"/>
    </row>
    <row r="203" spans="1:40" ht="15" customHeight="1" x14ac:dyDescent="0.25">
      <c r="A203" s="104"/>
      <c r="B203" s="104"/>
      <c r="C203" s="104"/>
      <c r="D203" s="104"/>
      <c r="E203" s="104"/>
      <c r="F203" s="104"/>
      <c r="G203" s="104"/>
      <c r="H203" s="104"/>
      <c r="I203" s="104"/>
      <c r="J203" s="104"/>
      <c r="K203" s="104"/>
      <c r="L203" s="104"/>
      <c r="M203" s="104"/>
      <c r="N203" s="104"/>
      <c r="O203" s="743" t="s">
        <v>250</v>
      </c>
      <c r="P203" s="743"/>
      <c r="Q203" s="743"/>
      <c r="R203" s="743"/>
      <c r="S203" s="743"/>
      <c r="T203" s="743"/>
      <c r="U203" s="743"/>
      <c r="V203" s="743"/>
      <c r="W203" s="743"/>
      <c r="X203" s="743"/>
      <c r="Y203" s="173"/>
      <c r="Z203" s="173"/>
      <c r="AA203" s="173"/>
      <c r="AB203" s="173"/>
      <c r="AC203" s="104"/>
      <c r="AD203" s="104"/>
      <c r="AE203" s="104"/>
      <c r="AF203" s="104"/>
      <c r="AG203" s="104"/>
      <c r="AH203" s="104"/>
      <c r="AN203" s="104"/>
    </row>
    <row r="204" spans="1:40" x14ac:dyDescent="0.2">
      <c r="A204" s="104"/>
      <c r="B204" s="104"/>
      <c r="C204" s="104"/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  <c r="P204" s="104"/>
      <c r="Q204" s="104"/>
      <c r="R204" s="104"/>
      <c r="S204" s="104"/>
      <c r="T204" s="104"/>
      <c r="U204" s="104"/>
      <c r="V204" s="104"/>
      <c r="W204" s="104"/>
      <c r="X204" s="104"/>
      <c r="Y204" s="104"/>
      <c r="Z204" s="104"/>
      <c r="AA204" s="104"/>
      <c r="AB204" s="104"/>
      <c r="AC204" s="104"/>
      <c r="AD204" s="104"/>
      <c r="AE204" s="104"/>
      <c r="AF204" s="104"/>
      <c r="AG204" s="104"/>
      <c r="AH204" s="104"/>
      <c r="AN204" s="104"/>
    </row>
    <row r="205" spans="1:40" ht="30" customHeight="1" x14ac:dyDescent="0.2">
      <c r="A205" s="104"/>
      <c r="B205" s="104"/>
      <c r="C205" s="104"/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O205" s="742" t="str">
        <f>Import.Município</f>
        <v>SANTO ÂNGELO - RS</v>
      </c>
      <c r="P205" s="742"/>
      <c r="Q205" s="742"/>
      <c r="R205" s="104"/>
      <c r="S205" s="639"/>
      <c r="T205" s="639"/>
      <c r="U205" s="639"/>
      <c r="V205" s="639"/>
      <c r="W205" s="556"/>
      <c r="X205" s="104"/>
      <c r="Y205" s="104"/>
      <c r="Z205" s="104"/>
      <c r="AA205" s="104"/>
      <c r="AB205" s="104"/>
      <c r="AC205" s="104"/>
      <c r="AD205" s="104"/>
      <c r="AE205" s="104"/>
      <c r="AF205" s="104"/>
      <c r="AG205" s="104"/>
      <c r="AH205" s="104"/>
      <c r="AN205" s="104"/>
    </row>
    <row r="206" spans="1:40" x14ac:dyDescent="0.2">
      <c r="A206" s="104"/>
      <c r="B206" s="104"/>
      <c r="C206" s="104"/>
      <c r="D206" s="104"/>
      <c r="E206" s="104"/>
      <c r="F206" s="104"/>
      <c r="G206" s="104"/>
      <c r="H206" s="104"/>
      <c r="I206" s="104"/>
      <c r="J206" s="104"/>
      <c r="K206" s="104"/>
      <c r="L206" s="104"/>
      <c r="M206" s="104"/>
      <c r="N206" s="104"/>
      <c r="O206" s="12" t="s">
        <v>188</v>
      </c>
      <c r="P206" s="104"/>
      <c r="Q206" s="104"/>
      <c r="R206" s="104"/>
      <c r="S206" s="229" t="s">
        <v>190</v>
      </c>
      <c r="T206" s="229"/>
      <c r="U206" s="229"/>
      <c r="V206" s="229"/>
      <c r="X206" s="104"/>
      <c r="Y206" s="104"/>
      <c r="Z206" s="104"/>
      <c r="AA206" s="104"/>
      <c r="AB206" s="104"/>
      <c r="AC206" s="104"/>
      <c r="AD206" s="104"/>
      <c r="AE206" s="104"/>
      <c r="AF206" s="104"/>
      <c r="AG206" s="104"/>
      <c r="AH206" s="104"/>
      <c r="AN206" s="104"/>
    </row>
    <row r="207" spans="1:40" x14ac:dyDescent="0.2">
      <c r="A207" s="104"/>
      <c r="B207" s="104"/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104"/>
      <c r="S207" s="94" t="s">
        <v>108</v>
      </c>
      <c r="T207" s="95" t="str">
        <f t="array" ref="T207:T209">Import.RespOrçamento</f>
        <v>NILSON DO PRADO RODRIGUES</v>
      </c>
      <c r="U207" s="176"/>
      <c r="V207" s="96"/>
      <c r="X207" s="104"/>
      <c r="Y207" s="104"/>
      <c r="Z207" s="104"/>
      <c r="AA207" s="104"/>
      <c r="AB207" s="104"/>
      <c r="AC207" s="104"/>
      <c r="AD207" s="104"/>
      <c r="AE207" s="104"/>
      <c r="AF207" s="104"/>
      <c r="AG207" s="104"/>
      <c r="AH207" s="104"/>
      <c r="AN207" s="104"/>
    </row>
    <row r="208" spans="1:40" x14ac:dyDescent="0.2">
      <c r="A208" s="104"/>
      <c r="B208" s="104"/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737">
        <f ca="1">DADOS!$F$25</f>
        <v>45573</v>
      </c>
      <c r="P208" s="737"/>
      <c r="Q208" s="737"/>
      <c r="R208" s="104"/>
      <c r="S208" s="94" t="s">
        <v>109</v>
      </c>
      <c r="T208" s="95" t="str">
        <v>172357-5</v>
      </c>
      <c r="U208" s="96"/>
      <c r="V208" s="96"/>
      <c r="X208" s="104"/>
      <c r="Y208" s="104"/>
      <c r="Z208" s="104"/>
      <c r="AA208" s="104"/>
      <c r="AB208" s="104"/>
      <c r="AC208" s="104"/>
      <c r="AD208" s="104"/>
      <c r="AE208" s="104"/>
      <c r="AF208" s="104"/>
      <c r="AG208" s="104"/>
      <c r="AH208" s="104"/>
      <c r="AN208" s="104"/>
    </row>
    <row r="209" spans="1:40" x14ac:dyDescent="0.2">
      <c r="A209" s="104"/>
      <c r="B209" s="104"/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77" t="s">
        <v>189</v>
      </c>
      <c r="P209" s="178"/>
      <c r="Q209" s="178"/>
      <c r="R209" s="104"/>
      <c r="S209" s="94" t="s">
        <v>110</v>
      </c>
      <c r="T209" s="95">
        <v>0</v>
      </c>
      <c r="U209" s="96"/>
      <c r="V209" s="96"/>
      <c r="X209" s="104"/>
      <c r="Y209" s="104"/>
      <c r="Z209" s="104"/>
      <c r="AA209" s="104"/>
      <c r="AB209" s="104"/>
      <c r="AC209" s="104"/>
      <c r="AD209" s="104"/>
      <c r="AE209" s="104"/>
      <c r="AF209" s="104"/>
      <c r="AG209" s="104"/>
      <c r="AH209" s="104"/>
      <c r="AN209" s="104"/>
    </row>
  </sheetData>
  <sheetProtection password="BD1F" sheet="1" objects="1" scenarios="1" autoFilter="0"/>
  <autoFilter ref="L15:L192"/>
  <mergeCells count="24">
    <mergeCell ref="O208:Q208"/>
    <mergeCell ref="O15:R15"/>
    <mergeCell ref="Q195:X195"/>
    <mergeCell ref="O198:X200"/>
    <mergeCell ref="O202:X202"/>
    <mergeCell ref="O205:Q205"/>
    <mergeCell ref="O203:X203"/>
    <mergeCell ref="O4:P4"/>
    <mergeCell ref="S4:X4"/>
    <mergeCell ref="O5:P5"/>
    <mergeCell ref="S5:X5"/>
    <mergeCell ref="F8:K8"/>
    <mergeCell ref="L8:L12"/>
    <mergeCell ref="O8:P8"/>
    <mergeCell ref="S8:U8"/>
    <mergeCell ref="F9:K9"/>
    <mergeCell ref="AE5:AF5"/>
    <mergeCell ref="O7:P7"/>
    <mergeCell ref="S7:U7"/>
    <mergeCell ref="AL7:AL11"/>
    <mergeCell ref="Y8:Y12"/>
    <mergeCell ref="Z8:Z12"/>
    <mergeCell ref="AA12:AB12"/>
    <mergeCell ref="AJ7:AJ11"/>
  </mergeCells>
  <phoneticPr fontId="38" type="noConversion"/>
  <conditionalFormatting sqref="M14 M68:M84 M42:M46 M152:M158 M96:M97 M187:M189 M38 M17:M23 M26:M36 M129:M130 M138:M139 M167:M174 M179:M182 M87:M88 M90:M93 M191 M132:M133 M126:M127 M122:M123">
    <cfRule type="cellIs" dxfId="1481" priority="11011" stopIfTrue="1" operator="notEqual">
      <formula>$N14</formula>
    </cfRule>
  </conditionalFormatting>
  <conditionalFormatting sqref="N14:O14 R14 W14:X14 W68:X84 N68:O84 N42:O46 W42:X46 N152:O158 W152:X158 N96:O97 W96:X97 N187:O189 W187:X189 N38:O38 W38:X38 N17:O23 W17:X23 N26:O36 W26:X36 N129:O130 W129:X130 N138:O139 W138:X139 N167:O174 W167:X174 W179:X182 N179:O182 N87:O88 W87:X88 W90:X93 N90:O93 W191:X191 N191:O191 W132:X133 N132:O133 N126:O127 W126:X127 N122:O123 W122:X123">
    <cfRule type="expression" dxfId="1480" priority="11012" stopIfTrue="1">
      <formula>$C14=1</formula>
    </cfRule>
    <cfRule type="expression" dxfId="1479" priority="11013" stopIfTrue="1">
      <formula>OR($C14=0,$C14=2,$C14=3,$C14=4)</formula>
    </cfRule>
  </conditionalFormatting>
  <conditionalFormatting sqref="U14:V14">
    <cfRule type="expression" dxfId="1478" priority="11014" stopIfTrue="1">
      <formula>$C14=1</formula>
    </cfRule>
    <cfRule type="expression" dxfId="1477" priority="11015" stopIfTrue="1">
      <formula>OR($C14=0,$C14=2,$C14=3,$C14=4)</formula>
    </cfRule>
    <cfRule type="expression" dxfId="1476" priority="11016" stopIfTrue="1">
      <formula>AND(TIPOORCAMENTO="Licitado",$C14&lt;&gt;"L",$C14&lt;&gt;-1)</formula>
    </cfRule>
  </conditionalFormatting>
  <conditionalFormatting sqref="P14:Q14 S14:T14 Y14 AG14:AH14 AG68:AH84 Y68:Y84 Y42:Y46 AG42:AH46 T152:T158 Y152:Y158 AG152:AH158 T42:T46 T68:T84 T167:T174 T96:T97 Y96:Y97 AG96:AH97 Y187:Y189 AG187:AH189 T38 Y38 AG38:AH38 T187:T189 Y17:Y23 AG17:AH23 T17:T23 Y26:Y36 AG26:AH36 T26:T36 T129:T130 Y129:Y130 AG129:AH130 T138:T139 Y138:Y139 AG138:AH139 T179:T182 Y167:Y174 AG167:AH174 AG179:AH182 Y179:Y182 T87:T88 T90:T93 Y87:Y88 AG87:AH88 AG90:AH93 Y90:Y93 T191 AG191:AH191 Y191 AG132:AH133 Y132:Y133 T132:T133 T126:T127 Y126:Y127 AG126:AH127 T122:T123 Y122:Y123 AG122:AH123">
    <cfRule type="expression" dxfId="1475" priority="11017" stopIfTrue="1">
      <formula>$C14=1</formula>
    </cfRule>
    <cfRule type="expression" dxfId="1474" priority="11018" stopIfTrue="1">
      <formula>OR($C14=0,$C14=2,$C14=3,$C14=4)</formula>
    </cfRule>
  </conditionalFormatting>
  <conditionalFormatting sqref="AJ7:AJ15 AJ68:AJ84 AJ42:AJ45 AJ152:AJ158 AJ96:AJ97 AJ187:AJ189 AJ38 AJ17:AJ23 AJ26:AJ36 AJ129:AJ130 AJ138:AJ139 AJ167:AJ174 AJ179:AJ182 AJ87:AJ88 AJ90:AJ93 AJ191:AJ192 AJ132:AJ133 AJ126:AJ127 AJ122:AJ123">
    <cfRule type="expression" dxfId="1473" priority="11019" stopIfTrue="1">
      <formula>OR(ACOMPANHAMENTO&lt;&gt;"BM",TIPOORCAMENTO="Licitado")</formula>
    </cfRule>
    <cfRule type="expression" dxfId="1472" priority="11020" stopIfTrue="1">
      <formula>$C7=1</formula>
    </cfRule>
    <cfRule type="expression" dxfId="1471" priority="11021" stopIfTrue="1">
      <formula>OR(AND(ISNUMBER($C7),$C7=0),$C7=2,$C7=3,$C7=4)</formula>
    </cfRule>
  </conditionalFormatting>
  <conditionalFormatting sqref="AL7:AL15 AL68:AL84 AL42:AL46 AL152:AL158 AL96:AL97 AL187:AL189 AL38 AL17:AL23 AL26:AL36 AL129:AL130 AL138:AL139 AL167:AL174 AL179:AL182 AL87:AL88 AL90:AL93 AL191:AL192 AL132:AL133 AL126:AL127 AL122:AL123">
    <cfRule type="expression" dxfId="1470" priority="11022" stopIfTrue="1">
      <formula>TIPOORCAMENTO="PROPOSTO"</formula>
    </cfRule>
    <cfRule type="expression" dxfId="1469" priority="11023" stopIfTrue="1">
      <formula>$C7=1</formula>
    </cfRule>
    <cfRule type="expression" dxfId="1468" priority="11024" stopIfTrue="1">
      <formula>OR(AND(ISNUMBER($C7),$C7=0),$C7=2,$C7=3,$C7=4)</formula>
    </cfRule>
  </conditionalFormatting>
  <conditionalFormatting sqref="O8:P8">
    <cfRule type="expression" dxfId="1467" priority="11028" stopIfTrue="1">
      <formula>ISERROR(INDIRECT($F$9))</formula>
    </cfRule>
  </conditionalFormatting>
  <conditionalFormatting sqref="S7:V8">
    <cfRule type="expression" dxfId="1466" priority="11029" stopIfTrue="1">
      <formula>TIPOORCAMENTO="Proposto"</formula>
    </cfRule>
  </conditionalFormatting>
  <conditionalFormatting sqref="S9:V9">
    <cfRule type="expression" dxfId="1465" priority="10976" stopIfTrue="1">
      <formula>TIPOORCAMENTO="Proposto"</formula>
    </cfRule>
  </conditionalFormatting>
  <conditionalFormatting sqref="AM7:AN15 AM68:AN84 AM42:AN46 AM152:AN158 AM96:AN97 AM187:AN189 AM38:AN38 AM17:AN23 AM26:AN36 AM129:AN130 AM138:AN139 AM167:AN174 AM179:AN182 AM87:AN88 AM90:AN93 AM191:AN192 AM132:AN133 AM126:AN127 AM122:AN123">
    <cfRule type="expression" dxfId="1464" priority="11025" stopIfTrue="1">
      <formula>TIPOORCAMENTO="PROPOSTO"</formula>
    </cfRule>
    <cfRule type="expression" dxfId="1463" priority="11026" stopIfTrue="1">
      <formula>$C7=1</formula>
    </cfRule>
    <cfRule type="expression" dxfId="1462" priority="11027" stopIfTrue="1">
      <formula>OR(AND(ISNUMBER($C7),$C7=0),$C7=2,$C7=3,$C7=4)</formula>
    </cfRule>
  </conditionalFormatting>
  <conditionalFormatting sqref="M16">
    <cfRule type="cellIs" dxfId="1461" priority="3180" stopIfTrue="1" operator="notEqual">
      <formula>$N16</formula>
    </cfRule>
  </conditionalFormatting>
  <conditionalFormatting sqref="N16:O16 W16:X16">
    <cfRule type="expression" dxfId="1460" priority="3181" stopIfTrue="1">
      <formula>$C16=1</formula>
    </cfRule>
    <cfRule type="expression" dxfId="1459" priority="3182" stopIfTrue="1">
      <formula>OR($C16=0,$C16=2,$C16=3,$C16=4)</formula>
    </cfRule>
  </conditionalFormatting>
  <conditionalFormatting sqref="Y16 AG16:AH16 T16">
    <cfRule type="expression" dxfId="1458" priority="3186" stopIfTrue="1">
      <formula>$C16=1</formula>
    </cfRule>
    <cfRule type="expression" dxfId="1457" priority="3187" stopIfTrue="1">
      <formula>OR($C16=0,$C16=2,$C16=3,$C16=4)</formula>
    </cfRule>
  </conditionalFormatting>
  <conditionalFormatting sqref="AJ16">
    <cfRule type="expression" dxfId="1456" priority="3188" stopIfTrue="1">
      <formula>OR(ACOMPANHAMENTO&lt;&gt;"BM",TIPOORCAMENTO="Licitado")</formula>
    </cfRule>
    <cfRule type="expression" dxfId="1455" priority="3189" stopIfTrue="1">
      <formula>$C16=1</formula>
    </cfRule>
    <cfRule type="expression" dxfId="1454" priority="3190" stopIfTrue="1">
      <formula>OR(AND(ISNUMBER($C16),$C16=0),$C16=2,$C16=3,$C16=4)</formula>
    </cfRule>
  </conditionalFormatting>
  <conditionalFormatting sqref="AL16">
    <cfRule type="expression" dxfId="1453" priority="3191" stopIfTrue="1">
      <formula>TIPOORCAMENTO="PROPOSTO"</formula>
    </cfRule>
    <cfRule type="expression" dxfId="1452" priority="3192" stopIfTrue="1">
      <formula>$C16=1</formula>
    </cfRule>
    <cfRule type="expression" dxfId="1451" priority="3193" stopIfTrue="1">
      <formula>OR(AND(ISNUMBER($C16),$C16=0),$C16=2,$C16=3,$C16=4)</formula>
    </cfRule>
  </conditionalFormatting>
  <conditionalFormatting sqref="AM16:AN16">
    <cfRule type="expression" dxfId="1450" priority="3194" stopIfTrue="1">
      <formula>TIPOORCAMENTO="PROPOSTO"</formula>
    </cfRule>
    <cfRule type="expression" dxfId="1449" priority="3195" stopIfTrue="1">
      <formula>$C16=1</formula>
    </cfRule>
    <cfRule type="expression" dxfId="1448" priority="3196" stopIfTrue="1">
      <formula>OR(AND(ISNUMBER($C16),$C16=0),$C16=2,$C16=3,$C16=4)</formula>
    </cfRule>
  </conditionalFormatting>
  <conditionalFormatting sqref="M60">
    <cfRule type="cellIs" dxfId="1447" priority="2344" stopIfTrue="1" operator="notEqual">
      <formula>$N60</formula>
    </cfRule>
  </conditionalFormatting>
  <conditionalFormatting sqref="N60:O60 W60:X60">
    <cfRule type="expression" dxfId="1446" priority="2345" stopIfTrue="1">
      <formula>$C60=1</formula>
    </cfRule>
    <cfRule type="expression" dxfId="1445" priority="2346" stopIfTrue="1">
      <formula>OR($C60=0,$C60=2,$C60=3,$C60=4)</formula>
    </cfRule>
  </conditionalFormatting>
  <conditionalFormatting sqref="T60 Y60 AG60:AH60">
    <cfRule type="expression" dxfId="1444" priority="2350" stopIfTrue="1">
      <formula>$C60=1</formula>
    </cfRule>
    <cfRule type="expression" dxfId="1443" priority="2351" stopIfTrue="1">
      <formula>OR($C60=0,$C60=2,$C60=3,$C60=4)</formula>
    </cfRule>
  </conditionalFormatting>
  <conditionalFormatting sqref="AJ60">
    <cfRule type="expression" dxfId="1442" priority="2352" stopIfTrue="1">
      <formula>OR(ACOMPANHAMENTO&lt;&gt;"BM",TIPOORCAMENTO="Licitado")</formula>
    </cfRule>
    <cfRule type="expression" dxfId="1441" priority="2353" stopIfTrue="1">
      <formula>$C60=1</formula>
    </cfRule>
    <cfRule type="expression" dxfId="1440" priority="2354" stopIfTrue="1">
      <formula>OR(AND(ISNUMBER($C60),$C60=0),$C60=2,$C60=3,$C60=4)</formula>
    </cfRule>
  </conditionalFormatting>
  <conditionalFormatting sqref="AL60">
    <cfRule type="expression" dxfId="1439" priority="2355" stopIfTrue="1">
      <formula>TIPOORCAMENTO="PROPOSTO"</formula>
    </cfRule>
    <cfRule type="expression" dxfId="1438" priority="2356" stopIfTrue="1">
      <formula>$C60=1</formula>
    </cfRule>
    <cfRule type="expression" dxfId="1437" priority="2357" stopIfTrue="1">
      <formula>OR(AND(ISNUMBER($C60),$C60=0),$C60=2,$C60=3,$C60=4)</formula>
    </cfRule>
  </conditionalFormatting>
  <conditionalFormatting sqref="AM60:AN60">
    <cfRule type="expression" dxfId="1436" priority="2358" stopIfTrue="1">
      <formula>TIPOORCAMENTO="PROPOSTO"</formula>
    </cfRule>
    <cfRule type="expression" dxfId="1435" priority="2359" stopIfTrue="1">
      <formula>$C60=1</formula>
    </cfRule>
    <cfRule type="expression" dxfId="1434" priority="2360" stopIfTrue="1">
      <formula>OR(AND(ISNUMBER($C60),$C60=0),$C60=2,$C60=3,$C60=4)</formula>
    </cfRule>
  </conditionalFormatting>
  <conditionalFormatting sqref="M61">
    <cfRule type="cellIs" dxfId="1433" priority="2021" stopIfTrue="1" operator="notEqual">
      <formula>$N61</formula>
    </cfRule>
  </conditionalFormatting>
  <conditionalFormatting sqref="N61:O61 W61:X61">
    <cfRule type="expression" dxfId="1432" priority="2022" stopIfTrue="1">
      <formula>$C61=1</formula>
    </cfRule>
    <cfRule type="expression" dxfId="1431" priority="2023" stopIfTrue="1">
      <formula>OR($C61=0,$C61=2,$C61=3,$C61=4)</formula>
    </cfRule>
  </conditionalFormatting>
  <conditionalFormatting sqref="T61 Y61 AG61:AH61">
    <cfRule type="expression" dxfId="1430" priority="2027" stopIfTrue="1">
      <formula>$C61=1</formula>
    </cfRule>
    <cfRule type="expression" dxfId="1429" priority="2028" stopIfTrue="1">
      <formula>OR($C61=0,$C61=2,$C61=3,$C61=4)</formula>
    </cfRule>
  </conditionalFormatting>
  <conditionalFormatting sqref="AJ61">
    <cfRule type="expression" dxfId="1428" priority="2029" stopIfTrue="1">
      <formula>OR(ACOMPANHAMENTO&lt;&gt;"BM",TIPOORCAMENTO="Licitado")</formula>
    </cfRule>
    <cfRule type="expression" dxfId="1427" priority="2030" stopIfTrue="1">
      <formula>$C61=1</formula>
    </cfRule>
    <cfRule type="expression" dxfId="1426" priority="2031" stopIfTrue="1">
      <formula>OR(AND(ISNUMBER($C61),$C61=0),$C61=2,$C61=3,$C61=4)</formula>
    </cfRule>
  </conditionalFormatting>
  <conditionalFormatting sqref="AL61">
    <cfRule type="expression" dxfId="1425" priority="2032" stopIfTrue="1">
      <formula>TIPOORCAMENTO="PROPOSTO"</formula>
    </cfRule>
    <cfRule type="expression" dxfId="1424" priority="2033" stopIfTrue="1">
      <formula>$C61=1</formula>
    </cfRule>
    <cfRule type="expression" dxfId="1423" priority="2034" stopIfTrue="1">
      <formula>OR(AND(ISNUMBER($C61),$C61=0),$C61=2,$C61=3,$C61=4)</formula>
    </cfRule>
  </conditionalFormatting>
  <conditionalFormatting sqref="AM61:AN61">
    <cfRule type="expression" dxfId="1422" priority="2035" stopIfTrue="1">
      <formula>TIPOORCAMENTO="PROPOSTO"</formula>
    </cfRule>
    <cfRule type="expression" dxfId="1421" priority="2036" stopIfTrue="1">
      <formula>$C61=1</formula>
    </cfRule>
    <cfRule type="expression" dxfId="1420" priority="2037" stopIfTrue="1">
      <formula>OR(AND(ISNUMBER($C61),$C61=0),$C61=2,$C61=3,$C61=4)</formula>
    </cfRule>
  </conditionalFormatting>
  <conditionalFormatting sqref="M62:M64">
    <cfRule type="cellIs" dxfId="1419" priority="1735" stopIfTrue="1" operator="notEqual">
      <formula>$N62</formula>
    </cfRule>
  </conditionalFormatting>
  <conditionalFormatting sqref="N62:O64 W62:X64">
    <cfRule type="expression" dxfId="1418" priority="1736" stopIfTrue="1">
      <formula>$C62=1</formula>
    </cfRule>
    <cfRule type="expression" dxfId="1417" priority="1737" stopIfTrue="1">
      <formula>OR($C62=0,$C62=2,$C62=3,$C62=4)</formula>
    </cfRule>
  </conditionalFormatting>
  <conditionalFormatting sqref="T62:T64 Y62:Y64 AG62:AH64">
    <cfRule type="expression" dxfId="1416" priority="1741" stopIfTrue="1">
      <formula>$C62=1</formula>
    </cfRule>
    <cfRule type="expression" dxfId="1415" priority="1742" stopIfTrue="1">
      <formula>OR($C62=0,$C62=2,$C62=3,$C62=4)</formula>
    </cfRule>
  </conditionalFormatting>
  <conditionalFormatting sqref="AJ62:AJ64">
    <cfRule type="expression" dxfId="1414" priority="1743" stopIfTrue="1">
      <formula>OR(ACOMPANHAMENTO&lt;&gt;"BM",TIPOORCAMENTO="Licitado")</formula>
    </cfRule>
    <cfRule type="expression" dxfId="1413" priority="1744" stopIfTrue="1">
      <formula>$C62=1</formula>
    </cfRule>
    <cfRule type="expression" dxfId="1412" priority="1745" stopIfTrue="1">
      <formula>OR(AND(ISNUMBER($C62),$C62=0),$C62=2,$C62=3,$C62=4)</formula>
    </cfRule>
  </conditionalFormatting>
  <conditionalFormatting sqref="AL62:AL64">
    <cfRule type="expression" dxfId="1411" priority="1746" stopIfTrue="1">
      <formula>TIPOORCAMENTO="PROPOSTO"</formula>
    </cfRule>
    <cfRule type="expression" dxfId="1410" priority="1747" stopIfTrue="1">
      <formula>$C62=1</formula>
    </cfRule>
    <cfRule type="expression" dxfId="1409" priority="1748" stopIfTrue="1">
      <formula>OR(AND(ISNUMBER($C62),$C62=0),$C62=2,$C62=3,$C62=4)</formula>
    </cfRule>
  </conditionalFormatting>
  <conditionalFormatting sqref="AM62:AN64">
    <cfRule type="expression" dxfId="1408" priority="1749" stopIfTrue="1">
      <formula>TIPOORCAMENTO="PROPOSTO"</formula>
    </cfRule>
    <cfRule type="expression" dxfId="1407" priority="1750" stopIfTrue="1">
      <formula>$C62=1</formula>
    </cfRule>
    <cfRule type="expression" dxfId="1406" priority="1751" stopIfTrue="1">
      <formula>OR(AND(ISNUMBER($C62),$C62=0),$C62=2,$C62=3,$C62=4)</formula>
    </cfRule>
  </conditionalFormatting>
  <conditionalFormatting sqref="M94">
    <cfRule type="cellIs" dxfId="1405" priority="1718" stopIfTrue="1" operator="notEqual">
      <formula>$N94</formula>
    </cfRule>
  </conditionalFormatting>
  <conditionalFormatting sqref="N94:O94 W94:X94">
    <cfRule type="expression" dxfId="1404" priority="1719" stopIfTrue="1">
      <formula>$C94=1</formula>
    </cfRule>
    <cfRule type="expression" dxfId="1403" priority="1720" stopIfTrue="1">
      <formula>OR($C94=0,$C94=2,$C94=3,$C94=4)</formula>
    </cfRule>
  </conditionalFormatting>
  <conditionalFormatting sqref="T94 Y94 AG94:AH94">
    <cfRule type="expression" dxfId="1402" priority="1724" stopIfTrue="1">
      <formula>$C94=1</formula>
    </cfRule>
    <cfRule type="expression" dxfId="1401" priority="1725" stopIfTrue="1">
      <formula>OR($C94=0,$C94=2,$C94=3,$C94=4)</formula>
    </cfRule>
  </conditionalFormatting>
  <conditionalFormatting sqref="AJ94">
    <cfRule type="expression" dxfId="1400" priority="1726" stopIfTrue="1">
      <formula>OR(ACOMPANHAMENTO&lt;&gt;"BM",TIPOORCAMENTO="Licitado")</formula>
    </cfRule>
    <cfRule type="expression" dxfId="1399" priority="1727" stopIfTrue="1">
      <formula>$C94=1</formula>
    </cfRule>
    <cfRule type="expression" dxfId="1398" priority="1728" stopIfTrue="1">
      <formula>OR(AND(ISNUMBER($C94),$C94=0),$C94=2,$C94=3,$C94=4)</formula>
    </cfRule>
  </conditionalFormatting>
  <conditionalFormatting sqref="AL94">
    <cfRule type="expression" dxfId="1397" priority="1729" stopIfTrue="1">
      <formula>TIPOORCAMENTO="PROPOSTO"</formula>
    </cfRule>
    <cfRule type="expression" dxfId="1396" priority="1730" stopIfTrue="1">
      <formula>$C94=1</formula>
    </cfRule>
    <cfRule type="expression" dxfId="1395" priority="1731" stopIfTrue="1">
      <formula>OR(AND(ISNUMBER($C94),$C94=0),$C94=2,$C94=3,$C94=4)</formula>
    </cfRule>
  </conditionalFormatting>
  <conditionalFormatting sqref="AM94:AN94">
    <cfRule type="expression" dxfId="1394" priority="1732" stopIfTrue="1">
      <formula>TIPOORCAMENTO="PROPOSTO"</formula>
    </cfRule>
    <cfRule type="expression" dxfId="1393" priority="1733" stopIfTrue="1">
      <formula>$C94=1</formula>
    </cfRule>
    <cfRule type="expression" dxfId="1392" priority="1734" stopIfTrue="1">
      <formula>OR(AND(ISNUMBER($C94),$C94=0),$C94=2,$C94=3,$C94=4)</formula>
    </cfRule>
  </conditionalFormatting>
  <conditionalFormatting sqref="M95 M100">
    <cfRule type="cellIs" dxfId="1391" priority="1701" stopIfTrue="1" operator="notEqual">
      <formula>$N95</formula>
    </cfRule>
  </conditionalFormatting>
  <conditionalFormatting sqref="N95:O95 W95:X95 W100:X100 N100:O100">
    <cfRule type="expression" dxfId="1390" priority="1702" stopIfTrue="1">
      <formula>$C95=1</formula>
    </cfRule>
    <cfRule type="expression" dxfId="1389" priority="1703" stopIfTrue="1">
      <formula>OR($C95=0,$C95=2,$C95=3,$C95=4)</formula>
    </cfRule>
  </conditionalFormatting>
  <conditionalFormatting sqref="T95 Y95 AG95:AH95 AG100:AH100 Y100 T100">
    <cfRule type="expression" dxfId="1388" priority="1707" stopIfTrue="1">
      <formula>$C95=1</formula>
    </cfRule>
    <cfRule type="expression" dxfId="1387" priority="1708" stopIfTrue="1">
      <formula>OR($C95=0,$C95=2,$C95=3,$C95=4)</formula>
    </cfRule>
  </conditionalFormatting>
  <conditionalFormatting sqref="AJ95 AJ100">
    <cfRule type="expression" dxfId="1386" priority="1709" stopIfTrue="1">
      <formula>OR(ACOMPANHAMENTO&lt;&gt;"BM",TIPOORCAMENTO="Licitado")</formula>
    </cfRule>
    <cfRule type="expression" dxfId="1385" priority="1710" stopIfTrue="1">
      <formula>$C95=1</formula>
    </cfRule>
    <cfRule type="expression" dxfId="1384" priority="1711" stopIfTrue="1">
      <formula>OR(AND(ISNUMBER($C95),$C95=0),$C95=2,$C95=3,$C95=4)</formula>
    </cfRule>
  </conditionalFormatting>
  <conditionalFormatting sqref="AL95 AL100">
    <cfRule type="expression" dxfId="1383" priority="1712" stopIfTrue="1">
      <formula>TIPOORCAMENTO="PROPOSTO"</formula>
    </cfRule>
    <cfRule type="expression" dxfId="1382" priority="1713" stopIfTrue="1">
      <formula>$C95=1</formula>
    </cfRule>
    <cfRule type="expression" dxfId="1381" priority="1714" stopIfTrue="1">
      <formula>OR(AND(ISNUMBER($C95),$C95=0),$C95=2,$C95=3,$C95=4)</formula>
    </cfRule>
  </conditionalFormatting>
  <conditionalFormatting sqref="AM95:AN95 AM100:AN100">
    <cfRule type="expression" dxfId="1380" priority="1715" stopIfTrue="1">
      <formula>TIPOORCAMENTO="PROPOSTO"</formula>
    </cfRule>
    <cfRule type="expression" dxfId="1379" priority="1716" stopIfTrue="1">
      <formula>$C95=1</formula>
    </cfRule>
    <cfRule type="expression" dxfId="1378" priority="1717" stopIfTrue="1">
      <formula>OR(AND(ISNUMBER($C95),$C95=0),$C95=2,$C95=3,$C95=4)</formula>
    </cfRule>
  </conditionalFormatting>
  <conditionalFormatting sqref="M40">
    <cfRule type="cellIs" dxfId="1377" priority="1656" stopIfTrue="1" operator="notEqual">
      <formula>$N40</formula>
    </cfRule>
  </conditionalFormatting>
  <conditionalFormatting sqref="N40:O40 W40:X40">
    <cfRule type="expression" dxfId="1376" priority="1657" stopIfTrue="1">
      <formula>$C40=1</formula>
    </cfRule>
    <cfRule type="expression" dxfId="1375" priority="1658" stopIfTrue="1">
      <formula>OR($C40=0,$C40=2,$C40=3,$C40=4)</formula>
    </cfRule>
  </conditionalFormatting>
  <conditionalFormatting sqref="T40 Y40 AG40:AH40">
    <cfRule type="expression" dxfId="1374" priority="1662" stopIfTrue="1">
      <formula>$C40=1</formula>
    </cfRule>
    <cfRule type="expression" dxfId="1373" priority="1663" stopIfTrue="1">
      <formula>OR($C40=0,$C40=2,$C40=3,$C40=4)</formula>
    </cfRule>
  </conditionalFormatting>
  <conditionalFormatting sqref="AJ40">
    <cfRule type="expression" dxfId="1372" priority="1664" stopIfTrue="1">
      <formula>OR(ACOMPANHAMENTO&lt;&gt;"BM",TIPOORCAMENTO="Licitado")</formula>
    </cfRule>
    <cfRule type="expression" dxfId="1371" priority="1665" stopIfTrue="1">
      <formula>$C40=1</formula>
    </cfRule>
    <cfRule type="expression" dxfId="1370" priority="1666" stopIfTrue="1">
      <formula>OR(AND(ISNUMBER($C40),$C40=0),$C40=2,$C40=3,$C40=4)</formula>
    </cfRule>
  </conditionalFormatting>
  <conditionalFormatting sqref="AL40">
    <cfRule type="expression" dxfId="1369" priority="1667" stopIfTrue="1">
      <formula>TIPOORCAMENTO="PROPOSTO"</formula>
    </cfRule>
    <cfRule type="expression" dxfId="1368" priority="1668" stopIfTrue="1">
      <formula>$C40=1</formula>
    </cfRule>
    <cfRule type="expression" dxfId="1367" priority="1669" stopIfTrue="1">
      <formula>OR(AND(ISNUMBER($C40),$C40=0),$C40=2,$C40=3,$C40=4)</formula>
    </cfRule>
  </conditionalFormatting>
  <conditionalFormatting sqref="AM40:AN40">
    <cfRule type="expression" dxfId="1366" priority="1670" stopIfTrue="1">
      <formula>TIPOORCAMENTO="PROPOSTO"</formula>
    </cfRule>
    <cfRule type="expression" dxfId="1365" priority="1671" stopIfTrue="1">
      <formula>$C40=1</formula>
    </cfRule>
    <cfRule type="expression" dxfId="1364" priority="1672" stopIfTrue="1">
      <formula>OR(AND(ISNUMBER($C40),$C40=0),$C40=2,$C40=3,$C40=4)</formula>
    </cfRule>
  </conditionalFormatting>
  <conditionalFormatting sqref="M39">
    <cfRule type="cellIs" dxfId="1363" priority="1622" stopIfTrue="1" operator="notEqual">
      <formula>$N39</formula>
    </cfRule>
  </conditionalFormatting>
  <conditionalFormatting sqref="N39:O39 W39:X39">
    <cfRule type="expression" dxfId="1362" priority="1623" stopIfTrue="1">
      <formula>$C39=1</formula>
    </cfRule>
    <cfRule type="expression" dxfId="1361" priority="1624" stopIfTrue="1">
      <formula>OR($C39=0,$C39=2,$C39=3,$C39=4)</formula>
    </cfRule>
  </conditionalFormatting>
  <conditionalFormatting sqref="T39 Y39 AG39:AH39">
    <cfRule type="expression" dxfId="1360" priority="1628" stopIfTrue="1">
      <formula>$C39=1</formula>
    </cfRule>
    <cfRule type="expression" dxfId="1359" priority="1629" stopIfTrue="1">
      <formula>OR($C39=0,$C39=2,$C39=3,$C39=4)</formula>
    </cfRule>
  </conditionalFormatting>
  <conditionalFormatting sqref="AJ39">
    <cfRule type="expression" dxfId="1358" priority="1630" stopIfTrue="1">
      <formula>OR(ACOMPANHAMENTO&lt;&gt;"BM",TIPOORCAMENTO="Licitado")</formula>
    </cfRule>
    <cfRule type="expression" dxfId="1357" priority="1631" stopIfTrue="1">
      <formula>$C39=1</formula>
    </cfRule>
    <cfRule type="expression" dxfId="1356" priority="1632" stopIfTrue="1">
      <formula>OR(AND(ISNUMBER($C39),$C39=0),$C39=2,$C39=3,$C39=4)</formula>
    </cfRule>
  </conditionalFormatting>
  <conditionalFormatting sqref="AL39">
    <cfRule type="expression" dxfId="1355" priority="1633" stopIfTrue="1">
      <formula>TIPOORCAMENTO="PROPOSTO"</formula>
    </cfRule>
    <cfRule type="expression" dxfId="1354" priority="1634" stopIfTrue="1">
      <formula>$C39=1</formula>
    </cfRule>
    <cfRule type="expression" dxfId="1353" priority="1635" stopIfTrue="1">
      <formula>OR(AND(ISNUMBER($C39),$C39=0),$C39=2,$C39=3,$C39=4)</formula>
    </cfRule>
  </conditionalFormatting>
  <conditionalFormatting sqref="AM39:AN39">
    <cfRule type="expression" dxfId="1352" priority="1636" stopIfTrue="1">
      <formula>TIPOORCAMENTO="PROPOSTO"</formula>
    </cfRule>
    <cfRule type="expression" dxfId="1351" priority="1637" stopIfTrue="1">
      <formula>$C39=1</formula>
    </cfRule>
    <cfRule type="expression" dxfId="1350" priority="1638" stopIfTrue="1">
      <formula>OR(AND(ISNUMBER($C39),$C39=0),$C39=2,$C39=3,$C39=4)</formula>
    </cfRule>
  </conditionalFormatting>
  <conditionalFormatting sqref="M47:M49 M51:M54 M56:M57">
    <cfRule type="cellIs" dxfId="1349" priority="1571" stopIfTrue="1" operator="notEqual">
      <formula>$N47</formula>
    </cfRule>
  </conditionalFormatting>
  <conditionalFormatting sqref="N47:O49 W47:X49 W51:X54 N51:O54 N56:O57 W56:X57">
    <cfRule type="expression" dxfId="1348" priority="1572" stopIfTrue="1">
      <formula>$C47=1</formula>
    </cfRule>
    <cfRule type="expression" dxfId="1347" priority="1573" stopIfTrue="1">
      <formula>OR($C47=0,$C47=2,$C47=3,$C47=4)</formula>
    </cfRule>
  </conditionalFormatting>
  <conditionalFormatting sqref="T47:T49 Y47:Y49 AG47:AH49 AG51:AH54 Y51:Y54 T56:T57 Y56:Y57 AG56:AH57 T51:T54">
    <cfRule type="expression" dxfId="1346" priority="1577" stopIfTrue="1">
      <formula>$C47=1</formula>
    </cfRule>
    <cfRule type="expression" dxfId="1345" priority="1578" stopIfTrue="1">
      <formula>OR($C47=0,$C47=2,$C47=3,$C47=4)</formula>
    </cfRule>
  </conditionalFormatting>
  <conditionalFormatting sqref="AJ47:AJ49 AJ51:AJ54 AJ56:AJ57">
    <cfRule type="expression" dxfId="1344" priority="1579" stopIfTrue="1">
      <formula>OR(ACOMPANHAMENTO&lt;&gt;"BM",TIPOORCAMENTO="Licitado")</formula>
    </cfRule>
    <cfRule type="expression" dxfId="1343" priority="1580" stopIfTrue="1">
      <formula>$C47=1</formula>
    </cfRule>
    <cfRule type="expression" dxfId="1342" priority="1581" stopIfTrue="1">
      <formula>OR(AND(ISNUMBER($C47),$C47=0),$C47=2,$C47=3,$C47=4)</formula>
    </cfRule>
  </conditionalFormatting>
  <conditionalFormatting sqref="AL47:AL49 AL51:AL54 AL56:AL57">
    <cfRule type="expression" dxfId="1341" priority="1582" stopIfTrue="1">
      <formula>TIPOORCAMENTO="PROPOSTO"</formula>
    </cfRule>
    <cfRule type="expression" dxfId="1340" priority="1583" stopIfTrue="1">
      <formula>$C47=1</formula>
    </cfRule>
    <cfRule type="expression" dxfId="1339" priority="1584" stopIfTrue="1">
      <formula>OR(AND(ISNUMBER($C47),$C47=0),$C47=2,$C47=3,$C47=4)</formula>
    </cfRule>
  </conditionalFormatting>
  <conditionalFormatting sqref="AM47:AN49 AM51:AN54 AM56:AN57">
    <cfRule type="expression" dxfId="1338" priority="1585" stopIfTrue="1">
      <formula>TIPOORCAMENTO="PROPOSTO"</formula>
    </cfRule>
    <cfRule type="expression" dxfId="1337" priority="1586" stopIfTrue="1">
      <formula>$C47=1</formula>
    </cfRule>
    <cfRule type="expression" dxfId="1336" priority="1587" stopIfTrue="1">
      <formula>OR(AND(ISNUMBER($C47),$C47=0),$C47=2,$C47=3,$C47=4)</formula>
    </cfRule>
  </conditionalFormatting>
  <conditionalFormatting sqref="M98">
    <cfRule type="cellIs" dxfId="1335" priority="1486" stopIfTrue="1" operator="notEqual">
      <formula>$N98</formula>
    </cfRule>
  </conditionalFormatting>
  <conditionalFormatting sqref="N98:O98 W98:X98">
    <cfRule type="expression" dxfId="1334" priority="1487" stopIfTrue="1">
      <formula>$C98=1</formula>
    </cfRule>
    <cfRule type="expression" dxfId="1333" priority="1488" stopIfTrue="1">
      <formula>OR($C98=0,$C98=2,$C98=3,$C98=4)</formula>
    </cfRule>
  </conditionalFormatting>
  <conditionalFormatting sqref="T98 Y98 AG98:AH98">
    <cfRule type="expression" dxfId="1332" priority="1492" stopIfTrue="1">
      <formula>$C98=1</formula>
    </cfRule>
    <cfRule type="expression" dxfId="1331" priority="1493" stopIfTrue="1">
      <formula>OR($C98=0,$C98=2,$C98=3,$C98=4)</formula>
    </cfRule>
  </conditionalFormatting>
  <conditionalFormatting sqref="AJ98">
    <cfRule type="expression" dxfId="1330" priority="1494" stopIfTrue="1">
      <formula>OR(ACOMPANHAMENTO&lt;&gt;"BM",TIPOORCAMENTO="Licitado")</formula>
    </cfRule>
    <cfRule type="expression" dxfId="1329" priority="1495" stopIfTrue="1">
      <formula>$C98=1</formula>
    </cfRule>
    <cfRule type="expression" dxfId="1328" priority="1496" stopIfTrue="1">
      <formula>OR(AND(ISNUMBER($C98),$C98=0),$C98=2,$C98=3,$C98=4)</formula>
    </cfRule>
  </conditionalFormatting>
  <conditionalFormatting sqref="AL98">
    <cfRule type="expression" dxfId="1327" priority="1497" stopIfTrue="1">
      <formula>TIPOORCAMENTO="PROPOSTO"</formula>
    </cfRule>
    <cfRule type="expression" dxfId="1326" priority="1498" stopIfTrue="1">
      <formula>$C98=1</formula>
    </cfRule>
    <cfRule type="expression" dxfId="1325" priority="1499" stopIfTrue="1">
      <formula>OR(AND(ISNUMBER($C98),$C98=0),$C98=2,$C98=3,$C98=4)</formula>
    </cfRule>
  </conditionalFormatting>
  <conditionalFormatting sqref="AM98:AN98">
    <cfRule type="expression" dxfId="1324" priority="1500" stopIfTrue="1">
      <formula>TIPOORCAMENTO="PROPOSTO"</formula>
    </cfRule>
    <cfRule type="expression" dxfId="1323" priority="1501" stopIfTrue="1">
      <formula>$C98=1</formula>
    </cfRule>
    <cfRule type="expression" dxfId="1322" priority="1502" stopIfTrue="1">
      <formula>OR(AND(ISNUMBER($C98),$C98=0),$C98=2,$C98=3,$C98=4)</formula>
    </cfRule>
  </conditionalFormatting>
  <conditionalFormatting sqref="M101:M102 M104:M110">
    <cfRule type="cellIs" dxfId="1321" priority="1433" stopIfTrue="1" operator="notEqual">
      <formula>$N101</formula>
    </cfRule>
  </conditionalFormatting>
  <conditionalFormatting sqref="N101:O102 W101:X102 W104:X110 N104:O110">
    <cfRule type="expression" dxfId="1320" priority="1434" stopIfTrue="1">
      <formula>$C101=1</formula>
    </cfRule>
    <cfRule type="expression" dxfId="1319" priority="1435" stopIfTrue="1">
      <formula>OR($C101=0,$C101=2,$C101=3,$C101=4)</formula>
    </cfRule>
  </conditionalFormatting>
  <conditionalFormatting sqref="T101:T102 Y101:Y102 AG101:AH102 AG104:AH110 Y104:Y110 T104:T110">
    <cfRule type="expression" dxfId="1318" priority="1439" stopIfTrue="1">
      <formula>$C101=1</formula>
    </cfRule>
    <cfRule type="expression" dxfId="1317" priority="1440" stopIfTrue="1">
      <formula>OR($C101=0,$C101=2,$C101=3,$C101=4)</formula>
    </cfRule>
  </conditionalFormatting>
  <conditionalFormatting sqref="AJ102 AJ104:AJ110">
    <cfRule type="expression" dxfId="1316" priority="1441" stopIfTrue="1">
      <formula>OR(ACOMPANHAMENTO&lt;&gt;"BM",TIPOORCAMENTO="Licitado")</formula>
    </cfRule>
    <cfRule type="expression" dxfId="1315" priority="1442" stopIfTrue="1">
      <formula>$C102=1</formula>
    </cfRule>
    <cfRule type="expression" dxfId="1314" priority="1443" stopIfTrue="1">
      <formula>OR(AND(ISNUMBER($C102),$C102=0),$C102=2,$C102=3,$C102=4)</formula>
    </cfRule>
  </conditionalFormatting>
  <conditionalFormatting sqref="AL101:AL102 AL104:AL110">
    <cfRule type="expression" dxfId="1313" priority="1444" stopIfTrue="1">
      <formula>TIPOORCAMENTO="PROPOSTO"</formula>
    </cfRule>
    <cfRule type="expression" dxfId="1312" priority="1445" stopIfTrue="1">
      <formula>$C101=1</formula>
    </cfRule>
    <cfRule type="expression" dxfId="1311" priority="1446" stopIfTrue="1">
      <formula>OR(AND(ISNUMBER($C101),$C101=0),$C101=2,$C101=3,$C101=4)</formula>
    </cfRule>
  </conditionalFormatting>
  <conditionalFormatting sqref="AM101:AN102 AM104:AN110">
    <cfRule type="expression" dxfId="1310" priority="1447" stopIfTrue="1">
      <formula>TIPOORCAMENTO="PROPOSTO"</formula>
    </cfRule>
    <cfRule type="expression" dxfId="1309" priority="1448" stopIfTrue="1">
      <formula>$C101=1</formula>
    </cfRule>
    <cfRule type="expression" dxfId="1308" priority="1449" stopIfTrue="1">
      <formula>OR(AND(ISNUMBER($C101),$C101=0),$C101=2,$C101=3,$C101=4)</formula>
    </cfRule>
  </conditionalFormatting>
  <conditionalFormatting sqref="M50">
    <cfRule type="cellIs" dxfId="1307" priority="1291" stopIfTrue="1" operator="notEqual">
      <formula>$N50</formula>
    </cfRule>
  </conditionalFormatting>
  <conditionalFormatting sqref="N50:O50 W50:X50">
    <cfRule type="expression" dxfId="1306" priority="1292" stopIfTrue="1">
      <formula>$C50=1</formula>
    </cfRule>
    <cfRule type="expression" dxfId="1305" priority="1293" stopIfTrue="1">
      <formula>OR($C50=0,$C50=2,$C50=3,$C50=4)</formula>
    </cfRule>
  </conditionalFormatting>
  <conditionalFormatting sqref="T50 Y50 AG50:AH50">
    <cfRule type="expression" dxfId="1304" priority="1297" stopIfTrue="1">
      <formula>$C50=1</formula>
    </cfRule>
    <cfRule type="expression" dxfId="1303" priority="1298" stopIfTrue="1">
      <formula>OR($C50=0,$C50=2,$C50=3,$C50=4)</formula>
    </cfRule>
  </conditionalFormatting>
  <conditionalFormatting sqref="AJ50">
    <cfRule type="expression" dxfId="1302" priority="1299" stopIfTrue="1">
      <formula>OR(ACOMPANHAMENTO&lt;&gt;"BM",TIPOORCAMENTO="Licitado")</formula>
    </cfRule>
    <cfRule type="expression" dxfId="1301" priority="1300" stopIfTrue="1">
      <formula>$C50=1</formula>
    </cfRule>
    <cfRule type="expression" dxfId="1300" priority="1301" stopIfTrue="1">
      <formula>OR(AND(ISNUMBER($C50),$C50=0),$C50=2,$C50=3,$C50=4)</formula>
    </cfRule>
  </conditionalFormatting>
  <conditionalFormatting sqref="AL50">
    <cfRule type="expression" dxfId="1299" priority="1302" stopIfTrue="1">
      <formula>TIPOORCAMENTO="PROPOSTO"</formula>
    </cfRule>
    <cfRule type="expression" dxfId="1298" priority="1303" stopIfTrue="1">
      <formula>$C50=1</formula>
    </cfRule>
    <cfRule type="expression" dxfId="1297" priority="1304" stopIfTrue="1">
      <formula>OR(AND(ISNUMBER($C50),$C50=0),$C50=2,$C50=3,$C50=4)</formula>
    </cfRule>
  </conditionalFormatting>
  <conditionalFormatting sqref="AM50:AN50">
    <cfRule type="expression" dxfId="1296" priority="1305" stopIfTrue="1">
      <formula>TIPOORCAMENTO="PROPOSTO"</formula>
    </cfRule>
    <cfRule type="expression" dxfId="1295" priority="1306" stopIfTrue="1">
      <formula>$C50=1</formula>
    </cfRule>
    <cfRule type="expression" dxfId="1294" priority="1307" stopIfTrue="1">
      <formula>OR(AND(ISNUMBER($C50),$C50=0),$C50=2,$C50=3,$C50=4)</formula>
    </cfRule>
  </conditionalFormatting>
  <conditionalFormatting sqref="AJ46">
    <cfRule type="expression" dxfId="1293" priority="1288" stopIfTrue="1">
      <formula>OR(ACOMPANHAMENTO&lt;&gt;"BM",TIPOORCAMENTO="Licitado")</formula>
    </cfRule>
    <cfRule type="expression" dxfId="1292" priority="1289" stopIfTrue="1">
      <formula>$C46=1</formula>
    </cfRule>
    <cfRule type="expression" dxfId="1291" priority="1290" stopIfTrue="1">
      <formula>OR(AND(ISNUMBER($C46),$C46=0),$C46=2,$C46=3,$C46=4)</formula>
    </cfRule>
  </conditionalFormatting>
  <conditionalFormatting sqref="M58:M59">
    <cfRule type="cellIs" dxfId="1290" priority="1269" stopIfTrue="1" operator="notEqual">
      <formula>$N58</formula>
    </cfRule>
  </conditionalFormatting>
  <conditionalFormatting sqref="N58:O59 W58:X59">
    <cfRule type="expression" dxfId="1289" priority="1270" stopIfTrue="1">
      <formula>$C58=1</formula>
    </cfRule>
    <cfRule type="expression" dxfId="1288" priority="1271" stopIfTrue="1">
      <formula>OR($C58=0,$C58=2,$C58=3,$C58=4)</formula>
    </cfRule>
  </conditionalFormatting>
  <conditionalFormatting sqref="Y58:Y59 AG58:AH59 T58:T59">
    <cfRule type="expression" dxfId="1287" priority="1275" stopIfTrue="1">
      <formula>$C58=1</formula>
    </cfRule>
    <cfRule type="expression" dxfId="1286" priority="1276" stopIfTrue="1">
      <formula>OR($C58=0,$C58=2,$C58=3,$C58=4)</formula>
    </cfRule>
  </conditionalFormatting>
  <conditionalFormatting sqref="AJ58:AJ59">
    <cfRule type="expression" dxfId="1285" priority="1277" stopIfTrue="1">
      <formula>OR(ACOMPANHAMENTO&lt;&gt;"BM",TIPOORCAMENTO="Licitado")</formula>
    </cfRule>
    <cfRule type="expression" dxfId="1284" priority="1278" stopIfTrue="1">
      <formula>$C58=1</formula>
    </cfRule>
    <cfRule type="expression" dxfId="1283" priority="1279" stopIfTrue="1">
      <formula>OR(AND(ISNUMBER($C58),$C58=0),$C58=2,$C58=3,$C58=4)</formula>
    </cfRule>
  </conditionalFormatting>
  <conditionalFormatting sqref="AL58:AL59">
    <cfRule type="expression" dxfId="1282" priority="1280" stopIfTrue="1">
      <formula>TIPOORCAMENTO="PROPOSTO"</formula>
    </cfRule>
    <cfRule type="expression" dxfId="1281" priority="1281" stopIfTrue="1">
      <formula>$C58=1</formula>
    </cfRule>
    <cfRule type="expression" dxfId="1280" priority="1282" stopIfTrue="1">
      <formula>OR(AND(ISNUMBER($C58),$C58=0),$C58=2,$C58=3,$C58=4)</formula>
    </cfRule>
  </conditionalFormatting>
  <conditionalFormatting sqref="AM58:AN59">
    <cfRule type="expression" dxfId="1279" priority="1283" stopIfTrue="1">
      <formula>TIPOORCAMENTO="PROPOSTO"</formula>
    </cfRule>
    <cfRule type="expression" dxfId="1278" priority="1284" stopIfTrue="1">
      <formula>$C58=1</formula>
    </cfRule>
    <cfRule type="expression" dxfId="1277" priority="1285" stopIfTrue="1">
      <formula>OR(AND(ISNUMBER($C58),$C58=0),$C58=2,$C58=3,$C58=4)</formula>
    </cfRule>
  </conditionalFormatting>
  <conditionalFormatting sqref="M103">
    <cfRule type="cellIs" dxfId="1276" priority="1218" stopIfTrue="1" operator="notEqual">
      <formula>$N103</formula>
    </cfRule>
  </conditionalFormatting>
  <conditionalFormatting sqref="N103:O103 W103:X103">
    <cfRule type="expression" dxfId="1275" priority="1219" stopIfTrue="1">
      <formula>$C103=1</formula>
    </cfRule>
    <cfRule type="expression" dxfId="1274" priority="1220" stopIfTrue="1">
      <formula>OR($C103=0,$C103=2,$C103=3,$C103=4)</formula>
    </cfRule>
  </conditionalFormatting>
  <conditionalFormatting sqref="T103 Y103 AG103:AH103">
    <cfRule type="expression" dxfId="1273" priority="1224" stopIfTrue="1">
      <formula>$C103=1</formula>
    </cfRule>
    <cfRule type="expression" dxfId="1272" priority="1225" stopIfTrue="1">
      <formula>OR($C103=0,$C103=2,$C103=3,$C103=4)</formula>
    </cfRule>
  </conditionalFormatting>
  <conditionalFormatting sqref="AJ103">
    <cfRule type="expression" dxfId="1271" priority="1226" stopIfTrue="1">
      <formula>OR(ACOMPANHAMENTO&lt;&gt;"BM",TIPOORCAMENTO="Licitado")</formula>
    </cfRule>
    <cfRule type="expression" dxfId="1270" priority="1227" stopIfTrue="1">
      <formula>$C103=1</formula>
    </cfRule>
    <cfRule type="expression" dxfId="1269" priority="1228" stopIfTrue="1">
      <formula>OR(AND(ISNUMBER($C103),$C103=0),$C103=2,$C103=3,$C103=4)</formula>
    </cfRule>
  </conditionalFormatting>
  <conditionalFormatting sqref="AL103">
    <cfRule type="expression" dxfId="1268" priority="1229" stopIfTrue="1">
      <formula>TIPOORCAMENTO="PROPOSTO"</formula>
    </cfRule>
    <cfRule type="expression" dxfId="1267" priority="1230" stopIfTrue="1">
      <formula>$C103=1</formula>
    </cfRule>
    <cfRule type="expression" dxfId="1266" priority="1231" stopIfTrue="1">
      <formula>OR(AND(ISNUMBER($C103),$C103=0),$C103=2,$C103=3,$C103=4)</formula>
    </cfRule>
  </conditionalFormatting>
  <conditionalFormatting sqref="AM103:AN103">
    <cfRule type="expression" dxfId="1265" priority="1232" stopIfTrue="1">
      <formula>TIPOORCAMENTO="PROPOSTO"</formula>
    </cfRule>
    <cfRule type="expression" dxfId="1264" priority="1233" stopIfTrue="1">
      <formula>$C103=1</formula>
    </cfRule>
    <cfRule type="expression" dxfId="1263" priority="1234" stopIfTrue="1">
      <formula>OR(AND(ISNUMBER($C103),$C103=0),$C103=2,$C103=3,$C103=4)</formula>
    </cfRule>
  </conditionalFormatting>
  <conditionalFormatting sqref="M55">
    <cfRule type="cellIs" dxfId="1262" priority="1184" stopIfTrue="1" operator="notEqual">
      <formula>$N55</formula>
    </cfRule>
  </conditionalFormatting>
  <conditionalFormatting sqref="N55:O55 W55:X55">
    <cfRule type="expression" dxfId="1261" priority="1185" stopIfTrue="1">
      <formula>$C55=1</formula>
    </cfRule>
    <cfRule type="expression" dxfId="1260" priority="1186" stopIfTrue="1">
      <formula>OR($C55=0,$C55=2,$C55=3,$C55=4)</formula>
    </cfRule>
  </conditionalFormatting>
  <conditionalFormatting sqref="T55 Y55 AG55:AH55">
    <cfRule type="expression" dxfId="1259" priority="1190" stopIfTrue="1">
      <formula>$C55=1</formula>
    </cfRule>
    <cfRule type="expression" dxfId="1258" priority="1191" stopIfTrue="1">
      <formula>OR($C55=0,$C55=2,$C55=3,$C55=4)</formula>
    </cfRule>
  </conditionalFormatting>
  <conditionalFormatting sqref="AJ55">
    <cfRule type="expression" dxfId="1257" priority="1192" stopIfTrue="1">
      <formula>OR(ACOMPANHAMENTO&lt;&gt;"BM",TIPOORCAMENTO="Licitado")</formula>
    </cfRule>
    <cfRule type="expression" dxfId="1256" priority="1193" stopIfTrue="1">
      <formula>$C55=1</formula>
    </cfRule>
    <cfRule type="expression" dxfId="1255" priority="1194" stopIfTrue="1">
      <formula>OR(AND(ISNUMBER($C55),$C55=0),$C55=2,$C55=3,$C55=4)</formula>
    </cfRule>
  </conditionalFormatting>
  <conditionalFormatting sqref="AL55">
    <cfRule type="expression" dxfId="1254" priority="1195" stopIfTrue="1">
      <formula>TIPOORCAMENTO="PROPOSTO"</formula>
    </cfRule>
    <cfRule type="expression" dxfId="1253" priority="1196" stopIfTrue="1">
      <formula>$C55=1</formula>
    </cfRule>
    <cfRule type="expression" dxfId="1252" priority="1197" stopIfTrue="1">
      <formula>OR(AND(ISNUMBER($C55),$C55=0),$C55=2,$C55=3,$C55=4)</formula>
    </cfRule>
  </conditionalFormatting>
  <conditionalFormatting sqref="AM55:AN55">
    <cfRule type="expression" dxfId="1251" priority="1198" stopIfTrue="1">
      <formula>TIPOORCAMENTO="PROPOSTO"</formula>
    </cfRule>
    <cfRule type="expression" dxfId="1250" priority="1199" stopIfTrue="1">
      <formula>$C55=1</formula>
    </cfRule>
    <cfRule type="expression" dxfId="1249" priority="1200" stopIfTrue="1">
      <formula>OR(AND(ISNUMBER($C55),$C55=0),$C55=2,$C55=3,$C55=4)</formula>
    </cfRule>
  </conditionalFormatting>
  <conditionalFormatting sqref="M37">
    <cfRule type="cellIs" dxfId="1248" priority="1167" stopIfTrue="1" operator="notEqual">
      <formula>$N37</formula>
    </cfRule>
  </conditionalFormatting>
  <conditionalFormatting sqref="N37:O37 W37:X37">
    <cfRule type="expression" dxfId="1247" priority="1168" stopIfTrue="1">
      <formula>$C37=1</formula>
    </cfRule>
    <cfRule type="expression" dxfId="1246" priority="1169" stopIfTrue="1">
      <formula>OR($C37=0,$C37=2,$C37=3,$C37=4)</formula>
    </cfRule>
  </conditionalFormatting>
  <conditionalFormatting sqref="T37 Y37 AG37:AH37">
    <cfRule type="expression" dxfId="1245" priority="1173" stopIfTrue="1">
      <formula>$C37=1</formula>
    </cfRule>
    <cfRule type="expression" dxfId="1244" priority="1174" stopIfTrue="1">
      <formula>OR($C37=0,$C37=2,$C37=3,$C37=4)</formula>
    </cfRule>
  </conditionalFormatting>
  <conditionalFormatting sqref="AJ37">
    <cfRule type="expression" dxfId="1243" priority="1175" stopIfTrue="1">
      <formula>OR(ACOMPANHAMENTO&lt;&gt;"BM",TIPOORCAMENTO="Licitado")</formula>
    </cfRule>
    <cfRule type="expression" dxfId="1242" priority="1176" stopIfTrue="1">
      <formula>$C37=1</formula>
    </cfRule>
    <cfRule type="expression" dxfId="1241" priority="1177" stopIfTrue="1">
      <formula>OR(AND(ISNUMBER($C37),$C37=0),$C37=2,$C37=3,$C37=4)</formula>
    </cfRule>
  </conditionalFormatting>
  <conditionalFormatting sqref="AL37">
    <cfRule type="expression" dxfId="1240" priority="1178" stopIfTrue="1">
      <formula>TIPOORCAMENTO="PROPOSTO"</formula>
    </cfRule>
    <cfRule type="expression" dxfId="1239" priority="1179" stopIfTrue="1">
      <formula>$C37=1</formula>
    </cfRule>
    <cfRule type="expression" dxfId="1238" priority="1180" stopIfTrue="1">
      <formula>OR(AND(ISNUMBER($C37),$C37=0),$C37=2,$C37=3,$C37=4)</formula>
    </cfRule>
  </conditionalFormatting>
  <conditionalFormatting sqref="AM37:AN37">
    <cfRule type="expression" dxfId="1237" priority="1181" stopIfTrue="1">
      <formula>TIPOORCAMENTO="PROPOSTO"</formula>
    </cfRule>
    <cfRule type="expression" dxfId="1236" priority="1182" stopIfTrue="1">
      <formula>$C37=1</formula>
    </cfRule>
    <cfRule type="expression" dxfId="1235" priority="1183" stopIfTrue="1">
      <formula>OR(AND(ISNUMBER($C37),$C37=0),$C37=2,$C37=3,$C37=4)</formula>
    </cfRule>
  </conditionalFormatting>
  <conditionalFormatting sqref="M111:M117">
    <cfRule type="cellIs" dxfId="1234" priority="1065" stopIfTrue="1" operator="notEqual">
      <formula>$N111</formula>
    </cfRule>
  </conditionalFormatting>
  <conditionalFormatting sqref="N111:O117 W111:X117">
    <cfRule type="expression" dxfId="1233" priority="1066" stopIfTrue="1">
      <formula>$C111=1</formula>
    </cfRule>
    <cfRule type="expression" dxfId="1232" priority="1067" stopIfTrue="1">
      <formula>OR($C111=0,$C111=2,$C111=3,$C111=4)</formula>
    </cfRule>
  </conditionalFormatting>
  <conditionalFormatting sqref="T111:T117 Y111:Y117 AG111:AH117">
    <cfRule type="expression" dxfId="1231" priority="1071" stopIfTrue="1">
      <formula>$C111=1</formula>
    </cfRule>
    <cfRule type="expression" dxfId="1230" priority="1072" stopIfTrue="1">
      <formula>OR($C111=0,$C111=2,$C111=3,$C111=4)</formula>
    </cfRule>
  </conditionalFormatting>
  <conditionalFormatting sqref="AJ111:AJ117">
    <cfRule type="expression" dxfId="1229" priority="1073" stopIfTrue="1">
      <formula>OR(ACOMPANHAMENTO&lt;&gt;"BM",TIPOORCAMENTO="Licitado")</formula>
    </cfRule>
    <cfRule type="expression" dxfId="1228" priority="1074" stopIfTrue="1">
      <formula>$C111=1</formula>
    </cfRule>
    <cfRule type="expression" dxfId="1227" priority="1075" stopIfTrue="1">
      <formula>OR(AND(ISNUMBER($C111),$C111=0),$C111=2,$C111=3,$C111=4)</formula>
    </cfRule>
  </conditionalFormatting>
  <conditionalFormatting sqref="AL111:AL117">
    <cfRule type="expression" dxfId="1226" priority="1076" stopIfTrue="1">
      <formula>TIPOORCAMENTO="PROPOSTO"</formula>
    </cfRule>
    <cfRule type="expression" dxfId="1225" priority="1077" stopIfTrue="1">
      <formula>$C111=1</formula>
    </cfRule>
    <cfRule type="expression" dxfId="1224" priority="1078" stopIfTrue="1">
      <formula>OR(AND(ISNUMBER($C111),$C111=0),$C111=2,$C111=3,$C111=4)</formula>
    </cfRule>
  </conditionalFormatting>
  <conditionalFormatting sqref="AM111:AN117">
    <cfRule type="expression" dxfId="1223" priority="1079" stopIfTrue="1">
      <formula>TIPOORCAMENTO="PROPOSTO"</formula>
    </cfRule>
    <cfRule type="expression" dxfId="1222" priority="1080" stopIfTrue="1">
      <formula>$C111=1</formula>
    </cfRule>
    <cfRule type="expression" dxfId="1221" priority="1081" stopIfTrue="1">
      <formula>OR(AND(ISNUMBER($C111),$C111=0),$C111=2,$C111=3,$C111=4)</formula>
    </cfRule>
  </conditionalFormatting>
  <conditionalFormatting sqref="M120">
    <cfRule type="cellIs" dxfId="1220" priority="1048" stopIfTrue="1" operator="notEqual">
      <formula>$N120</formula>
    </cfRule>
  </conditionalFormatting>
  <conditionalFormatting sqref="N120:O120 W120:X120">
    <cfRule type="expression" dxfId="1219" priority="1049" stopIfTrue="1">
      <formula>$C120=1</formula>
    </cfRule>
    <cfRule type="expression" dxfId="1218" priority="1050" stopIfTrue="1">
      <formula>OR($C120=0,$C120=2,$C120=3,$C120=4)</formula>
    </cfRule>
  </conditionalFormatting>
  <conditionalFormatting sqref="T120 Y120 AG120:AH120">
    <cfRule type="expression" dxfId="1217" priority="1054" stopIfTrue="1">
      <formula>$C120=1</formula>
    </cfRule>
    <cfRule type="expression" dxfId="1216" priority="1055" stopIfTrue="1">
      <formula>OR($C120=0,$C120=2,$C120=3,$C120=4)</formula>
    </cfRule>
  </conditionalFormatting>
  <conditionalFormatting sqref="AJ120">
    <cfRule type="expression" dxfId="1215" priority="1056" stopIfTrue="1">
      <formula>OR(ACOMPANHAMENTO&lt;&gt;"BM",TIPOORCAMENTO="Licitado")</formula>
    </cfRule>
    <cfRule type="expression" dxfId="1214" priority="1057" stopIfTrue="1">
      <formula>$C120=1</formula>
    </cfRule>
    <cfRule type="expression" dxfId="1213" priority="1058" stopIfTrue="1">
      <formula>OR(AND(ISNUMBER($C120),$C120=0),$C120=2,$C120=3,$C120=4)</formula>
    </cfRule>
  </conditionalFormatting>
  <conditionalFormatting sqref="AL120">
    <cfRule type="expression" dxfId="1212" priority="1059" stopIfTrue="1">
      <formula>TIPOORCAMENTO="PROPOSTO"</formula>
    </cfRule>
    <cfRule type="expression" dxfId="1211" priority="1060" stopIfTrue="1">
      <formula>$C120=1</formula>
    </cfRule>
    <cfRule type="expression" dxfId="1210" priority="1061" stopIfTrue="1">
      <formula>OR(AND(ISNUMBER($C120),$C120=0),$C120=2,$C120=3,$C120=4)</formula>
    </cfRule>
  </conditionalFormatting>
  <conditionalFormatting sqref="AM120:AN120">
    <cfRule type="expression" dxfId="1209" priority="1062" stopIfTrue="1">
      <formula>TIPOORCAMENTO="PROPOSTO"</formula>
    </cfRule>
    <cfRule type="expression" dxfId="1208" priority="1063" stopIfTrue="1">
      <formula>$C120=1</formula>
    </cfRule>
    <cfRule type="expression" dxfId="1207" priority="1064" stopIfTrue="1">
      <formula>OR(AND(ISNUMBER($C120),$C120=0),$C120=2,$C120=3,$C120=4)</formula>
    </cfRule>
  </conditionalFormatting>
  <conditionalFormatting sqref="M149">
    <cfRule type="cellIs" dxfId="1206" priority="1031" stopIfTrue="1" operator="notEqual">
      <formula>$N149</formula>
    </cfRule>
  </conditionalFormatting>
  <conditionalFormatting sqref="N149:O149 W149:X149">
    <cfRule type="expression" dxfId="1205" priority="1032" stopIfTrue="1">
      <formula>$C149=1</formula>
    </cfRule>
    <cfRule type="expression" dxfId="1204" priority="1033" stopIfTrue="1">
      <formula>OR($C149=0,$C149=2,$C149=3,$C149=4)</formula>
    </cfRule>
  </conditionalFormatting>
  <conditionalFormatting sqref="T149 Y149 AG149:AH149">
    <cfRule type="expression" dxfId="1203" priority="1037" stopIfTrue="1">
      <formula>$C149=1</formula>
    </cfRule>
    <cfRule type="expression" dxfId="1202" priority="1038" stopIfTrue="1">
      <formula>OR($C149=0,$C149=2,$C149=3,$C149=4)</formula>
    </cfRule>
  </conditionalFormatting>
  <conditionalFormatting sqref="AJ149">
    <cfRule type="expression" dxfId="1201" priority="1039" stopIfTrue="1">
      <formula>OR(ACOMPANHAMENTO&lt;&gt;"BM",TIPOORCAMENTO="Licitado")</formula>
    </cfRule>
    <cfRule type="expression" dxfId="1200" priority="1040" stopIfTrue="1">
      <formula>$C149=1</formula>
    </cfRule>
    <cfRule type="expression" dxfId="1199" priority="1041" stopIfTrue="1">
      <formula>OR(AND(ISNUMBER($C149),$C149=0),$C149=2,$C149=3,$C149=4)</formula>
    </cfRule>
  </conditionalFormatting>
  <conditionalFormatting sqref="AL149">
    <cfRule type="expression" dxfId="1198" priority="1042" stopIfTrue="1">
      <formula>TIPOORCAMENTO="PROPOSTO"</formula>
    </cfRule>
    <cfRule type="expression" dxfId="1197" priority="1043" stopIfTrue="1">
      <formula>$C149=1</formula>
    </cfRule>
    <cfRule type="expression" dxfId="1196" priority="1044" stopIfTrue="1">
      <formula>OR(AND(ISNUMBER($C149),$C149=0),$C149=2,$C149=3,$C149=4)</formula>
    </cfRule>
  </conditionalFormatting>
  <conditionalFormatting sqref="AM149:AN149">
    <cfRule type="expression" dxfId="1195" priority="1045" stopIfTrue="1">
      <formula>TIPOORCAMENTO="PROPOSTO"</formula>
    </cfRule>
    <cfRule type="expression" dxfId="1194" priority="1046" stopIfTrue="1">
      <formula>$C149=1</formula>
    </cfRule>
    <cfRule type="expression" dxfId="1193" priority="1047" stopIfTrue="1">
      <formula>OR(AND(ISNUMBER($C149),$C149=0),$C149=2,$C149=3,$C149=4)</formula>
    </cfRule>
  </conditionalFormatting>
  <conditionalFormatting sqref="M150">
    <cfRule type="cellIs" dxfId="1192" priority="1014" stopIfTrue="1" operator="notEqual">
      <formula>$N150</formula>
    </cfRule>
  </conditionalFormatting>
  <conditionalFormatting sqref="N150:O150 W150:X150">
    <cfRule type="expression" dxfId="1191" priority="1015" stopIfTrue="1">
      <formula>$C150=1</formula>
    </cfRule>
    <cfRule type="expression" dxfId="1190" priority="1016" stopIfTrue="1">
      <formula>OR($C150=0,$C150=2,$C150=3,$C150=4)</formula>
    </cfRule>
  </conditionalFormatting>
  <conditionalFormatting sqref="T150 Y150 AG150:AH150">
    <cfRule type="expression" dxfId="1189" priority="1020" stopIfTrue="1">
      <formula>$C150=1</formula>
    </cfRule>
    <cfRule type="expression" dxfId="1188" priority="1021" stopIfTrue="1">
      <formula>OR($C150=0,$C150=2,$C150=3,$C150=4)</formula>
    </cfRule>
  </conditionalFormatting>
  <conditionalFormatting sqref="AJ150">
    <cfRule type="expression" dxfId="1187" priority="1022" stopIfTrue="1">
      <formula>OR(ACOMPANHAMENTO&lt;&gt;"BM",TIPOORCAMENTO="Licitado")</formula>
    </cfRule>
    <cfRule type="expression" dxfId="1186" priority="1023" stopIfTrue="1">
      <formula>$C150=1</formula>
    </cfRule>
    <cfRule type="expression" dxfId="1185" priority="1024" stopIfTrue="1">
      <formula>OR(AND(ISNUMBER($C150),$C150=0),$C150=2,$C150=3,$C150=4)</formula>
    </cfRule>
  </conditionalFormatting>
  <conditionalFormatting sqref="AL150">
    <cfRule type="expression" dxfId="1184" priority="1025" stopIfTrue="1">
      <formula>TIPOORCAMENTO="PROPOSTO"</formula>
    </cfRule>
    <cfRule type="expression" dxfId="1183" priority="1026" stopIfTrue="1">
      <formula>$C150=1</formula>
    </cfRule>
    <cfRule type="expression" dxfId="1182" priority="1027" stopIfTrue="1">
      <formula>OR(AND(ISNUMBER($C150),$C150=0),$C150=2,$C150=3,$C150=4)</formula>
    </cfRule>
  </conditionalFormatting>
  <conditionalFormatting sqref="AM150:AN150">
    <cfRule type="expression" dxfId="1181" priority="1028" stopIfTrue="1">
      <formula>TIPOORCAMENTO="PROPOSTO"</formula>
    </cfRule>
    <cfRule type="expression" dxfId="1180" priority="1029" stopIfTrue="1">
      <formula>$C150=1</formula>
    </cfRule>
    <cfRule type="expression" dxfId="1179" priority="1030" stopIfTrue="1">
      <formula>OR(AND(ISNUMBER($C150),$C150=0),$C150=2,$C150=3,$C150=4)</formula>
    </cfRule>
  </conditionalFormatting>
  <conditionalFormatting sqref="AJ101">
    <cfRule type="expression" dxfId="1178" priority="1011" stopIfTrue="1">
      <formula>OR(ACOMPANHAMENTO&lt;&gt;"BM",TIPOORCAMENTO="Licitado")</formula>
    </cfRule>
    <cfRule type="expression" dxfId="1177" priority="1012" stopIfTrue="1">
      <formula>$C101=1</formula>
    </cfRule>
    <cfRule type="expression" dxfId="1176" priority="1013" stopIfTrue="1">
      <formula>OR(AND(ISNUMBER($C101),$C101=0),$C101=2,$C101=3,$C101=4)</formula>
    </cfRule>
  </conditionalFormatting>
  <conditionalFormatting sqref="M151 M159:M160 M166">
    <cfRule type="cellIs" dxfId="1175" priority="994" stopIfTrue="1" operator="notEqual">
      <formula>$N151</formula>
    </cfRule>
  </conditionalFormatting>
  <conditionalFormatting sqref="N151:O151 W151:X151 W159:X160 N159:O160 N166:O166 W166:X166">
    <cfRule type="expression" dxfId="1174" priority="995" stopIfTrue="1">
      <formula>$C151=1</formula>
    </cfRule>
    <cfRule type="expression" dxfId="1173" priority="996" stopIfTrue="1">
      <formula>OR($C151=0,$C151=2,$C151=3,$C151=4)</formula>
    </cfRule>
  </conditionalFormatting>
  <conditionalFormatting sqref="T151 Y151 AG151:AH151 AG159:AH160 Y159:Y160 T166 Y166 AG166:AH166 T159:T160">
    <cfRule type="expression" dxfId="1172" priority="1000" stopIfTrue="1">
      <formula>$C151=1</formula>
    </cfRule>
    <cfRule type="expression" dxfId="1171" priority="1001" stopIfTrue="1">
      <formula>OR($C151=0,$C151=2,$C151=3,$C151=4)</formula>
    </cfRule>
  </conditionalFormatting>
  <conditionalFormatting sqref="AJ151 AJ159:AJ160 AJ166">
    <cfRule type="expression" dxfId="1170" priority="1002" stopIfTrue="1">
      <formula>OR(ACOMPANHAMENTO&lt;&gt;"BM",TIPOORCAMENTO="Licitado")</formula>
    </cfRule>
    <cfRule type="expression" dxfId="1169" priority="1003" stopIfTrue="1">
      <formula>$C151=1</formula>
    </cfRule>
    <cfRule type="expression" dxfId="1168" priority="1004" stopIfTrue="1">
      <formula>OR(AND(ISNUMBER($C151),$C151=0),$C151=2,$C151=3,$C151=4)</formula>
    </cfRule>
  </conditionalFormatting>
  <conditionalFormatting sqref="AL151 AL159:AL160 AL166">
    <cfRule type="expression" dxfId="1167" priority="1005" stopIfTrue="1">
      <formula>TIPOORCAMENTO="PROPOSTO"</formula>
    </cfRule>
    <cfRule type="expression" dxfId="1166" priority="1006" stopIfTrue="1">
      <formula>$C151=1</formula>
    </cfRule>
    <cfRule type="expression" dxfId="1165" priority="1007" stopIfTrue="1">
      <formula>OR(AND(ISNUMBER($C151),$C151=0),$C151=2,$C151=3,$C151=4)</formula>
    </cfRule>
  </conditionalFormatting>
  <conditionalFormatting sqref="AM151:AN151 AM159:AN160 AM166:AN166">
    <cfRule type="expression" dxfId="1164" priority="1008" stopIfTrue="1">
      <formula>TIPOORCAMENTO="PROPOSTO"</formula>
    </cfRule>
    <cfRule type="expression" dxfId="1163" priority="1009" stopIfTrue="1">
      <formula>$C151=1</formula>
    </cfRule>
    <cfRule type="expression" dxfId="1162" priority="1010" stopIfTrue="1">
      <formula>OR(AND(ISNUMBER($C151),$C151=0),$C151=2,$C151=3,$C151=4)</formula>
    </cfRule>
  </conditionalFormatting>
  <conditionalFormatting sqref="M124">
    <cfRule type="cellIs" dxfId="1161" priority="926" stopIfTrue="1" operator="notEqual">
      <formula>$N124</formula>
    </cfRule>
  </conditionalFormatting>
  <conditionalFormatting sqref="N124:O124 W124:X124">
    <cfRule type="expression" dxfId="1160" priority="927" stopIfTrue="1">
      <formula>$C124=1</formula>
    </cfRule>
    <cfRule type="expression" dxfId="1159" priority="928" stopIfTrue="1">
      <formula>OR($C124=0,$C124=2,$C124=3,$C124=4)</formula>
    </cfRule>
  </conditionalFormatting>
  <conditionalFormatting sqref="T124 Y124 AG124:AH124">
    <cfRule type="expression" dxfId="1158" priority="932" stopIfTrue="1">
      <formula>$C124=1</formula>
    </cfRule>
    <cfRule type="expression" dxfId="1157" priority="933" stopIfTrue="1">
      <formula>OR($C124=0,$C124=2,$C124=3,$C124=4)</formula>
    </cfRule>
  </conditionalFormatting>
  <conditionalFormatting sqref="AJ124">
    <cfRule type="expression" dxfId="1156" priority="934" stopIfTrue="1">
      <formula>OR(ACOMPANHAMENTO&lt;&gt;"BM",TIPOORCAMENTO="Licitado")</formula>
    </cfRule>
    <cfRule type="expression" dxfId="1155" priority="935" stopIfTrue="1">
      <formula>$C124=1</formula>
    </cfRule>
    <cfRule type="expression" dxfId="1154" priority="936" stopIfTrue="1">
      <formula>OR(AND(ISNUMBER($C124),$C124=0),$C124=2,$C124=3,$C124=4)</formula>
    </cfRule>
  </conditionalFormatting>
  <conditionalFormatting sqref="AL124">
    <cfRule type="expression" dxfId="1153" priority="937" stopIfTrue="1">
      <formula>TIPOORCAMENTO="PROPOSTO"</formula>
    </cfRule>
    <cfRule type="expression" dxfId="1152" priority="938" stopIfTrue="1">
      <formula>$C124=1</formula>
    </cfRule>
    <cfRule type="expression" dxfId="1151" priority="939" stopIfTrue="1">
      <formula>OR(AND(ISNUMBER($C124),$C124=0),$C124=2,$C124=3,$C124=4)</formula>
    </cfRule>
  </conditionalFormatting>
  <conditionalFormatting sqref="AM124:AN124">
    <cfRule type="expression" dxfId="1150" priority="940" stopIfTrue="1">
      <formula>TIPOORCAMENTO="PROPOSTO"</formula>
    </cfRule>
    <cfRule type="expression" dxfId="1149" priority="941" stopIfTrue="1">
      <formula>$C124=1</formula>
    </cfRule>
    <cfRule type="expression" dxfId="1148" priority="942" stopIfTrue="1">
      <formula>OR(AND(ISNUMBER($C124),$C124=0),$C124=2,$C124=3,$C124=4)</formula>
    </cfRule>
  </conditionalFormatting>
  <conditionalFormatting sqref="M161:M165">
    <cfRule type="cellIs" dxfId="1147" priority="756" stopIfTrue="1" operator="notEqual">
      <formula>$N161</formula>
    </cfRule>
  </conditionalFormatting>
  <conditionalFormatting sqref="N161:O165 W161:X165">
    <cfRule type="expression" dxfId="1146" priority="757" stopIfTrue="1">
      <formula>$C161=1</formula>
    </cfRule>
    <cfRule type="expression" dxfId="1145" priority="758" stopIfTrue="1">
      <formula>OR($C161=0,$C161=2,$C161=3,$C161=4)</formula>
    </cfRule>
  </conditionalFormatting>
  <conditionalFormatting sqref="T161:T165 Y161:Y165 AG161:AH165">
    <cfRule type="expression" dxfId="1144" priority="762" stopIfTrue="1">
      <formula>$C161=1</formula>
    </cfRule>
    <cfRule type="expression" dxfId="1143" priority="763" stopIfTrue="1">
      <formula>OR($C161=0,$C161=2,$C161=3,$C161=4)</formula>
    </cfRule>
  </conditionalFormatting>
  <conditionalFormatting sqref="AJ161:AJ165">
    <cfRule type="expression" dxfId="1142" priority="764" stopIfTrue="1">
      <formula>OR(ACOMPANHAMENTO&lt;&gt;"BM",TIPOORCAMENTO="Licitado")</formula>
    </cfRule>
    <cfRule type="expression" dxfId="1141" priority="765" stopIfTrue="1">
      <formula>$C161=1</formula>
    </cfRule>
    <cfRule type="expression" dxfId="1140" priority="766" stopIfTrue="1">
      <formula>OR(AND(ISNUMBER($C161),$C161=0),$C161=2,$C161=3,$C161=4)</formula>
    </cfRule>
  </conditionalFormatting>
  <conditionalFormatting sqref="AL161:AL165">
    <cfRule type="expression" dxfId="1139" priority="767" stopIfTrue="1">
      <formula>TIPOORCAMENTO="PROPOSTO"</formula>
    </cfRule>
    <cfRule type="expression" dxfId="1138" priority="768" stopIfTrue="1">
      <formula>$C161=1</formula>
    </cfRule>
    <cfRule type="expression" dxfId="1137" priority="769" stopIfTrue="1">
      <formula>OR(AND(ISNUMBER($C161),$C161=0),$C161=2,$C161=3,$C161=4)</formula>
    </cfRule>
  </conditionalFormatting>
  <conditionalFormatting sqref="AM161:AN165">
    <cfRule type="expression" dxfId="1136" priority="770" stopIfTrue="1">
      <formula>TIPOORCAMENTO="PROPOSTO"</formula>
    </cfRule>
    <cfRule type="expression" dxfId="1135" priority="771" stopIfTrue="1">
      <formula>$C161=1</formula>
    </cfRule>
    <cfRule type="expression" dxfId="1134" priority="772" stopIfTrue="1">
      <formula>OR(AND(ISNUMBER($C161),$C161=0),$C161=2,$C161=3,$C161=4)</formula>
    </cfRule>
  </conditionalFormatting>
  <conditionalFormatting sqref="M85">
    <cfRule type="cellIs" dxfId="1133" priority="722" stopIfTrue="1" operator="notEqual">
      <formula>$N85</formula>
    </cfRule>
  </conditionalFormatting>
  <conditionalFormatting sqref="N85:O85 W85:X85">
    <cfRule type="expression" dxfId="1132" priority="723" stopIfTrue="1">
      <formula>$C85=1</formula>
    </cfRule>
    <cfRule type="expression" dxfId="1131" priority="724" stopIfTrue="1">
      <formula>OR($C85=0,$C85=2,$C85=3,$C85=4)</formula>
    </cfRule>
  </conditionalFormatting>
  <conditionalFormatting sqref="T85 Y85 AG85:AH85">
    <cfRule type="expression" dxfId="1130" priority="728" stopIfTrue="1">
      <formula>$C85=1</formula>
    </cfRule>
    <cfRule type="expression" dxfId="1129" priority="729" stopIfTrue="1">
      <formula>OR($C85=0,$C85=2,$C85=3,$C85=4)</formula>
    </cfRule>
  </conditionalFormatting>
  <conditionalFormatting sqref="AJ85">
    <cfRule type="expression" dxfId="1128" priority="730" stopIfTrue="1">
      <formula>OR(ACOMPANHAMENTO&lt;&gt;"BM",TIPOORCAMENTO="Licitado")</formula>
    </cfRule>
    <cfRule type="expression" dxfId="1127" priority="731" stopIfTrue="1">
      <formula>$C85=1</formula>
    </cfRule>
    <cfRule type="expression" dxfId="1126" priority="732" stopIfTrue="1">
      <formula>OR(AND(ISNUMBER($C85),$C85=0),$C85=2,$C85=3,$C85=4)</formula>
    </cfRule>
  </conditionalFormatting>
  <conditionalFormatting sqref="AL85">
    <cfRule type="expression" dxfId="1125" priority="733" stopIfTrue="1">
      <formula>TIPOORCAMENTO="PROPOSTO"</formula>
    </cfRule>
    <cfRule type="expression" dxfId="1124" priority="734" stopIfTrue="1">
      <formula>$C85=1</formula>
    </cfRule>
    <cfRule type="expression" dxfId="1123" priority="735" stopIfTrue="1">
      <formula>OR(AND(ISNUMBER($C85),$C85=0),$C85=2,$C85=3,$C85=4)</formula>
    </cfRule>
  </conditionalFormatting>
  <conditionalFormatting sqref="AM85:AN85">
    <cfRule type="expression" dxfId="1122" priority="736" stopIfTrue="1">
      <formula>TIPOORCAMENTO="PROPOSTO"</formula>
    </cfRule>
    <cfRule type="expression" dxfId="1121" priority="737" stopIfTrue="1">
      <formula>$C85=1</formula>
    </cfRule>
    <cfRule type="expression" dxfId="1120" priority="738" stopIfTrue="1">
      <formula>OR(AND(ISNUMBER($C85),$C85=0),$C85=2,$C85=3,$C85=4)</formula>
    </cfRule>
  </conditionalFormatting>
  <conditionalFormatting sqref="M86">
    <cfRule type="cellIs" dxfId="1119" priority="705" stopIfTrue="1" operator="notEqual">
      <formula>$N86</formula>
    </cfRule>
  </conditionalFormatting>
  <conditionalFormatting sqref="N86:O86 W86:X86">
    <cfRule type="expression" dxfId="1118" priority="706" stopIfTrue="1">
      <formula>$C86=1</formula>
    </cfRule>
    <cfRule type="expression" dxfId="1117" priority="707" stopIfTrue="1">
      <formula>OR($C86=0,$C86=2,$C86=3,$C86=4)</formula>
    </cfRule>
  </conditionalFormatting>
  <conditionalFormatting sqref="T86 Y86 AG86:AH86">
    <cfRule type="expression" dxfId="1116" priority="711" stopIfTrue="1">
      <formula>$C86=1</formula>
    </cfRule>
    <cfRule type="expression" dxfId="1115" priority="712" stopIfTrue="1">
      <formula>OR($C86=0,$C86=2,$C86=3,$C86=4)</formula>
    </cfRule>
  </conditionalFormatting>
  <conditionalFormatting sqref="AJ86">
    <cfRule type="expression" dxfId="1114" priority="713" stopIfTrue="1">
      <formula>OR(ACOMPANHAMENTO&lt;&gt;"BM",TIPOORCAMENTO="Licitado")</formula>
    </cfRule>
    <cfRule type="expression" dxfId="1113" priority="714" stopIfTrue="1">
      <formula>$C86=1</formula>
    </cfRule>
    <cfRule type="expression" dxfId="1112" priority="715" stopIfTrue="1">
      <formula>OR(AND(ISNUMBER($C86),$C86=0),$C86=2,$C86=3,$C86=4)</formula>
    </cfRule>
  </conditionalFormatting>
  <conditionalFormatting sqref="AL86">
    <cfRule type="expression" dxfId="1111" priority="716" stopIfTrue="1">
      <formula>TIPOORCAMENTO="PROPOSTO"</formula>
    </cfRule>
    <cfRule type="expression" dxfId="1110" priority="717" stopIfTrue="1">
      <formula>$C86=1</formula>
    </cfRule>
    <cfRule type="expression" dxfId="1109" priority="718" stopIfTrue="1">
      <formula>OR(AND(ISNUMBER($C86),$C86=0),$C86=2,$C86=3,$C86=4)</formula>
    </cfRule>
  </conditionalFormatting>
  <conditionalFormatting sqref="AM86:AN86">
    <cfRule type="expression" dxfId="1108" priority="719" stopIfTrue="1">
      <formula>TIPOORCAMENTO="PROPOSTO"</formula>
    </cfRule>
    <cfRule type="expression" dxfId="1107" priority="720" stopIfTrue="1">
      <formula>$C86=1</formula>
    </cfRule>
    <cfRule type="expression" dxfId="1106" priority="721" stopIfTrue="1">
      <formula>OR(AND(ISNUMBER($C86),$C86=0),$C86=2,$C86=3,$C86=4)</formula>
    </cfRule>
  </conditionalFormatting>
  <conditionalFormatting sqref="M184:M186">
    <cfRule type="cellIs" dxfId="1105" priority="677" stopIfTrue="1" operator="notEqual">
      <formula>$N184</formula>
    </cfRule>
  </conditionalFormatting>
  <conditionalFormatting sqref="N184:O186 W184:X186">
    <cfRule type="expression" dxfId="1104" priority="678" stopIfTrue="1">
      <formula>$C184=1</formula>
    </cfRule>
    <cfRule type="expression" dxfId="1103" priority="679" stopIfTrue="1">
      <formula>OR($C184=0,$C184=2,$C184=3,$C184=4)</formula>
    </cfRule>
  </conditionalFormatting>
  <conditionalFormatting sqref="Y184:Y186 AG184:AH186 T184:T186">
    <cfRule type="expression" dxfId="1102" priority="683" stopIfTrue="1">
      <formula>$C184=1</formula>
    </cfRule>
    <cfRule type="expression" dxfId="1101" priority="684" stopIfTrue="1">
      <formula>OR($C184=0,$C184=2,$C184=3,$C184=4)</formula>
    </cfRule>
  </conditionalFormatting>
  <conditionalFormatting sqref="AJ184:AJ186">
    <cfRule type="expression" dxfId="1100" priority="685" stopIfTrue="1">
      <formula>OR(ACOMPANHAMENTO&lt;&gt;"BM",TIPOORCAMENTO="Licitado")</formula>
    </cfRule>
    <cfRule type="expression" dxfId="1099" priority="686" stopIfTrue="1">
      <formula>$C184=1</formula>
    </cfRule>
    <cfRule type="expression" dxfId="1098" priority="687" stopIfTrue="1">
      <formula>OR(AND(ISNUMBER($C184),$C184=0),$C184=2,$C184=3,$C184=4)</formula>
    </cfRule>
  </conditionalFormatting>
  <conditionalFormatting sqref="AL184:AL186">
    <cfRule type="expression" dxfId="1097" priority="688" stopIfTrue="1">
      <formula>TIPOORCAMENTO="PROPOSTO"</formula>
    </cfRule>
    <cfRule type="expression" dxfId="1096" priority="689" stopIfTrue="1">
      <formula>$C184=1</formula>
    </cfRule>
    <cfRule type="expression" dxfId="1095" priority="690" stopIfTrue="1">
      <formula>OR(AND(ISNUMBER($C184),$C184=0),$C184=2,$C184=3,$C184=4)</formula>
    </cfRule>
  </conditionalFormatting>
  <conditionalFormatting sqref="AM184:AN186">
    <cfRule type="expression" dxfId="1094" priority="691" stopIfTrue="1">
      <formula>TIPOORCAMENTO="PROPOSTO"</formula>
    </cfRule>
    <cfRule type="expression" dxfId="1093" priority="692" stopIfTrue="1">
      <formula>$C184=1</formula>
    </cfRule>
    <cfRule type="expression" dxfId="1092" priority="693" stopIfTrue="1">
      <formula>OR(AND(ISNUMBER($C184),$C184=0),$C184=2,$C184=3,$C184=4)</formula>
    </cfRule>
  </conditionalFormatting>
  <conditionalFormatting sqref="M99">
    <cfRule type="cellIs" dxfId="1091" priority="626" stopIfTrue="1" operator="notEqual">
      <formula>$N99</formula>
    </cfRule>
  </conditionalFormatting>
  <conditionalFormatting sqref="N99:O99 W99:X99">
    <cfRule type="expression" dxfId="1090" priority="627" stopIfTrue="1">
      <formula>$C99=1</formula>
    </cfRule>
    <cfRule type="expression" dxfId="1089" priority="628" stopIfTrue="1">
      <formula>OR($C99=0,$C99=2,$C99=3,$C99=4)</formula>
    </cfRule>
  </conditionalFormatting>
  <conditionalFormatting sqref="T99 Y99 AG99:AH99">
    <cfRule type="expression" dxfId="1088" priority="632" stopIfTrue="1">
      <formula>$C99=1</formula>
    </cfRule>
    <cfRule type="expression" dxfId="1087" priority="633" stopIfTrue="1">
      <formula>OR($C99=0,$C99=2,$C99=3,$C99=4)</formula>
    </cfRule>
  </conditionalFormatting>
  <conditionalFormatting sqref="AJ99">
    <cfRule type="expression" dxfId="1086" priority="634" stopIfTrue="1">
      <formula>OR(ACOMPANHAMENTO&lt;&gt;"BM",TIPOORCAMENTO="Licitado")</formula>
    </cfRule>
    <cfRule type="expression" dxfId="1085" priority="635" stopIfTrue="1">
      <formula>$C99=1</formula>
    </cfRule>
    <cfRule type="expression" dxfId="1084" priority="636" stopIfTrue="1">
      <formula>OR(AND(ISNUMBER($C99),$C99=0),$C99=2,$C99=3,$C99=4)</formula>
    </cfRule>
  </conditionalFormatting>
  <conditionalFormatting sqref="AL99">
    <cfRule type="expression" dxfId="1083" priority="637" stopIfTrue="1">
      <formula>TIPOORCAMENTO="PROPOSTO"</formula>
    </cfRule>
    <cfRule type="expression" dxfId="1082" priority="638" stopIfTrue="1">
      <formula>$C99=1</formula>
    </cfRule>
    <cfRule type="expression" dxfId="1081" priority="639" stopIfTrue="1">
      <formula>OR(AND(ISNUMBER($C99),$C99=0),$C99=2,$C99=3,$C99=4)</formula>
    </cfRule>
  </conditionalFormatting>
  <conditionalFormatting sqref="AM99:AN99">
    <cfRule type="expression" dxfId="1080" priority="640" stopIfTrue="1">
      <formula>TIPOORCAMENTO="PROPOSTO"</formula>
    </cfRule>
    <cfRule type="expression" dxfId="1079" priority="641" stopIfTrue="1">
      <formula>$C99=1</formula>
    </cfRule>
    <cfRule type="expression" dxfId="1078" priority="642" stopIfTrue="1">
      <formula>OR(AND(ISNUMBER($C99),$C99=0),$C99=2,$C99=3,$C99=4)</formula>
    </cfRule>
  </conditionalFormatting>
  <conditionalFormatting sqref="M66">
    <cfRule type="cellIs" dxfId="1077" priority="592" stopIfTrue="1" operator="notEqual">
      <formula>$N66</formula>
    </cfRule>
  </conditionalFormatting>
  <conditionalFormatting sqref="N66:O66 W66:X66">
    <cfRule type="expression" dxfId="1076" priority="593" stopIfTrue="1">
      <formula>$C66=1</formula>
    </cfRule>
    <cfRule type="expression" dxfId="1075" priority="594" stopIfTrue="1">
      <formula>OR($C66=0,$C66=2,$C66=3,$C66=4)</formula>
    </cfRule>
  </conditionalFormatting>
  <conditionalFormatting sqref="T66 Y66 AG66:AH66">
    <cfRule type="expression" dxfId="1074" priority="598" stopIfTrue="1">
      <formula>$C66=1</formula>
    </cfRule>
    <cfRule type="expression" dxfId="1073" priority="599" stopIfTrue="1">
      <formula>OR($C66=0,$C66=2,$C66=3,$C66=4)</formula>
    </cfRule>
  </conditionalFormatting>
  <conditionalFormatting sqref="AJ66">
    <cfRule type="expression" dxfId="1072" priority="600" stopIfTrue="1">
      <formula>OR(ACOMPANHAMENTO&lt;&gt;"BM",TIPOORCAMENTO="Licitado")</formula>
    </cfRule>
    <cfRule type="expression" dxfId="1071" priority="601" stopIfTrue="1">
      <formula>$C66=1</formula>
    </cfRule>
    <cfRule type="expression" dxfId="1070" priority="602" stopIfTrue="1">
      <formula>OR(AND(ISNUMBER($C66),$C66=0),$C66=2,$C66=3,$C66=4)</formula>
    </cfRule>
  </conditionalFormatting>
  <conditionalFormatting sqref="AL66">
    <cfRule type="expression" dxfId="1069" priority="603" stopIfTrue="1">
      <formula>TIPOORCAMENTO="PROPOSTO"</formula>
    </cfRule>
    <cfRule type="expression" dxfId="1068" priority="604" stopIfTrue="1">
      <formula>$C66=1</formula>
    </cfRule>
    <cfRule type="expression" dxfId="1067" priority="605" stopIfTrue="1">
      <formula>OR(AND(ISNUMBER($C66),$C66=0),$C66=2,$C66=3,$C66=4)</formula>
    </cfRule>
  </conditionalFormatting>
  <conditionalFormatting sqref="AM66:AN66">
    <cfRule type="expression" dxfId="1066" priority="606" stopIfTrue="1">
      <formula>TIPOORCAMENTO="PROPOSTO"</formula>
    </cfRule>
    <cfRule type="expression" dxfId="1065" priority="607" stopIfTrue="1">
      <formula>$C66=1</formula>
    </cfRule>
    <cfRule type="expression" dxfId="1064" priority="608" stopIfTrue="1">
      <formula>OR(AND(ISNUMBER($C66),$C66=0),$C66=2,$C66=3,$C66=4)</formula>
    </cfRule>
  </conditionalFormatting>
  <conditionalFormatting sqref="M67">
    <cfRule type="cellIs" dxfId="1063" priority="575" stopIfTrue="1" operator="notEqual">
      <formula>$N67</formula>
    </cfRule>
  </conditionalFormatting>
  <conditionalFormatting sqref="N67:O67 W67:X67">
    <cfRule type="expression" dxfId="1062" priority="576" stopIfTrue="1">
      <formula>$C67=1</formula>
    </cfRule>
    <cfRule type="expression" dxfId="1061" priority="577" stopIfTrue="1">
      <formula>OR($C67=0,$C67=2,$C67=3,$C67=4)</formula>
    </cfRule>
  </conditionalFormatting>
  <conditionalFormatting sqref="T67 Y67 AG67:AH67">
    <cfRule type="expression" dxfId="1060" priority="581" stopIfTrue="1">
      <formula>$C67=1</formula>
    </cfRule>
    <cfRule type="expression" dxfId="1059" priority="582" stopIfTrue="1">
      <formula>OR($C67=0,$C67=2,$C67=3,$C67=4)</formula>
    </cfRule>
  </conditionalFormatting>
  <conditionalFormatting sqref="AL67">
    <cfRule type="expression" dxfId="1058" priority="586" stopIfTrue="1">
      <formula>TIPOORCAMENTO="PROPOSTO"</formula>
    </cfRule>
    <cfRule type="expression" dxfId="1057" priority="587" stopIfTrue="1">
      <formula>$C67=1</formula>
    </cfRule>
    <cfRule type="expression" dxfId="1056" priority="588" stopIfTrue="1">
      <formula>OR(AND(ISNUMBER($C67),$C67=0),$C67=2,$C67=3,$C67=4)</formula>
    </cfRule>
  </conditionalFormatting>
  <conditionalFormatting sqref="AM67:AN67">
    <cfRule type="expression" dxfId="1055" priority="589" stopIfTrue="1">
      <formula>TIPOORCAMENTO="PROPOSTO"</formula>
    </cfRule>
    <cfRule type="expression" dxfId="1054" priority="590" stopIfTrue="1">
      <formula>$C67=1</formula>
    </cfRule>
    <cfRule type="expression" dxfId="1053" priority="591" stopIfTrue="1">
      <formula>OR(AND(ISNUMBER($C67),$C67=0),$C67=2,$C67=3,$C67=4)</formula>
    </cfRule>
  </conditionalFormatting>
  <conditionalFormatting sqref="AJ67">
    <cfRule type="expression" dxfId="1052" priority="572" stopIfTrue="1">
      <formula>OR(ACOMPANHAMENTO&lt;&gt;"BM",TIPOORCAMENTO="Licitado")</formula>
    </cfRule>
    <cfRule type="expression" dxfId="1051" priority="573" stopIfTrue="1">
      <formula>$C67=1</formula>
    </cfRule>
    <cfRule type="expression" dxfId="1050" priority="574" stopIfTrue="1">
      <formula>OR(AND(ISNUMBER($C67),$C67=0),$C67=2,$C67=3,$C67=4)</formula>
    </cfRule>
  </conditionalFormatting>
  <conditionalFormatting sqref="M41">
    <cfRule type="cellIs" dxfId="1049" priority="553" stopIfTrue="1" operator="notEqual">
      <formula>$N41</formula>
    </cfRule>
  </conditionalFormatting>
  <conditionalFormatting sqref="N41:O41 W41:X41">
    <cfRule type="expression" dxfId="1048" priority="554" stopIfTrue="1">
      <formula>$C41=1</formula>
    </cfRule>
    <cfRule type="expression" dxfId="1047" priority="555" stopIfTrue="1">
      <formula>OR($C41=0,$C41=2,$C41=3,$C41=4)</formula>
    </cfRule>
  </conditionalFormatting>
  <conditionalFormatting sqref="T41 Y41 AG41:AH41">
    <cfRule type="expression" dxfId="1046" priority="559" stopIfTrue="1">
      <formula>$C41=1</formula>
    </cfRule>
    <cfRule type="expression" dxfId="1045" priority="560" stopIfTrue="1">
      <formula>OR($C41=0,$C41=2,$C41=3,$C41=4)</formula>
    </cfRule>
  </conditionalFormatting>
  <conditionalFormatting sqref="AJ41">
    <cfRule type="expression" dxfId="1044" priority="561" stopIfTrue="1">
      <formula>OR(ACOMPANHAMENTO&lt;&gt;"BM",TIPOORCAMENTO="Licitado")</formula>
    </cfRule>
    <cfRule type="expression" dxfId="1043" priority="562" stopIfTrue="1">
      <formula>$C41=1</formula>
    </cfRule>
    <cfRule type="expression" dxfId="1042" priority="563" stopIfTrue="1">
      <formula>OR(AND(ISNUMBER($C41),$C41=0),$C41=2,$C41=3,$C41=4)</formula>
    </cfRule>
  </conditionalFormatting>
  <conditionalFormatting sqref="AL41">
    <cfRule type="expression" dxfId="1041" priority="564" stopIfTrue="1">
      <formula>TIPOORCAMENTO="PROPOSTO"</formula>
    </cfRule>
    <cfRule type="expression" dxfId="1040" priority="565" stopIfTrue="1">
      <formula>$C41=1</formula>
    </cfRule>
    <cfRule type="expression" dxfId="1039" priority="566" stopIfTrue="1">
      <formula>OR(AND(ISNUMBER($C41),$C41=0),$C41=2,$C41=3,$C41=4)</formula>
    </cfRule>
  </conditionalFormatting>
  <conditionalFormatting sqref="AM41:AN41">
    <cfRule type="expression" dxfId="1038" priority="567" stopIfTrue="1">
      <formula>TIPOORCAMENTO="PROPOSTO"</formula>
    </cfRule>
    <cfRule type="expression" dxfId="1037" priority="568" stopIfTrue="1">
      <formula>$C41=1</formula>
    </cfRule>
    <cfRule type="expression" dxfId="1036" priority="569" stopIfTrue="1">
      <formula>OR(AND(ISNUMBER($C41),$C41=0),$C41=2,$C41=3,$C41=4)</formula>
    </cfRule>
  </conditionalFormatting>
  <conditionalFormatting sqref="M65">
    <cfRule type="cellIs" dxfId="1035" priority="500" stopIfTrue="1" operator="notEqual">
      <formula>$N65</formula>
    </cfRule>
  </conditionalFormatting>
  <conditionalFormatting sqref="N65:O65 W65:X65">
    <cfRule type="expression" dxfId="1034" priority="501" stopIfTrue="1">
      <formula>$C65=1</formula>
    </cfRule>
    <cfRule type="expression" dxfId="1033" priority="502" stopIfTrue="1">
      <formula>OR($C65=0,$C65=2,$C65=3,$C65=4)</formula>
    </cfRule>
  </conditionalFormatting>
  <conditionalFormatting sqref="T65 Y65 AG65:AH65">
    <cfRule type="expression" dxfId="1032" priority="506" stopIfTrue="1">
      <formula>$C65=1</formula>
    </cfRule>
    <cfRule type="expression" dxfId="1031" priority="507" stopIfTrue="1">
      <formula>OR($C65=0,$C65=2,$C65=3,$C65=4)</formula>
    </cfRule>
  </conditionalFormatting>
  <conditionalFormatting sqref="AJ65">
    <cfRule type="expression" dxfId="1030" priority="508" stopIfTrue="1">
      <formula>OR(ACOMPANHAMENTO&lt;&gt;"BM",TIPOORCAMENTO="Licitado")</formula>
    </cfRule>
    <cfRule type="expression" dxfId="1029" priority="509" stopIfTrue="1">
      <formula>$C65=1</formula>
    </cfRule>
    <cfRule type="expression" dxfId="1028" priority="510" stopIfTrue="1">
      <formula>OR(AND(ISNUMBER($C65),$C65=0),$C65=2,$C65=3,$C65=4)</formula>
    </cfRule>
  </conditionalFormatting>
  <conditionalFormatting sqref="AL65">
    <cfRule type="expression" dxfId="1027" priority="511" stopIfTrue="1">
      <formula>TIPOORCAMENTO="PROPOSTO"</formula>
    </cfRule>
    <cfRule type="expression" dxfId="1026" priority="512" stopIfTrue="1">
      <formula>$C65=1</formula>
    </cfRule>
    <cfRule type="expression" dxfId="1025" priority="513" stopIfTrue="1">
      <formula>OR(AND(ISNUMBER($C65),$C65=0),$C65=2,$C65=3,$C65=4)</formula>
    </cfRule>
  </conditionalFormatting>
  <conditionalFormatting sqref="AM65:AN65">
    <cfRule type="expression" dxfId="1024" priority="514" stopIfTrue="1">
      <formula>TIPOORCAMENTO="PROPOSTO"</formula>
    </cfRule>
    <cfRule type="expression" dxfId="1023" priority="515" stopIfTrue="1">
      <formula>$C65=1</formula>
    </cfRule>
    <cfRule type="expression" dxfId="1022" priority="516" stopIfTrue="1">
      <formula>OR(AND(ISNUMBER($C65),$C65=0),$C65=2,$C65=3,$C65=4)</formula>
    </cfRule>
  </conditionalFormatting>
  <conditionalFormatting sqref="M24">
    <cfRule type="cellIs" dxfId="1021" priority="466" stopIfTrue="1" operator="notEqual">
      <formula>$N24</formula>
    </cfRule>
  </conditionalFormatting>
  <conditionalFormatting sqref="N24:O24 W24:X24">
    <cfRule type="expression" dxfId="1020" priority="467" stopIfTrue="1">
      <formula>$C24=1</formula>
    </cfRule>
    <cfRule type="expression" dxfId="1019" priority="468" stopIfTrue="1">
      <formula>OR($C24=0,$C24=2,$C24=3,$C24=4)</formula>
    </cfRule>
  </conditionalFormatting>
  <conditionalFormatting sqref="T24 Y24 AG24:AH24">
    <cfRule type="expression" dxfId="1018" priority="472" stopIfTrue="1">
      <formula>$C24=1</formula>
    </cfRule>
    <cfRule type="expression" dxfId="1017" priority="473" stopIfTrue="1">
      <formula>OR($C24=0,$C24=2,$C24=3,$C24=4)</formula>
    </cfRule>
  </conditionalFormatting>
  <conditionalFormatting sqref="AJ24">
    <cfRule type="expression" dxfId="1016" priority="474" stopIfTrue="1">
      <formula>OR(ACOMPANHAMENTO&lt;&gt;"BM",TIPOORCAMENTO="Licitado")</formula>
    </cfRule>
    <cfRule type="expression" dxfId="1015" priority="475" stopIfTrue="1">
      <formula>$C24=1</formula>
    </cfRule>
    <cfRule type="expression" dxfId="1014" priority="476" stopIfTrue="1">
      <formula>OR(AND(ISNUMBER($C24),$C24=0),$C24=2,$C24=3,$C24=4)</formula>
    </cfRule>
  </conditionalFormatting>
  <conditionalFormatting sqref="AL24">
    <cfRule type="expression" dxfId="1013" priority="477" stopIfTrue="1">
      <formula>TIPOORCAMENTO="PROPOSTO"</formula>
    </cfRule>
    <cfRule type="expression" dxfId="1012" priority="478" stopIfTrue="1">
      <formula>$C24=1</formula>
    </cfRule>
    <cfRule type="expression" dxfId="1011" priority="479" stopIfTrue="1">
      <formula>OR(AND(ISNUMBER($C24),$C24=0),$C24=2,$C24=3,$C24=4)</formula>
    </cfRule>
  </conditionalFormatting>
  <conditionalFormatting sqref="AM24:AN24">
    <cfRule type="expression" dxfId="1010" priority="480" stopIfTrue="1">
      <formula>TIPOORCAMENTO="PROPOSTO"</formula>
    </cfRule>
    <cfRule type="expression" dxfId="1009" priority="481" stopIfTrue="1">
      <formula>$C24=1</formula>
    </cfRule>
    <cfRule type="expression" dxfId="1008" priority="482" stopIfTrue="1">
      <formula>OR(AND(ISNUMBER($C24),$C24=0),$C24=2,$C24=3,$C24=4)</formula>
    </cfRule>
  </conditionalFormatting>
  <conditionalFormatting sqref="M25">
    <cfRule type="cellIs" dxfId="1007" priority="443" stopIfTrue="1" operator="notEqual">
      <formula>$N25</formula>
    </cfRule>
  </conditionalFormatting>
  <conditionalFormatting sqref="N25:O25 W25:X25">
    <cfRule type="expression" dxfId="1006" priority="444" stopIfTrue="1">
      <formula>$C25=1</formula>
    </cfRule>
    <cfRule type="expression" dxfId="1005" priority="445" stopIfTrue="1">
      <formula>OR($C25=0,$C25=2,$C25=3,$C25=4)</formula>
    </cfRule>
  </conditionalFormatting>
  <conditionalFormatting sqref="T25 Y25 AG25:AH25">
    <cfRule type="expression" dxfId="1004" priority="449" stopIfTrue="1">
      <formula>$C25=1</formula>
    </cfRule>
    <cfRule type="expression" dxfId="1003" priority="450" stopIfTrue="1">
      <formula>OR($C25=0,$C25=2,$C25=3,$C25=4)</formula>
    </cfRule>
  </conditionalFormatting>
  <conditionalFormatting sqref="AL25">
    <cfRule type="expression" dxfId="1002" priority="454" stopIfTrue="1">
      <formula>TIPOORCAMENTO="PROPOSTO"</formula>
    </cfRule>
    <cfRule type="expression" dxfId="1001" priority="455" stopIfTrue="1">
      <formula>$C25=1</formula>
    </cfRule>
    <cfRule type="expression" dxfId="1000" priority="456" stopIfTrue="1">
      <formula>OR(AND(ISNUMBER($C25),$C25=0),$C25=2,$C25=3,$C25=4)</formula>
    </cfRule>
  </conditionalFormatting>
  <conditionalFormatting sqref="AM25:AN25">
    <cfRule type="expression" dxfId="999" priority="457" stopIfTrue="1">
      <formula>TIPOORCAMENTO="PROPOSTO"</formula>
    </cfRule>
    <cfRule type="expression" dxfId="998" priority="458" stopIfTrue="1">
      <formula>$C25=1</formula>
    </cfRule>
    <cfRule type="expression" dxfId="997" priority="459" stopIfTrue="1">
      <formula>OR(AND(ISNUMBER($C25),$C25=0),$C25=2,$C25=3,$C25=4)</formula>
    </cfRule>
  </conditionalFormatting>
  <conditionalFormatting sqref="AJ25">
    <cfRule type="expression" dxfId="996" priority="438" stopIfTrue="1">
      <formula>OR(ACOMPANHAMENTO&lt;&gt;"BM",TIPOORCAMENTO="Licitado")</formula>
    </cfRule>
    <cfRule type="expression" dxfId="995" priority="439" stopIfTrue="1">
      <formula>$C25=1</formula>
    </cfRule>
    <cfRule type="expression" dxfId="994" priority="440" stopIfTrue="1">
      <formula>OR(AND(ISNUMBER($C25),$C25=0),$C25=2,$C25=3,$C25=4)</formula>
    </cfRule>
  </conditionalFormatting>
  <conditionalFormatting sqref="M125">
    <cfRule type="cellIs" dxfId="988" priority="325" stopIfTrue="1" operator="notEqual">
      <formula>$N125</formula>
    </cfRule>
  </conditionalFormatting>
  <conditionalFormatting sqref="N125:O125 W125:X125">
    <cfRule type="expression" dxfId="987" priority="326" stopIfTrue="1">
      <formula>$C125=1</formula>
    </cfRule>
    <cfRule type="expression" dxfId="986" priority="327" stopIfTrue="1">
      <formula>OR($C125=0,$C125=2,$C125=3,$C125=4)</formula>
    </cfRule>
  </conditionalFormatting>
  <conditionalFormatting sqref="T125 Y125 AG125:AH125">
    <cfRule type="expression" dxfId="982" priority="331" stopIfTrue="1">
      <formula>$C125=1</formula>
    </cfRule>
    <cfRule type="expression" dxfId="981" priority="332" stopIfTrue="1">
      <formula>OR($C125=0,$C125=2,$C125=3,$C125=4)</formula>
    </cfRule>
  </conditionalFormatting>
  <conditionalFormatting sqref="AJ125">
    <cfRule type="expression" dxfId="980" priority="333" stopIfTrue="1">
      <formula>OR(ACOMPANHAMENTO&lt;&gt;"BM",TIPOORCAMENTO="Licitado")</formula>
    </cfRule>
    <cfRule type="expression" dxfId="979" priority="334" stopIfTrue="1">
      <formula>$C125=1</formula>
    </cfRule>
    <cfRule type="expression" dxfId="978" priority="335" stopIfTrue="1">
      <formula>OR(AND(ISNUMBER($C125),$C125=0),$C125=2,$C125=3,$C125=4)</formula>
    </cfRule>
  </conditionalFormatting>
  <conditionalFormatting sqref="AL125">
    <cfRule type="expression" dxfId="977" priority="336" stopIfTrue="1">
      <formula>TIPOORCAMENTO="PROPOSTO"</formula>
    </cfRule>
    <cfRule type="expression" dxfId="976" priority="337" stopIfTrue="1">
      <formula>$C125=1</formula>
    </cfRule>
    <cfRule type="expression" dxfId="975" priority="338" stopIfTrue="1">
      <formula>OR(AND(ISNUMBER($C125),$C125=0),$C125=2,$C125=3,$C125=4)</formula>
    </cfRule>
  </conditionalFormatting>
  <conditionalFormatting sqref="AM125:AN125">
    <cfRule type="expression" dxfId="974" priority="339" stopIfTrue="1">
      <formula>TIPOORCAMENTO="PROPOSTO"</formula>
    </cfRule>
    <cfRule type="expression" dxfId="973" priority="340" stopIfTrue="1">
      <formula>$C125=1</formula>
    </cfRule>
    <cfRule type="expression" dxfId="972" priority="341" stopIfTrue="1">
      <formula>OR(AND(ISNUMBER($C125),$C125=0),$C125=2,$C125=3,$C125=4)</formula>
    </cfRule>
  </conditionalFormatting>
  <conditionalFormatting sqref="M118">
    <cfRule type="cellIs" dxfId="971" priority="308" stopIfTrue="1" operator="notEqual">
      <formula>$N118</formula>
    </cfRule>
  </conditionalFormatting>
  <conditionalFormatting sqref="N118:O118 W118:X118">
    <cfRule type="expression" dxfId="970" priority="309" stopIfTrue="1">
      <formula>$C118=1</formula>
    </cfRule>
    <cfRule type="expression" dxfId="969" priority="310" stopIfTrue="1">
      <formula>OR($C118=0,$C118=2,$C118=3,$C118=4)</formula>
    </cfRule>
  </conditionalFormatting>
  <conditionalFormatting sqref="T118 Y118 AG118:AH118">
    <cfRule type="expression" dxfId="965" priority="314" stopIfTrue="1">
      <formula>$C118=1</formula>
    </cfRule>
    <cfRule type="expression" dxfId="964" priority="315" stopIfTrue="1">
      <formula>OR($C118=0,$C118=2,$C118=3,$C118=4)</formula>
    </cfRule>
  </conditionalFormatting>
  <conditionalFormatting sqref="AJ118">
    <cfRule type="expression" dxfId="963" priority="316" stopIfTrue="1">
      <formula>OR(ACOMPANHAMENTO&lt;&gt;"BM",TIPOORCAMENTO="Licitado")</formula>
    </cfRule>
    <cfRule type="expression" dxfId="962" priority="317" stopIfTrue="1">
      <formula>$C118=1</formula>
    </cfRule>
    <cfRule type="expression" dxfId="961" priority="318" stopIfTrue="1">
      <formula>OR(AND(ISNUMBER($C118),$C118=0),$C118=2,$C118=3,$C118=4)</formula>
    </cfRule>
  </conditionalFormatting>
  <conditionalFormatting sqref="AL118">
    <cfRule type="expression" dxfId="960" priority="319" stopIfTrue="1">
      <formula>TIPOORCAMENTO="PROPOSTO"</formula>
    </cfRule>
    <cfRule type="expression" dxfId="959" priority="320" stopIfTrue="1">
      <formula>$C118=1</formula>
    </cfRule>
    <cfRule type="expression" dxfId="958" priority="321" stopIfTrue="1">
      <formula>OR(AND(ISNUMBER($C118),$C118=0),$C118=2,$C118=3,$C118=4)</formula>
    </cfRule>
  </conditionalFormatting>
  <conditionalFormatting sqref="AM118:AN118">
    <cfRule type="expression" dxfId="957" priority="322" stopIfTrue="1">
      <formula>TIPOORCAMENTO="PROPOSTO"</formula>
    </cfRule>
    <cfRule type="expression" dxfId="956" priority="323" stopIfTrue="1">
      <formula>$C118=1</formula>
    </cfRule>
    <cfRule type="expression" dxfId="955" priority="324" stopIfTrue="1">
      <formula>OR(AND(ISNUMBER($C118),$C118=0),$C118=2,$C118=3,$C118=4)</formula>
    </cfRule>
  </conditionalFormatting>
  <conditionalFormatting sqref="M119">
    <cfRule type="cellIs" dxfId="954" priority="291" stopIfTrue="1" operator="notEqual">
      <formula>$N119</formula>
    </cfRule>
  </conditionalFormatting>
  <conditionalFormatting sqref="N119:O119 W119:X119">
    <cfRule type="expression" dxfId="953" priority="292" stopIfTrue="1">
      <formula>$C119=1</formula>
    </cfRule>
    <cfRule type="expression" dxfId="952" priority="293" stopIfTrue="1">
      <formula>OR($C119=0,$C119=2,$C119=3,$C119=4)</formula>
    </cfRule>
  </conditionalFormatting>
  <conditionalFormatting sqref="T119 Y119 AG119:AH119">
    <cfRule type="expression" dxfId="948" priority="297" stopIfTrue="1">
      <formula>$C119=1</formula>
    </cfRule>
    <cfRule type="expression" dxfId="947" priority="298" stopIfTrue="1">
      <formula>OR($C119=0,$C119=2,$C119=3,$C119=4)</formula>
    </cfRule>
  </conditionalFormatting>
  <conditionalFormatting sqref="AJ119">
    <cfRule type="expression" dxfId="946" priority="299" stopIfTrue="1">
      <formula>OR(ACOMPANHAMENTO&lt;&gt;"BM",TIPOORCAMENTO="Licitado")</formula>
    </cfRule>
    <cfRule type="expression" dxfId="945" priority="300" stopIfTrue="1">
      <formula>$C119=1</formula>
    </cfRule>
    <cfRule type="expression" dxfId="944" priority="301" stopIfTrue="1">
      <formula>OR(AND(ISNUMBER($C119),$C119=0),$C119=2,$C119=3,$C119=4)</formula>
    </cfRule>
  </conditionalFormatting>
  <conditionalFormatting sqref="AL119">
    <cfRule type="expression" dxfId="943" priority="302" stopIfTrue="1">
      <formula>TIPOORCAMENTO="PROPOSTO"</formula>
    </cfRule>
    <cfRule type="expression" dxfId="942" priority="303" stopIfTrue="1">
      <formula>$C119=1</formula>
    </cfRule>
    <cfRule type="expression" dxfId="941" priority="304" stopIfTrue="1">
      <formula>OR(AND(ISNUMBER($C119),$C119=0),$C119=2,$C119=3,$C119=4)</formula>
    </cfRule>
  </conditionalFormatting>
  <conditionalFormatting sqref="AM119:AN119">
    <cfRule type="expression" dxfId="940" priority="305" stopIfTrue="1">
      <formula>TIPOORCAMENTO="PROPOSTO"</formula>
    </cfRule>
    <cfRule type="expression" dxfId="939" priority="306" stopIfTrue="1">
      <formula>$C119=1</formula>
    </cfRule>
    <cfRule type="expression" dxfId="938" priority="307" stopIfTrue="1">
      <formula>OR(AND(ISNUMBER($C119),$C119=0),$C119=2,$C119=3,$C119=4)</formula>
    </cfRule>
  </conditionalFormatting>
  <conditionalFormatting sqref="M128">
    <cfRule type="cellIs" dxfId="937" priority="274" stopIfTrue="1" operator="notEqual">
      <formula>$N128</formula>
    </cfRule>
  </conditionalFormatting>
  <conditionalFormatting sqref="N128:O128 W128:X128">
    <cfRule type="expression" dxfId="936" priority="275" stopIfTrue="1">
      <formula>$C128=1</formula>
    </cfRule>
    <cfRule type="expression" dxfId="935" priority="276" stopIfTrue="1">
      <formula>OR($C128=0,$C128=2,$C128=3,$C128=4)</formula>
    </cfRule>
  </conditionalFormatting>
  <conditionalFormatting sqref="T128 Y128 AG128:AH128">
    <cfRule type="expression" dxfId="931" priority="280" stopIfTrue="1">
      <formula>$C128=1</formula>
    </cfRule>
    <cfRule type="expression" dxfId="930" priority="281" stopIfTrue="1">
      <formula>OR($C128=0,$C128=2,$C128=3,$C128=4)</formula>
    </cfRule>
  </conditionalFormatting>
  <conditionalFormatting sqref="AJ128">
    <cfRule type="expression" dxfId="929" priority="282" stopIfTrue="1">
      <formula>OR(ACOMPANHAMENTO&lt;&gt;"BM",TIPOORCAMENTO="Licitado")</formula>
    </cfRule>
    <cfRule type="expression" dxfId="928" priority="283" stopIfTrue="1">
      <formula>$C128=1</formula>
    </cfRule>
    <cfRule type="expression" dxfId="927" priority="284" stopIfTrue="1">
      <formula>OR(AND(ISNUMBER($C128),$C128=0),$C128=2,$C128=3,$C128=4)</formula>
    </cfRule>
  </conditionalFormatting>
  <conditionalFormatting sqref="AL128">
    <cfRule type="expression" dxfId="926" priority="285" stopIfTrue="1">
      <formula>TIPOORCAMENTO="PROPOSTO"</formula>
    </cfRule>
    <cfRule type="expression" dxfId="925" priority="286" stopIfTrue="1">
      <formula>$C128=1</formula>
    </cfRule>
    <cfRule type="expression" dxfId="924" priority="287" stopIfTrue="1">
      <formula>OR(AND(ISNUMBER($C128),$C128=0),$C128=2,$C128=3,$C128=4)</formula>
    </cfRule>
  </conditionalFormatting>
  <conditionalFormatting sqref="AM128:AN128">
    <cfRule type="expression" dxfId="923" priority="288" stopIfTrue="1">
      <formula>TIPOORCAMENTO="PROPOSTO"</formula>
    </cfRule>
    <cfRule type="expression" dxfId="922" priority="289" stopIfTrue="1">
      <formula>$C128=1</formula>
    </cfRule>
    <cfRule type="expression" dxfId="921" priority="290" stopIfTrue="1">
      <formula>OR(AND(ISNUMBER($C128),$C128=0),$C128=2,$C128=3,$C128=4)</formula>
    </cfRule>
  </conditionalFormatting>
  <conditionalFormatting sqref="M134:M137">
    <cfRule type="cellIs" dxfId="920" priority="257" stopIfTrue="1" operator="notEqual">
      <formula>$N134</formula>
    </cfRule>
  </conditionalFormatting>
  <conditionalFormatting sqref="N134:O137 W134:X137">
    <cfRule type="expression" dxfId="919" priority="258" stopIfTrue="1">
      <formula>$C134=1</formula>
    </cfRule>
    <cfRule type="expression" dxfId="918" priority="259" stopIfTrue="1">
      <formula>OR($C134=0,$C134=2,$C134=3,$C134=4)</formula>
    </cfRule>
  </conditionalFormatting>
  <conditionalFormatting sqref="T134:T137 Y134:Y137 AG134:AH137">
    <cfRule type="expression" dxfId="914" priority="263" stopIfTrue="1">
      <formula>$C134=1</formula>
    </cfRule>
    <cfRule type="expression" dxfId="913" priority="264" stopIfTrue="1">
      <formula>OR($C134=0,$C134=2,$C134=3,$C134=4)</formula>
    </cfRule>
  </conditionalFormatting>
  <conditionalFormatting sqref="AJ134:AJ137">
    <cfRule type="expression" dxfId="912" priority="265" stopIfTrue="1">
      <formula>OR(ACOMPANHAMENTO&lt;&gt;"BM",TIPOORCAMENTO="Licitado")</formula>
    </cfRule>
    <cfRule type="expression" dxfId="911" priority="266" stopIfTrue="1">
      <formula>$C134=1</formula>
    </cfRule>
    <cfRule type="expression" dxfId="910" priority="267" stopIfTrue="1">
      <formula>OR(AND(ISNUMBER($C134),$C134=0),$C134=2,$C134=3,$C134=4)</formula>
    </cfRule>
  </conditionalFormatting>
  <conditionalFormatting sqref="AL134:AL137">
    <cfRule type="expression" dxfId="909" priority="268" stopIfTrue="1">
      <formula>TIPOORCAMENTO="PROPOSTO"</formula>
    </cfRule>
    <cfRule type="expression" dxfId="908" priority="269" stopIfTrue="1">
      <formula>$C134=1</formula>
    </cfRule>
    <cfRule type="expression" dxfId="907" priority="270" stopIfTrue="1">
      <formula>OR(AND(ISNUMBER($C134),$C134=0),$C134=2,$C134=3,$C134=4)</formula>
    </cfRule>
  </conditionalFormatting>
  <conditionalFormatting sqref="AM134:AN137">
    <cfRule type="expression" dxfId="906" priority="271" stopIfTrue="1">
      <formula>TIPOORCAMENTO="PROPOSTO"</formula>
    </cfRule>
    <cfRule type="expression" dxfId="905" priority="272" stopIfTrue="1">
      <formula>$C134=1</formula>
    </cfRule>
    <cfRule type="expression" dxfId="904" priority="273" stopIfTrue="1">
      <formula>OR(AND(ISNUMBER($C134),$C134=0),$C134=2,$C134=3,$C134=4)</formula>
    </cfRule>
  </conditionalFormatting>
  <conditionalFormatting sqref="M175:M178">
    <cfRule type="cellIs" dxfId="900" priority="206" stopIfTrue="1" operator="notEqual">
      <formula>$N175</formula>
    </cfRule>
  </conditionalFormatting>
  <conditionalFormatting sqref="N175:O178 W175:X178">
    <cfRule type="expression" dxfId="899" priority="207" stopIfTrue="1">
      <formula>$C175=1</formula>
    </cfRule>
    <cfRule type="expression" dxfId="898" priority="208" stopIfTrue="1">
      <formula>OR($C175=0,$C175=2,$C175=3,$C175=4)</formula>
    </cfRule>
  </conditionalFormatting>
  <conditionalFormatting sqref="T175:T178 Y175:Y178 AG175:AH178">
    <cfRule type="expression" dxfId="894" priority="212" stopIfTrue="1">
      <formula>$C175=1</formula>
    </cfRule>
    <cfRule type="expression" dxfId="893" priority="213" stopIfTrue="1">
      <formula>OR($C175=0,$C175=2,$C175=3,$C175=4)</formula>
    </cfRule>
  </conditionalFormatting>
  <conditionalFormatting sqref="AJ175:AJ178">
    <cfRule type="expression" dxfId="892" priority="214" stopIfTrue="1">
      <formula>OR(ACOMPANHAMENTO&lt;&gt;"BM",TIPOORCAMENTO="Licitado")</formula>
    </cfRule>
    <cfRule type="expression" dxfId="891" priority="215" stopIfTrue="1">
      <formula>$C175=1</formula>
    </cfRule>
    <cfRule type="expression" dxfId="890" priority="216" stopIfTrue="1">
      <formula>OR(AND(ISNUMBER($C175),$C175=0),$C175=2,$C175=3,$C175=4)</formula>
    </cfRule>
  </conditionalFormatting>
  <conditionalFormatting sqref="AL175:AL178">
    <cfRule type="expression" dxfId="889" priority="217" stopIfTrue="1">
      <formula>TIPOORCAMENTO="PROPOSTO"</formula>
    </cfRule>
    <cfRule type="expression" dxfId="888" priority="218" stopIfTrue="1">
      <formula>$C175=1</formula>
    </cfRule>
    <cfRule type="expression" dxfId="887" priority="219" stopIfTrue="1">
      <formula>OR(AND(ISNUMBER($C175),$C175=0),$C175=2,$C175=3,$C175=4)</formula>
    </cfRule>
  </conditionalFormatting>
  <conditionalFormatting sqref="AM175:AN178">
    <cfRule type="expression" dxfId="886" priority="220" stopIfTrue="1">
      <formula>TIPOORCAMENTO="PROPOSTO"</formula>
    </cfRule>
    <cfRule type="expression" dxfId="885" priority="221" stopIfTrue="1">
      <formula>$C175=1</formula>
    </cfRule>
    <cfRule type="expression" dxfId="884" priority="222" stopIfTrue="1">
      <formula>OR(AND(ISNUMBER($C175),$C175=0),$C175=2,$C175=3,$C175=4)</formula>
    </cfRule>
  </conditionalFormatting>
  <conditionalFormatting sqref="M140:M144">
    <cfRule type="cellIs" dxfId="883" priority="189" stopIfTrue="1" operator="notEqual">
      <formula>$N140</formula>
    </cfRule>
  </conditionalFormatting>
  <conditionalFormatting sqref="W140:X144 N140:O144">
    <cfRule type="expression" dxfId="882" priority="190" stopIfTrue="1">
      <formula>$C140=1</formula>
    </cfRule>
    <cfRule type="expression" dxfId="881" priority="191" stopIfTrue="1">
      <formula>OR($C140=0,$C140=2,$C140=3,$C140=4)</formula>
    </cfRule>
  </conditionalFormatting>
  <conditionalFormatting sqref="AG140:AH144 Y140:Y144 T140:T144">
    <cfRule type="expression" dxfId="877" priority="195" stopIfTrue="1">
      <formula>$C140=1</formula>
    </cfRule>
    <cfRule type="expression" dxfId="876" priority="196" stopIfTrue="1">
      <formula>OR($C140=0,$C140=2,$C140=3,$C140=4)</formula>
    </cfRule>
  </conditionalFormatting>
  <conditionalFormatting sqref="AJ140:AJ144">
    <cfRule type="expression" dxfId="875" priority="197" stopIfTrue="1">
      <formula>OR(ACOMPANHAMENTO&lt;&gt;"BM",TIPOORCAMENTO="Licitado")</formula>
    </cfRule>
    <cfRule type="expression" dxfId="874" priority="198" stopIfTrue="1">
      <formula>$C140=1</formula>
    </cfRule>
    <cfRule type="expression" dxfId="873" priority="199" stopIfTrue="1">
      <formula>OR(AND(ISNUMBER($C140),$C140=0),$C140=2,$C140=3,$C140=4)</formula>
    </cfRule>
  </conditionalFormatting>
  <conditionalFormatting sqref="AL140:AL144">
    <cfRule type="expression" dxfId="872" priority="200" stopIfTrue="1">
      <formula>TIPOORCAMENTO="PROPOSTO"</formula>
    </cfRule>
    <cfRule type="expression" dxfId="871" priority="201" stopIfTrue="1">
      <formula>$C140=1</formula>
    </cfRule>
    <cfRule type="expression" dxfId="870" priority="202" stopIfTrue="1">
      <formula>OR(AND(ISNUMBER($C140),$C140=0),$C140=2,$C140=3,$C140=4)</formula>
    </cfRule>
  </conditionalFormatting>
  <conditionalFormatting sqref="AM140:AN144">
    <cfRule type="expression" dxfId="869" priority="203" stopIfTrue="1">
      <formula>TIPOORCAMENTO="PROPOSTO"</formula>
    </cfRule>
    <cfRule type="expression" dxfId="868" priority="204" stopIfTrue="1">
      <formula>$C140=1</formula>
    </cfRule>
    <cfRule type="expression" dxfId="867" priority="205" stopIfTrue="1">
      <formula>OR(AND(ISNUMBER($C140),$C140=0),$C140=2,$C140=3,$C140=4)</formula>
    </cfRule>
  </conditionalFormatting>
  <conditionalFormatting sqref="M145">
    <cfRule type="cellIs" dxfId="866" priority="172" stopIfTrue="1" operator="notEqual">
      <formula>$N145</formula>
    </cfRule>
  </conditionalFormatting>
  <conditionalFormatting sqref="N145:O145 W145:X145">
    <cfRule type="expression" dxfId="865" priority="173" stopIfTrue="1">
      <formula>$C145=1</formula>
    </cfRule>
    <cfRule type="expression" dxfId="864" priority="174" stopIfTrue="1">
      <formula>OR($C145=0,$C145=2,$C145=3,$C145=4)</formula>
    </cfRule>
  </conditionalFormatting>
  <conditionalFormatting sqref="T145 Y145 AG145:AH145">
    <cfRule type="expression" dxfId="860" priority="178" stopIfTrue="1">
      <formula>$C145=1</formula>
    </cfRule>
    <cfRule type="expression" dxfId="859" priority="179" stopIfTrue="1">
      <formula>OR($C145=0,$C145=2,$C145=3,$C145=4)</formula>
    </cfRule>
  </conditionalFormatting>
  <conditionalFormatting sqref="AJ145">
    <cfRule type="expression" dxfId="858" priority="180" stopIfTrue="1">
      <formula>OR(ACOMPANHAMENTO&lt;&gt;"BM",TIPOORCAMENTO="Licitado")</formula>
    </cfRule>
    <cfRule type="expression" dxfId="857" priority="181" stopIfTrue="1">
      <formula>$C145=1</formula>
    </cfRule>
    <cfRule type="expression" dxfId="856" priority="182" stopIfTrue="1">
      <formula>OR(AND(ISNUMBER($C145),$C145=0),$C145=2,$C145=3,$C145=4)</formula>
    </cfRule>
  </conditionalFormatting>
  <conditionalFormatting sqref="AL145">
    <cfRule type="expression" dxfId="855" priority="183" stopIfTrue="1">
      <formula>TIPOORCAMENTO="PROPOSTO"</formula>
    </cfRule>
    <cfRule type="expression" dxfId="854" priority="184" stopIfTrue="1">
      <formula>$C145=1</formula>
    </cfRule>
    <cfRule type="expression" dxfId="853" priority="185" stopIfTrue="1">
      <formula>OR(AND(ISNUMBER($C145),$C145=0),$C145=2,$C145=3,$C145=4)</formula>
    </cfRule>
  </conditionalFormatting>
  <conditionalFormatting sqref="AM145:AN145">
    <cfRule type="expression" dxfId="852" priority="186" stopIfTrue="1">
      <formula>TIPOORCAMENTO="PROPOSTO"</formula>
    </cfRule>
    <cfRule type="expression" dxfId="851" priority="187" stopIfTrue="1">
      <formula>$C145=1</formula>
    </cfRule>
    <cfRule type="expression" dxfId="850" priority="188" stopIfTrue="1">
      <formula>OR(AND(ISNUMBER($C145),$C145=0),$C145=2,$C145=3,$C145=4)</formula>
    </cfRule>
  </conditionalFormatting>
  <conditionalFormatting sqref="M89">
    <cfRule type="cellIs" dxfId="845" priority="134" stopIfTrue="1" operator="notEqual">
      <formula>$N89</formula>
    </cfRule>
  </conditionalFormatting>
  <conditionalFormatting sqref="N89:O89 W89:X89">
    <cfRule type="expression" dxfId="844" priority="135" stopIfTrue="1">
      <formula>$C89=1</formula>
    </cfRule>
    <cfRule type="expression" dxfId="843" priority="136" stopIfTrue="1">
      <formula>OR($C89=0,$C89=2,$C89=3,$C89=4)</formula>
    </cfRule>
  </conditionalFormatting>
  <conditionalFormatting sqref="T89 Y89 AG89:AH89">
    <cfRule type="expression" dxfId="839" priority="140" stopIfTrue="1">
      <formula>$C89=1</formula>
    </cfRule>
    <cfRule type="expression" dxfId="838" priority="141" stopIfTrue="1">
      <formula>OR($C89=0,$C89=2,$C89=3,$C89=4)</formula>
    </cfRule>
  </conditionalFormatting>
  <conditionalFormatting sqref="AJ89">
    <cfRule type="expression" dxfId="837" priority="142" stopIfTrue="1">
      <formula>OR(ACOMPANHAMENTO&lt;&gt;"BM",TIPOORCAMENTO="Licitado")</formula>
    </cfRule>
    <cfRule type="expression" dxfId="836" priority="143" stopIfTrue="1">
      <formula>$C89=1</formula>
    </cfRule>
    <cfRule type="expression" dxfId="835" priority="144" stopIfTrue="1">
      <formula>OR(AND(ISNUMBER($C89),$C89=0),$C89=2,$C89=3,$C89=4)</formula>
    </cfRule>
  </conditionalFormatting>
  <conditionalFormatting sqref="AL89">
    <cfRule type="expression" dxfId="834" priority="145" stopIfTrue="1">
      <formula>TIPOORCAMENTO="PROPOSTO"</formula>
    </cfRule>
    <cfRule type="expression" dxfId="833" priority="146" stopIfTrue="1">
      <formula>$C89=1</formula>
    </cfRule>
    <cfRule type="expression" dxfId="832" priority="147" stopIfTrue="1">
      <formula>OR(AND(ISNUMBER($C89),$C89=0),$C89=2,$C89=3,$C89=4)</formula>
    </cfRule>
  </conditionalFormatting>
  <conditionalFormatting sqref="AM89:AN89">
    <cfRule type="expression" dxfId="831" priority="148" stopIfTrue="1">
      <formula>TIPOORCAMENTO="PROPOSTO"</formula>
    </cfRule>
    <cfRule type="expression" dxfId="830" priority="149" stopIfTrue="1">
      <formula>$C89=1</formula>
    </cfRule>
    <cfRule type="expression" dxfId="829" priority="150" stopIfTrue="1">
      <formula>OR(AND(ISNUMBER($C89),$C89=0),$C89=2,$C89=3,$C89=4)</formula>
    </cfRule>
  </conditionalFormatting>
  <conditionalFormatting sqref="M190">
    <cfRule type="cellIs" dxfId="828" priority="117" stopIfTrue="1" operator="notEqual">
      <formula>$N190</formula>
    </cfRule>
  </conditionalFormatting>
  <conditionalFormatting sqref="N190:O190 W190:X190">
    <cfRule type="expression" dxfId="827" priority="118" stopIfTrue="1">
      <formula>$C190=1</formula>
    </cfRule>
    <cfRule type="expression" dxfId="826" priority="119" stopIfTrue="1">
      <formula>OR($C190=0,$C190=2,$C190=3,$C190=4)</formula>
    </cfRule>
  </conditionalFormatting>
  <conditionalFormatting sqref="T190 Y190 AG190:AH190">
    <cfRule type="expression" dxfId="822" priority="123" stopIfTrue="1">
      <formula>$C190=1</formula>
    </cfRule>
    <cfRule type="expression" dxfId="821" priority="124" stopIfTrue="1">
      <formula>OR($C190=0,$C190=2,$C190=3,$C190=4)</formula>
    </cfRule>
  </conditionalFormatting>
  <conditionalFormatting sqref="AJ190">
    <cfRule type="expression" dxfId="820" priority="125" stopIfTrue="1">
      <formula>OR(ACOMPANHAMENTO&lt;&gt;"BM",TIPOORCAMENTO="Licitado")</formula>
    </cfRule>
    <cfRule type="expression" dxfId="819" priority="126" stopIfTrue="1">
      <formula>$C190=1</formula>
    </cfRule>
    <cfRule type="expression" dxfId="818" priority="127" stopIfTrue="1">
      <formula>OR(AND(ISNUMBER($C190),$C190=0),$C190=2,$C190=3,$C190=4)</formula>
    </cfRule>
  </conditionalFormatting>
  <conditionalFormatting sqref="AL190">
    <cfRule type="expression" dxfId="817" priority="128" stopIfTrue="1">
      <formula>TIPOORCAMENTO="PROPOSTO"</formula>
    </cfRule>
    <cfRule type="expression" dxfId="816" priority="129" stopIfTrue="1">
      <formula>$C190=1</formula>
    </cfRule>
    <cfRule type="expression" dxfId="815" priority="130" stopIfTrue="1">
      <formula>OR(AND(ISNUMBER($C190),$C190=0),$C190=2,$C190=3,$C190=4)</formula>
    </cfRule>
  </conditionalFormatting>
  <conditionalFormatting sqref="AM190:AN190">
    <cfRule type="expression" dxfId="814" priority="131" stopIfTrue="1">
      <formula>TIPOORCAMENTO="PROPOSTO"</formula>
    </cfRule>
    <cfRule type="expression" dxfId="813" priority="132" stopIfTrue="1">
      <formula>$C190=1</formula>
    </cfRule>
    <cfRule type="expression" dxfId="812" priority="133" stopIfTrue="1">
      <formula>OR(AND(ISNUMBER($C190),$C190=0),$C190=2,$C190=3,$C190=4)</formula>
    </cfRule>
  </conditionalFormatting>
  <conditionalFormatting sqref="M131">
    <cfRule type="cellIs" dxfId="811" priority="100" stopIfTrue="1" operator="notEqual">
      <formula>$N131</formula>
    </cfRule>
  </conditionalFormatting>
  <conditionalFormatting sqref="N131:O131 W131:X131">
    <cfRule type="expression" dxfId="810" priority="101" stopIfTrue="1">
      <formula>$C131=1</formula>
    </cfRule>
    <cfRule type="expression" dxfId="809" priority="102" stopIfTrue="1">
      <formula>OR($C131=0,$C131=2,$C131=3,$C131=4)</formula>
    </cfRule>
  </conditionalFormatting>
  <conditionalFormatting sqref="T131 Y131 AG131:AH131">
    <cfRule type="expression" dxfId="805" priority="106" stopIfTrue="1">
      <formula>$C131=1</formula>
    </cfRule>
    <cfRule type="expression" dxfId="804" priority="107" stopIfTrue="1">
      <formula>OR($C131=0,$C131=2,$C131=3,$C131=4)</formula>
    </cfRule>
  </conditionalFormatting>
  <conditionalFormatting sqref="AJ131">
    <cfRule type="expression" dxfId="803" priority="108" stopIfTrue="1">
      <formula>OR(ACOMPANHAMENTO&lt;&gt;"BM",TIPOORCAMENTO="Licitado")</formula>
    </cfRule>
    <cfRule type="expression" dxfId="802" priority="109" stopIfTrue="1">
      <formula>$C131=1</formula>
    </cfRule>
    <cfRule type="expression" dxfId="801" priority="110" stopIfTrue="1">
      <formula>OR(AND(ISNUMBER($C131),$C131=0),$C131=2,$C131=3,$C131=4)</formula>
    </cfRule>
  </conditionalFormatting>
  <conditionalFormatting sqref="AL131">
    <cfRule type="expression" dxfId="800" priority="111" stopIfTrue="1">
      <formula>TIPOORCAMENTO="PROPOSTO"</formula>
    </cfRule>
    <cfRule type="expression" dxfId="799" priority="112" stopIfTrue="1">
      <formula>$C131=1</formula>
    </cfRule>
    <cfRule type="expression" dxfId="798" priority="113" stopIfTrue="1">
      <formula>OR(AND(ISNUMBER($C131),$C131=0),$C131=2,$C131=3,$C131=4)</formula>
    </cfRule>
  </conditionalFormatting>
  <conditionalFormatting sqref="AM131:AN131">
    <cfRule type="expression" dxfId="797" priority="114" stopIfTrue="1">
      <formula>TIPOORCAMENTO="PROPOSTO"</formula>
    </cfRule>
    <cfRule type="expression" dxfId="796" priority="115" stopIfTrue="1">
      <formula>$C131=1</formula>
    </cfRule>
    <cfRule type="expression" dxfId="795" priority="116" stopIfTrue="1">
      <formula>OR(AND(ISNUMBER($C131),$C131=0),$C131=2,$C131=3,$C131=4)</formula>
    </cfRule>
  </conditionalFormatting>
  <conditionalFormatting sqref="M183">
    <cfRule type="cellIs" dxfId="794" priority="83" stopIfTrue="1" operator="notEqual">
      <formula>$N183</formula>
    </cfRule>
  </conditionalFormatting>
  <conditionalFormatting sqref="N183:O183 W183:X183">
    <cfRule type="expression" dxfId="793" priority="84" stopIfTrue="1">
      <formula>$C183=1</formula>
    </cfRule>
    <cfRule type="expression" dxfId="792" priority="85" stopIfTrue="1">
      <formula>OR($C183=0,$C183=2,$C183=3,$C183=4)</formula>
    </cfRule>
  </conditionalFormatting>
  <conditionalFormatting sqref="T183 Y183 AG183:AH183">
    <cfRule type="expression" dxfId="788" priority="89" stopIfTrue="1">
      <formula>$C183=1</formula>
    </cfRule>
    <cfRule type="expression" dxfId="787" priority="90" stopIfTrue="1">
      <formula>OR($C183=0,$C183=2,$C183=3,$C183=4)</formula>
    </cfRule>
  </conditionalFormatting>
  <conditionalFormatting sqref="AJ183">
    <cfRule type="expression" dxfId="786" priority="91" stopIfTrue="1">
      <formula>OR(ACOMPANHAMENTO&lt;&gt;"BM",TIPOORCAMENTO="Licitado")</formula>
    </cfRule>
    <cfRule type="expression" dxfId="785" priority="92" stopIfTrue="1">
      <formula>$C183=1</formula>
    </cfRule>
    <cfRule type="expression" dxfId="784" priority="93" stopIfTrue="1">
      <formula>OR(AND(ISNUMBER($C183),$C183=0),$C183=2,$C183=3,$C183=4)</formula>
    </cfRule>
  </conditionalFormatting>
  <conditionalFormatting sqref="AL183">
    <cfRule type="expression" dxfId="783" priority="94" stopIfTrue="1">
      <formula>TIPOORCAMENTO="PROPOSTO"</formula>
    </cfRule>
    <cfRule type="expression" dxfId="782" priority="95" stopIfTrue="1">
      <formula>$C183=1</formula>
    </cfRule>
    <cfRule type="expression" dxfId="781" priority="96" stopIfTrue="1">
      <formula>OR(AND(ISNUMBER($C183),$C183=0),$C183=2,$C183=3,$C183=4)</formula>
    </cfRule>
  </conditionalFormatting>
  <conditionalFormatting sqref="AM183:AN183">
    <cfRule type="expression" dxfId="780" priority="97" stopIfTrue="1">
      <formula>TIPOORCAMENTO="PROPOSTO"</formula>
    </cfRule>
    <cfRule type="expression" dxfId="779" priority="98" stopIfTrue="1">
      <formula>$C183=1</formula>
    </cfRule>
    <cfRule type="expression" dxfId="778" priority="99" stopIfTrue="1">
      <formula>OR(AND(ISNUMBER($C183),$C183=0),$C183=2,$C183=3,$C183=4)</formula>
    </cfRule>
  </conditionalFormatting>
  <conditionalFormatting sqref="M121">
    <cfRule type="cellIs" dxfId="777" priority="49" stopIfTrue="1" operator="notEqual">
      <formula>$N121</formula>
    </cfRule>
  </conditionalFormatting>
  <conditionalFormatting sqref="N121:O121 W121:X121">
    <cfRule type="expression" dxfId="776" priority="50" stopIfTrue="1">
      <formula>$C121=1</formula>
    </cfRule>
    <cfRule type="expression" dxfId="775" priority="51" stopIfTrue="1">
      <formula>OR($C121=0,$C121=2,$C121=3,$C121=4)</formula>
    </cfRule>
  </conditionalFormatting>
  <conditionalFormatting sqref="T121 Y121 AG121:AH121">
    <cfRule type="expression" dxfId="771" priority="55" stopIfTrue="1">
      <formula>$C121=1</formula>
    </cfRule>
    <cfRule type="expression" dxfId="770" priority="56" stopIfTrue="1">
      <formula>OR($C121=0,$C121=2,$C121=3,$C121=4)</formula>
    </cfRule>
  </conditionalFormatting>
  <conditionalFormatting sqref="AJ121">
    <cfRule type="expression" dxfId="769" priority="57" stopIfTrue="1">
      <formula>OR(ACOMPANHAMENTO&lt;&gt;"BM",TIPOORCAMENTO="Licitado")</formula>
    </cfRule>
    <cfRule type="expression" dxfId="768" priority="58" stopIfTrue="1">
      <formula>$C121=1</formula>
    </cfRule>
    <cfRule type="expression" dxfId="767" priority="59" stopIfTrue="1">
      <formula>OR(AND(ISNUMBER($C121),$C121=0),$C121=2,$C121=3,$C121=4)</formula>
    </cfRule>
  </conditionalFormatting>
  <conditionalFormatting sqref="AL121">
    <cfRule type="expression" dxfId="766" priority="60" stopIfTrue="1">
      <formula>TIPOORCAMENTO="PROPOSTO"</formula>
    </cfRule>
    <cfRule type="expression" dxfId="765" priority="61" stopIfTrue="1">
      <formula>$C121=1</formula>
    </cfRule>
    <cfRule type="expression" dxfId="764" priority="62" stopIfTrue="1">
      <formula>OR(AND(ISNUMBER($C121),$C121=0),$C121=2,$C121=3,$C121=4)</formula>
    </cfRule>
  </conditionalFormatting>
  <conditionalFormatting sqref="AM121:AN121">
    <cfRule type="expression" dxfId="763" priority="63" stopIfTrue="1">
      <formula>TIPOORCAMENTO="PROPOSTO"</formula>
    </cfRule>
    <cfRule type="expression" dxfId="762" priority="64" stopIfTrue="1">
      <formula>$C121=1</formula>
    </cfRule>
    <cfRule type="expression" dxfId="761" priority="65" stopIfTrue="1">
      <formula>OR(AND(ISNUMBER($C121),$C121=0),$C121=2,$C121=3,$C121=4)</formula>
    </cfRule>
  </conditionalFormatting>
  <conditionalFormatting sqref="M146:M147">
    <cfRule type="cellIs" dxfId="760" priority="32" stopIfTrue="1" operator="notEqual">
      <formula>$N146</formula>
    </cfRule>
  </conditionalFormatting>
  <conditionalFormatting sqref="N146:O147 W146:X147">
    <cfRule type="expression" dxfId="759" priority="33" stopIfTrue="1">
      <formula>$C146=1</formula>
    </cfRule>
    <cfRule type="expression" dxfId="758" priority="34" stopIfTrue="1">
      <formula>OR($C146=0,$C146=2,$C146=3,$C146=4)</formula>
    </cfRule>
  </conditionalFormatting>
  <conditionalFormatting sqref="T146:T147 Y146:Y147 AG146:AH147">
    <cfRule type="expression" dxfId="754" priority="38" stopIfTrue="1">
      <formula>$C146=1</formula>
    </cfRule>
    <cfRule type="expression" dxfId="753" priority="39" stopIfTrue="1">
      <formula>OR($C146=0,$C146=2,$C146=3,$C146=4)</formula>
    </cfRule>
  </conditionalFormatting>
  <conditionalFormatting sqref="AJ146:AJ147">
    <cfRule type="expression" dxfId="752" priority="40" stopIfTrue="1">
      <formula>OR(ACOMPANHAMENTO&lt;&gt;"BM",TIPOORCAMENTO="Licitado")</formula>
    </cfRule>
    <cfRule type="expression" dxfId="751" priority="41" stopIfTrue="1">
      <formula>$C146=1</formula>
    </cfRule>
    <cfRule type="expression" dxfId="750" priority="42" stopIfTrue="1">
      <formula>OR(AND(ISNUMBER($C146),$C146=0),$C146=2,$C146=3,$C146=4)</formula>
    </cfRule>
  </conditionalFormatting>
  <conditionalFormatting sqref="AL146:AL147">
    <cfRule type="expression" dxfId="749" priority="43" stopIfTrue="1">
      <formula>TIPOORCAMENTO="PROPOSTO"</formula>
    </cfRule>
    <cfRule type="expression" dxfId="748" priority="44" stopIfTrue="1">
      <formula>$C146=1</formula>
    </cfRule>
    <cfRule type="expression" dxfId="747" priority="45" stopIfTrue="1">
      <formula>OR(AND(ISNUMBER($C146),$C146=0),$C146=2,$C146=3,$C146=4)</formula>
    </cfRule>
  </conditionalFormatting>
  <conditionalFormatting sqref="AM146:AN147">
    <cfRule type="expression" dxfId="746" priority="46" stopIfTrue="1">
      <formula>TIPOORCAMENTO="PROPOSTO"</formula>
    </cfRule>
    <cfRule type="expression" dxfId="745" priority="47" stopIfTrue="1">
      <formula>$C146=1</formula>
    </cfRule>
    <cfRule type="expression" dxfId="744" priority="48" stopIfTrue="1">
      <formula>OR(AND(ISNUMBER($C146),$C146=0),$C146=2,$C146=3,$C146=4)</formula>
    </cfRule>
  </conditionalFormatting>
  <conditionalFormatting sqref="M148">
    <cfRule type="cellIs" dxfId="743" priority="15" stopIfTrue="1" operator="notEqual">
      <formula>$N148</formula>
    </cfRule>
  </conditionalFormatting>
  <conditionalFormatting sqref="N148:O148 W148:X148">
    <cfRule type="expression" dxfId="742" priority="16" stopIfTrue="1">
      <formula>$C148=1</formula>
    </cfRule>
    <cfRule type="expression" dxfId="741" priority="17" stopIfTrue="1">
      <formula>OR($C148=0,$C148=2,$C148=3,$C148=4)</formula>
    </cfRule>
  </conditionalFormatting>
  <conditionalFormatting sqref="T148 Y148 AG148:AH148">
    <cfRule type="expression" dxfId="737" priority="21" stopIfTrue="1">
      <formula>$C148=1</formula>
    </cfRule>
    <cfRule type="expression" dxfId="736" priority="22" stopIfTrue="1">
      <formula>OR($C148=0,$C148=2,$C148=3,$C148=4)</formula>
    </cfRule>
  </conditionalFormatting>
  <conditionalFormatting sqref="AJ148">
    <cfRule type="expression" dxfId="735" priority="23" stopIfTrue="1">
      <formula>OR(ACOMPANHAMENTO&lt;&gt;"BM",TIPOORCAMENTO="Licitado")</formula>
    </cfRule>
    <cfRule type="expression" dxfId="734" priority="24" stopIfTrue="1">
      <formula>$C148=1</formula>
    </cfRule>
    <cfRule type="expression" dxfId="733" priority="25" stopIfTrue="1">
      <formula>OR(AND(ISNUMBER($C148),$C148=0),$C148=2,$C148=3,$C148=4)</formula>
    </cfRule>
  </conditionalFormatting>
  <conditionalFormatting sqref="AL148">
    <cfRule type="expression" dxfId="732" priority="26" stopIfTrue="1">
      <formula>TIPOORCAMENTO="PROPOSTO"</formula>
    </cfRule>
    <cfRule type="expression" dxfId="731" priority="27" stopIfTrue="1">
      <formula>$C148=1</formula>
    </cfRule>
    <cfRule type="expression" dxfId="730" priority="28" stopIfTrue="1">
      <formula>OR(AND(ISNUMBER($C148),$C148=0),$C148=2,$C148=3,$C148=4)</formula>
    </cfRule>
  </conditionalFormatting>
  <conditionalFormatting sqref="AM148:AN148">
    <cfRule type="expression" dxfId="729" priority="29" stopIfTrue="1">
      <formula>TIPOORCAMENTO="PROPOSTO"</formula>
    </cfRule>
    <cfRule type="expression" dxfId="728" priority="30" stopIfTrue="1">
      <formula>$C148=1</formula>
    </cfRule>
    <cfRule type="expression" dxfId="727" priority="31" stopIfTrue="1">
      <formula>OR(AND(ISNUMBER($C148),$C148=0),$C148=2,$C148=3,$C148=4)</formula>
    </cfRule>
  </conditionalFormatting>
  <conditionalFormatting sqref="R16:R191">
    <cfRule type="expression" dxfId="6" priority="4" stopIfTrue="1">
      <formula>$C16=1</formula>
    </cfRule>
    <cfRule type="expression" dxfId="5" priority="5" stopIfTrue="1">
      <formula>OR($C16=0,$C16=2,$C16=3,$C16=4)</formula>
    </cfRule>
  </conditionalFormatting>
  <conditionalFormatting sqref="P16:Q191 S16:S191">
    <cfRule type="expression" dxfId="4" priority="6" stopIfTrue="1">
      <formula>$C16=1</formula>
    </cfRule>
    <cfRule type="expression" dxfId="3" priority="7" stopIfTrue="1">
      <formula>OR($C16=0,$C16=2,$C16=3,$C16=4)</formula>
    </cfRule>
  </conditionalFormatting>
  <conditionalFormatting sqref="U16:V191">
    <cfRule type="expression" dxfId="2" priority="1" stopIfTrue="1">
      <formula>$C16=1</formula>
    </cfRule>
    <cfRule type="expression" dxfId="1" priority="2" stopIfTrue="1">
      <formula>OR($C16=0,$C16=2,$C16=3,$C16=4)</formula>
    </cfRule>
    <cfRule type="expression" dxfId="0" priority="3" stopIfTrue="1">
      <formula>AND(TIPOORCAMENTO="Licitado",$C16&lt;&gt;"L",$C16&lt;&gt;-1)</formula>
    </cfRule>
  </conditionalFormatting>
  <dataValidations xWindow="858" yWindow="448" count="7">
    <dataValidation type="decimal" operator="greaterThan" allowBlank="1" showErrorMessage="1" error="Apenas números decimais maiores que zero." sqref="U14 AL14 AJ14 AJ16:AJ191 AL16:AL191 U16:U191">
      <formula1>0</formula1>
      <formula2>0</formula2>
    </dataValidation>
    <dataValidation type="list" allowBlank="1" sqref="P14 P16:P191">
      <formula1>"SINAPI,SINAPI-I,SICRO,Composição,Cotação"</formula1>
      <formula2>0</formula2>
    </dataValidation>
    <dataValidation type="list" errorStyle="warning" allowBlank="1" showInputMessage="1" showErrorMessage="1" errorTitle="Aviso BDI" error="Selecione um dos 3 BDI da lista._x000a__x000a_Caso tenha mais de 3 BDI nesta Planilha Orçamentária digite apenas valor percentual." promptTitle="Legenda:" prompt="RA: Rateio proporcional entre Repasse e Contrapartida._x000a_RP: 100% Repasse_x000a_CP: 100% Contrapartida_x000a_OU: 100% Outros." sqref="Y14 Y16:Y191">
      <formula1>"RA,RP,CP,OU"</formula1>
      <formula2>0</formula2>
    </dataValidation>
    <dataValidation type="list" errorStyle="warning" allowBlank="1" showErrorMessage="1" errorTitle="Aviso BDI" error="Selecione um dos 3 BDI da lista._x000a__x000a_Caso tenha mais de 3 BDI nesta Planilha Orçamentária digite apenas valor percentual." sqref="V14 V16:V191">
      <mc:AlternateContent xmlns:x12ac="http://schemas.microsoft.com/office/spreadsheetml/2011/1/ac" xmlns:mc="http://schemas.openxmlformats.org/markup-compatibility/2006">
        <mc:Choice Requires="x12ac">
          <x12ac:list>BDI 1,BDI 2,BDI 3,"0,00%"</x12ac:list>
        </mc:Choice>
        <mc:Fallback>
          <formula1>"BDI 1,BDI 2,BDI 3,0,00%"</formula1>
        </mc:Fallback>
      </mc:AlternateContent>
      <formula2>0</formula2>
    </dataValidation>
    <dataValidation type="list" showErrorMessage="1" errorTitle="Erro de Entrada" error="Selecione somente os itens da lista." promptTitle="Nível:" prompt="Selecione na lista o nível de itemização da Planilha." sqref="M14 M16:M191">
      <formula1>"Meta,Nível 2,Nível 3,Nível 4,Serviço"</formula1>
      <formula2>0</formula2>
    </dataValidation>
    <dataValidation allowBlank="1" showInputMessage="1" showErrorMessage="1" prompt="A entrada de quantidades é feita na coluna AJ se acompanhamento por BM, ou na aba &quot;Memória de Cálculo/PLQ&quot; se acompanhamento por PLE." sqref="T14 T16:T191"/>
    <dataValidation allowBlank="1" showInputMessage="1" showErrorMessage="1" prompt="Para Orçamento Proposto, o Preço Unitário é resultado do produto do Custo Unitário pelo BDI._x000a_Para Orçamento Licitado, deve ser preenchido na Coluna AL." sqref="W14 W16:W191"/>
  </dataValidations>
  <pageMargins left="0.78740157480314998" right="0.78740157480314998" top="0.78740157480314998" bottom="0.78740157480314998" header="0.59055118110236204" footer="0.59055118110236204"/>
  <pageSetup paperSize="9" scale="67" firstPageNumber="0" fitToHeight="0" orientation="landscape" r:id="rId1"/>
  <headerFooter alignWithMargins="0">
    <oddHeader>&amp;C&amp;14I</oddHeader>
    <oddFooter>&amp;LPMv3.0.6&amp;R&amp;P / &amp;N</oddFooter>
  </headerFooter>
  <colBreaks count="1" manualBreakCount="1">
    <brk id="2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8" r:id="rId4" name="CaixaArredQuant">
              <controlPr defaultSize="0" print="0" autoFill="0" autoLine="0" autoPict="0">
                <anchor moveWithCells="1" sizeWithCells="1">
                  <from>
                    <xdr:col>19</xdr:col>
                    <xdr:colOff>457200</xdr:colOff>
                    <xdr:row>9</xdr:row>
                    <xdr:rowOff>123825</xdr:rowOff>
                  </from>
                  <to>
                    <xdr:col>19</xdr:col>
                    <xdr:colOff>895350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5" name="CaixaArredCustoUnit">
              <controlPr defaultSize="0" print="0" autoFill="0" autoLine="0" autoPict="0">
                <anchor moveWithCells="1" sizeWithCells="1">
                  <from>
                    <xdr:col>20</xdr:col>
                    <xdr:colOff>447675</xdr:colOff>
                    <xdr:row>9</xdr:row>
                    <xdr:rowOff>123825</xdr:rowOff>
                  </from>
                  <to>
                    <xdr:col>20</xdr:col>
                    <xdr:colOff>876300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6" name="CaixaArredBDI">
              <controlPr defaultSize="0" print="0" autoFill="0" autoLine="0" autoPict="0">
                <anchor moveWithCells="1" sizeWithCells="1">
                  <from>
                    <xdr:col>21</xdr:col>
                    <xdr:colOff>285750</xdr:colOff>
                    <xdr:row>9</xdr:row>
                    <xdr:rowOff>123825</xdr:rowOff>
                  </from>
                  <to>
                    <xdr:col>21</xdr:col>
                    <xdr:colOff>704850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7" name="CaixaArredPrecoUnit">
              <controlPr defaultSize="0" print="0" autoFill="0" autoLine="0" autoPict="0">
                <anchor moveWithCells="1" sizeWithCells="1">
                  <from>
                    <xdr:col>22</xdr:col>
                    <xdr:colOff>361950</xdr:colOff>
                    <xdr:row>9</xdr:row>
                    <xdr:rowOff>123825</xdr:rowOff>
                  </from>
                  <to>
                    <xdr:col>22</xdr:col>
                    <xdr:colOff>790575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8" name="CaixaArredPrecoTotal">
              <controlPr defaultSize="0" print="0" autoFill="0" autoLine="0" autoPict="0">
                <anchor moveWithCells="1" sizeWithCells="1">
                  <from>
                    <xdr:col>23</xdr:col>
                    <xdr:colOff>447675</xdr:colOff>
                    <xdr:row>9</xdr:row>
                    <xdr:rowOff>104775</xdr:rowOff>
                  </from>
                  <to>
                    <xdr:col>23</xdr:col>
                    <xdr:colOff>876300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A1:BG65469"/>
  <sheetViews>
    <sheetView showGridLines="0" zoomScale="90" zoomScaleNormal="90" zoomScaleSheetLayoutView="90" workbookViewId="0">
      <pane xSplit="8" ySplit="15" topLeftCell="I52" activePane="bottomRight" state="frozen"/>
      <selection activeCell="C1" sqref="C1"/>
      <selection pane="topRight" activeCell="I1" sqref="I1"/>
      <selection pane="bottomLeft" activeCell="C16" sqref="C16"/>
      <selection pane="bottomRight" activeCell="A148" sqref="A148"/>
    </sheetView>
  </sheetViews>
  <sheetFormatPr defaultRowHeight="0" customHeight="1" zeroHeight="1" x14ac:dyDescent="0.2"/>
  <cols>
    <col min="1" max="2" width="0" style="9" hidden="1" customWidth="1"/>
    <col min="3" max="3" width="3.7109375" style="9" customWidth="1"/>
    <col min="4" max="4" width="8.7109375" customWidth="1"/>
    <col min="5" max="5" width="12.7109375" customWidth="1"/>
    <col min="6" max="6" width="65.7109375" customWidth="1"/>
    <col min="7" max="7" width="10.7109375" customWidth="1"/>
    <col min="8" max="8" width="14.7109375" customWidth="1"/>
    <col min="9" max="9" width="29.7109375" customWidth="1"/>
    <col min="10" max="10" width="1.7109375" customWidth="1"/>
    <col min="11" max="11" width="4.7109375" customWidth="1"/>
    <col min="12" max="12" width="0.85546875" customWidth="1"/>
    <col min="13" max="13" width="9.140625" style="9" hidden="1" customWidth="1"/>
    <col min="14" max="14" width="31.7109375" customWidth="1"/>
    <col min="15" max="15" width="0" hidden="1" customWidth="1"/>
    <col min="16" max="16" width="1.7109375" customWidth="1"/>
    <col min="17" max="26" width="11.7109375" customWidth="1"/>
    <col min="27" max="27" width="0.140625" customWidth="1"/>
    <col min="28" max="59" width="9.140625" customWidth="1"/>
    <col min="60" max="60" width="1.7109375" customWidth="1"/>
  </cols>
  <sheetData>
    <row r="1" spans="1:59" ht="15.75" customHeight="1" x14ac:dyDescent="0.2">
      <c r="F1" s="745" t="str">
        <f>IF(ACOMPANHAMENTO="BM","MEMÓRIA DE CÁLCULO","PLQ - PLANILHA DE LEVANTAMENTO DE QUANTIDADES")</f>
        <v>MEMÓRIA DE CÁLCULO</v>
      </c>
      <c r="G1" s="745"/>
      <c r="H1" s="745"/>
      <c r="I1" s="179"/>
      <c r="K1" s="179"/>
      <c r="L1" s="179"/>
      <c r="M1" s="180"/>
      <c r="N1" s="179"/>
      <c r="P1" s="179"/>
      <c r="Q1" s="724" t="s">
        <v>140</v>
      </c>
      <c r="R1" s="724"/>
      <c r="Y1" s="724" t="s">
        <v>140</v>
      </c>
      <c r="Z1" s="724"/>
    </row>
    <row r="2" spans="1:59" ht="15" customHeight="1" x14ac:dyDescent="0.2">
      <c r="F2" s="746" t="str">
        <f>IF(ACOMPANHAMENTO="BM","","Memória de Cálculo")&amp;" - "&amp;import.recurso</f>
        <v xml:space="preserve"> - OGU</v>
      </c>
      <c r="G2" s="746"/>
      <c r="H2" s="746"/>
      <c r="I2" s="181"/>
      <c r="K2" s="181"/>
      <c r="L2" s="181"/>
      <c r="M2" s="182"/>
      <c r="N2" s="181"/>
      <c r="P2" s="181"/>
      <c r="Q2" s="725" t="s">
        <v>143</v>
      </c>
      <c r="R2" s="725"/>
      <c r="Y2" s="725" t="s">
        <v>143</v>
      </c>
      <c r="Z2" s="725"/>
    </row>
    <row r="3" spans="1:59" ht="12.75" customHeight="1" x14ac:dyDescent="0.2">
      <c r="AB3" t="e">
        <f ca="1">ROUND(ROUND(OFFSET(#REF!,0,AB$13),15-13*ORÇAMENTO!$AF$7)*OFFSET(ORÇAMENTO!$W$15,ROW(#REF!)-ROW(AB$15),0),15-13*ORÇAMENTO!$AF$11)</f>
        <v>#REF!</v>
      </c>
      <c r="AC3" t="e">
        <f ca="1">ROUND(ROUND(OFFSET(#REF!,0,AC$13),15-13*ORÇAMENTO!$AF$7)*OFFSET(ORÇAMENTO!$W$15,ROW(#REF!)-ROW(AC$15),0),15-13*ORÇAMENTO!$AF$11)</f>
        <v>#REF!</v>
      </c>
      <c r="AD3" t="e">
        <f ca="1">ROUND(ROUND(OFFSET(#REF!,0,AD$13),15-13*ORÇAMENTO!$AF$7)*OFFSET(ORÇAMENTO!$W$15,ROW(#REF!)-ROW(AD$15),0),15-13*ORÇAMENTO!$AF$11)</f>
        <v>#REF!</v>
      </c>
      <c r="AE3" s="663" t="e">
        <f ca="1">SUM(AB3:AD3)-SUM(#REF!)</f>
        <v>#REF!</v>
      </c>
    </row>
    <row r="4" spans="1:59" ht="12.75" customHeight="1" x14ac:dyDescent="0.2">
      <c r="E4" s="720" t="s">
        <v>202</v>
      </c>
      <c r="F4" s="720"/>
      <c r="G4" s="720" t="s">
        <v>443</v>
      </c>
      <c r="H4" s="720"/>
      <c r="I4" s="111" t="s">
        <v>146</v>
      </c>
      <c r="K4" s="183" t="s">
        <v>147</v>
      </c>
      <c r="L4" s="184"/>
      <c r="M4" s="184"/>
      <c r="N4" s="184"/>
      <c r="O4" s="184"/>
      <c r="P4" s="184"/>
      <c r="Q4" s="184"/>
      <c r="R4" s="185"/>
      <c r="S4" s="720" t="s">
        <v>146</v>
      </c>
      <c r="T4" s="720"/>
      <c r="U4" s="720" t="s">
        <v>147</v>
      </c>
      <c r="V4" s="720"/>
      <c r="W4" s="720"/>
      <c r="X4" s="720"/>
      <c r="Y4" s="720"/>
      <c r="Z4" s="720"/>
    </row>
    <row r="5" spans="1:59" ht="12.75" customHeight="1" x14ac:dyDescent="0.2">
      <c r="E5" s="723" t="str">
        <f>Import.Apelido</f>
        <v>BIBLIOTECA  ÉRICO VERISSIMO</v>
      </c>
      <c r="F5" s="723"/>
      <c r="G5" s="723">
        <f t="array" ref="G5">Import.TransfereGOV</f>
        <v>0</v>
      </c>
      <c r="H5" s="723"/>
      <c r="I5" s="117">
        <f>Import.CR</f>
        <v>0</v>
      </c>
      <c r="K5" s="186" t="str">
        <f>Import.Proponente</f>
        <v>INSTITUTO FEDERAL FARROUPILHA</v>
      </c>
      <c r="L5" s="187"/>
      <c r="M5" s="129"/>
      <c r="N5" s="187"/>
      <c r="O5" s="187"/>
      <c r="P5" s="187"/>
      <c r="Q5" s="187"/>
      <c r="R5" s="118"/>
      <c r="S5" s="723">
        <f>Import.CR</f>
        <v>0</v>
      </c>
      <c r="T5" s="723"/>
      <c r="U5" s="723" t="str">
        <f>Import.Proponente</f>
        <v>INSTITUTO FEDERAL FARROUPILHA</v>
      </c>
      <c r="V5" s="723"/>
      <c r="W5" s="723"/>
      <c r="X5" s="723"/>
      <c r="Y5" s="723"/>
      <c r="Z5" s="723"/>
    </row>
    <row r="6" spans="1:59" ht="12.75" customHeight="1" x14ac:dyDescent="0.2">
      <c r="T6" s="663" t="e">
        <f ca="1">AE3</f>
        <v>#REF!</v>
      </c>
      <c r="AB6" t="s">
        <v>251</v>
      </c>
      <c r="AM6" t="s">
        <v>252</v>
      </c>
      <c r="AX6" t="s">
        <v>253</v>
      </c>
    </row>
    <row r="7" spans="1:59" ht="12.75" hidden="1" customHeight="1" x14ac:dyDescent="0.2"/>
    <row r="8" spans="1:59" ht="12.75" hidden="1" customHeight="1" x14ac:dyDescent="0.2"/>
    <row r="9" spans="1:59" ht="12.75" hidden="1" customHeight="1" x14ac:dyDescent="0.2"/>
    <row r="10" spans="1:59" ht="12.75" hidden="1" customHeight="1" x14ac:dyDescent="0.2"/>
    <row r="11" spans="1:59" ht="12.75" hidden="1" customHeight="1" x14ac:dyDescent="0.2"/>
    <row r="12" spans="1:59" ht="69.95" customHeight="1" x14ac:dyDescent="0.2">
      <c r="A12" s="188">
        <f ca="1">IF(OFFSET(EVENTOS!$C$5,1,0)="Automática, conforme os agrupadores Nível 4 do Orçamento",4,IF(OFFSET(EVENTOS!$C$5,1,0)="Automática, conforme os agrupadores Nível 3 do Orçamento",3,IF(OFFSET(EVENTOS!$C$5,1,0)="Definir Manualmente","Manual",2)))</f>
        <v>2</v>
      </c>
      <c r="B12" s="9" t="s">
        <v>254</v>
      </c>
      <c r="H12" s="189"/>
      <c r="I12" s="190"/>
      <c r="J12" s="191" t="s">
        <v>255</v>
      </c>
      <c r="K12" s="192" t="s">
        <v>256</v>
      </c>
      <c r="L12" s="191" t="s">
        <v>255</v>
      </c>
      <c r="M12" s="193">
        <f>IF(ACOMPANHAMENTO="BM",0,COUNTIF(M15:M192,0))</f>
        <v>0</v>
      </c>
      <c r="N12" s="190" t="s">
        <v>257</v>
      </c>
      <c r="O12" s="194"/>
      <c r="P12" s="191" t="s">
        <v>255</v>
      </c>
      <c r="Q12" s="629" t="s">
        <v>452</v>
      </c>
      <c r="R12" s="194"/>
      <c r="S12" s="194"/>
      <c r="T12" s="194"/>
      <c r="U12" s="194"/>
      <c r="V12" s="194"/>
      <c r="W12" s="194"/>
      <c r="X12" s="194"/>
      <c r="Y12" s="194"/>
      <c r="Z12" s="195"/>
      <c r="AA12" s="191" t="s">
        <v>255</v>
      </c>
      <c r="AB12" s="196" t="str">
        <f ca="1">OFFSET($P$12,0,AB$13)</f>
        <v xml:space="preserve">PONTE </v>
      </c>
      <c r="AC12" s="197">
        <f t="shared" ref="AC12:AK12" ca="1" si="0">OFFSET($P$12,0,AC$13)</f>
        <v>0</v>
      </c>
      <c r="AD12" s="197">
        <f t="shared" ca="1" si="0"/>
        <v>0</v>
      </c>
      <c r="AE12" s="197">
        <f t="shared" ca="1" si="0"/>
        <v>0</v>
      </c>
      <c r="AF12" s="197">
        <f t="shared" ca="1" si="0"/>
        <v>0</v>
      </c>
      <c r="AG12" s="197">
        <f t="shared" ca="1" si="0"/>
        <v>0</v>
      </c>
      <c r="AH12" s="197">
        <f t="shared" ca="1" si="0"/>
        <v>0</v>
      </c>
      <c r="AI12" s="197">
        <f t="shared" ca="1" si="0"/>
        <v>0</v>
      </c>
      <c r="AJ12" s="197">
        <f t="shared" ca="1" si="0"/>
        <v>0</v>
      </c>
      <c r="AK12" s="198">
        <f t="shared" ca="1" si="0"/>
        <v>0</v>
      </c>
      <c r="AM12" s="196" t="str">
        <f ca="1">OFFSET($P$12,0,AM$13)</f>
        <v xml:space="preserve">PONTE </v>
      </c>
      <c r="AN12" s="197">
        <f t="shared" ref="AN12:AV12" ca="1" si="1">OFFSET($P$12,0,AN$13)</f>
        <v>0</v>
      </c>
      <c r="AO12" s="197">
        <f t="shared" ca="1" si="1"/>
        <v>0</v>
      </c>
      <c r="AP12" s="197">
        <f t="shared" ca="1" si="1"/>
        <v>0</v>
      </c>
      <c r="AQ12" s="197">
        <f t="shared" ca="1" si="1"/>
        <v>0</v>
      </c>
      <c r="AR12" s="197">
        <f t="shared" ca="1" si="1"/>
        <v>0</v>
      </c>
      <c r="AS12" s="197">
        <f t="shared" ca="1" si="1"/>
        <v>0</v>
      </c>
      <c r="AT12" s="197">
        <f t="shared" ca="1" si="1"/>
        <v>0</v>
      </c>
      <c r="AU12" s="197">
        <f t="shared" ca="1" si="1"/>
        <v>0</v>
      </c>
      <c r="AV12" s="198">
        <f t="shared" ca="1" si="1"/>
        <v>0</v>
      </c>
      <c r="AX12" s="196" t="str">
        <f ca="1">OFFSET($P$12,0,AX$13)</f>
        <v xml:space="preserve">PONTE </v>
      </c>
      <c r="AY12" s="197">
        <f t="shared" ref="AY12:BG12" ca="1" si="2">OFFSET($P$12,0,AY$13)</f>
        <v>0</v>
      </c>
      <c r="AZ12" s="197">
        <f t="shared" ca="1" si="2"/>
        <v>0</v>
      </c>
      <c r="BA12" s="197">
        <f t="shared" ca="1" si="2"/>
        <v>0</v>
      </c>
      <c r="BB12" s="197">
        <f t="shared" ca="1" si="2"/>
        <v>0</v>
      </c>
      <c r="BC12" s="197">
        <f t="shared" ca="1" si="2"/>
        <v>0</v>
      </c>
      <c r="BD12" s="197">
        <f t="shared" ca="1" si="2"/>
        <v>0</v>
      </c>
      <c r="BE12" s="197">
        <f t="shared" ca="1" si="2"/>
        <v>0</v>
      </c>
      <c r="BF12" s="197">
        <f t="shared" ca="1" si="2"/>
        <v>0</v>
      </c>
      <c r="BG12" s="198">
        <f t="shared" ca="1" si="2"/>
        <v>0</v>
      </c>
    </row>
    <row r="13" spans="1:59" ht="12.75" customHeight="1" x14ac:dyDescent="0.2">
      <c r="A13" s="199" t="s">
        <v>258</v>
      </c>
      <c r="B13" s="9" t="s">
        <v>254</v>
      </c>
      <c r="D13" s="136" t="s">
        <v>229</v>
      </c>
      <c r="E13" s="136" t="s">
        <v>231</v>
      </c>
      <c r="F13" s="136" t="s">
        <v>234</v>
      </c>
      <c r="G13" s="138" t="s">
        <v>235</v>
      </c>
      <c r="H13" s="136" t="s">
        <v>203</v>
      </c>
      <c r="I13" s="136" t="s">
        <v>259</v>
      </c>
      <c r="K13" s="136" t="s">
        <v>260</v>
      </c>
      <c r="L13" s="191"/>
      <c r="M13" s="136" t="s">
        <v>261</v>
      </c>
      <c r="N13" s="136" t="s">
        <v>262</v>
      </c>
      <c r="O13" s="200" t="e">
        <f ca="1">OFFSET(O13,0,-1)+1</f>
        <v>#VALUE!</v>
      </c>
      <c r="Q13" s="201">
        <f t="shared" ref="Q13:Z13" ca="1" si="3">OFFSET(Q13,0,-1)+1</f>
        <v>1</v>
      </c>
      <c r="R13" s="200">
        <f t="shared" ca="1" si="3"/>
        <v>2</v>
      </c>
      <c r="S13" s="200">
        <f t="shared" ca="1" si="3"/>
        <v>3</v>
      </c>
      <c r="T13" s="200">
        <f t="shared" ca="1" si="3"/>
        <v>4</v>
      </c>
      <c r="U13" s="200">
        <f t="shared" ca="1" si="3"/>
        <v>5</v>
      </c>
      <c r="V13" s="200">
        <f t="shared" ca="1" si="3"/>
        <v>6</v>
      </c>
      <c r="W13" s="200">
        <f t="shared" ca="1" si="3"/>
        <v>7</v>
      </c>
      <c r="X13" s="200">
        <f t="shared" ca="1" si="3"/>
        <v>8</v>
      </c>
      <c r="Y13" s="200">
        <f t="shared" ca="1" si="3"/>
        <v>9</v>
      </c>
      <c r="Z13" s="202">
        <f t="shared" ca="1" si="3"/>
        <v>10</v>
      </c>
      <c r="AB13" s="142">
        <f t="shared" ref="AB13:BG13" ca="1" si="4">OFFSET(AB13,0,-1)+1</f>
        <v>1</v>
      </c>
      <c r="AC13" s="203">
        <f t="shared" ca="1" si="4"/>
        <v>2</v>
      </c>
      <c r="AD13" s="203">
        <f t="shared" ca="1" si="4"/>
        <v>3</v>
      </c>
      <c r="AE13" s="203">
        <f t="shared" ca="1" si="4"/>
        <v>4</v>
      </c>
      <c r="AF13" s="203">
        <f t="shared" ca="1" si="4"/>
        <v>5</v>
      </c>
      <c r="AG13" s="203">
        <f t="shared" ca="1" si="4"/>
        <v>6</v>
      </c>
      <c r="AH13" s="203">
        <f t="shared" ca="1" si="4"/>
        <v>7</v>
      </c>
      <c r="AI13" s="203">
        <f t="shared" ca="1" si="4"/>
        <v>8</v>
      </c>
      <c r="AJ13" s="203">
        <f t="shared" ca="1" si="4"/>
        <v>9</v>
      </c>
      <c r="AK13" s="204">
        <f t="shared" ca="1" si="4"/>
        <v>10</v>
      </c>
      <c r="AM13" s="142">
        <f t="shared" ca="1" si="4"/>
        <v>1</v>
      </c>
      <c r="AN13" s="203">
        <f t="shared" ca="1" si="4"/>
        <v>2</v>
      </c>
      <c r="AO13" s="203">
        <f t="shared" ca="1" si="4"/>
        <v>3</v>
      </c>
      <c r="AP13" s="203">
        <f t="shared" ca="1" si="4"/>
        <v>4</v>
      </c>
      <c r="AQ13" s="203">
        <f t="shared" ca="1" si="4"/>
        <v>5</v>
      </c>
      <c r="AR13" s="203">
        <f t="shared" ca="1" si="4"/>
        <v>6</v>
      </c>
      <c r="AS13" s="203">
        <f t="shared" ca="1" si="4"/>
        <v>7</v>
      </c>
      <c r="AT13" s="203">
        <f t="shared" ca="1" si="4"/>
        <v>8</v>
      </c>
      <c r="AU13" s="203">
        <f t="shared" ca="1" si="4"/>
        <v>9</v>
      </c>
      <c r="AV13" s="204">
        <f t="shared" ca="1" si="4"/>
        <v>10</v>
      </c>
      <c r="AX13" s="142">
        <f t="shared" ca="1" si="4"/>
        <v>1</v>
      </c>
      <c r="AY13" s="203">
        <f t="shared" ca="1" si="4"/>
        <v>2</v>
      </c>
      <c r="AZ13" s="203">
        <f t="shared" ca="1" si="4"/>
        <v>3</v>
      </c>
      <c r="BA13" s="203">
        <f t="shared" ca="1" si="4"/>
        <v>4</v>
      </c>
      <c r="BB13" s="203">
        <f t="shared" ca="1" si="4"/>
        <v>5</v>
      </c>
      <c r="BC13" s="203">
        <f t="shared" ca="1" si="4"/>
        <v>6</v>
      </c>
      <c r="BD13" s="203">
        <f t="shared" ca="1" si="4"/>
        <v>7</v>
      </c>
      <c r="BE13" s="203">
        <f t="shared" ca="1" si="4"/>
        <v>8</v>
      </c>
      <c r="BF13" s="203">
        <f t="shared" ca="1" si="4"/>
        <v>9</v>
      </c>
      <c r="BG13" s="204">
        <f t="shared" ca="1" si="4"/>
        <v>10</v>
      </c>
    </row>
    <row r="14" spans="1:59" ht="12.75" hidden="1" x14ac:dyDescent="0.2">
      <c r="A14" s="9" t="str">
        <f ca="1">IF(AUTOEVENTO="Manual",IF(K14&lt;&gt;"",MIN(VALUE(LEFT(K14,FIND(".",K14)-1)),COUNTA(EVENTOS.Lista)),0),IF(OR($B14&gt;AUTOEVENTO,$B14="S",$B14=0),SUBSTITUTE(OFFSET($A14,-1,0),IF($D14="Serviço",".",""),""),ROW(A14)-ROW($A$15)&amp;"."))</f>
        <v>AUTOEVENTO</v>
      </c>
      <c r="B14" s="9" t="str">
        <f ca="1">OFFSET(ORÇAMENTO!C$15,ROW(B14)-ROW(B$15),0)</f>
        <v>S</v>
      </c>
      <c r="C14" s="9" t="str">
        <f ca="1">OFFSET(ORÇAMENTO!L$15,ROW(C14)-ROW(C$15),0)</f>
        <v/>
      </c>
      <c r="D14" s="145" t="str">
        <f ca="1">OFFSET(ORÇAMENTO!N$15,ROW(D14)-ROW(D$15),0)</f>
        <v>Serviço</v>
      </c>
      <c r="E14" s="205" t="str">
        <f ca="1">OFFSET(ORÇAMENTO!O$15,ROW(E14)-ROW(E$15),0)</f>
        <v>-</v>
      </c>
      <c r="F14" s="206" t="str">
        <f ca="1">OFFSET(ORÇAMENTO!R$15,ROW(F14)-ROW(F$15),0)</f>
        <v>(Sem Código)</v>
      </c>
      <c r="G14" s="207" t="str">
        <f ca="1">IF($D14&lt;&gt;"Serviço","",OFFSET(ORÇAMENTO!S$15,ROW(G14)-ROW(G$15),0))</f>
        <v>-</v>
      </c>
      <c r="H14" s="151">
        <f ca="1">IF($D14&lt;&gt;"Serviço",0,IF(ACOMPANHAMENTO="BM",ROUND(OFFSET(ORÇAMENTO!AJ$15,ROW(H14)-ROW(H$15),0),15-13*ORÇAMENTO!$AF$7),SUMPRODUCT(($Q$12:$AA$12&lt;&gt;"")*ROUND($Q14:$AA14,15-13*ORÇAMENTO!$AF$7))))</f>
        <v>0</v>
      </c>
      <c r="I14" s="649"/>
      <c r="K14" s="208"/>
      <c r="L14" s="209" t="s">
        <v>255</v>
      </c>
      <c r="M14" s="210" t="str">
        <f ca="1">IF($D14&lt;&gt;"Serviço","",IF(AUTOEVENTO="manual",$A14,IF(ISERROR(MATCH($A14,$A$15:OFFSET($A14,-1,0),0)),MAX($M$15:OFFSET(M14,-1,0))+1,INDEX($M$15:OFFSET(M14,-1,0),MATCH($A14,$A$15:OFFSET($A14,-1,0),0)))))</f>
        <v># Evento</v>
      </c>
      <c r="N14" s="211" t="e">
        <f ca="1">IF($D14&lt;&gt;"Serviço","",IF(AUTOEVENTO="Manual",IF($A14=0,"&lt;-- defina o número do agrupador",OFFSET(EVENTOS!$D$14,$A14,0)),OFFSET($F$15,$A14,0)))</f>
        <v>#VALUE!</v>
      </c>
      <c r="O14" s="212"/>
      <c r="Q14" s="212"/>
      <c r="R14" s="213"/>
      <c r="S14" s="213"/>
      <c r="T14" s="213"/>
      <c r="U14" s="213"/>
      <c r="V14" s="213"/>
      <c r="W14" s="213"/>
      <c r="X14" s="213"/>
      <c r="Y14" s="213"/>
      <c r="Z14" s="214"/>
      <c r="AB14" s="630">
        <f ca="1">IF(AND($D14="Serviço",AB$12&lt;&gt;0,$H14&gt;0,OR(AUTOEVENTO&lt;&gt;"manual",$M14&lt;&gt;1)),
IF(Import.TipoArredondamento&lt;&gt;"TransfereGOV",
ROUND(OFFSET($P14,0,AB$13),15-13*ORÇAMENTO!$AF$7)/$H14*OFFSET(ORÇAMENTO!$X$15,ROW(AB14)-ROW(AB$15),0),
ROUND(ROUND(OFFSET($P14,0,AB$13),15-13*ORÇAMENTO!$AF$7)*OFFSET(ORÇAMENTO!$W$15,ROW(AB14)-ROW(AB$15),0),15-13*ORÇAMENTO!$AF$11)),0)</f>
        <v>0</v>
      </c>
      <c r="AC14" s="631">
        <f ca="1">IF(AND($D14="Serviço",AC$12&lt;&gt;0,$H14&gt;0,OR(AUTOEVENTO&lt;&gt;"manual",$M14&lt;&gt;1)),
IF(Import.TipoArredondamento&lt;&gt;"TransfereGOV",
ROUND(OFFSET($P14,0,AC$13),15-13*ORÇAMENTO!$AF$7)/$H14*OFFSET(ORÇAMENTO!$X$15,ROW(AC14)-ROW(AC$15),0),
ROUND(ROUND(OFFSET($P14,0,AC$13),15-13*ORÇAMENTO!$AF$7)*OFFSET(ORÇAMENTO!$W$15,ROW(AC14)-ROW(AC$15),0),15-13*ORÇAMENTO!$AF$11)),0)</f>
        <v>0</v>
      </c>
      <c r="AD14" s="631">
        <f ca="1">IF(AND($D14="Serviço",AD$12&lt;&gt;0,$H14&gt;0,OR(AUTOEVENTO&lt;&gt;"manual",$M14&lt;&gt;1)),
IF(Import.TipoArredondamento&lt;&gt;"TransfereGOV",
ROUND(OFFSET($P14,0,AD$13),15-13*ORÇAMENTO!$AF$7)/$H14*OFFSET(ORÇAMENTO!$X$15,ROW(AD14)-ROW(AD$15),0),
ROUND(ROUND(OFFSET($P14,0,AD$13),15-13*ORÇAMENTO!$AF$7)*OFFSET(ORÇAMENTO!$W$15,ROW(AD14)-ROW(AD$15),0),15-13*ORÇAMENTO!$AF$11)),0)</f>
        <v>0</v>
      </c>
      <c r="AE14" s="631">
        <f ca="1">IF(AND($D14="Serviço",AE$12&lt;&gt;0,$H14&gt;0,OR(AUTOEVENTO&lt;&gt;"manual",$M14&lt;&gt;1)),
IF(Import.TipoArredondamento&lt;&gt;"TransfereGOV",
ROUND(OFFSET($P14,0,AE$13),15-13*ORÇAMENTO!$AF$7)/$H14*OFFSET(ORÇAMENTO!$X$15,ROW(AE14)-ROW(AE$15),0),
ROUND(ROUND(OFFSET($P14,0,AE$13),15-13*ORÇAMENTO!$AF$7)*OFFSET(ORÇAMENTO!$W$15,ROW(AE14)-ROW(AE$15),0),15-13*ORÇAMENTO!$AF$11)),0)</f>
        <v>0</v>
      </c>
      <c r="AF14" s="631">
        <f ca="1">IF(AND($D14="Serviço",AF$12&lt;&gt;0,$H14&gt;0,OR(AUTOEVENTO&lt;&gt;"manual",$M14&lt;&gt;1)),
IF(Import.TipoArredondamento&lt;&gt;"TransfereGOV",
ROUND(OFFSET($P14,0,AF$13),15-13*ORÇAMENTO!$AF$7)/$H14*OFFSET(ORÇAMENTO!$X$15,ROW(AF14)-ROW(AF$15),0),
ROUND(ROUND(OFFSET($P14,0,AF$13),15-13*ORÇAMENTO!$AF$7)*OFFSET(ORÇAMENTO!$W$15,ROW(AF14)-ROW(AF$15),0),15-13*ORÇAMENTO!$AF$11)),0)</f>
        <v>0</v>
      </c>
      <c r="AG14" s="631">
        <f ca="1">IF(AND($D14="Serviço",AG$12&lt;&gt;0,$H14&gt;0,OR(AUTOEVENTO&lt;&gt;"manual",$M14&lt;&gt;1)),
IF(Import.TipoArredondamento&lt;&gt;"TransfereGOV",
ROUND(OFFSET($P14,0,AG$13),15-13*ORÇAMENTO!$AF$7)/$H14*OFFSET(ORÇAMENTO!$X$15,ROW(AG14)-ROW(AG$15),0),
ROUND(ROUND(OFFSET($P14,0,AG$13),15-13*ORÇAMENTO!$AF$7)*OFFSET(ORÇAMENTO!$W$15,ROW(AG14)-ROW(AG$15),0),15-13*ORÇAMENTO!$AF$11)),0)</f>
        <v>0</v>
      </c>
      <c r="AH14" s="631">
        <f ca="1">IF(AND($D14="Serviço",AH$12&lt;&gt;0,$H14&gt;0,OR(AUTOEVENTO&lt;&gt;"manual",$M14&lt;&gt;1)),
IF(Import.TipoArredondamento&lt;&gt;"TransfereGOV",
ROUND(OFFSET($P14,0,AH$13),15-13*ORÇAMENTO!$AF$7)/$H14*OFFSET(ORÇAMENTO!$X$15,ROW(AH14)-ROW(AH$15),0),
ROUND(ROUND(OFFSET($P14,0,AH$13),15-13*ORÇAMENTO!$AF$7)*OFFSET(ORÇAMENTO!$W$15,ROW(AH14)-ROW(AH$15),0),15-13*ORÇAMENTO!$AF$11)),0)</f>
        <v>0</v>
      </c>
      <c r="AI14" s="631">
        <f ca="1">IF(AND($D14="Serviço",AI$12&lt;&gt;0,$H14&gt;0,OR(AUTOEVENTO&lt;&gt;"manual",$M14&lt;&gt;1)),
IF(Import.TipoArredondamento&lt;&gt;"TransfereGOV",
ROUND(OFFSET($P14,0,AI$13),15-13*ORÇAMENTO!$AF$7)/$H14*OFFSET(ORÇAMENTO!$X$15,ROW(AI14)-ROW(AI$15),0),
ROUND(ROUND(OFFSET($P14,0,AI$13),15-13*ORÇAMENTO!$AF$7)*OFFSET(ORÇAMENTO!$W$15,ROW(AI14)-ROW(AI$15),0),15-13*ORÇAMENTO!$AF$11)),0)</f>
        <v>0</v>
      </c>
      <c r="AJ14" s="631">
        <f ca="1">IF(AND($D14="Serviço",AJ$12&lt;&gt;0,$H14&gt;0,OR(AUTOEVENTO&lt;&gt;"manual",$M14&lt;&gt;1)),
IF(Import.TipoArredondamento&lt;&gt;"TransfereGOV",
ROUND(OFFSET($P14,0,AJ$13),15-13*ORÇAMENTO!$AF$7)/$H14*OFFSET(ORÇAMENTO!$X$15,ROW(AJ14)-ROW(AJ$15),0),
ROUND(ROUND(OFFSET($P14,0,AJ$13),15-13*ORÇAMENTO!$AF$7)*OFFSET(ORÇAMENTO!$W$15,ROW(AJ14)-ROW(AJ$15),0),15-13*ORÇAMENTO!$AF$11)),0)</f>
        <v>0</v>
      </c>
      <c r="AK14" s="632">
        <f ca="1">IF(AND($D14="Serviço",AK$12&lt;&gt;0,$H14&gt;0,OR(AUTOEVENTO&lt;&gt;"manual",$M14&lt;&gt;1)),
IF(Import.TipoArredondamento&lt;&gt;"TransfereGOV",
ROUND(OFFSET($P14,0,AK$13),15-13*ORÇAMENTO!$AF$7)/$H14*OFFSET(ORÇAMENTO!$X$15,ROW(AK14)-ROW(AK$15),0),
ROUND(ROUND(OFFSET($P14,0,AK$13),15-13*ORÇAMENTO!$AF$7)*OFFSET(ORÇAMENTO!$W$15,ROW(AK14)-ROW(AK$15),0),15-13*ORÇAMENTO!$AF$11)),0)</f>
        <v>0</v>
      </c>
      <c r="AM14" s="215" t="e">
        <f ca="1">IF($D14&lt;&gt;"Serviço",0,IF(AND(AUTOEVENTO="Manual",$M14=1),0,IF(OFFSET(CRONOPLE!$F$14,$M14,AM$13)="",10^12,OFFSET(CRONOPLE!$F$14,$M14,AM$13))))</f>
        <v>#VALUE!</v>
      </c>
      <c r="AN14" s="215" t="e">
        <f ca="1">IF($D14&lt;&gt;"Serviço",0,IF(AND(AUTOEVENTO="Manual",$M14=1),0,IF(OFFSET(CRONOPLE!$F$14,$M14,AN$13)="",10^12,OFFSET(CRONOPLE!$F$14,$M14,AN$13))))</f>
        <v>#VALUE!</v>
      </c>
      <c r="AO14" s="215" t="e">
        <f ca="1">IF($D14&lt;&gt;"Serviço",0,IF(AND(AUTOEVENTO="Manual",$M14=1),0,IF(OFFSET(CRONOPLE!$F$14,$M14,AO$13)="",10^12,OFFSET(CRONOPLE!$F$14,$M14,AO$13))))</f>
        <v>#VALUE!</v>
      </c>
      <c r="AP14" s="215" t="e">
        <f ca="1">IF($D14&lt;&gt;"Serviço",0,IF(AND(AUTOEVENTO="Manual",$M14=1),0,IF(OFFSET(CRONOPLE!$F$14,$M14,AP$13)="",10^12,OFFSET(CRONOPLE!$F$14,$M14,AP$13))))</f>
        <v>#VALUE!</v>
      </c>
      <c r="AQ14" s="215" t="e">
        <f ca="1">IF($D14&lt;&gt;"Serviço",0,IF(AND(AUTOEVENTO="Manual",$M14=1),0,IF(OFFSET(CRONOPLE!$F$14,$M14,AQ$13)="",10^12,OFFSET(CRONOPLE!$F$14,$M14,AQ$13))))</f>
        <v>#VALUE!</v>
      </c>
      <c r="AR14" s="215" t="e">
        <f ca="1">IF($D14&lt;&gt;"Serviço",0,IF(AND(AUTOEVENTO="Manual",$M14=1),0,IF(OFFSET(CRONOPLE!$F$14,$M14,AR$13)="",10^12,OFFSET(CRONOPLE!$F$14,$M14,AR$13))))</f>
        <v>#VALUE!</v>
      </c>
      <c r="AS14" s="215" t="e">
        <f ca="1">IF($D14&lt;&gt;"Serviço",0,IF(AND(AUTOEVENTO="Manual",$M14=1),0,IF(OFFSET(CRONOPLE!$F$14,$M14,AS$13)="",10^12,OFFSET(CRONOPLE!$F$14,$M14,AS$13))))</f>
        <v>#VALUE!</v>
      </c>
      <c r="AT14" s="215" t="e">
        <f ca="1">IF($D14&lt;&gt;"Serviço",0,IF(AND(AUTOEVENTO="Manual",$M14=1),0,IF(OFFSET(CRONOPLE!$F$14,$M14,AT$13)="",10^12,OFFSET(CRONOPLE!$F$14,$M14,AT$13))))</f>
        <v>#VALUE!</v>
      </c>
      <c r="AU14" s="215" t="e">
        <f ca="1">IF($D14&lt;&gt;"Serviço",0,IF(AND(AUTOEVENTO="Manual",$M14=1),0,IF(OFFSET(CRONOPLE!$F$14,$M14,AU$13)="",10^12,OFFSET(CRONOPLE!$F$14,$M14,AU$13))))</f>
        <v>#VALUE!</v>
      </c>
      <c r="AV14" s="215" t="e">
        <f ca="1">IF($D14&lt;&gt;"Serviço",0,IF(AND(AUTOEVENTO="Manual",$M14=1),0,IF(OFFSET(CRONOPLE!$F$14,$M14,AV$13)="",10^12,OFFSET(CRONOPLE!$F$14,$M14,AV$13))))</f>
        <v>#VALUE!</v>
      </c>
      <c r="AX14" s="216">
        <f ca="1">IF($D14&lt;&gt;"Serviço",0,IF(OR(AND(AUTOEVENTO="Manual",$M14=1),$M14&gt;(ROW(PLE.lastrow)-ROW(PLE.firstrow))),0,IF(OFFSET(PLE!$G$14,$M14,AX$13)="",10^12,OFFSET(PLE!$G$14,$M14,AX$13))))</f>
        <v>0</v>
      </c>
      <c r="AY14" s="216">
        <f ca="1">IF($D14&lt;&gt;"Serviço",0,IF(OR(AND(AUTOEVENTO="Manual",$M14=1),$M14&gt;(ROW(PLE.lastrow)-ROW(PLE.firstrow))),0,IF(OFFSET(PLE!$G$14,$M14,AY$13)="",10^12,OFFSET(PLE!$G$14,$M14,AY$13))))</f>
        <v>0</v>
      </c>
      <c r="AZ14" s="216">
        <f ca="1">IF($D14&lt;&gt;"Serviço",0,IF(OR(AND(AUTOEVENTO="Manual",$M14=1),$M14&gt;(ROW(PLE.lastrow)-ROW(PLE.firstrow))),0,IF(OFFSET(PLE!$G$14,$M14,AZ$13)="",10^12,OFFSET(PLE!$G$14,$M14,AZ$13))))</f>
        <v>0</v>
      </c>
      <c r="BA14" s="216">
        <f ca="1">IF($D14&lt;&gt;"Serviço",0,IF(OR(AND(AUTOEVENTO="Manual",$M14=1),$M14&gt;(ROW(PLE.lastrow)-ROW(PLE.firstrow))),0,IF(OFFSET(PLE!$G$14,$M14,BA$13)="",10^12,OFFSET(PLE!$G$14,$M14,BA$13))))</f>
        <v>0</v>
      </c>
      <c r="BB14" s="216">
        <f ca="1">IF($D14&lt;&gt;"Serviço",0,IF(OR(AND(AUTOEVENTO="Manual",$M14=1),$M14&gt;(ROW(PLE.lastrow)-ROW(PLE.firstrow))),0,IF(OFFSET(PLE!$G$14,$M14,BB$13)="",10^12,OFFSET(PLE!$G$14,$M14,BB$13))))</f>
        <v>0</v>
      </c>
      <c r="BC14" s="216">
        <f ca="1">IF($D14&lt;&gt;"Serviço",0,IF(OR(AND(AUTOEVENTO="Manual",$M14=1),$M14&gt;(ROW(PLE.lastrow)-ROW(PLE.firstrow))),0,IF(OFFSET(PLE!$G$14,$M14,BC$13)="",10^12,OFFSET(PLE!$G$14,$M14,BC$13))))</f>
        <v>0</v>
      </c>
      <c r="BD14" s="216">
        <f ca="1">IF($D14&lt;&gt;"Serviço",0,IF(OR(AND(AUTOEVENTO="Manual",$M14=1),$M14&gt;(ROW(PLE.lastrow)-ROW(PLE.firstrow))),0,IF(OFFSET(PLE!$G$14,$M14,BD$13)="",10^12,OFFSET(PLE!$G$14,$M14,BD$13))))</f>
        <v>0</v>
      </c>
      <c r="BE14" s="216">
        <f ca="1">IF($D14&lt;&gt;"Serviço",0,IF(OR(AND(AUTOEVENTO="Manual",$M14=1),$M14&gt;(ROW(PLE.lastrow)-ROW(PLE.firstrow))),0,IF(OFFSET(PLE!$G$14,$M14,BE$13)="",10^12,OFFSET(PLE!$G$14,$M14,BE$13))))</f>
        <v>0</v>
      </c>
      <c r="BF14" s="216">
        <f ca="1">IF($D14&lt;&gt;"Serviço",0,IF(OR(AND(AUTOEVENTO="Manual",$M14=1),$M14&gt;(ROW(PLE.lastrow)-ROW(PLE.firstrow))),0,IF(OFFSET(PLE!$G$14,$M14,BF$13)="",10^12,OFFSET(PLE!$G$14,$M14,BF$13))))</f>
        <v>0</v>
      </c>
      <c r="BG14" s="216">
        <f ca="1">IF($D14&lt;&gt;"Serviço",0,IF(OR(AND(AUTOEVENTO="Manual",$M14=1),$M14&gt;(ROW(PLE.lastrow)-ROW(PLE.firstrow))),0,IF(OFFSET(PLE!$G$14,$M14,BG$13)="",10^12,OFFSET(PLE!$G$14,$M14,BG$13))))</f>
        <v>0</v>
      </c>
    </row>
    <row r="15" spans="1:59" ht="12.75" customHeight="1" x14ac:dyDescent="0.2">
      <c r="B15" s="9" t="str">
        <f ca="1">OFFSET(ORÇAMENTO!C$15,ROW(B15)-ROW(B$15),0)</f>
        <v>L</v>
      </c>
      <c r="C15" s="9" t="str">
        <f ca="1">OFFSET(ORÇAMENTO!L$15,ROW(C15)-ROW(C$15),0)</f>
        <v>F</v>
      </c>
      <c r="D15" s="160" t="str">
        <f>IF(TIPOORCAMENTO="LICITADO","CTEF","LOTE")</f>
        <v>LOTE</v>
      </c>
      <c r="E15" s="744" t="str">
        <f>Import.DescLote</f>
        <v>BIBLIOTECA  ÉRICO VERISSIMO</v>
      </c>
      <c r="F15" s="744"/>
      <c r="G15" s="744"/>
      <c r="H15" s="744"/>
      <c r="I15" s="650"/>
      <c r="K15" s="217"/>
      <c r="L15" s="209" t="s">
        <v>255</v>
      </c>
      <c r="M15" s="218">
        <f ca="1">IF(AUTOEVENTO="MANUAL",0,1)</f>
        <v>1</v>
      </c>
      <c r="N15" s="219" t="s">
        <v>263</v>
      </c>
      <c r="O15" s="220" t="e">
        <f ca="1">OFFSET($AA$15,0,O$13)</f>
        <v>#VALUE!</v>
      </c>
      <c r="Q15" s="221">
        <f t="shared" ref="Q15:Z15" ca="1" si="5">OFFSET($AA$15,0,Q$13)</f>
        <v>0</v>
      </c>
      <c r="R15" s="220">
        <f t="shared" ca="1" si="5"/>
        <v>0</v>
      </c>
      <c r="S15" s="220">
        <f t="shared" ca="1" si="5"/>
        <v>0</v>
      </c>
      <c r="T15" s="220">
        <f t="shared" ca="1" si="5"/>
        <v>0</v>
      </c>
      <c r="U15" s="220">
        <f t="shared" ca="1" si="5"/>
        <v>0</v>
      </c>
      <c r="V15" s="220">
        <f t="shared" ca="1" si="5"/>
        <v>0</v>
      </c>
      <c r="W15" s="220">
        <f t="shared" ca="1" si="5"/>
        <v>0</v>
      </c>
      <c r="X15" s="220">
        <f t="shared" ca="1" si="5"/>
        <v>0</v>
      </c>
      <c r="Y15" s="220">
        <f t="shared" ca="1" si="5"/>
        <v>0</v>
      </c>
      <c r="Z15" s="222">
        <f t="shared" ca="1" si="5"/>
        <v>0</v>
      </c>
      <c r="AB15" s="223">
        <f ca="1">ROUND(SUM(OFFSET(AB$15,1,0):AB$192),2)</f>
        <v>0</v>
      </c>
      <c r="AC15" s="223">
        <f ca="1">SUM(OFFSET(AC$15,1,0):AC$192)</f>
        <v>0</v>
      </c>
      <c r="AD15" s="223">
        <f ca="1">SUM(OFFSET(AD$15,1,0):AD$192)</f>
        <v>0</v>
      </c>
      <c r="AE15" s="223">
        <f ca="1">SUM(OFFSET(AE$15,1,0):AE$192)</f>
        <v>0</v>
      </c>
      <c r="AF15" s="223">
        <f ca="1">SUM(OFFSET(AF$15,1,0):AF$192)</f>
        <v>0</v>
      </c>
      <c r="AG15" s="223">
        <f ca="1">SUM(OFFSET(AG$15,1,0):AG$192)</f>
        <v>0</v>
      </c>
      <c r="AH15" s="223">
        <f ca="1">SUM(OFFSET(AH$15,1,0):AH$192)</f>
        <v>0</v>
      </c>
      <c r="AI15" s="223">
        <f ca="1">SUM(OFFSET(AI$15,1,0):AI$192)</f>
        <v>0</v>
      </c>
      <c r="AJ15" s="223">
        <f ca="1">SUM(OFFSET(AJ$15,1,0):AJ$192)</f>
        <v>0</v>
      </c>
      <c r="AK15" s="223">
        <f ca="1">SUM(OFFSET(AK$15,1,0):AK$192)</f>
        <v>0</v>
      </c>
      <c r="AM15" s="224">
        <f>10^12</f>
        <v>1000000000000</v>
      </c>
      <c r="AN15" s="224">
        <f t="shared" ref="AN15:AV15" si="6">10^12</f>
        <v>1000000000000</v>
      </c>
      <c r="AO15" s="224">
        <f t="shared" si="6"/>
        <v>1000000000000</v>
      </c>
      <c r="AP15" s="224">
        <f t="shared" si="6"/>
        <v>1000000000000</v>
      </c>
      <c r="AQ15" s="224">
        <f t="shared" si="6"/>
        <v>1000000000000</v>
      </c>
      <c r="AR15" s="224">
        <f t="shared" si="6"/>
        <v>1000000000000</v>
      </c>
      <c r="AS15" s="224">
        <f t="shared" si="6"/>
        <v>1000000000000</v>
      </c>
      <c r="AT15" s="224">
        <f t="shared" si="6"/>
        <v>1000000000000</v>
      </c>
      <c r="AU15" s="224">
        <f t="shared" si="6"/>
        <v>1000000000000</v>
      </c>
      <c r="AV15" s="224">
        <f t="shared" si="6"/>
        <v>1000000000000</v>
      </c>
      <c r="AX15" s="224">
        <f t="shared" ref="AX15:BG15" si="7">10^12</f>
        <v>1000000000000</v>
      </c>
      <c r="AY15" s="224">
        <f t="shared" si="7"/>
        <v>1000000000000</v>
      </c>
      <c r="AZ15" s="224">
        <f t="shared" si="7"/>
        <v>1000000000000</v>
      </c>
      <c r="BA15" s="224">
        <f t="shared" si="7"/>
        <v>1000000000000</v>
      </c>
      <c r="BB15" s="224">
        <f t="shared" si="7"/>
        <v>1000000000000</v>
      </c>
      <c r="BC15" s="224">
        <f t="shared" si="7"/>
        <v>1000000000000</v>
      </c>
      <c r="BD15" s="224">
        <f t="shared" si="7"/>
        <v>1000000000000</v>
      </c>
      <c r="BE15" s="224">
        <f t="shared" si="7"/>
        <v>1000000000000</v>
      </c>
      <c r="BF15" s="224">
        <f t="shared" si="7"/>
        <v>1000000000000</v>
      </c>
      <c r="BG15" s="224">
        <f t="shared" si="7"/>
        <v>1000000000000</v>
      </c>
    </row>
    <row r="16" spans="1:59" ht="12.75" x14ac:dyDescent="0.2">
      <c r="A16" s="9" t="str">
        <f t="shared" ref="A16:A60" ca="1" si="8">IF(AUTOEVENTO="Manual",IF(K16&lt;&gt;"",MIN(VALUE(LEFT(K16,FIND(".",K16)-1)),COUNTA(EVENTOS.Lista)),0),IF(OR($B16&gt;AUTOEVENTO,$B16="S",$B16=0),SUBSTITUTE(OFFSET($A16,-1,0),IF($D16="Serviço",".",""),""),ROW(A16)-ROW($A$15)&amp;"."))</f>
        <v>1.</v>
      </c>
      <c r="B16" s="9">
        <f ca="1">OFFSET(ORÇAMENTO!C$15,ROW(B16)-ROW(B$15),0)</f>
        <v>1</v>
      </c>
      <c r="C16" s="9" t="str">
        <f ca="1">OFFSET(ORÇAMENTO!L$15,ROW(C16)-ROW(C$15),0)</f>
        <v>F</v>
      </c>
      <c r="D16" s="145" t="str">
        <f ca="1">OFFSET(ORÇAMENTO!N$15,ROW(D16)-ROW(D$15),0)</f>
        <v>Meta</v>
      </c>
      <c r="E16" s="205" t="str">
        <f ca="1">OFFSET(ORÇAMENTO!O$15,ROW(E16)-ROW(E$15),0)</f>
        <v>1.</v>
      </c>
      <c r="F16" s="206" t="str">
        <f ca="1">OFFSET(ORÇAMENTO!R$15,ROW(F16)-ROW(F$15),0)</f>
        <v>BIBLIOTECA ÉRICO VERÍSSIMO</v>
      </c>
      <c r="G16" s="207" t="str">
        <f ca="1">IF($D16&lt;&gt;"Serviço","",OFFSET(ORÇAMENTO!S$15,ROW(G16)-ROW(G$15),0))</f>
        <v/>
      </c>
      <c r="H16" s="151">
        <f ca="1">IF($D16&lt;&gt;"Serviço",0,IF(ACOMPANHAMENTO="BM",ROUND(OFFSET(ORÇAMENTO!AJ$15,ROW(H16)-ROW(H$15),0),15-13*ORÇAMENTO!$AF$7),SUMPRODUCT(($Q$12:$AA$12&lt;&gt;"")*ROUND($Q16:$AA16,15-13*ORÇAMENTO!$AF$7))))</f>
        <v>0</v>
      </c>
      <c r="I16" s="649"/>
      <c r="K16" s="208"/>
      <c r="L16" s="209" t="s">
        <v>255</v>
      </c>
      <c r="M16" s="210" t="str">
        <f ca="1">IF($D16&lt;&gt;"Serviço","",IF(AUTOEVENTO="manual",$A16,IF(ISERROR(MATCH($A16,$A$15:OFFSET($A16,-1,0),0)),MAX($M$15:OFFSET(M16,-1,0))+1,INDEX($M$15:OFFSET(M16,-1,0),MATCH($A16,$A$15:OFFSET($A16,-1,0),0)))))</f>
        <v/>
      </c>
      <c r="N16" s="211" t="str">
        <f ca="1">IF($D16&lt;&gt;"Serviço","",IF(AUTOEVENTO="Manual",IF($A16=0,"&lt;-- defina o número do agrupador",OFFSET(EVENTOS!$D$14,$A16,0)),OFFSET($F$15,$A16,0)))</f>
        <v/>
      </c>
      <c r="O16" s="212"/>
      <c r="Q16" s="212"/>
      <c r="R16" s="213"/>
      <c r="S16" s="213"/>
      <c r="T16" s="213"/>
      <c r="U16" s="213"/>
      <c r="V16" s="213"/>
      <c r="W16" s="213"/>
      <c r="X16" s="213"/>
      <c r="Y16" s="213"/>
      <c r="Z16" s="214"/>
      <c r="AB16" s="630">
        <f ca="1">IF(AND($D16="Serviço",AB$12&lt;&gt;0,$H16&gt;0,OR(AUTOEVENTO&lt;&gt;"manual",$M16&lt;&gt;1)),
IF(Import.TipoArredondamento&lt;&gt;"TransfereGOV",
ROUND(OFFSET($P16,0,AB$13),15-13*ORÇAMENTO!$AF$7)/$H16*OFFSET(ORÇAMENTO!$X$15,ROW(AB16)-ROW(AB$15),0),
ROUND(ROUND(OFFSET($P16,0,AB$13),15-13*ORÇAMENTO!$AF$7)*OFFSET(ORÇAMENTO!$W$15,ROW(AB16)-ROW(AB$15),0),15-13*ORÇAMENTO!$AF$11)),0)</f>
        <v>0</v>
      </c>
      <c r="AC16" s="631">
        <f ca="1">IF(AND($D16="Serviço",AC$12&lt;&gt;0,$H16&gt;0,OR(AUTOEVENTO&lt;&gt;"manual",$M16&lt;&gt;1)),
IF(Import.TipoArredondamento&lt;&gt;"TransfereGOV",
ROUND(OFFSET($P16,0,AC$13),15-13*ORÇAMENTO!$AF$7)/$H16*OFFSET(ORÇAMENTO!$X$15,ROW(AC16)-ROW(AC$15),0),
ROUND(ROUND(OFFSET($P16,0,AC$13),15-13*ORÇAMENTO!$AF$7)*OFFSET(ORÇAMENTO!$W$15,ROW(AC16)-ROW(AC$15),0),15-13*ORÇAMENTO!$AF$11)),0)</f>
        <v>0</v>
      </c>
      <c r="AD16" s="631">
        <f ca="1">IF(AND($D16="Serviço",AD$12&lt;&gt;0,$H16&gt;0,OR(AUTOEVENTO&lt;&gt;"manual",$M16&lt;&gt;1)),
IF(Import.TipoArredondamento&lt;&gt;"TransfereGOV",
ROUND(OFFSET($P16,0,AD$13),15-13*ORÇAMENTO!$AF$7)/$H16*OFFSET(ORÇAMENTO!$X$15,ROW(AD16)-ROW(AD$15),0),
ROUND(ROUND(OFFSET($P16,0,AD$13),15-13*ORÇAMENTO!$AF$7)*OFFSET(ORÇAMENTO!$W$15,ROW(AD16)-ROW(AD$15),0),15-13*ORÇAMENTO!$AF$11)),0)</f>
        <v>0</v>
      </c>
      <c r="AE16" s="631">
        <f ca="1">IF(AND($D16="Serviço",AE$12&lt;&gt;0,$H16&gt;0,OR(AUTOEVENTO&lt;&gt;"manual",$M16&lt;&gt;1)),
IF(Import.TipoArredondamento&lt;&gt;"TransfereGOV",
ROUND(OFFSET($P16,0,AE$13),15-13*ORÇAMENTO!$AF$7)/$H16*OFFSET(ORÇAMENTO!$X$15,ROW(AE16)-ROW(AE$15),0),
ROUND(ROUND(OFFSET($P16,0,AE$13),15-13*ORÇAMENTO!$AF$7)*OFFSET(ORÇAMENTO!$W$15,ROW(AE16)-ROW(AE$15),0),15-13*ORÇAMENTO!$AF$11)),0)</f>
        <v>0</v>
      </c>
      <c r="AF16" s="631">
        <f ca="1">IF(AND($D16="Serviço",AF$12&lt;&gt;0,$H16&gt;0,OR(AUTOEVENTO&lt;&gt;"manual",$M16&lt;&gt;1)),
IF(Import.TipoArredondamento&lt;&gt;"TransfereGOV",
ROUND(OFFSET($P16,0,AF$13),15-13*ORÇAMENTO!$AF$7)/$H16*OFFSET(ORÇAMENTO!$X$15,ROW(AF16)-ROW(AF$15),0),
ROUND(ROUND(OFFSET($P16,0,AF$13),15-13*ORÇAMENTO!$AF$7)*OFFSET(ORÇAMENTO!$W$15,ROW(AF16)-ROW(AF$15),0),15-13*ORÇAMENTO!$AF$11)),0)</f>
        <v>0</v>
      </c>
      <c r="AG16" s="631">
        <f ca="1">IF(AND($D16="Serviço",AG$12&lt;&gt;0,$H16&gt;0,OR(AUTOEVENTO&lt;&gt;"manual",$M16&lt;&gt;1)),
IF(Import.TipoArredondamento&lt;&gt;"TransfereGOV",
ROUND(OFFSET($P16,0,AG$13),15-13*ORÇAMENTO!$AF$7)/$H16*OFFSET(ORÇAMENTO!$X$15,ROW(AG16)-ROW(AG$15),0),
ROUND(ROUND(OFFSET($P16,0,AG$13),15-13*ORÇAMENTO!$AF$7)*OFFSET(ORÇAMENTO!$W$15,ROW(AG16)-ROW(AG$15),0),15-13*ORÇAMENTO!$AF$11)),0)</f>
        <v>0</v>
      </c>
      <c r="AH16" s="631">
        <f ca="1">IF(AND($D16="Serviço",AH$12&lt;&gt;0,$H16&gt;0,OR(AUTOEVENTO&lt;&gt;"manual",$M16&lt;&gt;1)),
IF(Import.TipoArredondamento&lt;&gt;"TransfereGOV",
ROUND(OFFSET($P16,0,AH$13),15-13*ORÇAMENTO!$AF$7)/$H16*OFFSET(ORÇAMENTO!$X$15,ROW(AH16)-ROW(AH$15),0),
ROUND(ROUND(OFFSET($P16,0,AH$13),15-13*ORÇAMENTO!$AF$7)*OFFSET(ORÇAMENTO!$W$15,ROW(AH16)-ROW(AH$15),0),15-13*ORÇAMENTO!$AF$11)),0)</f>
        <v>0</v>
      </c>
      <c r="AI16" s="631">
        <f ca="1">IF(AND($D16="Serviço",AI$12&lt;&gt;0,$H16&gt;0,OR(AUTOEVENTO&lt;&gt;"manual",$M16&lt;&gt;1)),
IF(Import.TipoArredondamento&lt;&gt;"TransfereGOV",
ROUND(OFFSET($P16,0,AI$13),15-13*ORÇAMENTO!$AF$7)/$H16*OFFSET(ORÇAMENTO!$X$15,ROW(AI16)-ROW(AI$15),0),
ROUND(ROUND(OFFSET($P16,0,AI$13),15-13*ORÇAMENTO!$AF$7)*OFFSET(ORÇAMENTO!$W$15,ROW(AI16)-ROW(AI$15),0),15-13*ORÇAMENTO!$AF$11)),0)</f>
        <v>0</v>
      </c>
      <c r="AJ16" s="631">
        <f ca="1">IF(AND($D16="Serviço",AJ$12&lt;&gt;0,$H16&gt;0,OR(AUTOEVENTO&lt;&gt;"manual",$M16&lt;&gt;1)),
IF(Import.TipoArredondamento&lt;&gt;"TransfereGOV",
ROUND(OFFSET($P16,0,AJ$13),15-13*ORÇAMENTO!$AF$7)/$H16*OFFSET(ORÇAMENTO!$X$15,ROW(AJ16)-ROW(AJ$15),0),
ROUND(ROUND(OFFSET($P16,0,AJ$13),15-13*ORÇAMENTO!$AF$7)*OFFSET(ORÇAMENTO!$W$15,ROW(AJ16)-ROW(AJ$15),0),15-13*ORÇAMENTO!$AF$11)),0)</f>
        <v>0</v>
      </c>
      <c r="AK16" s="632">
        <f ca="1">IF(AND($D16="Serviço",AK$12&lt;&gt;0,$H16&gt;0,OR(AUTOEVENTO&lt;&gt;"manual",$M16&lt;&gt;1)),
IF(Import.TipoArredondamento&lt;&gt;"TransfereGOV",
ROUND(OFFSET($P16,0,AK$13),15-13*ORÇAMENTO!$AF$7)/$H16*OFFSET(ORÇAMENTO!$X$15,ROW(AK16)-ROW(AK$15),0),
ROUND(ROUND(OFFSET($P16,0,AK$13),15-13*ORÇAMENTO!$AF$7)*OFFSET(ORÇAMENTO!$W$15,ROW(AK16)-ROW(AK$15),0),15-13*ORÇAMENTO!$AF$11)),0)</f>
        <v>0</v>
      </c>
      <c r="AM16" s="215">
        <f ca="1">IF($D16&lt;&gt;"Serviço",0,IF(AND(AUTOEVENTO="Manual",$M16=1),0,IF(OFFSET(CRONOPLE!$F$14,$M16,AM$13)="",10^12,OFFSET(CRONOPLE!$F$14,$M16,AM$13))))</f>
        <v>0</v>
      </c>
      <c r="AN16" s="215">
        <f ca="1">IF($D16&lt;&gt;"Serviço",0,IF(AND(AUTOEVENTO="Manual",$M16=1),0,IF(OFFSET(CRONOPLE!$F$14,$M16,AN$13)="",10^12,OFFSET(CRONOPLE!$F$14,$M16,AN$13))))</f>
        <v>0</v>
      </c>
      <c r="AO16" s="215">
        <f ca="1">IF($D16&lt;&gt;"Serviço",0,IF(AND(AUTOEVENTO="Manual",$M16=1),0,IF(OFFSET(CRONOPLE!$F$14,$M16,AO$13)="",10^12,OFFSET(CRONOPLE!$F$14,$M16,AO$13))))</f>
        <v>0</v>
      </c>
      <c r="AP16" s="215">
        <f ca="1">IF($D16&lt;&gt;"Serviço",0,IF(AND(AUTOEVENTO="Manual",$M16=1),0,IF(OFFSET(CRONOPLE!$F$14,$M16,AP$13)="",10^12,OFFSET(CRONOPLE!$F$14,$M16,AP$13))))</f>
        <v>0</v>
      </c>
      <c r="AQ16" s="215">
        <f ca="1">IF($D16&lt;&gt;"Serviço",0,IF(AND(AUTOEVENTO="Manual",$M16=1),0,IF(OFFSET(CRONOPLE!$F$14,$M16,AQ$13)="",10^12,OFFSET(CRONOPLE!$F$14,$M16,AQ$13))))</f>
        <v>0</v>
      </c>
      <c r="AR16" s="215">
        <f ca="1">IF($D16&lt;&gt;"Serviço",0,IF(AND(AUTOEVENTO="Manual",$M16=1),0,IF(OFFSET(CRONOPLE!$F$14,$M16,AR$13)="",10^12,OFFSET(CRONOPLE!$F$14,$M16,AR$13))))</f>
        <v>0</v>
      </c>
      <c r="AS16" s="215">
        <f ca="1">IF($D16&lt;&gt;"Serviço",0,IF(AND(AUTOEVENTO="Manual",$M16=1),0,IF(OFFSET(CRONOPLE!$F$14,$M16,AS$13)="",10^12,OFFSET(CRONOPLE!$F$14,$M16,AS$13))))</f>
        <v>0</v>
      </c>
      <c r="AT16" s="215">
        <f ca="1">IF($D16&lt;&gt;"Serviço",0,IF(AND(AUTOEVENTO="Manual",$M16=1),0,IF(OFFSET(CRONOPLE!$F$14,$M16,AT$13)="",10^12,OFFSET(CRONOPLE!$F$14,$M16,AT$13))))</f>
        <v>0</v>
      </c>
      <c r="AU16" s="215">
        <f ca="1">IF($D16&lt;&gt;"Serviço",0,IF(AND(AUTOEVENTO="Manual",$M16=1),0,IF(OFFSET(CRONOPLE!$F$14,$M16,AU$13)="",10^12,OFFSET(CRONOPLE!$F$14,$M16,AU$13))))</f>
        <v>0</v>
      </c>
      <c r="AV16" s="215">
        <f ca="1">IF($D16&lt;&gt;"Serviço",0,IF(AND(AUTOEVENTO="Manual",$M16=1),0,IF(OFFSET(CRONOPLE!$F$14,$M16,AV$13)="",10^12,OFFSET(CRONOPLE!$F$14,$M16,AV$13))))</f>
        <v>0</v>
      </c>
      <c r="AX16" s="216">
        <f ca="1">IF($D16&lt;&gt;"Serviço",0,IF(OR(AND(AUTOEVENTO="Manual",$M16=1),$M16&gt;(ROW(PLE.lastrow)-ROW(PLE.firstrow))),0,IF(OFFSET(PLE!$G$14,$M16,AX$13)="",10^12,OFFSET(PLE!$G$14,$M16,AX$13))))</f>
        <v>0</v>
      </c>
      <c r="AY16" s="216">
        <f ca="1">IF($D16&lt;&gt;"Serviço",0,IF(OR(AND(AUTOEVENTO="Manual",$M16=1),$M16&gt;(ROW(PLE.lastrow)-ROW(PLE.firstrow))),0,IF(OFFSET(PLE!$G$14,$M16,AY$13)="",10^12,OFFSET(PLE!$G$14,$M16,AY$13))))</f>
        <v>0</v>
      </c>
      <c r="AZ16" s="216">
        <f ca="1">IF($D16&lt;&gt;"Serviço",0,IF(OR(AND(AUTOEVENTO="Manual",$M16=1),$M16&gt;(ROW(PLE.lastrow)-ROW(PLE.firstrow))),0,IF(OFFSET(PLE!$G$14,$M16,AZ$13)="",10^12,OFFSET(PLE!$G$14,$M16,AZ$13))))</f>
        <v>0</v>
      </c>
      <c r="BA16" s="216">
        <f ca="1">IF($D16&lt;&gt;"Serviço",0,IF(OR(AND(AUTOEVENTO="Manual",$M16=1),$M16&gt;(ROW(PLE.lastrow)-ROW(PLE.firstrow))),0,IF(OFFSET(PLE!$G$14,$M16,BA$13)="",10^12,OFFSET(PLE!$G$14,$M16,BA$13))))</f>
        <v>0</v>
      </c>
      <c r="BB16" s="216">
        <f ca="1">IF($D16&lt;&gt;"Serviço",0,IF(OR(AND(AUTOEVENTO="Manual",$M16=1),$M16&gt;(ROW(PLE.lastrow)-ROW(PLE.firstrow))),0,IF(OFFSET(PLE!$G$14,$M16,BB$13)="",10^12,OFFSET(PLE!$G$14,$M16,BB$13))))</f>
        <v>0</v>
      </c>
      <c r="BC16" s="216">
        <f ca="1">IF($D16&lt;&gt;"Serviço",0,IF(OR(AND(AUTOEVENTO="Manual",$M16=1),$M16&gt;(ROW(PLE.lastrow)-ROW(PLE.firstrow))),0,IF(OFFSET(PLE!$G$14,$M16,BC$13)="",10^12,OFFSET(PLE!$G$14,$M16,BC$13))))</f>
        <v>0</v>
      </c>
      <c r="BD16" s="216">
        <f ca="1">IF($D16&lt;&gt;"Serviço",0,IF(OR(AND(AUTOEVENTO="Manual",$M16=1),$M16&gt;(ROW(PLE.lastrow)-ROW(PLE.firstrow))),0,IF(OFFSET(PLE!$G$14,$M16,BD$13)="",10^12,OFFSET(PLE!$G$14,$M16,BD$13))))</f>
        <v>0</v>
      </c>
      <c r="BE16" s="216">
        <f ca="1">IF($D16&lt;&gt;"Serviço",0,IF(OR(AND(AUTOEVENTO="Manual",$M16=1),$M16&gt;(ROW(PLE.lastrow)-ROW(PLE.firstrow))),0,IF(OFFSET(PLE!$G$14,$M16,BE$13)="",10^12,OFFSET(PLE!$G$14,$M16,BE$13))))</f>
        <v>0</v>
      </c>
      <c r="BF16" s="216">
        <f ca="1">IF($D16&lt;&gt;"Serviço",0,IF(OR(AND(AUTOEVENTO="Manual",$M16=1),$M16&gt;(ROW(PLE.lastrow)-ROW(PLE.firstrow))),0,IF(OFFSET(PLE!$G$14,$M16,BF$13)="",10^12,OFFSET(PLE!$G$14,$M16,BF$13))))</f>
        <v>0</v>
      </c>
      <c r="BG16" s="216">
        <f ca="1">IF($D16&lt;&gt;"Serviço",0,IF(OR(AND(AUTOEVENTO="Manual",$M16=1),$M16&gt;(ROW(PLE.lastrow)-ROW(PLE.firstrow))),0,IF(OFFSET(PLE!$G$14,$M16,BG$13)="",10^12,OFFSET(PLE!$G$14,$M16,BG$13))))</f>
        <v>0</v>
      </c>
    </row>
    <row r="17" spans="1:59" ht="12.75" x14ac:dyDescent="0.2">
      <c r="A17" s="9" t="str">
        <f t="shared" ca="1" si="8"/>
        <v>2.</v>
      </c>
      <c r="B17" s="9">
        <f ca="1">OFFSET(ORÇAMENTO!C$15,ROW(B17)-ROW(B$15),0)</f>
        <v>2</v>
      </c>
      <c r="C17" s="9" t="str">
        <f ca="1">OFFSET(ORÇAMENTO!L$15,ROW(C17)-ROW(C$15),0)</f>
        <v>F</v>
      </c>
      <c r="D17" s="145" t="str">
        <f ca="1">OFFSET(ORÇAMENTO!N$15,ROW(D17)-ROW(D$15),0)</f>
        <v>Nível 2</v>
      </c>
      <c r="E17" s="205" t="str">
        <f ca="1">OFFSET(ORÇAMENTO!O$15,ROW(E17)-ROW(E$15),0)</f>
        <v>1.1.</v>
      </c>
      <c r="F17" s="206" t="str">
        <f ca="1">OFFSET(ORÇAMENTO!R$15,ROW(F17)-ROW(F$15),0)</f>
        <v>SERVIÇOS PRELIMINARES  E PROVISÓRIOS</v>
      </c>
      <c r="G17" s="207" t="str">
        <f ca="1">IF($D17&lt;&gt;"Serviço","",OFFSET(ORÇAMENTO!S$15,ROW(G17)-ROW(G$15),0))</f>
        <v/>
      </c>
      <c r="H17" s="151">
        <f ca="1">IF($D17&lt;&gt;"Serviço",0,IF(ACOMPANHAMENTO="BM",ROUND(OFFSET(ORÇAMENTO!AJ$15,ROW(H17)-ROW(H$15),0),15-13*ORÇAMENTO!$AF$7),SUMPRODUCT(($Q$12:$AA$12&lt;&gt;"")*ROUND($Q17:$AA17,15-13*ORÇAMENTO!$AF$7))))</f>
        <v>0</v>
      </c>
      <c r="I17" s="649"/>
      <c r="K17" s="208"/>
      <c r="L17" s="209" t="s">
        <v>255</v>
      </c>
      <c r="M17" s="210" t="str">
        <f ca="1">IF($D17&lt;&gt;"Serviço","",IF(AUTOEVENTO="manual",$A17,IF(ISERROR(MATCH($A17,$A$15:OFFSET($A17,-1,0),0)),MAX($M$15:OFFSET(M17,-1,0))+1,INDEX($M$15:OFFSET(M17,-1,0),MATCH($A17,$A$15:OFFSET($A17,-1,0),0)))))</f>
        <v/>
      </c>
      <c r="N17" s="211" t="str">
        <f ca="1">IF($D17&lt;&gt;"Serviço","",IF(AUTOEVENTO="Manual",IF($A17=0,"&lt;-- defina o número do agrupador",OFFSET(EVENTOS!$D$14,$A17,0)),OFFSET($F$15,$A17,0)))</f>
        <v/>
      </c>
      <c r="O17" s="212"/>
      <c r="Q17" s="212"/>
      <c r="R17" s="213"/>
      <c r="S17" s="213"/>
      <c r="T17" s="213"/>
      <c r="U17" s="213"/>
      <c r="V17" s="213"/>
      <c r="W17" s="213"/>
      <c r="X17" s="213"/>
      <c r="Y17" s="213"/>
      <c r="Z17" s="214"/>
      <c r="AB17" s="630">
        <f ca="1">IF(AND($D17="Serviço",AB$12&lt;&gt;0,$H17&gt;0,OR(AUTOEVENTO&lt;&gt;"manual",$M17&lt;&gt;1)),
IF(Import.TipoArredondamento&lt;&gt;"TransfereGOV",
ROUND(OFFSET($P17,0,AB$13),15-13*ORÇAMENTO!$AF$7)/$H17*OFFSET(ORÇAMENTO!$X$15,ROW(AB17)-ROW(AB$15),0),
ROUND(ROUND(OFFSET($P17,0,AB$13),15-13*ORÇAMENTO!$AF$7)*OFFSET(ORÇAMENTO!$W$15,ROW(AB17)-ROW(AB$15),0),15-13*ORÇAMENTO!$AF$11)),0)</f>
        <v>0</v>
      </c>
      <c r="AC17" s="631">
        <f ca="1">IF(AND($D17="Serviço",AC$12&lt;&gt;0,$H17&gt;0,OR(AUTOEVENTO&lt;&gt;"manual",$M17&lt;&gt;1)),
IF(Import.TipoArredondamento&lt;&gt;"TransfereGOV",
ROUND(OFFSET($P17,0,AC$13),15-13*ORÇAMENTO!$AF$7)/$H17*OFFSET(ORÇAMENTO!$X$15,ROW(AC17)-ROW(AC$15),0),
ROUND(ROUND(OFFSET($P17,0,AC$13),15-13*ORÇAMENTO!$AF$7)*OFFSET(ORÇAMENTO!$W$15,ROW(AC17)-ROW(AC$15),0),15-13*ORÇAMENTO!$AF$11)),0)</f>
        <v>0</v>
      </c>
      <c r="AD17" s="631">
        <f ca="1">IF(AND($D17="Serviço",AD$12&lt;&gt;0,$H17&gt;0,OR(AUTOEVENTO&lt;&gt;"manual",$M17&lt;&gt;1)),
IF(Import.TipoArredondamento&lt;&gt;"TransfereGOV",
ROUND(OFFSET($P17,0,AD$13),15-13*ORÇAMENTO!$AF$7)/$H17*OFFSET(ORÇAMENTO!$X$15,ROW(AD17)-ROW(AD$15),0),
ROUND(ROUND(OFFSET($P17,0,AD$13),15-13*ORÇAMENTO!$AF$7)*OFFSET(ORÇAMENTO!$W$15,ROW(AD17)-ROW(AD$15),0),15-13*ORÇAMENTO!$AF$11)),0)</f>
        <v>0</v>
      </c>
      <c r="AE17" s="631">
        <f ca="1">IF(AND($D17="Serviço",AE$12&lt;&gt;0,$H17&gt;0,OR(AUTOEVENTO&lt;&gt;"manual",$M17&lt;&gt;1)),
IF(Import.TipoArredondamento&lt;&gt;"TransfereGOV",
ROUND(OFFSET($P17,0,AE$13),15-13*ORÇAMENTO!$AF$7)/$H17*OFFSET(ORÇAMENTO!$X$15,ROW(AE17)-ROW(AE$15),0),
ROUND(ROUND(OFFSET($P17,0,AE$13),15-13*ORÇAMENTO!$AF$7)*OFFSET(ORÇAMENTO!$W$15,ROW(AE17)-ROW(AE$15),0),15-13*ORÇAMENTO!$AF$11)),0)</f>
        <v>0</v>
      </c>
      <c r="AF17" s="631">
        <f ca="1">IF(AND($D17="Serviço",AF$12&lt;&gt;0,$H17&gt;0,OR(AUTOEVENTO&lt;&gt;"manual",$M17&lt;&gt;1)),
IF(Import.TipoArredondamento&lt;&gt;"TransfereGOV",
ROUND(OFFSET($P17,0,AF$13),15-13*ORÇAMENTO!$AF$7)/$H17*OFFSET(ORÇAMENTO!$X$15,ROW(AF17)-ROW(AF$15),0),
ROUND(ROUND(OFFSET($P17,0,AF$13),15-13*ORÇAMENTO!$AF$7)*OFFSET(ORÇAMENTO!$W$15,ROW(AF17)-ROW(AF$15),0),15-13*ORÇAMENTO!$AF$11)),0)</f>
        <v>0</v>
      </c>
      <c r="AG17" s="631">
        <f ca="1">IF(AND($D17="Serviço",AG$12&lt;&gt;0,$H17&gt;0,OR(AUTOEVENTO&lt;&gt;"manual",$M17&lt;&gt;1)),
IF(Import.TipoArredondamento&lt;&gt;"TransfereGOV",
ROUND(OFFSET($P17,0,AG$13),15-13*ORÇAMENTO!$AF$7)/$H17*OFFSET(ORÇAMENTO!$X$15,ROW(AG17)-ROW(AG$15),0),
ROUND(ROUND(OFFSET($P17,0,AG$13),15-13*ORÇAMENTO!$AF$7)*OFFSET(ORÇAMENTO!$W$15,ROW(AG17)-ROW(AG$15),0),15-13*ORÇAMENTO!$AF$11)),0)</f>
        <v>0</v>
      </c>
      <c r="AH17" s="631">
        <f ca="1">IF(AND($D17="Serviço",AH$12&lt;&gt;0,$H17&gt;0,OR(AUTOEVENTO&lt;&gt;"manual",$M17&lt;&gt;1)),
IF(Import.TipoArredondamento&lt;&gt;"TransfereGOV",
ROUND(OFFSET($P17,0,AH$13),15-13*ORÇAMENTO!$AF$7)/$H17*OFFSET(ORÇAMENTO!$X$15,ROW(AH17)-ROW(AH$15),0),
ROUND(ROUND(OFFSET($P17,0,AH$13),15-13*ORÇAMENTO!$AF$7)*OFFSET(ORÇAMENTO!$W$15,ROW(AH17)-ROW(AH$15),0),15-13*ORÇAMENTO!$AF$11)),0)</f>
        <v>0</v>
      </c>
      <c r="AI17" s="631">
        <f ca="1">IF(AND($D17="Serviço",AI$12&lt;&gt;0,$H17&gt;0,OR(AUTOEVENTO&lt;&gt;"manual",$M17&lt;&gt;1)),
IF(Import.TipoArredondamento&lt;&gt;"TransfereGOV",
ROUND(OFFSET($P17,0,AI$13),15-13*ORÇAMENTO!$AF$7)/$H17*OFFSET(ORÇAMENTO!$X$15,ROW(AI17)-ROW(AI$15),0),
ROUND(ROUND(OFFSET($P17,0,AI$13),15-13*ORÇAMENTO!$AF$7)*OFFSET(ORÇAMENTO!$W$15,ROW(AI17)-ROW(AI$15),0),15-13*ORÇAMENTO!$AF$11)),0)</f>
        <v>0</v>
      </c>
      <c r="AJ17" s="631">
        <f ca="1">IF(AND($D17="Serviço",AJ$12&lt;&gt;0,$H17&gt;0,OR(AUTOEVENTO&lt;&gt;"manual",$M17&lt;&gt;1)),
IF(Import.TipoArredondamento&lt;&gt;"TransfereGOV",
ROUND(OFFSET($P17,0,AJ$13),15-13*ORÇAMENTO!$AF$7)/$H17*OFFSET(ORÇAMENTO!$X$15,ROW(AJ17)-ROW(AJ$15),0),
ROUND(ROUND(OFFSET($P17,0,AJ$13),15-13*ORÇAMENTO!$AF$7)*OFFSET(ORÇAMENTO!$W$15,ROW(AJ17)-ROW(AJ$15),0),15-13*ORÇAMENTO!$AF$11)),0)</f>
        <v>0</v>
      </c>
      <c r="AK17" s="632">
        <f ca="1">IF(AND($D17="Serviço",AK$12&lt;&gt;0,$H17&gt;0,OR(AUTOEVENTO&lt;&gt;"manual",$M17&lt;&gt;1)),
IF(Import.TipoArredondamento&lt;&gt;"TransfereGOV",
ROUND(OFFSET($P17,0,AK$13),15-13*ORÇAMENTO!$AF$7)/$H17*OFFSET(ORÇAMENTO!$X$15,ROW(AK17)-ROW(AK$15),0),
ROUND(ROUND(OFFSET($P17,0,AK$13),15-13*ORÇAMENTO!$AF$7)*OFFSET(ORÇAMENTO!$W$15,ROW(AK17)-ROW(AK$15),0),15-13*ORÇAMENTO!$AF$11)),0)</f>
        <v>0</v>
      </c>
      <c r="AM17" s="215">
        <f ca="1">IF($D17&lt;&gt;"Serviço",0,IF(AND(AUTOEVENTO="Manual",$M17=1),0,IF(OFFSET(CRONOPLE!$F$14,$M17,AM$13)="",10^12,OFFSET(CRONOPLE!$F$14,$M17,AM$13))))</f>
        <v>0</v>
      </c>
      <c r="AN17" s="215">
        <f ca="1">IF($D17&lt;&gt;"Serviço",0,IF(AND(AUTOEVENTO="Manual",$M17=1),0,IF(OFFSET(CRONOPLE!$F$14,$M17,AN$13)="",10^12,OFFSET(CRONOPLE!$F$14,$M17,AN$13))))</f>
        <v>0</v>
      </c>
      <c r="AO17" s="215">
        <f ca="1">IF($D17&lt;&gt;"Serviço",0,IF(AND(AUTOEVENTO="Manual",$M17=1),0,IF(OFFSET(CRONOPLE!$F$14,$M17,AO$13)="",10^12,OFFSET(CRONOPLE!$F$14,$M17,AO$13))))</f>
        <v>0</v>
      </c>
      <c r="AP17" s="215">
        <f ca="1">IF($D17&lt;&gt;"Serviço",0,IF(AND(AUTOEVENTO="Manual",$M17=1),0,IF(OFFSET(CRONOPLE!$F$14,$M17,AP$13)="",10^12,OFFSET(CRONOPLE!$F$14,$M17,AP$13))))</f>
        <v>0</v>
      </c>
      <c r="AQ17" s="215">
        <f ca="1">IF($D17&lt;&gt;"Serviço",0,IF(AND(AUTOEVENTO="Manual",$M17=1),0,IF(OFFSET(CRONOPLE!$F$14,$M17,AQ$13)="",10^12,OFFSET(CRONOPLE!$F$14,$M17,AQ$13))))</f>
        <v>0</v>
      </c>
      <c r="AR17" s="215">
        <f ca="1">IF($D17&lt;&gt;"Serviço",0,IF(AND(AUTOEVENTO="Manual",$M17=1),0,IF(OFFSET(CRONOPLE!$F$14,$M17,AR$13)="",10^12,OFFSET(CRONOPLE!$F$14,$M17,AR$13))))</f>
        <v>0</v>
      </c>
      <c r="AS17" s="215">
        <f ca="1">IF($D17&lt;&gt;"Serviço",0,IF(AND(AUTOEVENTO="Manual",$M17=1),0,IF(OFFSET(CRONOPLE!$F$14,$M17,AS$13)="",10^12,OFFSET(CRONOPLE!$F$14,$M17,AS$13))))</f>
        <v>0</v>
      </c>
      <c r="AT17" s="215">
        <f ca="1">IF($D17&lt;&gt;"Serviço",0,IF(AND(AUTOEVENTO="Manual",$M17=1),0,IF(OFFSET(CRONOPLE!$F$14,$M17,AT$13)="",10^12,OFFSET(CRONOPLE!$F$14,$M17,AT$13))))</f>
        <v>0</v>
      </c>
      <c r="AU17" s="215">
        <f ca="1">IF($D17&lt;&gt;"Serviço",0,IF(AND(AUTOEVENTO="Manual",$M17=1),0,IF(OFFSET(CRONOPLE!$F$14,$M17,AU$13)="",10^12,OFFSET(CRONOPLE!$F$14,$M17,AU$13))))</f>
        <v>0</v>
      </c>
      <c r="AV17" s="215">
        <f ca="1">IF($D17&lt;&gt;"Serviço",0,IF(AND(AUTOEVENTO="Manual",$M17=1),0,IF(OFFSET(CRONOPLE!$F$14,$M17,AV$13)="",10^12,OFFSET(CRONOPLE!$F$14,$M17,AV$13))))</f>
        <v>0</v>
      </c>
      <c r="AX17" s="216">
        <f ca="1">IF($D17&lt;&gt;"Serviço",0,IF(OR(AND(AUTOEVENTO="Manual",$M17=1),$M17&gt;(ROW(PLE.lastrow)-ROW(PLE.firstrow))),0,IF(OFFSET(PLE!$G$14,$M17,AX$13)="",10^12,OFFSET(PLE!$G$14,$M17,AX$13))))</f>
        <v>0</v>
      </c>
      <c r="AY17" s="216">
        <f ca="1">IF($D17&lt;&gt;"Serviço",0,IF(OR(AND(AUTOEVENTO="Manual",$M17=1),$M17&gt;(ROW(PLE.lastrow)-ROW(PLE.firstrow))),0,IF(OFFSET(PLE!$G$14,$M17,AY$13)="",10^12,OFFSET(PLE!$G$14,$M17,AY$13))))</f>
        <v>0</v>
      </c>
      <c r="AZ17" s="216">
        <f ca="1">IF($D17&lt;&gt;"Serviço",0,IF(OR(AND(AUTOEVENTO="Manual",$M17=1),$M17&gt;(ROW(PLE.lastrow)-ROW(PLE.firstrow))),0,IF(OFFSET(PLE!$G$14,$M17,AZ$13)="",10^12,OFFSET(PLE!$G$14,$M17,AZ$13))))</f>
        <v>0</v>
      </c>
      <c r="BA17" s="216">
        <f ca="1">IF($D17&lt;&gt;"Serviço",0,IF(OR(AND(AUTOEVENTO="Manual",$M17=1),$M17&gt;(ROW(PLE.lastrow)-ROW(PLE.firstrow))),0,IF(OFFSET(PLE!$G$14,$M17,BA$13)="",10^12,OFFSET(PLE!$G$14,$M17,BA$13))))</f>
        <v>0</v>
      </c>
      <c r="BB17" s="216">
        <f ca="1">IF($D17&lt;&gt;"Serviço",0,IF(OR(AND(AUTOEVENTO="Manual",$M17=1),$M17&gt;(ROW(PLE.lastrow)-ROW(PLE.firstrow))),0,IF(OFFSET(PLE!$G$14,$M17,BB$13)="",10^12,OFFSET(PLE!$G$14,$M17,BB$13))))</f>
        <v>0</v>
      </c>
      <c r="BC17" s="216">
        <f ca="1">IF($D17&lt;&gt;"Serviço",0,IF(OR(AND(AUTOEVENTO="Manual",$M17=1),$M17&gt;(ROW(PLE.lastrow)-ROW(PLE.firstrow))),0,IF(OFFSET(PLE!$G$14,$M17,BC$13)="",10^12,OFFSET(PLE!$G$14,$M17,BC$13))))</f>
        <v>0</v>
      </c>
      <c r="BD17" s="216">
        <f ca="1">IF($D17&lt;&gt;"Serviço",0,IF(OR(AND(AUTOEVENTO="Manual",$M17=1),$M17&gt;(ROW(PLE.lastrow)-ROW(PLE.firstrow))),0,IF(OFFSET(PLE!$G$14,$M17,BD$13)="",10^12,OFFSET(PLE!$G$14,$M17,BD$13))))</f>
        <v>0</v>
      </c>
      <c r="BE17" s="216">
        <f ca="1">IF($D17&lt;&gt;"Serviço",0,IF(OR(AND(AUTOEVENTO="Manual",$M17=1),$M17&gt;(ROW(PLE.lastrow)-ROW(PLE.firstrow))),0,IF(OFFSET(PLE!$G$14,$M17,BE$13)="",10^12,OFFSET(PLE!$G$14,$M17,BE$13))))</f>
        <v>0</v>
      </c>
      <c r="BF17" s="216">
        <f ca="1">IF($D17&lt;&gt;"Serviço",0,IF(OR(AND(AUTOEVENTO="Manual",$M17=1),$M17&gt;(ROW(PLE.lastrow)-ROW(PLE.firstrow))),0,IF(OFFSET(PLE!$G$14,$M17,BF$13)="",10^12,OFFSET(PLE!$G$14,$M17,BF$13))))</f>
        <v>0</v>
      </c>
      <c r="BG17" s="216">
        <f ca="1">IF($D17&lt;&gt;"Serviço",0,IF(OR(AND(AUTOEVENTO="Manual",$M17=1),$M17&gt;(ROW(PLE.lastrow)-ROW(PLE.firstrow))),0,IF(OFFSET(PLE!$G$14,$M17,BG$13)="",10^12,OFFSET(PLE!$G$14,$M17,BG$13))))</f>
        <v>0</v>
      </c>
    </row>
    <row r="18" spans="1:59" ht="38.25" x14ac:dyDescent="0.2">
      <c r="A18" s="9" t="str">
        <f t="shared" ca="1" si="8"/>
        <v>2</v>
      </c>
      <c r="B18" s="9" t="str">
        <f ca="1">OFFSET(ORÇAMENTO!C$15,ROW(B18)-ROW(B$15),0)</f>
        <v>S</v>
      </c>
      <c r="C18" s="9" t="str">
        <f ca="1">OFFSET(ORÇAMENTO!L$15,ROW(C18)-ROW(C$15),0)</f>
        <v/>
      </c>
      <c r="D18" s="145" t="str">
        <f ca="1">OFFSET(ORÇAMENTO!N$15,ROW(D18)-ROW(D$15),0)</f>
        <v>Serviço</v>
      </c>
      <c r="E18" s="205" t="str">
        <f ca="1">OFFSET(ORÇAMENTO!O$15,ROW(E18)-ROW(E$15),0)</f>
        <v>-</v>
      </c>
      <c r="F18" s="206" t="str">
        <f ca="1">OFFSET(ORÇAMENTO!R$15,ROW(F18)-ROW(F$15),0)</f>
        <v xml:space="preserve">TAXAS DE ART CREA-RS DE EXECUÇÃO (ARQUITETÔNICO, ELÉTRICO, HIDROSSANITÁRIO, PPCI, GAS ESTRUTURAL, AR CONDICIONADO E CONTROLE DE MATERIAIS DE ACABAMENTO </v>
      </c>
      <c r="G18" s="207" t="str">
        <f ca="1">IF($D18&lt;&gt;"Serviço","",OFFSET(ORÇAMENTO!S$15,ROW(G18)-ROW(G$15),0))</f>
        <v>UNIDADE</v>
      </c>
      <c r="H18" s="151">
        <f ca="1">IF($D18&lt;&gt;"Serviço",0,IF(ACOMPANHAMENTO="BM",ROUND(OFFSET(ORÇAMENTO!AJ$15,ROW(H18)-ROW(H$15),0),15-13*ORÇAMENTO!$AF$7),SUMPRODUCT(($Q$12:$AA$12&lt;&gt;"")*ROUND($Q18:$AA18,15-13*ORÇAMENTO!$AF$7))))</f>
        <v>8</v>
      </c>
      <c r="I18" s="649"/>
      <c r="K18" s="208"/>
      <c r="L18" s="209" t="s">
        <v>255</v>
      </c>
      <c r="M18" s="210">
        <f ca="1">IF($D18&lt;&gt;"Serviço","",IF(AUTOEVENTO="manual",$A18,IF(ISERROR(MATCH($A18,$A$15:OFFSET($A18,-1,0),0)),MAX($M$15:OFFSET(M18,-1,0))+1,INDEX($M$15:OFFSET(M18,-1,0),MATCH($A18,$A$15:OFFSET($A18,-1,0),0)))))</f>
        <v>2</v>
      </c>
      <c r="N18" s="211" t="str">
        <f ca="1">IF($D18&lt;&gt;"Serviço","",IF(AUTOEVENTO="Manual",IF($A18=0,"&lt;-- defina o número do agrupador",OFFSET(EVENTOS!$D$14,$A18,0)),OFFSET($F$15,$A18,0)))</f>
        <v>SERVIÇOS PRELIMINARES  E PROVISÓRIOS</v>
      </c>
      <c r="O18" s="212"/>
      <c r="Q18" s="212"/>
      <c r="R18" s="213"/>
      <c r="S18" s="213"/>
      <c r="T18" s="213"/>
      <c r="U18" s="213"/>
      <c r="V18" s="213"/>
      <c r="W18" s="213"/>
      <c r="X18" s="213"/>
      <c r="Y18" s="213"/>
      <c r="Z18" s="214"/>
      <c r="AB18" s="630">
        <f ca="1">IF(AND($D18="Serviço",AB$12&lt;&gt;0,$H18&gt;0,OR(AUTOEVENTO&lt;&gt;"manual",$M18&lt;&gt;1)),
IF(Import.TipoArredondamento&lt;&gt;"TransfereGOV",
ROUND(OFFSET($P18,0,AB$13),15-13*ORÇAMENTO!$AF$7)/$H18*OFFSET(ORÇAMENTO!$X$15,ROW(AB18)-ROW(AB$15),0),
ROUND(ROUND(OFFSET($P18,0,AB$13),15-13*ORÇAMENTO!$AF$7)*OFFSET(ORÇAMENTO!$W$15,ROW(AB18)-ROW(AB$15),0),15-13*ORÇAMENTO!$AF$11)),0)</f>
        <v>0</v>
      </c>
      <c r="AC18" s="631">
        <f ca="1">IF(AND($D18="Serviço",AC$12&lt;&gt;0,$H18&gt;0,OR(AUTOEVENTO&lt;&gt;"manual",$M18&lt;&gt;1)),
IF(Import.TipoArredondamento&lt;&gt;"TransfereGOV",
ROUND(OFFSET($P18,0,AC$13),15-13*ORÇAMENTO!$AF$7)/$H18*OFFSET(ORÇAMENTO!$X$15,ROW(AC18)-ROW(AC$15),0),
ROUND(ROUND(OFFSET($P18,0,AC$13),15-13*ORÇAMENTO!$AF$7)*OFFSET(ORÇAMENTO!$W$15,ROW(AC18)-ROW(AC$15),0),15-13*ORÇAMENTO!$AF$11)),0)</f>
        <v>0</v>
      </c>
      <c r="AD18" s="631">
        <f ca="1">IF(AND($D18="Serviço",AD$12&lt;&gt;0,$H18&gt;0,OR(AUTOEVENTO&lt;&gt;"manual",$M18&lt;&gt;1)),
IF(Import.TipoArredondamento&lt;&gt;"TransfereGOV",
ROUND(OFFSET($P18,0,AD$13),15-13*ORÇAMENTO!$AF$7)/$H18*OFFSET(ORÇAMENTO!$X$15,ROW(AD18)-ROW(AD$15),0),
ROUND(ROUND(OFFSET($P18,0,AD$13),15-13*ORÇAMENTO!$AF$7)*OFFSET(ORÇAMENTO!$W$15,ROW(AD18)-ROW(AD$15),0),15-13*ORÇAMENTO!$AF$11)),0)</f>
        <v>0</v>
      </c>
      <c r="AE18" s="631">
        <f ca="1">IF(AND($D18="Serviço",AE$12&lt;&gt;0,$H18&gt;0,OR(AUTOEVENTO&lt;&gt;"manual",$M18&lt;&gt;1)),
IF(Import.TipoArredondamento&lt;&gt;"TransfereGOV",
ROUND(OFFSET($P18,0,AE$13),15-13*ORÇAMENTO!$AF$7)/$H18*OFFSET(ORÇAMENTO!$X$15,ROW(AE18)-ROW(AE$15),0),
ROUND(ROUND(OFFSET($P18,0,AE$13),15-13*ORÇAMENTO!$AF$7)*OFFSET(ORÇAMENTO!$W$15,ROW(AE18)-ROW(AE$15),0),15-13*ORÇAMENTO!$AF$11)),0)</f>
        <v>0</v>
      </c>
      <c r="AF18" s="631">
        <f ca="1">IF(AND($D18="Serviço",AF$12&lt;&gt;0,$H18&gt;0,OR(AUTOEVENTO&lt;&gt;"manual",$M18&lt;&gt;1)),
IF(Import.TipoArredondamento&lt;&gt;"TransfereGOV",
ROUND(OFFSET($P18,0,AF$13),15-13*ORÇAMENTO!$AF$7)/$H18*OFFSET(ORÇAMENTO!$X$15,ROW(AF18)-ROW(AF$15),0),
ROUND(ROUND(OFFSET($P18,0,AF$13),15-13*ORÇAMENTO!$AF$7)*OFFSET(ORÇAMENTO!$W$15,ROW(AF18)-ROW(AF$15),0),15-13*ORÇAMENTO!$AF$11)),0)</f>
        <v>0</v>
      </c>
      <c r="AG18" s="631">
        <f ca="1">IF(AND($D18="Serviço",AG$12&lt;&gt;0,$H18&gt;0,OR(AUTOEVENTO&lt;&gt;"manual",$M18&lt;&gt;1)),
IF(Import.TipoArredondamento&lt;&gt;"TransfereGOV",
ROUND(OFFSET($P18,0,AG$13),15-13*ORÇAMENTO!$AF$7)/$H18*OFFSET(ORÇAMENTO!$X$15,ROW(AG18)-ROW(AG$15),0),
ROUND(ROUND(OFFSET($P18,0,AG$13),15-13*ORÇAMENTO!$AF$7)*OFFSET(ORÇAMENTO!$W$15,ROW(AG18)-ROW(AG$15),0),15-13*ORÇAMENTO!$AF$11)),0)</f>
        <v>0</v>
      </c>
      <c r="AH18" s="631">
        <f ca="1">IF(AND($D18="Serviço",AH$12&lt;&gt;0,$H18&gt;0,OR(AUTOEVENTO&lt;&gt;"manual",$M18&lt;&gt;1)),
IF(Import.TipoArredondamento&lt;&gt;"TransfereGOV",
ROUND(OFFSET($P18,0,AH$13),15-13*ORÇAMENTO!$AF$7)/$H18*OFFSET(ORÇAMENTO!$X$15,ROW(AH18)-ROW(AH$15),0),
ROUND(ROUND(OFFSET($P18,0,AH$13),15-13*ORÇAMENTO!$AF$7)*OFFSET(ORÇAMENTO!$W$15,ROW(AH18)-ROW(AH$15),0),15-13*ORÇAMENTO!$AF$11)),0)</f>
        <v>0</v>
      </c>
      <c r="AI18" s="631">
        <f ca="1">IF(AND($D18="Serviço",AI$12&lt;&gt;0,$H18&gt;0,OR(AUTOEVENTO&lt;&gt;"manual",$M18&lt;&gt;1)),
IF(Import.TipoArredondamento&lt;&gt;"TransfereGOV",
ROUND(OFFSET($P18,0,AI$13),15-13*ORÇAMENTO!$AF$7)/$H18*OFFSET(ORÇAMENTO!$X$15,ROW(AI18)-ROW(AI$15),0),
ROUND(ROUND(OFFSET($P18,0,AI$13),15-13*ORÇAMENTO!$AF$7)*OFFSET(ORÇAMENTO!$W$15,ROW(AI18)-ROW(AI$15),0),15-13*ORÇAMENTO!$AF$11)),0)</f>
        <v>0</v>
      </c>
      <c r="AJ18" s="631">
        <f ca="1">IF(AND($D18="Serviço",AJ$12&lt;&gt;0,$H18&gt;0,OR(AUTOEVENTO&lt;&gt;"manual",$M18&lt;&gt;1)),
IF(Import.TipoArredondamento&lt;&gt;"TransfereGOV",
ROUND(OFFSET($P18,0,AJ$13),15-13*ORÇAMENTO!$AF$7)/$H18*OFFSET(ORÇAMENTO!$X$15,ROW(AJ18)-ROW(AJ$15),0),
ROUND(ROUND(OFFSET($P18,0,AJ$13),15-13*ORÇAMENTO!$AF$7)*OFFSET(ORÇAMENTO!$W$15,ROW(AJ18)-ROW(AJ$15),0),15-13*ORÇAMENTO!$AF$11)),0)</f>
        <v>0</v>
      </c>
      <c r="AK18" s="632">
        <f ca="1">IF(AND($D18="Serviço",AK$12&lt;&gt;0,$H18&gt;0,OR(AUTOEVENTO&lt;&gt;"manual",$M18&lt;&gt;1)),
IF(Import.TipoArredondamento&lt;&gt;"TransfereGOV",
ROUND(OFFSET($P18,0,AK$13),15-13*ORÇAMENTO!$AF$7)/$H18*OFFSET(ORÇAMENTO!$X$15,ROW(AK18)-ROW(AK$15),0),
ROUND(ROUND(OFFSET($P18,0,AK$13),15-13*ORÇAMENTO!$AF$7)*OFFSET(ORÇAMENTO!$W$15,ROW(AK18)-ROW(AK$15),0),15-13*ORÇAMENTO!$AF$11)),0)</f>
        <v>0</v>
      </c>
      <c r="AM18" s="215">
        <f ca="1">IF($D18&lt;&gt;"Serviço",0,IF(AND(AUTOEVENTO="Manual",$M18=1),0,IF(OFFSET(CRONOPLE!$F$14,$M18,AM$13)="",10^12,OFFSET(CRONOPLE!$F$14,$M18,AM$13))))</f>
        <v>1000000000000</v>
      </c>
      <c r="AN18" s="215">
        <f ca="1">IF($D18&lt;&gt;"Serviço",0,IF(AND(AUTOEVENTO="Manual",$M18=1),0,IF(OFFSET(CRONOPLE!$F$14,$M18,AN$13)="",10^12,OFFSET(CRONOPLE!$F$14,$M18,AN$13))))</f>
        <v>1000000000000</v>
      </c>
      <c r="AO18" s="215">
        <f ca="1">IF($D18&lt;&gt;"Serviço",0,IF(AND(AUTOEVENTO="Manual",$M18=1),0,IF(OFFSET(CRONOPLE!$F$14,$M18,AO$13)="",10^12,OFFSET(CRONOPLE!$F$14,$M18,AO$13))))</f>
        <v>1000000000000</v>
      </c>
      <c r="AP18" s="215">
        <f ca="1">IF($D18&lt;&gt;"Serviço",0,IF(AND(AUTOEVENTO="Manual",$M18=1),0,IF(OFFSET(CRONOPLE!$F$14,$M18,AP$13)="",10^12,OFFSET(CRONOPLE!$F$14,$M18,AP$13))))</f>
        <v>1000000000000</v>
      </c>
      <c r="AQ18" s="215">
        <f ca="1">IF($D18&lt;&gt;"Serviço",0,IF(AND(AUTOEVENTO="Manual",$M18=1),0,IF(OFFSET(CRONOPLE!$F$14,$M18,AQ$13)="",10^12,OFFSET(CRONOPLE!$F$14,$M18,AQ$13))))</f>
        <v>1000000000000</v>
      </c>
      <c r="AR18" s="215">
        <f ca="1">IF($D18&lt;&gt;"Serviço",0,IF(AND(AUTOEVENTO="Manual",$M18=1),0,IF(OFFSET(CRONOPLE!$F$14,$M18,AR$13)="",10^12,OFFSET(CRONOPLE!$F$14,$M18,AR$13))))</f>
        <v>1000000000000</v>
      </c>
      <c r="AS18" s="215">
        <f ca="1">IF($D18&lt;&gt;"Serviço",0,IF(AND(AUTOEVENTO="Manual",$M18=1),0,IF(OFFSET(CRONOPLE!$F$14,$M18,AS$13)="",10^12,OFFSET(CRONOPLE!$F$14,$M18,AS$13))))</f>
        <v>1000000000000</v>
      </c>
      <c r="AT18" s="215">
        <f ca="1">IF($D18&lt;&gt;"Serviço",0,IF(AND(AUTOEVENTO="Manual",$M18=1),0,IF(OFFSET(CRONOPLE!$F$14,$M18,AT$13)="",10^12,OFFSET(CRONOPLE!$F$14,$M18,AT$13))))</f>
        <v>1000000000000</v>
      </c>
      <c r="AU18" s="215">
        <f ca="1">IF($D18&lt;&gt;"Serviço",0,IF(AND(AUTOEVENTO="Manual",$M18=1),0,IF(OFFSET(CRONOPLE!$F$14,$M18,AU$13)="",10^12,OFFSET(CRONOPLE!$F$14,$M18,AU$13))))</f>
        <v>1000000000000</v>
      </c>
      <c r="AV18" s="215">
        <f ca="1">IF($D18&lt;&gt;"Serviço",0,IF(AND(AUTOEVENTO="Manual",$M18=1),0,IF(OFFSET(CRONOPLE!$F$14,$M18,AV$13)="",10^12,OFFSET(CRONOPLE!$F$14,$M18,AV$13))))</f>
        <v>1000000000000</v>
      </c>
      <c r="AX18" s="216">
        <f ca="1">IF($D18&lt;&gt;"Serviço",0,IF(OR(AND(AUTOEVENTO="Manual",$M18=1),$M18&gt;(ROW(PLE.lastrow)-ROW(PLE.firstrow))),0,IF(OFFSET(PLE!$G$14,$M18,AX$13)="",10^12,OFFSET(PLE!$G$14,$M18,AX$13))))</f>
        <v>1000000000000</v>
      </c>
      <c r="AY18" s="216">
        <f ca="1">IF($D18&lt;&gt;"Serviço",0,IF(OR(AND(AUTOEVENTO="Manual",$M18=1),$M18&gt;(ROW(PLE.lastrow)-ROW(PLE.firstrow))),0,IF(OFFSET(PLE!$G$14,$M18,AY$13)="",10^12,OFFSET(PLE!$G$14,$M18,AY$13))))</f>
        <v>1000000000000</v>
      </c>
      <c r="AZ18" s="216">
        <f ca="1">IF($D18&lt;&gt;"Serviço",0,IF(OR(AND(AUTOEVENTO="Manual",$M18=1),$M18&gt;(ROW(PLE.lastrow)-ROW(PLE.firstrow))),0,IF(OFFSET(PLE!$G$14,$M18,AZ$13)="",10^12,OFFSET(PLE!$G$14,$M18,AZ$13))))</f>
        <v>1000000000000</v>
      </c>
      <c r="BA18" s="216">
        <f ca="1">IF($D18&lt;&gt;"Serviço",0,IF(OR(AND(AUTOEVENTO="Manual",$M18=1),$M18&gt;(ROW(PLE.lastrow)-ROW(PLE.firstrow))),0,IF(OFFSET(PLE!$G$14,$M18,BA$13)="",10^12,OFFSET(PLE!$G$14,$M18,BA$13))))</f>
        <v>1000000000000</v>
      </c>
      <c r="BB18" s="216">
        <f ca="1">IF($D18&lt;&gt;"Serviço",0,IF(OR(AND(AUTOEVENTO="Manual",$M18=1),$M18&gt;(ROW(PLE.lastrow)-ROW(PLE.firstrow))),0,IF(OFFSET(PLE!$G$14,$M18,BB$13)="",10^12,OFFSET(PLE!$G$14,$M18,BB$13))))</f>
        <v>1000000000000</v>
      </c>
      <c r="BC18" s="216">
        <f ca="1">IF($D18&lt;&gt;"Serviço",0,IF(OR(AND(AUTOEVENTO="Manual",$M18=1),$M18&gt;(ROW(PLE.lastrow)-ROW(PLE.firstrow))),0,IF(OFFSET(PLE!$G$14,$M18,BC$13)="",10^12,OFFSET(PLE!$G$14,$M18,BC$13))))</f>
        <v>1000000000000</v>
      </c>
      <c r="BD18" s="216">
        <f ca="1">IF($D18&lt;&gt;"Serviço",0,IF(OR(AND(AUTOEVENTO="Manual",$M18=1),$M18&gt;(ROW(PLE.lastrow)-ROW(PLE.firstrow))),0,IF(OFFSET(PLE!$G$14,$M18,BD$13)="",10^12,OFFSET(PLE!$G$14,$M18,BD$13))))</f>
        <v>1000000000000</v>
      </c>
      <c r="BE18" s="216">
        <f ca="1">IF($D18&lt;&gt;"Serviço",0,IF(OR(AND(AUTOEVENTO="Manual",$M18=1),$M18&gt;(ROW(PLE.lastrow)-ROW(PLE.firstrow))),0,IF(OFFSET(PLE!$G$14,$M18,BE$13)="",10^12,OFFSET(PLE!$G$14,$M18,BE$13))))</f>
        <v>1000000000000</v>
      </c>
      <c r="BF18" s="216">
        <f ca="1">IF($D18&lt;&gt;"Serviço",0,IF(OR(AND(AUTOEVENTO="Manual",$M18=1),$M18&gt;(ROW(PLE.lastrow)-ROW(PLE.firstrow))),0,IF(OFFSET(PLE!$G$14,$M18,BF$13)="",10^12,OFFSET(PLE!$G$14,$M18,BF$13))))</f>
        <v>1000000000000</v>
      </c>
      <c r="BG18" s="216">
        <f ca="1">IF($D18&lt;&gt;"Serviço",0,IF(OR(AND(AUTOEVENTO="Manual",$M18=1),$M18&gt;(ROW(PLE.lastrow)-ROW(PLE.firstrow))),0,IF(OFFSET(PLE!$G$14,$M18,BG$13)="",10^12,OFFSET(PLE!$G$14,$M18,BG$13))))</f>
        <v>1000000000000</v>
      </c>
    </row>
    <row r="19" spans="1:59" ht="25.5" x14ac:dyDescent="0.2">
      <c r="A19" s="9" t="str">
        <f t="shared" ca="1" si="8"/>
        <v>2</v>
      </c>
      <c r="B19" s="9" t="str">
        <f ca="1">OFFSET(ORÇAMENTO!C$15,ROW(B19)-ROW(B$15),0)</f>
        <v>S</v>
      </c>
      <c r="C19" s="9" t="str">
        <f ca="1">OFFSET(ORÇAMENTO!L$15,ROW(C19)-ROW(C$15),0)</f>
        <v/>
      </c>
      <c r="D19" s="145" t="str">
        <f ca="1">OFFSET(ORÇAMENTO!N$15,ROW(D19)-ROW(D$15),0)</f>
        <v>Serviço</v>
      </c>
      <c r="E19" s="205" t="str">
        <f ca="1">OFFSET(ORÇAMENTO!O$15,ROW(E19)-ROW(E$15),0)</f>
        <v>-</v>
      </c>
      <c r="F19" s="206" t="str">
        <f ca="1">OFFSET(ORÇAMENTO!R$15,ROW(F19)-ROW(F$15),0)</f>
        <v>FORNECIMENTO E INSTALAÇÃO DE PLACA DE OBRA COM CHAPA GALVANIZADA E ESTRUTURA DE MADEIRA. AF_03/2022_PS</v>
      </c>
      <c r="G19" s="207" t="str">
        <f ca="1">IF($D19&lt;&gt;"Serviço","",OFFSET(ORÇAMENTO!S$15,ROW(G19)-ROW(G$15),0))</f>
        <v>M2</v>
      </c>
      <c r="H19" s="151">
        <f ca="1">IF($D19&lt;&gt;"Serviço",0,IF(ACOMPANHAMENTO="BM",ROUND(OFFSET(ORÇAMENTO!AJ$15,ROW(H19)-ROW(H$15),0),15-13*ORÇAMENTO!$AF$7),SUMPRODUCT(($Q$12:$AA$12&lt;&gt;"")*ROUND($Q19:$AA19,15-13*ORÇAMENTO!$AF$7))))</f>
        <v>6.4</v>
      </c>
      <c r="I19" s="649"/>
      <c r="K19" s="208"/>
      <c r="L19" s="209" t="s">
        <v>255</v>
      </c>
      <c r="M19" s="210">
        <f ca="1">IF($D19&lt;&gt;"Serviço","",IF(AUTOEVENTO="manual",$A19,IF(ISERROR(MATCH($A19,$A$15:OFFSET($A19,-1,0),0)),MAX($M$15:OFFSET(M19,-1,0))+1,INDEX($M$15:OFFSET(M19,-1,0),MATCH($A19,$A$15:OFFSET($A19,-1,0),0)))))</f>
        <v>2</v>
      </c>
      <c r="N19" s="211" t="str">
        <f ca="1">IF($D19&lt;&gt;"Serviço","",IF(AUTOEVENTO="Manual",IF($A19=0,"&lt;-- defina o número do agrupador",OFFSET(EVENTOS!$D$14,$A19,0)),OFFSET($F$15,$A19,0)))</f>
        <v>SERVIÇOS PRELIMINARES  E PROVISÓRIOS</v>
      </c>
      <c r="O19" s="212"/>
      <c r="Q19" s="212"/>
      <c r="R19" s="213"/>
      <c r="S19" s="213"/>
      <c r="T19" s="213"/>
      <c r="U19" s="213"/>
      <c r="V19" s="213"/>
      <c r="W19" s="213"/>
      <c r="X19" s="213"/>
      <c r="Y19" s="213"/>
      <c r="Z19" s="214"/>
      <c r="AB19" s="630">
        <f ca="1">IF(AND($D19="Serviço",AB$12&lt;&gt;0,$H19&gt;0,OR(AUTOEVENTO&lt;&gt;"manual",$M19&lt;&gt;1)),
IF(Import.TipoArredondamento&lt;&gt;"TransfereGOV",
ROUND(OFFSET($P19,0,AB$13),15-13*ORÇAMENTO!$AF$7)/$H19*OFFSET(ORÇAMENTO!$X$15,ROW(AB19)-ROW(AB$15),0),
ROUND(ROUND(OFFSET($P19,0,AB$13),15-13*ORÇAMENTO!$AF$7)*OFFSET(ORÇAMENTO!$W$15,ROW(AB19)-ROW(AB$15),0),15-13*ORÇAMENTO!$AF$11)),0)</f>
        <v>0</v>
      </c>
      <c r="AC19" s="631">
        <f ca="1">IF(AND($D19="Serviço",AC$12&lt;&gt;0,$H19&gt;0,OR(AUTOEVENTO&lt;&gt;"manual",$M19&lt;&gt;1)),
IF(Import.TipoArredondamento&lt;&gt;"TransfereGOV",
ROUND(OFFSET($P19,0,AC$13),15-13*ORÇAMENTO!$AF$7)/$H19*OFFSET(ORÇAMENTO!$X$15,ROW(AC19)-ROW(AC$15),0),
ROUND(ROUND(OFFSET($P19,0,AC$13),15-13*ORÇAMENTO!$AF$7)*OFFSET(ORÇAMENTO!$W$15,ROW(AC19)-ROW(AC$15),0),15-13*ORÇAMENTO!$AF$11)),0)</f>
        <v>0</v>
      </c>
      <c r="AD19" s="631">
        <f ca="1">IF(AND($D19="Serviço",AD$12&lt;&gt;0,$H19&gt;0,OR(AUTOEVENTO&lt;&gt;"manual",$M19&lt;&gt;1)),
IF(Import.TipoArredondamento&lt;&gt;"TransfereGOV",
ROUND(OFFSET($P19,0,AD$13),15-13*ORÇAMENTO!$AF$7)/$H19*OFFSET(ORÇAMENTO!$X$15,ROW(AD19)-ROW(AD$15),0),
ROUND(ROUND(OFFSET($P19,0,AD$13),15-13*ORÇAMENTO!$AF$7)*OFFSET(ORÇAMENTO!$W$15,ROW(AD19)-ROW(AD$15),0),15-13*ORÇAMENTO!$AF$11)),0)</f>
        <v>0</v>
      </c>
      <c r="AE19" s="631">
        <f ca="1">IF(AND($D19="Serviço",AE$12&lt;&gt;0,$H19&gt;0,OR(AUTOEVENTO&lt;&gt;"manual",$M19&lt;&gt;1)),
IF(Import.TipoArredondamento&lt;&gt;"TransfereGOV",
ROUND(OFFSET($P19,0,AE$13),15-13*ORÇAMENTO!$AF$7)/$H19*OFFSET(ORÇAMENTO!$X$15,ROW(AE19)-ROW(AE$15),0),
ROUND(ROUND(OFFSET($P19,0,AE$13),15-13*ORÇAMENTO!$AF$7)*OFFSET(ORÇAMENTO!$W$15,ROW(AE19)-ROW(AE$15),0),15-13*ORÇAMENTO!$AF$11)),0)</f>
        <v>0</v>
      </c>
      <c r="AF19" s="631">
        <f ca="1">IF(AND($D19="Serviço",AF$12&lt;&gt;0,$H19&gt;0,OR(AUTOEVENTO&lt;&gt;"manual",$M19&lt;&gt;1)),
IF(Import.TipoArredondamento&lt;&gt;"TransfereGOV",
ROUND(OFFSET($P19,0,AF$13),15-13*ORÇAMENTO!$AF$7)/$H19*OFFSET(ORÇAMENTO!$X$15,ROW(AF19)-ROW(AF$15),0),
ROUND(ROUND(OFFSET($P19,0,AF$13),15-13*ORÇAMENTO!$AF$7)*OFFSET(ORÇAMENTO!$W$15,ROW(AF19)-ROW(AF$15),0),15-13*ORÇAMENTO!$AF$11)),0)</f>
        <v>0</v>
      </c>
      <c r="AG19" s="631">
        <f ca="1">IF(AND($D19="Serviço",AG$12&lt;&gt;0,$H19&gt;0,OR(AUTOEVENTO&lt;&gt;"manual",$M19&lt;&gt;1)),
IF(Import.TipoArredondamento&lt;&gt;"TransfereGOV",
ROUND(OFFSET($P19,0,AG$13),15-13*ORÇAMENTO!$AF$7)/$H19*OFFSET(ORÇAMENTO!$X$15,ROW(AG19)-ROW(AG$15),0),
ROUND(ROUND(OFFSET($P19,0,AG$13),15-13*ORÇAMENTO!$AF$7)*OFFSET(ORÇAMENTO!$W$15,ROW(AG19)-ROW(AG$15),0),15-13*ORÇAMENTO!$AF$11)),0)</f>
        <v>0</v>
      </c>
      <c r="AH19" s="631">
        <f ca="1">IF(AND($D19="Serviço",AH$12&lt;&gt;0,$H19&gt;0,OR(AUTOEVENTO&lt;&gt;"manual",$M19&lt;&gt;1)),
IF(Import.TipoArredondamento&lt;&gt;"TransfereGOV",
ROUND(OFFSET($P19,0,AH$13),15-13*ORÇAMENTO!$AF$7)/$H19*OFFSET(ORÇAMENTO!$X$15,ROW(AH19)-ROW(AH$15),0),
ROUND(ROUND(OFFSET($P19,0,AH$13),15-13*ORÇAMENTO!$AF$7)*OFFSET(ORÇAMENTO!$W$15,ROW(AH19)-ROW(AH$15),0),15-13*ORÇAMENTO!$AF$11)),0)</f>
        <v>0</v>
      </c>
      <c r="AI19" s="631">
        <f ca="1">IF(AND($D19="Serviço",AI$12&lt;&gt;0,$H19&gt;0,OR(AUTOEVENTO&lt;&gt;"manual",$M19&lt;&gt;1)),
IF(Import.TipoArredondamento&lt;&gt;"TransfereGOV",
ROUND(OFFSET($P19,0,AI$13),15-13*ORÇAMENTO!$AF$7)/$H19*OFFSET(ORÇAMENTO!$X$15,ROW(AI19)-ROW(AI$15),0),
ROUND(ROUND(OFFSET($P19,0,AI$13),15-13*ORÇAMENTO!$AF$7)*OFFSET(ORÇAMENTO!$W$15,ROW(AI19)-ROW(AI$15),0),15-13*ORÇAMENTO!$AF$11)),0)</f>
        <v>0</v>
      </c>
      <c r="AJ19" s="631">
        <f ca="1">IF(AND($D19="Serviço",AJ$12&lt;&gt;0,$H19&gt;0,OR(AUTOEVENTO&lt;&gt;"manual",$M19&lt;&gt;1)),
IF(Import.TipoArredondamento&lt;&gt;"TransfereGOV",
ROUND(OFFSET($P19,0,AJ$13),15-13*ORÇAMENTO!$AF$7)/$H19*OFFSET(ORÇAMENTO!$X$15,ROW(AJ19)-ROW(AJ$15),0),
ROUND(ROUND(OFFSET($P19,0,AJ$13),15-13*ORÇAMENTO!$AF$7)*OFFSET(ORÇAMENTO!$W$15,ROW(AJ19)-ROW(AJ$15),0),15-13*ORÇAMENTO!$AF$11)),0)</f>
        <v>0</v>
      </c>
      <c r="AK19" s="632">
        <f ca="1">IF(AND($D19="Serviço",AK$12&lt;&gt;0,$H19&gt;0,OR(AUTOEVENTO&lt;&gt;"manual",$M19&lt;&gt;1)),
IF(Import.TipoArredondamento&lt;&gt;"TransfereGOV",
ROUND(OFFSET($P19,0,AK$13),15-13*ORÇAMENTO!$AF$7)/$H19*OFFSET(ORÇAMENTO!$X$15,ROW(AK19)-ROW(AK$15),0),
ROUND(ROUND(OFFSET($P19,0,AK$13),15-13*ORÇAMENTO!$AF$7)*OFFSET(ORÇAMENTO!$W$15,ROW(AK19)-ROW(AK$15),0),15-13*ORÇAMENTO!$AF$11)),0)</f>
        <v>0</v>
      </c>
      <c r="AM19" s="215">
        <f ca="1">IF($D19&lt;&gt;"Serviço",0,IF(AND(AUTOEVENTO="Manual",$M19=1),0,IF(OFFSET(CRONOPLE!$F$14,$M19,AM$13)="",10^12,OFFSET(CRONOPLE!$F$14,$M19,AM$13))))</f>
        <v>1000000000000</v>
      </c>
      <c r="AN19" s="215">
        <f ca="1">IF($D19&lt;&gt;"Serviço",0,IF(AND(AUTOEVENTO="Manual",$M19=1),0,IF(OFFSET(CRONOPLE!$F$14,$M19,AN$13)="",10^12,OFFSET(CRONOPLE!$F$14,$M19,AN$13))))</f>
        <v>1000000000000</v>
      </c>
      <c r="AO19" s="215">
        <f ca="1">IF($D19&lt;&gt;"Serviço",0,IF(AND(AUTOEVENTO="Manual",$M19=1),0,IF(OFFSET(CRONOPLE!$F$14,$M19,AO$13)="",10^12,OFFSET(CRONOPLE!$F$14,$M19,AO$13))))</f>
        <v>1000000000000</v>
      </c>
      <c r="AP19" s="215">
        <f ca="1">IF($D19&lt;&gt;"Serviço",0,IF(AND(AUTOEVENTO="Manual",$M19=1),0,IF(OFFSET(CRONOPLE!$F$14,$M19,AP$13)="",10^12,OFFSET(CRONOPLE!$F$14,$M19,AP$13))))</f>
        <v>1000000000000</v>
      </c>
      <c r="AQ19" s="215">
        <f ca="1">IF($D19&lt;&gt;"Serviço",0,IF(AND(AUTOEVENTO="Manual",$M19=1),0,IF(OFFSET(CRONOPLE!$F$14,$M19,AQ$13)="",10^12,OFFSET(CRONOPLE!$F$14,$M19,AQ$13))))</f>
        <v>1000000000000</v>
      </c>
      <c r="AR19" s="215">
        <f ca="1">IF($D19&lt;&gt;"Serviço",0,IF(AND(AUTOEVENTO="Manual",$M19=1),0,IF(OFFSET(CRONOPLE!$F$14,$M19,AR$13)="",10^12,OFFSET(CRONOPLE!$F$14,$M19,AR$13))))</f>
        <v>1000000000000</v>
      </c>
      <c r="AS19" s="215">
        <f ca="1">IF($D19&lt;&gt;"Serviço",0,IF(AND(AUTOEVENTO="Manual",$M19=1),0,IF(OFFSET(CRONOPLE!$F$14,$M19,AS$13)="",10^12,OFFSET(CRONOPLE!$F$14,$M19,AS$13))))</f>
        <v>1000000000000</v>
      </c>
      <c r="AT19" s="215">
        <f ca="1">IF($D19&lt;&gt;"Serviço",0,IF(AND(AUTOEVENTO="Manual",$M19=1),0,IF(OFFSET(CRONOPLE!$F$14,$M19,AT$13)="",10^12,OFFSET(CRONOPLE!$F$14,$M19,AT$13))))</f>
        <v>1000000000000</v>
      </c>
      <c r="AU19" s="215">
        <f ca="1">IF($D19&lt;&gt;"Serviço",0,IF(AND(AUTOEVENTO="Manual",$M19=1),0,IF(OFFSET(CRONOPLE!$F$14,$M19,AU$13)="",10^12,OFFSET(CRONOPLE!$F$14,$M19,AU$13))))</f>
        <v>1000000000000</v>
      </c>
      <c r="AV19" s="215">
        <f ca="1">IF($D19&lt;&gt;"Serviço",0,IF(AND(AUTOEVENTO="Manual",$M19=1),0,IF(OFFSET(CRONOPLE!$F$14,$M19,AV$13)="",10^12,OFFSET(CRONOPLE!$F$14,$M19,AV$13))))</f>
        <v>1000000000000</v>
      </c>
      <c r="AX19" s="216">
        <f ca="1">IF($D19&lt;&gt;"Serviço",0,IF(OR(AND(AUTOEVENTO="Manual",$M19=1),$M19&gt;(ROW(PLE.lastrow)-ROW(PLE.firstrow))),0,IF(OFFSET(PLE!$G$14,$M19,AX$13)="",10^12,OFFSET(PLE!$G$14,$M19,AX$13))))</f>
        <v>1000000000000</v>
      </c>
      <c r="AY19" s="216">
        <f ca="1">IF($D19&lt;&gt;"Serviço",0,IF(OR(AND(AUTOEVENTO="Manual",$M19=1),$M19&gt;(ROW(PLE.lastrow)-ROW(PLE.firstrow))),0,IF(OFFSET(PLE!$G$14,$M19,AY$13)="",10^12,OFFSET(PLE!$G$14,$M19,AY$13))))</f>
        <v>1000000000000</v>
      </c>
      <c r="AZ19" s="216">
        <f ca="1">IF($D19&lt;&gt;"Serviço",0,IF(OR(AND(AUTOEVENTO="Manual",$M19=1),$M19&gt;(ROW(PLE.lastrow)-ROW(PLE.firstrow))),0,IF(OFFSET(PLE!$G$14,$M19,AZ$13)="",10^12,OFFSET(PLE!$G$14,$M19,AZ$13))))</f>
        <v>1000000000000</v>
      </c>
      <c r="BA19" s="216">
        <f ca="1">IF($D19&lt;&gt;"Serviço",0,IF(OR(AND(AUTOEVENTO="Manual",$M19=1),$M19&gt;(ROW(PLE.lastrow)-ROW(PLE.firstrow))),0,IF(OFFSET(PLE!$G$14,$M19,BA$13)="",10^12,OFFSET(PLE!$G$14,$M19,BA$13))))</f>
        <v>1000000000000</v>
      </c>
      <c r="BB19" s="216">
        <f ca="1">IF($D19&lt;&gt;"Serviço",0,IF(OR(AND(AUTOEVENTO="Manual",$M19=1),$M19&gt;(ROW(PLE.lastrow)-ROW(PLE.firstrow))),0,IF(OFFSET(PLE!$G$14,$M19,BB$13)="",10^12,OFFSET(PLE!$G$14,$M19,BB$13))))</f>
        <v>1000000000000</v>
      </c>
      <c r="BC19" s="216">
        <f ca="1">IF($D19&lt;&gt;"Serviço",0,IF(OR(AND(AUTOEVENTO="Manual",$M19=1),$M19&gt;(ROW(PLE.lastrow)-ROW(PLE.firstrow))),0,IF(OFFSET(PLE!$G$14,$M19,BC$13)="",10^12,OFFSET(PLE!$G$14,$M19,BC$13))))</f>
        <v>1000000000000</v>
      </c>
      <c r="BD19" s="216">
        <f ca="1">IF($D19&lt;&gt;"Serviço",0,IF(OR(AND(AUTOEVENTO="Manual",$M19=1),$M19&gt;(ROW(PLE.lastrow)-ROW(PLE.firstrow))),0,IF(OFFSET(PLE!$G$14,$M19,BD$13)="",10^12,OFFSET(PLE!$G$14,$M19,BD$13))))</f>
        <v>1000000000000</v>
      </c>
      <c r="BE19" s="216">
        <f ca="1">IF($D19&lt;&gt;"Serviço",0,IF(OR(AND(AUTOEVENTO="Manual",$M19=1),$M19&gt;(ROW(PLE.lastrow)-ROW(PLE.firstrow))),0,IF(OFFSET(PLE!$G$14,$M19,BE$13)="",10^12,OFFSET(PLE!$G$14,$M19,BE$13))))</f>
        <v>1000000000000</v>
      </c>
      <c r="BF19" s="216">
        <f ca="1">IF($D19&lt;&gt;"Serviço",0,IF(OR(AND(AUTOEVENTO="Manual",$M19=1),$M19&gt;(ROW(PLE.lastrow)-ROW(PLE.firstrow))),0,IF(OFFSET(PLE!$G$14,$M19,BF$13)="",10^12,OFFSET(PLE!$G$14,$M19,BF$13))))</f>
        <v>1000000000000</v>
      </c>
      <c r="BG19" s="216">
        <f ca="1">IF($D19&lt;&gt;"Serviço",0,IF(OR(AND(AUTOEVENTO="Manual",$M19=1),$M19&gt;(ROW(PLE.lastrow)-ROW(PLE.firstrow))),0,IF(OFFSET(PLE!$G$14,$M19,BG$13)="",10^12,OFFSET(PLE!$G$14,$M19,BG$13))))</f>
        <v>1000000000000</v>
      </c>
    </row>
    <row r="20" spans="1:59" ht="51" x14ac:dyDescent="0.2">
      <c r="A20" s="9" t="str">
        <f t="shared" ca="1" si="8"/>
        <v>2</v>
      </c>
      <c r="B20" s="9" t="str">
        <f ca="1">OFFSET(ORÇAMENTO!C$15,ROW(B20)-ROW(B$15),0)</f>
        <v>S</v>
      </c>
      <c r="C20" s="9" t="str">
        <f ca="1">OFFSET(ORÇAMENTO!L$15,ROW(C20)-ROW(C$15),0)</f>
        <v/>
      </c>
      <c r="D20" s="145" t="str">
        <f ca="1">OFFSET(ORÇAMENTO!N$15,ROW(D20)-ROW(D$15),0)</f>
        <v>Serviço</v>
      </c>
      <c r="E20" s="205" t="str">
        <f ca="1">OFFSET(ORÇAMENTO!O$15,ROW(E20)-ROW(E$15),0)</f>
        <v>-</v>
      </c>
      <c r="F20" s="206" t="str">
        <f ca="1">OFFSET(ORÇAMENTO!R$15,ROW(F20)-ROW(F$15),0)</f>
        <v>INSTALAÇÕES PROVISÓRIAS DE OBRA  PARA ALMOXARIFADO, ESCRITORIO, VESTIÁRIO, DEPÓSITO DE MATERIAIS, BANHEIROS, REFEITORIO, CENTRAL DE ARMADURA E CENTRAL DE FORMA, SEGUINDO A NR 18 (AREA DE 80 M²)</v>
      </c>
      <c r="G20" s="207" t="str">
        <f ca="1">IF($D20&lt;&gt;"Serviço","",OFFSET(ORÇAMENTO!S$15,ROW(G20)-ROW(G$15),0))</f>
        <v>UNIDADE</v>
      </c>
      <c r="H20" s="151">
        <f ca="1">IF($D20&lt;&gt;"Serviço",0,IF(ACOMPANHAMENTO="BM",ROUND(OFFSET(ORÇAMENTO!AJ$15,ROW(H20)-ROW(H$15),0),15-13*ORÇAMENTO!$AF$7),SUMPRODUCT(($Q$12:$AA$12&lt;&gt;"")*ROUND($Q20:$AA20,15-13*ORÇAMENTO!$AF$7))))</f>
        <v>1</v>
      </c>
      <c r="I20" s="649"/>
      <c r="K20" s="208"/>
      <c r="L20" s="209" t="s">
        <v>255</v>
      </c>
      <c r="M20" s="210">
        <f ca="1">IF($D20&lt;&gt;"Serviço","",IF(AUTOEVENTO="manual",$A20,IF(ISERROR(MATCH($A20,$A$15:OFFSET($A20,-1,0),0)),MAX($M$15:OFFSET(M20,-1,0))+1,INDEX($M$15:OFFSET(M20,-1,0),MATCH($A20,$A$15:OFFSET($A20,-1,0),0)))))</f>
        <v>2</v>
      </c>
      <c r="N20" s="211" t="str">
        <f ca="1">IF($D20&lt;&gt;"Serviço","",IF(AUTOEVENTO="Manual",IF($A20=0,"&lt;-- defina o número do agrupador",OFFSET(EVENTOS!$D$14,$A20,0)),OFFSET($F$15,$A20,0)))</f>
        <v>SERVIÇOS PRELIMINARES  E PROVISÓRIOS</v>
      </c>
      <c r="O20" s="212"/>
      <c r="Q20" s="212"/>
      <c r="R20" s="213"/>
      <c r="S20" s="213"/>
      <c r="T20" s="213"/>
      <c r="U20" s="213"/>
      <c r="V20" s="213"/>
      <c r="W20" s="213"/>
      <c r="X20" s="213"/>
      <c r="Y20" s="213"/>
      <c r="Z20" s="214"/>
      <c r="AB20" s="630">
        <f ca="1">IF(AND($D20="Serviço",AB$12&lt;&gt;0,$H20&gt;0,OR(AUTOEVENTO&lt;&gt;"manual",$M20&lt;&gt;1)),
IF(Import.TipoArredondamento&lt;&gt;"TransfereGOV",
ROUND(OFFSET($P20,0,AB$13),15-13*ORÇAMENTO!$AF$7)/$H20*OFFSET(ORÇAMENTO!$X$15,ROW(AB20)-ROW(AB$15),0),
ROUND(ROUND(OFFSET($P20,0,AB$13),15-13*ORÇAMENTO!$AF$7)*OFFSET(ORÇAMENTO!$W$15,ROW(AB20)-ROW(AB$15),0),15-13*ORÇAMENTO!$AF$11)),0)</f>
        <v>0</v>
      </c>
      <c r="AC20" s="631">
        <f ca="1">IF(AND($D20="Serviço",AC$12&lt;&gt;0,$H20&gt;0,OR(AUTOEVENTO&lt;&gt;"manual",$M20&lt;&gt;1)),
IF(Import.TipoArredondamento&lt;&gt;"TransfereGOV",
ROUND(OFFSET($P20,0,AC$13),15-13*ORÇAMENTO!$AF$7)/$H20*OFFSET(ORÇAMENTO!$X$15,ROW(AC20)-ROW(AC$15),0),
ROUND(ROUND(OFFSET($P20,0,AC$13),15-13*ORÇAMENTO!$AF$7)*OFFSET(ORÇAMENTO!$W$15,ROW(AC20)-ROW(AC$15),0),15-13*ORÇAMENTO!$AF$11)),0)</f>
        <v>0</v>
      </c>
      <c r="AD20" s="631">
        <f ca="1">IF(AND($D20="Serviço",AD$12&lt;&gt;0,$H20&gt;0,OR(AUTOEVENTO&lt;&gt;"manual",$M20&lt;&gt;1)),
IF(Import.TipoArredondamento&lt;&gt;"TransfereGOV",
ROUND(OFFSET($P20,0,AD$13),15-13*ORÇAMENTO!$AF$7)/$H20*OFFSET(ORÇAMENTO!$X$15,ROW(AD20)-ROW(AD$15),0),
ROUND(ROUND(OFFSET($P20,0,AD$13),15-13*ORÇAMENTO!$AF$7)*OFFSET(ORÇAMENTO!$W$15,ROW(AD20)-ROW(AD$15),0),15-13*ORÇAMENTO!$AF$11)),0)</f>
        <v>0</v>
      </c>
      <c r="AE20" s="631">
        <f ca="1">IF(AND($D20="Serviço",AE$12&lt;&gt;0,$H20&gt;0,OR(AUTOEVENTO&lt;&gt;"manual",$M20&lt;&gt;1)),
IF(Import.TipoArredondamento&lt;&gt;"TransfereGOV",
ROUND(OFFSET($P20,0,AE$13),15-13*ORÇAMENTO!$AF$7)/$H20*OFFSET(ORÇAMENTO!$X$15,ROW(AE20)-ROW(AE$15),0),
ROUND(ROUND(OFFSET($P20,0,AE$13),15-13*ORÇAMENTO!$AF$7)*OFFSET(ORÇAMENTO!$W$15,ROW(AE20)-ROW(AE$15),0),15-13*ORÇAMENTO!$AF$11)),0)</f>
        <v>0</v>
      </c>
      <c r="AF20" s="631">
        <f ca="1">IF(AND($D20="Serviço",AF$12&lt;&gt;0,$H20&gt;0,OR(AUTOEVENTO&lt;&gt;"manual",$M20&lt;&gt;1)),
IF(Import.TipoArredondamento&lt;&gt;"TransfereGOV",
ROUND(OFFSET($P20,0,AF$13),15-13*ORÇAMENTO!$AF$7)/$H20*OFFSET(ORÇAMENTO!$X$15,ROW(AF20)-ROW(AF$15),0),
ROUND(ROUND(OFFSET($P20,0,AF$13),15-13*ORÇAMENTO!$AF$7)*OFFSET(ORÇAMENTO!$W$15,ROW(AF20)-ROW(AF$15),0),15-13*ORÇAMENTO!$AF$11)),0)</f>
        <v>0</v>
      </c>
      <c r="AG20" s="631">
        <f ca="1">IF(AND($D20="Serviço",AG$12&lt;&gt;0,$H20&gt;0,OR(AUTOEVENTO&lt;&gt;"manual",$M20&lt;&gt;1)),
IF(Import.TipoArredondamento&lt;&gt;"TransfereGOV",
ROUND(OFFSET($P20,0,AG$13),15-13*ORÇAMENTO!$AF$7)/$H20*OFFSET(ORÇAMENTO!$X$15,ROW(AG20)-ROW(AG$15),0),
ROUND(ROUND(OFFSET($P20,0,AG$13),15-13*ORÇAMENTO!$AF$7)*OFFSET(ORÇAMENTO!$W$15,ROW(AG20)-ROW(AG$15),0),15-13*ORÇAMENTO!$AF$11)),0)</f>
        <v>0</v>
      </c>
      <c r="AH20" s="631">
        <f ca="1">IF(AND($D20="Serviço",AH$12&lt;&gt;0,$H20&gt;0,OR(AUTOEVENTO&lt;&gt;"manual",$M20&lt;&gt;1)),
IF(Import.TipoArredondamento&lt;&gt;"TransfereGOV",
ROUND(OFFSET($P20,0,AH$13),15-13*ORÇAMENTO!$AF$7)/$H20*OFFSET(ORÇAMENTO!$X$15,ROW(AH20)-ROW(AH$15),0),
ROUND(ROUND(OFFSET($P20,0,AH$13),15-13*ORÇAMENTO!$AF$7)*OFFSET(ORÇAMENTO!$W$15,ROW(AH20)-ROW(AH$15),0),15-13*ORÇAMENTO!$AF$11)),0)</f>
        <v>0</v>
      </c>
      <c r="AI20" s="631">
        <f ca="1">IF(AND($D20="Serviço",AI$12&lt;&gt;0,$H20&gt;0,OR(AUTOEVENTO&lt;&gt;"manual",$M20&lt;&gt;1)),
IF(Import.TipoArredondamento&lt;&gt;"TransfereGOV",
ROUND(OFFSET($P20,0,AI$13),15-13*ORÇAMENTO!$AF$7)/$H20*OFFSET(ORÇAMENTO!$X$15,ROW(AI20)-ROW(AI$15),0),
ROUND(ROUND(OFFSET($P20,0,AI$13),15-13*ORÇAMENTO!$AF$7)*OFFSET(ORÇAMENTO!$W$15,ROW(AI20)-ROW(AI$15),0),15-13*ORÇAMENTO!$AF$11)),0)</f>
        <v>0</v>
      </c>
      <c r="AJ20" s="631">
        <f ca="1">IF(AND($D20="Serviço",AJ$12&lt;&gt;0,$H20&gt;0,OR(AUTOEVENTO&lt;&gt;"manual",$M20&lt;&gt;1)),
IF(Import.TipoArredondamento&lt;&gt;"TransfereGOV",
ROUND(OFFSET($P20,0,AJ$13),15-13*ORÇAMENTO!$AF$7)/$H20*OFFSET(ORÇAMENTO!$X$15,ROW(AJ20)-ROW(AJ$15),0),
ROUND(ROUND(OFFSET($P20,0,AJ$13),15-13*ORÇAMENTO!$AF$7)*OFFSET(ORÇAMENTO!$W$15,ROW(AJ20)-ROW(AJ$15),0),15-13*ORÇAMENTO!$AF$11)),0)</f>
        <v>0</v>
      </c>
      <c r="AK20" s="632">
        <f ca="1">IF(AND($D20="Serviço",AK$12&lt;&gt;0,$H20&gt;0,OR(AUTOEVENTO&lt;&gt;"manual",$M20&lt;&gt;1)),
IF(Import.TipoArredondamento&lt;&gt;"TransfereGOV",
ROUND(OFFSET($P20,0,AK$13),15-13*ORÇAMENTO!$AF$7)/$H20*OFFSET(ORÇAMENTO!$X$15,ROW(AK20)-ROW(AK$15),0),
ROUND(ROUND(OFFSET($P20,0,AK$13),15-13*ORÇAMENTO!$AF$7)*OFFSET(ORÇAMENTO!$W$15,ROW(AK20)-ROW(AK$15),0),15-13*ORÇAMENTO!$AF$11)),0)</f>
        <v>0</v>
      </c>
      <c r="AM20" s="215">
        <f ca="1">IF($D20&lt;&gt;"Serviço",0,IF(AND(AUTOEVENTO="Manual",$M20=1),0,IF(OFFSET(CRONOPLE!$F$14,$M20,AM$13)="",10^12,OFFSET(CRONOPLE!$F$14,$M20,AM$13))))</f>
        <v>1000000000000</v>
      </c>
      <c r="AN20" s="215">
        <f ca="1">IF($D20&lt;&gt;"Serviço",0,IF(AND(AUTOEVENTO="Manual",$M20=1),0,IF(OFFSET(CRONOPLE!$F$14,$M20,AN$13)="",10^12,OFFSET(CRONOPLE!$F$14,$M20,AN$13))))</f>
        <v>1000000000000</v>
      </c>
      <c r="AO20" s="215">
        <f ca="1">IF($D20&lt;&gt;"Serviço",0,IF(AND(AUTOEVENTO="Manual",$M20=1),0,IF(OFFSET(CRONOPLE!$F$14,$M20,AO$13)="",10^12,OFFSET(CRONOPLE!$F$14,$M20,AO$13))))</f>
        <v>1000000000000</v>
      </c>
      <c r="AP20" s="215">
        <f ca="1">IF($D20&lt;&gt;"Serviço",0,IF(AND(AUTOEVENTO="Manual",$M20=1),0,IF(OFFSET(CRONOPLE!$F$14,$M20,AP$13)="",10^12,OFFSET(CRONOPLE!$F$14,$M20,AP$13))))</f>
        <v>1000000000000</v>
      </c>
      <c r="AQ20" s="215">
        <f ca="1">IF($D20&lt;&gt;"Serviço",0,IF(AND(AUTOEVENTO="Manual",$M20=1),0,IF(OFFSET(CRONOPLE!$F$14,$M20,AQ$13)="",10^12,OFFSET(CRONOPLE!$F$14,$M20,AQ$13))))</f>
        <v>1000000000000</v>
      </c>
      <c r="AR20" s="215">
        <f ca="1">IF($D20&lt;&gt;"Serviço",0,IF(AND(AUTOEVENTO="Manual",$M20=1),0,IF(OFFSET(CRONOPLE!$F$14,$M20,AR$13)="",10^12,OFFSET(CRONOPLE!$F$14,$M20,AR$13))))</f>
        <v>1000000000000</v>
      </c>
      <c r="AS20" s="215">
        <f ca="1">IF($D20&lt;&gt;"Serviço",0,IF(AND(AUTOEVENTO="Manual",$M20=1),0,IF(OFFSET(CRONOPLE!$F$14,$M20,AS$13)="",10^12,OFFSET(CRONOPLE!$F$14,$M20,AS$13))))</f>
        <v>1000000000000</v>
      </c>
      <c r="AT20" s="215">
        <f ca="1">IF($D20&lt;&gt;"Serviço",0,IF(AND(AUTOEVENTO="Manual",$M20=1),0,IF(OFFSET(CRONOPLE!$F$14,$M20,AT$13)="",10^12,OFFSET(CRONOPLE!$F$14,$M20,AT$13))))</f>
        <v>1000000000000</v>
      </c>
      <c r="AU20" s="215">
        <f ca="1">IF($D20&lt;&gt;"Serviço",0,IF(AND(AUTOEVENTO="Manual",$M20=1),0,IF(OFFSET(CRONOPLE!$F$14,$M20,AU$13)="",10^12,OFFSET(CRONOPLE!$F$14,$M20,AU$13))))</f>
        <v>1000000000000</v>
      </c>
      <c r="AV20" s="215">
        <f ca="1">IF($D20&lt;&gt;"Serviço",0,IF(AND(AUTOEVENTO="Manual",$M20=1),0,IF(OFFSET(CRONOPLE!$F$14,$M20,AV$13)="",10^12,OFFSET(CRONOPLE!$F$14,$M20,AV$13))))</f>
        <v>1000000000000</v>
      </c>
      <c r="AX20" s="216">
        <f ca="1">IF($D20&lt;&gt;"Serviço",0,IF(OR(AND(AUTOEVENTO="Manual",$M20=1),$M20&gt;(ROW(PLE.lastrow)-ROW(PLE.firstrow))),0,IF(OFFSET(PLE!$G$14,$M20,AX$13)="",10^12,OFFSET(PLE!$G$14,$M20,AX$13))))</f>
        <v>1000000000000</v>
      </c>
      <c r="AY20" s="216">
        <f ca="1">IF($D20&lt;&gt;"Serviço",0,IF(OR(AND(AUTOEVENTO="Manual",$M20=1),$M20&gt;(ROW(PLE.lastrow)-ROW(PLE.firstrow))),0,IF(OFFSET(PLE!$G$14,$M20,AY$13)="",10^12,OFFSET(PLE!$G$14,$M20,AY$13))))</f>
        <v>1000000000000</v>
      </c>
      <c r="AZ20" s="216">
        <f ca="1">IF($D20&lt;&gt;"Serviço",0,IF(OR(AND(AUTOEVENTO="Manual",$M20=1),$M20&gt;(ROW(PLE.lastrow)-ROW(PLE.firstrow))),0,IF(OFFSET(PLE!$G$14,$M20,AZ$13)="",10^12,OFFSET(PLE!$G$14,$M20,AZ$13))))</f>
        <v>1000000000000</v>
      </c>
      <c r="BA20" s="216">
        <f ca="1">IF($D20&lt;&gt;"Serviço",0,IF(OR(AND(AUTOEVENTO="Manual",$M20=1),$M20&gt;(ROW(PLE.lastrow)-ROW(PLE.firstrow))),0,IF(OFFSET(PLE!$G$14,$M20,BA$13)="",10^12,OFFSET(PLE!$G$14,$M20,BA$13))))</f>
        <v>1000000000000</v>
      </c>
      <c r="BB20" s="216">
        <f ca="1">IF($D20&lt;&gt;"Serviço",0,IF(OR(AND(AUTOEVENTO="Manual",$M20=1),$M20&gt;(ROW(PLE.lastrow)-ROW(PLE.firstrow))),0,IF(OFFSET(PLE!$G$14,$M20,BB$13)="",10^12,OFFSET(PLE!$G$14,$M20,BB$13))))</f>
        <v>1000000000000</v>
      </c>
      <c r="BC20" s="216">
        <f ca="1">IF($D20&lt;&gt;"Serviço",0,IF(OR(AND(AUTOEVENTO="Manual",$M20=1),$M20&gt;(ROW(PLE.lastrow)-ROW(PLE.firstrow))),0,IF(OFFSET(PLE!$G$14,$M20,BC$13)="",10^12,OFFSET(PLE!$G$14,$M20,BC$13))))</f>
        <v>1000000000000</v>
      </c>
      <c r="BD20" s="216">
        <f ca="1">IF($D20&lt;&gt;"Serviço",0,IF(OR(AND(AUTOEVENTO="Manual",$M20=1),$M20&gt;(ROW(PLE.lastrow)-ROW(PLE.firstrow))),0,IF(OFFSET(PLE!$G$14,$M20,BD$13)="",10^12,OFFSET(PLE!$G$14,$M20,BD$13))))</f>
        <v>1000000000000</v>
      </c>
      <c r="BE20" s="216">
        <f ca="1">IF($D20&lt;&gt;"Serviço",0,IF(OR(AND(AUTOEVENTO="Manual",$M20=1),$M20&gt;(ROW(PLE.lastrow)-ROW(PLE.firstrow))),0,IF(OFFSET(PLE!$G$14,$M20,BE$13)="",10^12,OFFSET(PLE!$G$14,$M20,BE$13))))</f>
        <v>1000000000000</v>
      </c>
      <c r="BF20" s="216">
        <f ca="1">IF($D20&lt;&gt;"Serviço",0,IF(OR(AND(AUTOEVENTO="Manual",$M20=1),$M20&gt;(ROW(PLE.lastrow)-ROW(PLE.firstrow))),0,IF(OFFSET(PLE!$G$14,$M20,BF$13)="",10^12,OFFSET(PLE!$G$14,$M20,BF$13))))</f>
        <v>1000000000000</v>
      </c>
      <c r="BG20" s="216">
        <f ca="1">IF($D20&lt;&gt;"Serviço",0,IF(OR(AND(AUTOEVENTO="Manual",$M20=1),$M20&gt;(ROW(PLE.lastrow)-ROW(PLE.firstrow))),0,IF(OFFSET(PLE!$G$14,$M20,BG$13)="",10^12,OFFSET(PLE!$G$14,$M20,BG$13))))</f>
        <v>1000000000000</v>
      </c>
    </row>
    <row r="21" spans="1:59" ht="25.5" x14ac:dyDescent="0.2">
      <c r="A21" s="9" t="str">
        <f t="shared" ca="1" si="8"/>
        <v>2</v>
      </c>
      <c r="B21" s="9" t="str">
        <f ca="1">OFFSET(ORÇAMENTO!C$15,ROW(B21)-ROW(B$15),0)</f>
        <v>S</v>
      </c>
      <c r="C21" s="9" t="str">
        <f ca="1">OFFSET(ORÇAMENTO!L$15,ROW(C21)-ROW(C$15),0)</f>
        <v/>
      </c>
      <c r="D21" s="145" t="str">
        <f ca="1">OFFSET(ORÇAMENTO!N$15,ROW(D21)-ROW(D$15),0)</f>
        <v>Serviço</v>
      </c>
      <c r="E21" s="205" t="str">
        <f ca="1">OFFSET(ORÇAMENTO!O$15,ROW(E21)-ROW(E$15),0)</f>
        <v>-</v>
      </c>
      <c r="F21" s="206" t="str">
        <f ca="1">OFFSET(ORÇAMENTO!R$15,ROW(F21)-ROW(F$15),0)</f>
        <v>TAPUME COM TELHA METÁLICA. AF_03/2024</v>
      </c>
      <c r="G21" s="207" t="str">
        <f ca="1">IF($D21&lt;&gt;"Serviço","",OFFSET(ORÇAMENTO!S$15,ROW(G21)-ROW(G$15),0))</f>
        <v>M2</v>
      </c>
      <c r="H21" s="151">
        <f ca="1">IF($D21&lt;&gt;"Serviço",0,IF(ACOMPANHAMENTO="BM",ROUND(OFFSET(ORÇAMENTO!AJ$15,ROW(H21)-ROW(H$15),0),15-13*ORÇAMENTO!$AF$7),SUMPRODUCT(($Q$12:$AA$12&lt;&gt;"")*ROUND($Q21:$AA21,15-13*ORÇAMENTO!$AF$7))))</f>
        <v>250</v>
      </c>
      <c r="I21" s="649"/>
      <c r="K21" s="208"/>
      <c r="L21" s="209" t="s">
        <v>255</v>
      </c>
      <c r="M21" s="210">
        <f ca="1">IF($D21&lt;&gt;"Serviço","",IF(AUTOEVENTO="manual",$A21,IF(ISERROR(MATCH($A21,$A$15:OFFSET($A21,-1,0),0)),MAX($M$15:OFFSET(M21,-1,0))+1,INDEX($M$15:OFFSET(M21,-1,0),MATCH($A21,$A$15:OFFSET($A21,-1,0),0)))))</f>
        <v>2</v>
      </c>
      <c r="N21" s="211" t="str">
        <f ca="1">IF($D21&lt;&gt;"Serviço","",IF(AUTOEVENTO="Manual",IF($A21=0,"&lt;-- defina o número do agrupador",OFFSET(EVENTOS!$D$14,$A21,0)),OFFSET($F$15,$A21,0)))</f>
        <v>SERVIÇOS PRELIMINARES  E PROVISÓRIOS</v>
      </c>
      <c r="O21" s="212"/>
      <c r="Q21" s="212"/>
      <c r="R21" s="213"/>
      <c r="S21" s="213"/>
      <c r="T21" s="213"/>
      <c r="U21" s="213"/>
      <c r="V21" s="213"/>
      <c r="W21" s="213"/>
      <c r="X21" s="213"/>
      <c r="Y21" s="213"/>
      <c r="Z21" s="214"/>
      <c r="AB21" s="630">
        <f ca="1">IF(AND($D21="Serviço",AB$12&lt;&gt;0,$H21&gt;0,OR(AUTOEVENTO&lt;&gt;"manual",$M21&lt;&gt;1)),
IF(Import.TipoArredondamento&lt;&gt;"TransfereGOV",
ROUND(OFFSET($P21,0,AB$13),15-13*ORÇAMENTO!$AF$7)/$H21*OFFSET(ORÇAMENTO!$X$15,ROW(AB21)-ROW(AB$15),0),
ROUND(ROUND(OFFSET($P21,0,AB$13),15-13*ORÇAMENTO!$AF$7)*OFFSET(ORÇAMENTO!$W$15,ROW(AB21)-ROW(AB$15),0),15-13*ORÇAMENTO!$AF$11)),0)</f>
        <v>0</v>
      </c>
      <c r="AC21" s="631">
        <f ca="1">IF(AND($D21="Serviço",AC$12&lt;&gt;0,$H21&gt;0,OR(AUTOEVENTO&lt;&gt;"manual",$M21&lt;&gt;1)),
IF(Import.TipoArredondamento&lt;&gt;"TransfereGOV",
ROUND(OFFSET($P21,0,AC$13),15-13*ORÇAMENTO!$AF$7)/$H21*OFFSET(ORÇAMENTO!$X$15,ROW(AC21)-ROW(AC$15),0),
ROUND(ROUND(OFFSET($P21,0,AC$13),15-13*ORÇAMENTO!$AF$7)*OFFSET(ORÇAMENTO!$W$15,ROW(AC21)-ROW(AC$15),0),15-13*ORÇAMENTO!$AF$11)),0)</f>
        <v>0</v>
      </c>
      <c r="AD21" s="631">
        <f ca="1">IF(AND($D21="Serviço",AD$12&lt;&gt;0,$H21&gt;0,OR(AUTOEVENTO&lt;&gt;"manual",$M21&lt;&gt;1)),
IF(Import.TipoArredondamento&lt;&gt;"TransfereGOV",
ROUND(OFFSET($P21,0,AD$13),15-13*ORÇAMENTO!$AF$7)/$H21*OFFSET(ORÇAMENTO!$X$15,ROW(AD21)-ROW(AD$15),0),
ROUND(ROUND(OFFSET($P21,0,AD$13),15-13*ORÇAMENTO!$AF$7)*OFFSET(ORÇAMENTO!$W$15,ROW(AD21)-ROW(AD$15),0),15-13*ORÇAMENTO!$AF$11)),0)</f>
        <v>0</v>
      </c>
      <c r="AE21" s="631">
        <f ca="1">IF(AND($D21="Serviço",AE$12&lt;&gt;0,$H21&gt;0,OR(AUTOEVENTO&lt;&gt;"manual",$M21&lt;&gt;1)),
IF(Import.TipoArredondamento&lt;&gt;"TransfereGOV",
ROUND(OFFSET($P21,0,AE$13),15-13*ORÇAMENTO!$AF$7)/$H21*OFFSET(ORÇAMENTO!$X$15,ROW(AE21)-ROW(AE$15),0),
ROUND(ROUND(OFFSET($P21,0,AE$13),15-13*ORÇAMENTO!$AF$7)*OFFSET(ORÇAMENTO!$W$15,ROW(AE21)-ROW(AE$15),0),15-13*ORÇAMENTO!$AF$11)),0)</f>
        <v>0</v>
      </c>
      <c r="AF21" s="631">
        <f ca="1">IF(AND($D21="Serviço",AF$12&lt;&gt;0,$H21&gt;0,OR(AUTOEVENTO&lt;&gt;"manual",$M21&lt;&gt;1)),
IF(Import.TipoArredondamento&lt;&gt;"TransfereGOV",
ROUND(OFFSET($P21,0,AF$13),15-13*ORÇAMENTO!$AF$7)/$H21*OFFSET(ORÇAMENTO!$X$15,ROW(AF21)-ROW(AF$15),0),
ROUND(ROUND(OFFSET($P21,0,AF$13),15-13*ORÇAMENTO!$AF$7)*OFFSET(ORÇAMENTO!$W$15,ROW(AF21)-ROW(AF$15),0),15-13*ORÇAMENTO!$AF$11)),0)</f>
        <v>0</v>
      </c>
      <c r="AG21" s="631">
        <f ca="1">IF(AND($D21="Serviço",AG$12&lt;&gt;0,$H21&gt;0,OR(AUTOEVENTO&lt;&gt;"manual",$M21&lt;&gt;1)),
IF(Import.TipoArredondamento&lt;&gt;"TransfereGOV",
ROUND(OFFSET($P21,0,AG$13),15-13*ORÇAMENTO!$AF$7)/$H21*OFFSET(ORÇAMENTO!$X$15,ROW(AG21)-ROW(AG$15),0),
ROUND(ROUND(OFFSET($P21,0,AG$13),15-13*ORÇAMENTO!$AF$7)*OFFSET(ORÇAMENTO!$W$15,ROW(AG21)-ROW(AG$15),0),15-13*ORÇAMENTO!$AF$11)),0)</f>
        <v>0</v>
      </c>
      <c r="AH21" s="631">
        <f ca="1">IF(AND($D21="Serviço",AH$12&lt;&gt;0,$H21&gt;0,OR(AUTOEVENTO&lt;&gt;"manual",$M21&lt;&gt;1)),
IF(Import.TipoArredondamento&lt;&gt;"TransfereGOV",
ROUND(OFFSET($P21,0,AH$13),15-13*ORÇAMENTO!$AF$7)/$H21*OFFSET(ORÇAMENTO!$X$15,ROW(AH21)-ROW(AH$15),0),
ROUND(ROUND(OFFSET($P21,0,AH$13),15-13*ORÇAMENTO!$AF$7)*OFFSET(ORÇAMENTO!$W$15,ROW(AH21)-ROW(AH$15),0),15-13*ORÇAMENTO!$AF$11)),0)</f>
        <v>0</v>
      </c>
      <c r="AI21" s="631">
        <f ca="1">IF(AND($D21="Serviço",AI$12&lt;&gt;0,$H21&gt;0,OR(AUTOEVENTO&lt;&gt;"manual",$M21&lt;&gt;1)),
IF(Import.TipoArredondamento&lt;&gt;"TransfereGOV",
ROUND(OFFSET($P21,0,AI$13),15-13*ORÇAMENTO!$AF$7)/$H21*OFFSET(ORÇAMENTO!$X$15,ROW(AI21)-ROW(AI$15),0),
ROUND(ROUND(OFFSET($P21,0,AI$13),15-13*ORÇAMENTO!$AF$7)*OFFSET(ORÇAMENTO!$W$15,ROW(AI21)-ROW(AI$15),0),15-13*ORÇAMENTO!$AF$11)),0)</f>
        <v>0</v>
      </c>
      <c r="AJ21" s="631">
        <f ca="1">IF(AND($D21="Serviço",AJ$12&lt;&gt;0,$H21&gt;0,OR(AUTOEVENTO&lt;&gt;"manual",$M21&lt;&gt;1)),
IF(Import.TipoArredondamento&lt;&gt;"TransfereGOV",
ROUND(OFFSET($P21,0,AJ$13),15-13*ORÇAMENTO!$AF$7)/$H21*OFFSET(ORÇAMENTO!$X$15,ROW(AJ21)-ROW(AJ$15),0),
ROUND(ROUND(OFFSET($P21,0,AJ$13),15-13*ORÇAMENTO!$AF$7)*OFFSET(ORÇAMENTO!$W$15,ROW(AJ21)-ROW(AJ$15),0),15-13*ORÇAMENTO!$AF$11)),0)</f>
        <v>0</v>
      </c>
      <c r="AK21" s="632">
        <f ca="1">IF(AND($D21="Serviço",AK$12&lt;&gt;0,$H21&gt;0,OR(AUTOEVENTO&lt;&gt;"manual",$M21&lt;&gt;1)),
IF(Import.TipoArredondamento&lt;&gt;"TransfereGOV",
ROUND(OFFSET($P21,0,AK$13),15-13*ORÇAMENTO!$AF$7)/$H21*OFFSET(ORÇAMENTO!$X$15,ROW(AK21)-ROW(AK$15),0),
ROUND(ROUND(OFFSET($P21,0,AK$13),15-13*ORÇAMENTO!$AF$7)*OFFSET(ORÇAMENTO!$W$15,ROW(AK21)-ROW(AK$15),0),15-13*ORÇAMENTO!$AF$11)),0)</f>
        <v>0</v>
      </c>
      <c r="AM21" s="215">
        <f ca="1">IF($D21&lt;&gt;"Serviço",0,IF(AND(AUTOEVENTO="Manual",$M21=1),0,IF(OFFSET(CRONOPLE!$F$14,$M21,AM$13)="",10^12,OFFSET(CRONOPLE!$F$14,$M21,AM$13))))</f>
        <v>1000000000000</v>
      </c>
      <c r="AN21" s="215">
        <f ca="1">IF($D21&lt;&gt;"Serviço",0,IF(AND(AUTOEVENTO="Manual",$M21=1),0,IF(OFFSET(CRONOPLE!$F$14,$M21,AN$13)="",10^12,OFFSET(CRONOPLE!$F$14,$M21,AN$13))))</f>
        <v>1000000000000</v>
      </c>
      <c r="AO21" s="215">
        <f ca="1">IF($D21&lt;&gt;"Serviço",0,IF(AND(AUTOEVENTO="Manual",$M21=1),0,IF(OFFSET(CRONOPLE!$F$14,$M21,AO$13)="",10^12,OFFSET(CRONOPLE!$F$14,$M21,AO$13))))</f>
        <v>1000000000000</v>
      </c>
      <c r="AP21" s="215">
        <f ca="1">IF($D21&lt;&gt;"Serviço",0,IF(AND(AUTOEVENTO="Manual",$M21=1),0,IF(OFFSET(CRONOPLE!$F$14,$M21,AP$13)="",10^12,OFFSET(CRONOPLE!$F$14,$M21,AP$13))))</f>
        <v>1000000000000</v>
      </c>
      <c r="AQ21" s="215">
        <f ca="1">IF($D21&lt;&gt;"Serviço",0,IF(AND(AUTOEVENTO="Manual",$M21=1),0,IF(OFFSET(CRONOPLE!$F$14,$M21,AQ$13)="",10^12,OFFSET(CRONOPLE!$F$14,$M21,AQ$13))))</f>
        <v>1000000000000</v>
      </c>
      <c r="AR21" s="215">
        <f ca="1">IF($D21&lt;&gt;"Serviço",0,IF(AND(AUTOEVENTO="Manual",$M21=1),0,IF(OFFSET(CRONOPLE!$F$14,$M21,AR$13)="",10^12,OFFSET(CRONOPLE!$F$14,$M21,AR$13))))</f>
        <v>1000000000000</v>
      </c>
      <c r="AS21" s="215">
        <f ca="1">IF($D21&lt;&gt;"Serviço",0,IF(AND(AUTOEVENTO="Manual",$M21=1),0,IF(OFFSET(CRONOPLE!$F$14,$M21,AS$13)="",10^12,OFFSET(CRONOPLE!$F$14,$M21,AS$13))))</f>
        <v>1000000000000</v>
      </c>
      <c r="AT21" s="215">
        <f ca="1">IF($D21&lt;&gt;"Serviço",0,IF(AND(AUTOEVENTO="Manual",$M21=1),0,IF(OFFSET(CRONOPLE!$F$14,$M21,AT$13)="",10^12,OFFSET(CRONOPLE!$F$14,$M21,AT$13))))</f>
        <v>1000000000000</v>
      </c>
      <c r="AU21" s="215">
        <f ca="1">IF($D21&lt;&gt;"Serviço",0,IF(AND(AUTOEVENTO="Manual",$M21=1),0,IF(OFFSET(CRONOPLE!$F$14,$M21,AU$13)="",10^12,OFFSET(CRONOPLE!$F$14,$M21,AU$13))))</f>
        <v>1000000000000</v>
      </c>
      <c r="AV21" s="215">
        <f ca="1">IF($D21&lt;&gt;"Serviço",0,IF(AND(AUTOEVENTO="Manual",$M21=1),0,IF(OFFSET(CRONOPLE!$F$14,$M21,AV$13)="",10^12,OFFSET(CRONOPLE!$F$14,$M21,AV$13))))</f>
        <v>1000000000000</v>
      </c>
      <c r="AX21" s="216">
        <f ca="1">IF($D21&lt;&gt;"Serviço",0,IF(OR(AND(AUTOEVENTO="Manual",$M21=1),$M21&gt;(ROW(PLE.lastrow)-ROW(PLE.firstrow))),0,IF(OFFSET(PLE!$G$14,$M21,AX$13)="",10^12,OFFSET(PLE!$G$14,$M21,AX$13))))</f>
        <v>1000000000000</v>
      </c>
      <c r="AY21" s="216">
        <f ca="1">IF($D21&lt;&gt;"Serviço",0,IF(OR(AND(AUTOEVENTO="Manual",$M21=1),$M21&gt;(ROW(PLE.lastrow)-ROW(PLE.firstrow))),0,IF(OFFSET(PLE!$G$14,$M21,AY$13)="",10^12,OFFSET(PLE!$G$14,$M21,AY$13))))</f>
        <v>1000000000000</v>
      </c>
      <c r="AZ21" s="216">
        <f ca="1">IF($D21&lt;&gt;"Serviço",0,IF(OR(AND(AUTOEVENTO="Manual",$M21=1),$M21&gt;(ROW(PLE.lastrow)-ROW(PLE.firstrow))),0,IF(OFFSET(PLE!$G$14,$M21,AZ$13)="",10^12,OFFSET(PLE!$G$14,$M21,AZ$13))))</f>
        <v>1000000000000</v>
      </c>
      <c r="BA21" s="216">
        <f ca="1">IF($D21&lt;&gt;"Serviço",0,IF(OR(AND(AUTOEVENTO="Manual",$M21=1),$M21&gt;(ROW(PLE.lastrow)-ROW(PLE.firstrow))),0,IF(OFFSET(PLE!$G$14,$M21,BA$13)="",10^12,OFFSET(PLE!$G$14,$M21,BA$13))))</f>
        <v>1000000000000</v>
      </c>
      <c r="BB21" s="216">
        <f ca="1">IF($D21&lt;&gt;"Serviço",0,IF(OR(AND(AUTOEVENTO="Manual",$M21=1),$M21&gt;(ROW(PLE.lastrow)-ROW(PLE.firstrow))),0,IF(OFFSET(PLE!$G$14,$M21,BB$13)="",10^12,OFFSET(PLE!$G$14,$M21,BB$13))))</f>
        <v>1000000000000</v>
      </c>
      <c r="BC21" s="216">
        <f ca="1">IF($D21&lt;&gt;"Serviço",0,IF(OR(AND(AUTOEVENTO="Manual",$M21=1),$M21&gt;(ROW(PLE.lastrow)-ROW(PLE.firstrow))),0,IF(OFFSET(PLE!$G$14,$M21,BC$13)="",10^12,OFFSET(PLE!$G$14,$M21,BC$13))))</f>
        <v>1000000000000</v>
      </c>
      <c r="BD21" s="216">
        <f ca="1">IF($D21&lt;&gt;"Serviço",0,IF(OR(AND(AUTOEVENTO="Manual",$M21=1),$M21&gt;(ROW(PLE.lastrow)-ROW(PLE.firstrow))),0,IF(OFFSET(PLE!$G$14,$M21,BD$13)="",10^12,OFFSET(PLE!$G$14,$M21,BD$13))))</f>
        <v>1000000000000</v>
      </c>
      <c r="BE21" s="216">
        <f ca="1">IF($D21&lt;&gt;"Serviço",0,IF(OR(AND(AUTOEVENTO="Manual",$M21=1),$M21&gt;(ROW(PLE.lastrow)-ROW(PLE.firstrow))),0,IF(OFFSET(PLE!$G$14,$M21,BE$13)="",10^12,OFFSET(PLE!$G$14,$M21,BE$13))))</f>
        <v>1000000000000</v>
      </c>
      <c r="BF21" s="216">
        <f ca="1">IF($D21&lt;&gt;"Serviço",0,IF(OR(AND(AUTOEVENTO="Manual",$M21=1),$M21&gt;(ROW(PLE.lastrow)-ROW(PLE.firstrow))),0,IF(OFFSET(PLE!$G$14,$M21,BF$13)="",10^12,OFFSET(PLE!$G$14,$M21,BF$13))))</f>
        <v>1000000000000</v>
      </c>
      <c r="BG21" s="216">
        <f ca="1">IF($D21&lt;&gt;"Serviço",0,IF(OR(AND(AUTOEVENTO="Manual",$M21=1),$M21&gt;(ROW(PLE.lastrow)-ROW(PLE.firstrow))),0,IF(OFFSET(PLE!$G$14,$M21,BG$13)="",10^12,OFFSET(PLE!$G$14,$M21,BG$13))))</f>
        <v>1000000000000</v>
      </c>
    </row>
    <row r="22" spans="1:59" ht="51" x14ac:dyDescent="0.2">
      <c r="A22" s="9" t="str">
        <f t="shared" ca="1" si="8"/>
        <v>2</v>
      </c>
      <c r="B22" s="9" t="str">
        <f ca="1">OFFSET(ORÇAMENTO!C$15,ROW(B22)-ROW(B$15),0)</f>
        <v>S</v>
      </c>
      <c r="C22" s="9" t="str">
        <f ca="1">OFFSET(ORÇAMENTO!L$15,ROW(C22)-ROW(C$15),0)</f>
        <v/>
      </c>
      <c r="D22" s="145" t="str">
        <f ca="1">OFFSET(ORÇAMENTO!N$15,ROW(D22)-ROW(D$15),0)</f>
        <v>Serviço</v>
      </c>
      <c r="E22" s="205" t="str">
        <f ca="1">OFFSET(ORÇAMENTO!O$15,ROW(E22)-ROW(E$15),0)</f>
        <v>-</v>
      </c>
      <c r="F22" s="206" t="str">
        <f ca="1">OFFSET(ORÇAMENTO!R$15,ROW(F22)-ROW(F$15),0)</f>
        <v>KIT CAVALETE PARA MEDIÇÃO DE ÁGUA - ENTRADA INDIVIDUALIZADA, EM PVC 32 MM (1"), PARA 1 MEDIDOR - FORNECIMENTO E INSTALAÇÃO (EXCLUSIVE HIDRÔMETRO). AF_03/2024</v>
      </c>
      <c r="G22" s="207" t="str">
        <f ca="1">IF($D22&lt;&gt;"Serviço","",OFFSET(ORÇAMENTO!S$15,ROW(G22)-ROW(G$15),0))</f>
        <v>UN</v>
      </c>
      <c r="H22" s="151">
        <f ca="1">IF($D22&lt;&gt;"Serviço",0,IF(ACOMPANHAMENTO="BM",ROUND(OFFSET(ORÇAMENTO!AJ$15,ROW(H22)-ROW(H$15),0),15-13*ORÇAMENTO!$AF$7),SUMPRODUCT(($Q$12:$AA$12&lt;&gt;"")*ROUND($Q22:$AA22,15-13*ORÇAMENTO!$AF$7))))</f>
        <v>1</v>
      </c>
      <c r="I22" s="649"/>
      <c r="K22" s="208"/>
      <c r="L22" s="209" t="s">
        <v>255</v>
      </c>
      <c r="M22" s="210">
        <f ca="1">IF($D22&lt;&gt;"Serviço","",IF(AUTOEVENTO="manual",$A22,IF(ISERROR(MATCH($A22,$A$15:OFFSET($A22,-1,0),0)),MAX($M$15:OFFSET(M22,-1,0))+1,INDEX($M$15:OFFSET(M22,-1,0),MATCH($A22,$A$15:OFFSET($A22,-1,0),0)))))</f>
        <v>2</v>
      </c>
      <c r="N22" s="211" t="str">
        <f ca="1">IF($D22&lt;&gt;"Serviço","",IF(AUTOEVENTO="Manual",IF($A22=0,"&lt;-- defina o número do agrupador",OFFSET(EVENTOS!$D$14,$A22,0)),OFFSET($F$15,$A22,0)))</f>
        <v>SERVIÇOS PRELIMINARES  E PROVISÓRIOS</v>
      </c>
      <c r="O22" s="212"/>
      <c r="Q22" s="212"/>
      <c r="R22" s="213"/>
      <c r="S22" s="213"/>
      <c r="T22" s="213"/>
      <c r="U22" s="213"/>
      <c r="V22" s="213"/>
      <c r="W22" s="213"/>
      <c r="X22" s="213"/>
      <c r="Y22" s="213"/>
      <c r="Z22" s="214"/>
      <c r="AB22" s="630">
        <f ca="1">IF(AND($D22="Serviço",AB$12&lt;&gt;0,$H22&gt;0,OR(AUTOEVENTO&lt;&gt;"manual",$M22&lt;&gt;1)),
IF(Import.TipoArredondamento&lt;&gt;"TransfereGOV",
ROUND(OFFSET($P22,0,AB$13),15-13*ORÇAMENTO!$AF$7)/$H22*OFFSET(ORÇAMENTO!$X$15,ROW(AB22)-ROW(AB$15),0),
ROUND(ROUND(OFFSET($P22,0,AB$13),15-13*ORÇAMENTO!$AF$7)*OFFSET(ORÇAMENTO!$W$15,ROW(AB22)-ROW(AB$15),0),15-13*ORÇAMENTO!$AF$11)),0)</f>
        <v>0</v>
      </c>
      <c r="AC22" s="631">
        <f ca="1">IF(AND($D22="Serviço",AC$12&lt;&gt;0,$H22&gt;0,OR(AUTOEVENTO&lt;&gt;"manual",$M22&lt;&gt;1)),
IF(Import.TipoArredondamento&lt;&gt;"TransfereGOV",
ROUND(OFFSET($P22,0,AC$13),15-13*ORÇAMENTO!$AF$7)/$H22*OFFSET(ORÇAMENTO!$X$15,ROW(AC22)-ROW(AC$15),0),
ROUND(ROUND(OFFSET($P22,0,AC$13),15-13*ORÇAMENTO!$AF$7)*OFFSET(ORÇAMENTO!$W$15,ROW(AC22)-ROW(AC$15),0),15-13*ORÇAMENTO!$AF$11)),0)</f>
        <v>0</v>
      </c>
      <c r="AD22" s="631">
        <f ca="1">IF(AND($D22="Serviço",AD$12&lt;&gt;0,$H22&gt;0,OR(AUTOEVENTO&lt;&gt;"manual",$M22&lt;&gt;1)),
IF(Import.TipoArredondamento&lt;&gt;"TransfereGOV",
ROUND(OFFSET($P22,0,AD$13),15-13*ORÇAMENTO!$AF$7)/$H22*OFFSET(ORÇAMENTO!$X$15,ROW(AD22)-ROW(AD$15),0),
ROUND(ROUND(OFFSET($P22,0,AD$13),15-13*ORÇAMENTO!$AF$7)*OFFSET(ORÇAMENTO!$W$15,ROW(AD22)-ROW(AD$15),0),15-13*ORÇAMENTO!$AF$11)),0)</f>
        <v>0</v>
      </c>
      <c r="AE22" s="631">
        <f ca="1">IF(AND($D22="Serviço",AE$12&lt;&gt;0,$H22&gt;0,OR(AUTOEVENTO&lt;&gt;"manual",$M22&lt;&gt;1)),
IF(Import.TipoArredondamento&lt;&gt;"TransfereGOV",
ROUND(OFFSET($P22,0,AE$13),15-13*ORÇAMENTO!$AF$7)/$H22*OFFSET(ORÇAMENTO!$X$15,ROW(AE22)-ROW(AE$15),0),
ROUND(ROUND(OFFSET($P22,0,AE$13),15-13*ORÇAMENTO!$AF$7)*OFFSET(ORÇAMENTO!$W$15,ROW(AE22)-ROW(AE$15),0),15-13*ORÇAMENTO!$AF$11)),0)</f>
        <v>0</v>
      </c>
      <c r="AF22" s="631">
        <f ca="1">IF(AND($D22="Serviço",AF$12&lt;&gt;0,$H22&gt;0,OR(AUTOEVENTO&lt;&gt;"manual",$M22&lt;&gt;1)),
IF(Import.TipoArredondamento&lt;&gt;"TransfereGOV",
ROUND(OFFSET($P22,0,AF$13),15-13*ORÇAMENTO!$AF$7)/$H22*OFFSET(ORÇAMENTO!$X$15,ROW(AF22)-ROW(AF$15),0),
ROUND(ROUND(OFFSET($P22,0,AF$13),15-13*ORÇAMENTO!$AF$7)*OFFSET(ORÇAMENTO!$W$15,ROW(AF22)-ROW(AF$15),0),15-13*ORÇAMENTO!$AF$11)),0)</f>
        <v>0</v>
      </c>
      <c r="AG22" s="631">
        <f ca="1">IF(AND($D22="Serviço",AG$12&lt;&gt;0,$H22&gt;0,OR(AUTOEVENTO&lt;&gt;"manual",$M22&lt;&gt;1)),
IF(Import.TipoArredondamento&lt;&gt;"TransfereGOV",
ROUND(OFFSET($P22,0,AG$13),15-13*ORÇAMENTO!$AF$7)/$H22*OFFSET(ORÇAMENTO!$X$15,ROW(AG22)-ROW(AG$15),0),
ROUND(ROUND(OFFSET($P22,0,AG$13),15-13*ORÇAMENTO!$AF$7)*OFFSET(ORÇAMENTO!$W$15,ROW(AG22)-ROW(AG$15),0),15-13*ORÇAMENTO!$AF$11)),0)</f>
        <v>0</v>
      </c>
      <c r="AH22" s="631">
        <f ca="1">IF(AND($D22="Serviço",AH$12&lt;&gt;0,$H22&gt;0,OR(AUTOEVENTO&lt;&gt;"manual",$M22&lt;&gt;1)),
IF(Import.TipoArredondamento&lt;&gt;"TransfereGOV",
ROUND(OFFSET($P22,0,AH$13),15-13*ORÇAMENTO!$AF$7)/$H22*OFFSET(ORÇAMENTO!$X$15,ROW(AH22)-ROW(AH$15),0),
ROUND(ROUND(OFFSET($P22,0,AH$13),15-13*ORÇAMENTO!$AF$7)*OFFSET(ORÇAMENTO!$W$15,ROW(AH22)-ROW(AH$15),0),15-13*ORÇAMENTO!$AF$11)),0)</f>
        <v>0</v>
      </c>
      <c r="AI22" s="631">
        <f ca="1">IF(AND($D22="Serviço",AI$12&lt;&gt;0,$H22&gt;0,OR(AUTOEVENTO&lt;&gt;"manual",$M22&lt;&gt;1)),
IF(Import.TipoArredondamento&lt;&gt;"TransfereGOV",
ROUND(OFFSET($P22,0,AI$13),15-13*ORÇAMENTO!$AF$7)/$H22*OFFSET(ORÇAMENTO!$X$15,ROW(AI22)-ROW(AI$15),0),
ROUND(ROUND(OFFSET($P22,0,AI$13),15-13*ORÇAMENTO!$AF$7)*OFFSET(ORÇAMENTO!$W$15,ROW(AI22)-ROW(AI$15),0),15-13*ORÇAMENTO!$AF$11)),0)</f>
        <v>0</v>
      </c>
      <c r="AJ22" s="631">
        <f ca="1">IF(AND($D22="Serviço",AJ$12&lt;&gt;0,$H22&gt;0,OR(AUTOEVENTO&lt;&gt;"manual",$M22&lt;&gt;1)),
IF(Import.TipoArredondamento&lt;&gt;"TransfereGOV",
ROUND(OFFSET($P22,0,AJ$13),15-13*ORÇAMENTO!$AF$7)/$H22*OFFSET(ORÇAMENTO!$X$15,ROW(AJ22)-ROW(AJ$15),0),
ROUND(ROUND(OFFSET($P22,0,AJ$13),15-13*ORÇAMENTO!$AF$7)*OFFSET(ORÇAMENTO!$W$15,ROW(AJ22)-ROW(AJ$15),0),15-13*ORÇAMENTO!$AF$11)),0)</f>
        <v>0</v>
      </c>
      <c r="AK22" s="632">
        <f ca="1">IF(AND($D22="Serviço",AK$12&lt;&gt;0,$H22&gt;0,OR(AUTOEVENTO&lt;&gt;"manual",$M22&lt;&gt;1)),
IF(Import.TipoArredondamento&lt;&gt;"TransfereGOV",
ROUND(OFFSET($P22,0,AK$13),15-13*ORÇAMENTO!$AF$7)/$H22*OFFSET(ORÇAMENTO!$X$15,ROW(AK22)-ROW(AK$15),0),
ROUND(ROUND(OFFSET($P22,0,AK$13),15-13*ORÇAMENTO!$AF$7)*OFFSET(ORÇAMENTO!$W$15,ROW(AK22)-ROW(AK$15),0),15-13*ORÇAMENTO!$AF$11)),0)</f>
        <v>0</v>
      </c>
      <c r="AM22" s="215">
        <f ca="1">IF($D22&lt;&gt;"Serviço",0,IF(AND(AUTOEVENTO="Manual",$M22=1),0,IF(OFFSET(CRONOPLE!$F$14,$M22,AM$13)="",10^12,OFFSET(CRONOPLE!$F$14,$M22,AM$13))))</f>
        <v>1000000000000</v>
      </c>
      <c r="AN22" s="215">
        <f ca="1">IF($D22&lt;&gt;"Serviço",0,IF(AND(AUTOEVENTO="Manual",$M22=1),0,IF(OFFSET(CRONOPLE!$F$14,$M22,AN$13)="",10^12,OFFSET(CRONOPLE!$F$14,$M22,AN$13))))</f>
        <v>1000000000000</v>
      </c>
      <c r="AO22" s="215">
        <f ca="1">IF($D22&lt;&gt;"Serviço",0,IF(AND(AUTOEVENTO="Manual",$M22=1),0,IF(OFFSET(CRONOPLE!$F$14,$M22,AO$13)="",10^12,OFFSET(CRONOPLE!$F$14,$M22,AO$13))))</f>
        <v>1000000000000</v>
      </c>
      <c r="AP22" s="215">
        <f ca="1">IF($D22&lt;&gt;"Serviço",0,IF(AND(AUTOEVENTO="Manual",$M22=1),0,IF(OFFSET(CRONOPLE!$F$14,$M22,AP$13)="",10^12,OFFSET(CRONOPLE!$F$14,$M22,AP$13))))</f>
        <v>1000000000000</v>
      </c>
      <c r="AQ22" s="215">
        <f ca="1">IF($D22&lt;&gt;"Serviço",0,IF(AND(AUTOEVENTO="Manual",$M22=1),0,IF(OFFSET(CRONOPLE!$F$14,$M22,AQ$13)="",10^12,OFFSET(CRONOPLE!$F$14,$M22,AQ$13))))</f>
        <v>1000000000000</v>
      </c>
      <c r="AR22" s="215">
        <f ca="1">IF($D22&lt;&gt;"Serviço",0,IF(AND(AUTOEVENTO="Manual",$M22=1),0,IF(OFFSET(CRONOPLE!$F$14,$M22,AR$13)="",10^12,OFFSET(CRONOPLE!$F$14,$M22,AR$13))))</f>
        <v>1000000000000</v>
      </c>
      <c r="AS22" s="215">
        <f ca="1">IF($D22&lt;&gt;"Serviço",0,IF(AND(AUTOEVENTO="Manual",$M22=1),0,IF(OFFSET(CRONOPLE!$F$14,$M22,AS$13)="",10^12,OFFSET(CRONOPLE!$F$14,$M22,AS$13))))</f>
        <v>1000000000000</v>
      </c>
      <c r="AT22" s="215">
        <f ca="1">IF($D22&lt;&gt;"Serviço",0,IF(AND(AUTOEVENTO="Manual",$M22=1),0,IF(OFFSET(CRONOPLE!$F$14,$M22,AT$13)="",10^12,OFFSET(CRONOPLE!$F$14,$M22,AT$13))))</f>
        <v>1000000000000</v>
      </c>
      <c r="AU22" s="215">
        <f ca="1">IF($D22&lt;&gt;"Serviço",0,IF(AND(AUTOEVENTO="Manual",$M22=1),0,IF(OFFSET(CRONOPLE!$F$14,$M22,AU$13)="",10^12,OFFSET(CRONOPLE!$F$14,$M22,AU$13))))</f>
        <v>1000000000000</v>
      </c>
      <c r="AV22" s="215">
        <f ca="1">IF($D22&lt;&gt;"Serviço",0,IF(AND(AUTOEVENTO="Manual",$M22=1),0,IF(OFFSET(CRONOPLE!$F$14,$M22,AV$13)="",10^12,OFFSET(CRONOPLE!$F$14,$M22,AV$13))))</f>
        <v>1000000000000</v>
      </c>
      <c r="AX22" s="216">
        <f ca="1">IF($D22&lt;&gt;"Serviço",0,IF(OR(AND(AUTOEVENTO="Manual",$M22=1),$M22&gt;(ROW(PLE.lastrow)-ROW(PLE.firstrow))),0,IF(OFFSET(PLE!$G$14,$M22,AX$13)="",10^12,OFFSET(PLE!$G$14,$M22,AX$13))))</f>
        <v>1000000000000</v>
      </c>
      <c r="AY22" s="216">
        <f ca="1">IF($D22&lt;&gt;"Serviço",0,IF(OR(AND(AUTOEVENTO="Manual",$M22=1),$M22&gt;(ROW(PLE.lastrow)-ROW(PLE.firstrow))),0,IF(OFFSET(PLE!$G$14,$M22,AY$13)="",10^12,OFFSET(PLE!$G$14,$M22,AY$13))))</f>
        <v>1000000000000</v>
      </c>
      <c r="AZ22" s="216">
        <f ca="1">IF($D22&lt;&gt;"Serviço",0,IF(OR(AND(AUTOEVENTO="Manual",$M22=1),$M22&gt;(ROW(PLE.lastrow)-ROW(PLE.firstrow))),0,IF(OFFSET(PLE!$G$14,$M22,AZ$13)="",10^12,OFFSET(PLE!$G$14,$M22,AZ$13))))</f>
        <v>1000000000000</v>
      </c>
      <c r="BA22" s="216">
        <f ca="1">IF($D22&lt;&gt;"Serviço",0,IF(OR(AND(AUTOEVENTO="Manual",$M22=1),$M22&gt;(ROW(PLE.lastrow)-ROW(PLE.firstrow))),0,IF(OFFSET(PLE!$G$14,$M22,BA$13)="",10^12,OFFSET(PLE!$G$14,$M22,BA$13))))</f>
        <v>1000000000000</v>
      </c>
      <c r="BB22" s="216">
        <f ca="1">IF($D22&lt;&gt;"Serviço",0,IF(OR(AND(AUTOEVENTO="Manual",$M22=1),$M22&gt;(ROW(PLE.lastrow)-ROW(PLE.firstrow))),0,IF(OFFSET(PLE!$G$14,$M22,BB$13)="",10^12,OFFSET(PLE!$G$14,$M22,BB$13))))</f>
        <v>1000000000000</v>
      </c>
      <c r="BC22" s="216">
        <f ca="1">IF($D22&lt;&gt;"Serviço",0,IF(OR(AND(AUTOEVENTO="Manual",$M22=1),$M22&gt;(ROW(PLE.lastrow)-ROW(PLE.firstrow))),0,IF(OFFSET(PLE!$G$14,$M22,BC$13)="",10^12,OFFSET(PLE!$G$14,$M22,BC$13))))</f>
        <v>1000000000000</v>
      </c>
      <c r="BD22" s="216">
        <f ca="1">IF($D22&lt;&gt;"Serviço",0,IF(OR(AND(AUTOEVENTO="Manual",$M22=1),$M22&gt;(ROW(PLE.lastrow)-ROW(PLE.firstrow))),0,IF(OFFSET(PLE!$G$14,$M22,BD$13)="",10^12,OFFSET(PLE!$G$14,$M22,BD$13))))</f>
        <v>1000000000000</v>
      </c>
      <c r="BE22" s="216">
        <f ca="1">IF($D22&lt;&gt;"Serviço",0,IF(OR(AND(AUTOEVENTO="Manual",$M22=1),$M22&gt;(ROW(PLE.lastrow)-ROW(PLE.firstrow))),0,IF(OFFSET(PLE!$G$14,$M22,BE$13)="",10^12,OFFSET(PLE!$G$14,$M22,BE$13))))</f>
        <v>1000000000000</v>
      </c>
      <c r="BF22" s="216">
        <f ca="1">IF($D22&lt;&gt;"Serviço",0,IF(OR(AND(AUTOEVENTO="Manual",$M22=1),$M22&gt;(ROW(PLE.lastrow)-ROW(PLE.firstrow))),0,IF(OFFSET(PLE!$G$14,$M22,BF$13)="",10^12,OFFSET(PLE!$G$14,$M22,BF$13))))</f>
        <v>1000000000000</v>
      </c>
      <c r="BG22" s="216">
        <f ca="1">IF($D22&lt;&gt;"Serviço",0,IF(OR(AND(AUTOEVENTO="Manual",$M22=1),$M22&gt;(ROW(PLE.lastrow)-ROW(PLE.firstrow))),0,IF(OFFSET(PLE!$G$14,$M22,BG$13)="",10^12,OFFSET(PLE!$G$14,$M22,BG$13))))</f>
        <v>1000000000000</v>
      </c>
    </row>
    <row r="23" spans="1:59" ht="38.25" x14ac:dyDescent="0.2">
      <c r="A23" s="9" t="str">
        <f t="shared" ca="1" si="8"/>
        <v>2</v>
      </c>
      <c r="B23" s="9" t="str">
        <f ca="1">OFFSET(ORÇAMENTO!C$15,ROW(B23)-ROW(B$15),0)</f>
        <v>S</v>
      </c>
      <c r="C23" s="9" t="str">
        <f ca="1">OFFSET(ORÇAMENTO!L$15,ROW(C23)-ROW(C$15),0)</f>
        <v/>
      </c>
      <c r="D23" s="145" t="str">
        <f ca="1">OFFSET(ORÇAMENTO!N$15,ROW(D23)-ROW(D$15),0)</f>
        <v>Serviço</v>
      </c>
      <c r="E23" s="205" t="str">
        <f ca="1">OFFSET(ORÇAMENTO!O$15,ROW(E23)-ROW(E$15),0)</f>
        <v>-</v>
      </c>
      <c r="F23" s="206" t="str">
        <f ca="1">OFFSET(ORÇAMENTO!R$15,ROW(F23)-ROW(F$15),0)</f>
        <v>LOCAÇÃO CONVENCIONAL DE OBRA, UTILIZANDO GABARITO DE TÁBUAS CORRIDAS PONTALETADAS A CADA 1,50M -  2 UTILIZAÇÕES. AF_03/2024</v>
      </c>
      <c r="G23" s="207" t="str">
        <f ca="1">IF($D23&lt;&gt;"Serviço","",OFFSET(ORÇAMENTO!S$15,ROW(G23)-ROW(G$15),0))</f>
        <v>M</v>
      </c>
      <c r="H23" s="151">
        <f ca="1">IF($D23&lt;&gt;"Serviço",0,IF(ACOMPANHAMENTO="BM",ROUND(OFFSET(ORÇAMENTO!AJ$15,ROW(H23)-ROW(H$15),0),15-13*ORÇAMENTO!$AF$7),SUMPRODUCT(($Q$12:$AA$12&lt;&gt;"")*ROUND($Q23:$AA23,15-13*ORÇAMENTO!$AF$7))))</f>
        <v>116</v>
      </c>
      <c r="I23" s="649"/>
      <c r="K23" s="208"/>
      <c r="L23" s="209" t="s">
        <v>255</v>
      </c>
      <c r="M23" s="210">
        <f ca="1">IF($D23&lt;&gt;"Serviço","",IF(AUTOEVENTO="manual",$A23,IF(ISERROR(MATCH($A23,$A$15:OFFSET($A23,-1,0),0)),MAX($M$15:OFFSET(M23,-1,0))+1,INDEX($M$15:OFFSET(M23,-1,0),MATCH($A23,$A$15:OFFSET($A23,-1,0),0)))))</f>
        <v>2</v>
      </c>
      <c r="N23" s="211" t="str">
        <f ca="1">IF($D23&lt;&gt;"Serviço","",IF(AUTOEVENTO="Manual",IF($A23=0,"&lt;-- defina o número do agrupador",OFFSET(EVENTOS!$D$14,$A23,0)),OFFSET($F$15,$A23,0)))</f>
        <v>SERVIÇOS PRELIMINARES  E PROVISÓRIOS</v>
      </c>
      <c r="O23" s="212"/>
      <c r="Q23" s="212"/>
      <c r="R23" s="213"/>
      <c r="S23" s="213"/>
      <c r="T23" s="213"/>
      <c r="U23" s="213"/>
      <c r="V23" s="213"/>
      <c r="W23" s="213"/>
      <c r="X23" s="213"/>
      <c r="Y23" s="213"/>
      <c r="Z23" s="214"/>
      <c r="AB23" s="630">
        <f ca="1">IF(AND($D23="Serviço",AB$12&lt;&gt;0,$H23&gt;0,OR(AUTOEVENTO&lt;&gt;"manual",$M23&lt;&gt;1)),
IF(Import.TipoArredondamento&lt;&gt;"TransfereGOV",
ROUND(OFFSET($P23,0,AB$13),15-13*ORÇAMENTO!$AF$7)/$H23*OFFSET(ORÇAMENTO!$X$15,ROW(AB23)-ROW(AB$15),0),
ROUND(ROUND(OFFSET($P23,0,AB$13),15-13*ORÇAMENTO!$AF$7)*OFFSET(ORÇAMENTO!$W$15,ROW(AB23)-ROW(AB$15),0),15-13*ORÇAMENTO!$AF$11)),0)</f>
        <v>0</v>
      </c>
      <c r="AC23" s="631">
        <f ca="1">IF(AND($D23="Serviço",AC$12&lt;&gt;0,$H23&gt;0,OR(AUTOEVENTO&lt;&gt;"manual",$M23&lt;&gt;1)),
IF(Import.TipoArredondamento&lt;&gt;"TransfereGOV",
ROUND(OFFSET($P23,0,AC$13),15-13*ORÇAMENTO!$AF$7)/$H23*OFFSET(ORÇAMENTO!$X$15,ROW(AC23)-ROW(AC$15),0),
ROUND(ROUND(OFFSET($P23,0,AC$13),15-13*ORÇAMENTO!$AF$7)*OFFSET(ORÇAMENTO!$W$15,ROW(AC23)-ROW(AC$15),0),15-13*ORÇAMENTO!$AF$11)),0)</f>
        <v>0</v>
      </c>
      <c r="AD23" s="631">
        <f ca="1">IF(AND($D23="Serviço",AD$12&lt;&gt;0,$H23&gt;0,OR(AUTOEVENTO&lt;&gt;"manual",$M23&lt;&gt;1)),
IF(Import.TipoArredondamento&lt;&gt;"TransfereGOV",
ROUND(OFFSET($P23,0,AD$13),15-13*ORÇAMENTO!$AF$7)/$H23*OFFSET(ORÇAMENTO!$X$15,ROW(AD23)-ROW(AD$15),0),
ROUND(ROUND(OFFSET($P23,0,AD$13),15-13*ORÇAMENTO!$AF$7)*OFFSET(ORÇAMENTO!$W$15,ROW(AD23)-ROW(AD$15),0),15-13*ORÇAMENTO!$AF$11)),0)</f>
        <v>0</v>
      </c>
      <c r="AE23" s="631">
        <f ca="1">IF(AND($D23="Serviço",AE$12&lt;&gt;0,$H23&gt;0,OR(AUTOEVENTO&lt;&gt;"manual",$M23&lt;&gt;1)),
IF(Import.TipoArredondamento&lt;&gt;"TransfereGOV",
ROUND(OFFSET($P23,0,AE$13),15-13*ORÇAMENTO!$AF$7)/$H23*OFFSET(ORÇAMENTO!$X$15,ROW(AE23)-ROW(AE$15),0),
ROUND(ROUND(OFFSET($P23,0,AE$13),15-13*ORÇAMENTO!$AF$7)*OFFSET(ORÇAMENTO!$W$15,ROW(AE23)-ROW(AE$15),0),15-13*ORÇAMENTO!$AF$11)),0)</f>
        <v>0</v>
      </c>
      <c r="AF23" s="631">
        <f ca="1">IF(AND($D23="Serviço",AF$12&lt;&gt;0,$H23&gt;0,OR(AUTOEVENTO&lt;&gt;"manual",$M23&lt;&gt;1)),
IF(Import.TipoArredondamento&lt;&gt;"TransfereGOV",
ROUND(OFFSET($P23,0,AF$13),15-13*ORÇAMENTO!$AF$7)/$H23*OFFSET(ORÇAMENTO!$X$15,ROW(AF23)-ROW(AF$15),0),
ROUND(ROUND(OFFSET($P23,0,AF$13),15-13*ORÇAMENTO!$AF$7)*OFFSET(ORÇAMENTO!$W$15,ROW(AF23)-ROW(AF$15),0),15-13*ORÇAMENTO!$AF$11)),0)</f>
        <v>0</v>
      </c>
      <c r="AG23" s="631">
        <f ca="1">IF(AND($D23="Serviço",AG$12&lt;&gt;0,$H23&gt;0,OR(AUTOEVENTO&lt;&gt;"manual",$M23&lt;&gt;1)),
IF(Import.TipoArredondamento&lt;&gt;"TransfereGOV",
ROUND(OFFSET($P23,0,AG$13),15-13*ORÇAMENTO!$AF$7)/$H23*OFFSET(ORÇAMENTO!$X$15,ROW(AG23)-ROW(AG$15),0),
ROUND(ROUND(OFFSET($P23,0,AG$13),15-13*ORÇAMENTO!$AF$7)*OFFSET(ORÇAMENTO!$W$15,ROW(AG23)-ROW(AG$15),0),15-13*ORÇAMENTO!$AF$11)),0)</f>
        <v>0</v>
      </c>
      <c r="AH23" s="631">
        <f ca="1">IF(AND($D23="Serviço",AH$12&lt;&gt;0,$H23&gt;0,OR(AUTOEVENTO&lt;&gt;"manual",$M23&lt;&gt;1)),
IF(Import.TipoArredondamento&lt;&gt;"TransfereGOV",
ROUND(OFFSET($P23,0,AH$13),15-13*ORÇAMENTO!$AF$7)/$H23*OFFSET(ORÇAMENTO!$X$15,ROW(AH23)-ROW(AH$15),0),
ROUND(ROUND(OFFSET($P23,0,AH$13),15-13*ORÇAMENTO!$AF$7)*OFFSET(ORÇAMENTO!$W$15,ROW(AH23)-ROW(AH$15),0),15-13*ORÇAMENTO!$AF$11)),0)</f>
        <v>0</v>
      </c>
      <c r="AI23" s="631">
        <f ca="1">IF(AND($D23="Serviço",AI$12&lt;&gt;0,$H23&gt;0,OR(AUTOEVENTO&lt;&gt;"manual",$M23&lt;&gt;1)),
IF(Import.TipoArredondamento&lt;&gt;"TransfereGOV",
ROUND(OFFSET($P23,0,AI$13),15-13*ORÇAMENTO!$AF$7)/$H23*OFFSET(ORÇAMENTO!$X$15,ROW(AI23)-ROW(AI$15),0),
ROUND(ROUND(OFFSET($P23,0,AI$13),15-13*ORÇAMENTO!$AF$7)*OFFSET(ORÇAMENTO!$W$15,ROW(AI23)-ROW(AI$15),0),15-13*ORÇAMENTO!$AF$11)),0)</f>
        <v>0</v>
      </c>
      <c r="AJ23" s="631">
        <f ca="1">IF(AND($D23="Serviço",AJ$12&lt;&gt;0,$H23&gt;0,OR(AUTOEVENTO&lt;&gt;"manual",$M23&lt;&gt;1)),
IF(Import.TipoArredondamento&lt;&gt;"TransfereGOV",
ROUND(OFFSET($P23,0,AJ$13),15-13*ORÇAMENTO!$AF$7)/$H23*OFFSET(ORÇAMENTO!$X$15,ROW(AJ23)-ROW(AJ$15),0),
ROUND(ROUND(OFFSET($P23,0,AJ$13),15-13*ORÇAMENTO!$AF$7)*OFFSET(ORÇAMENTO!$W$15,ROW(AJ23)-ROW(AJ$15),0),15-13*ORÇAMENTO!$AF$11)),0)</f>
        <v>0</v>
      </c>
      <c r="AK23" s="632">
        <f ca="1">IF(AND($D23="Serviço",AK$12&lt;&gt;0,$H23&gt;0,OR(AUTOEVENTO&lt;&gt;"manual",$M23&lt;&gt;1)),
IF(Import.TipoArredondamento&lt;&gt;"TransfereGOV",
ROUND(OFFSET($P23,0,AK$13),15-13*ORÇAMENTO!$AF$7)/$H23*OFFSET(ORÇAMENTO!$X$15,ROW(AK23)-ROW(AK$15),0),
ROUND(ROUND(OFFSET($P23,0,AK$13),15-13*ORÇAMENTO!$AF$7)*OFFSET(ORÇAMENTO!$W$15,ROW(AK23)-ROW(AK$15),0),15-13*ORÇAMENTO!$AF$11)),0)</f>
        <v>0</v>
      </c>
      <c r="AM23" s="215">
        <f ca="1">IF($D23&lt;&gt;"Serviço",0,IF(AND(AUTOEVENTO="Manual",$M23=1),0,IF(OFFSET(CRONOPLE!$F$14,$M23,AM$13)="",10^12,OFFSET(CRONOPLE!$F$14,$M23,AM$13))))</f>
        <v>1000000000000</v>
      </c>
      <c r="AN23" s="215">
        <f ca="1">IF($D23&lt;&gt;"Serviço",0,IF(AND(AUTOEVENTO="Manual",$M23=1),0,IF(OFFSET(CRONOPLE!$F$14,$M23,AN$13)="",10^12,OFFSET(CRONOPLE!$F$14,$M23,AN$13))))</f>
        <v>1000000000000</v>
      </c>
      <c r="AO23" s="215">
        <f ca="1">IF($D23&lt;&gt;"Serviço",0,IF(AND(AUTOEVENTO="Manual",$M23=1),0,IF(OFFSET(CRONOPLE!$F$14,$M23,AO$13)="",10^12,OFFSET(CRONOPLE!$F$14,$M23,AO$13))))</f>
        <v>1000000000000</v>
      </c>
      <c r="AP23" s="215">
        <f ca="1">IF($D23&lt;&gt;"Serviço",0,IF(AND(AUTOEVENTO="Manual",$M23=1),0,IF(OFFSET(CRONOPLE!$F$14,$M23,AP$13)="",10^12,OFFSET(CRONOPLE!$F$14,$M23,AP$13))))</f>
        <v>1000000000000</v>
      </c>
      <c r="AQ23" s="215">
        <f ca="1">IF($D23&lt;&gt;"Serviço",0,IF(AND(AUTOEVENTO="Manual",$M23=1),0,IF(OFFSET(CRONOPLE!$F$14,$M23,AQ$13)="",10^12,OFFSET(CRONOPLE!$F$14,$M23,AQ$13))))</f>
        <v>1000000000000</v>
      </c>
      <c r="AR23" s="215">
        <f ca="1">IF($D23&lt;&gt;"Serviço",0,IF(AND(AUTOEVENTO="Manual",$M23=1),0,IF(OFFSET(CRONOPLE!$F$14,$M23,AR$13)="",10^12,OFFSET(CRONOPLE!$F$14,$M23,AR$13))))</f>
        <v>1000000000000</v>
      </c>
      <c r="AS23" s="215">
        <f ca="1">IF($D23&lt;&gt;"Serviço",0,IF(AND(AUTOEVENTO="Manual",$M23=1),0,IF(OFFSET(CRONOPLE!$F$14,$M23,AS$13)="",10^12,OFFSET(CRONOPLE!$F$14,$M23,AS$13))))</f>
        <v>1000000000000</v>
      </c>
      <c r="AT23" s="215">
        <f ca="1">IF($D23&lt;&gt;"Serviço",0,IF(AND(AUTOEVENTO="Manual",$M23=1),0,IF(OFFSET(CRONOPLE!$F$14,$M23,AT$13)="",10^12,OFFSET(CRONOPLE!$F$14,$M23,AT$13))))</f>
        <v>1000000000000</v>
      </c>
      <c r="AU23" s="215">
        <f ca="1">IF($D23&lt;&gt;"Serviço",0,IF(AND(AUTOEVENTO="Manual",$M23=1),0,IF(OFFSET(CRONOPLE!$F$14,$M23,AU$13)="",10^12,OFFSET(CRONOPLE!$F$14,$M23,AU$13))))</f>
        <v>1000000000000</v>
      </c>
      <c r="AV23" s="215">
        <f ca="1">IF($D23&lt;&gt;"Serviço",0,IF(AND(AUTOEVENTO="Manual",$M23=1),0,IF(OFFSET(CRONOPLE!$F$14,$M23,AV$13)="",10^12,OFFSET(CRONOPLE!$F$14,$M23,AV$13))))</f>
        <v>1000000000000</v>
      </c>
      <c r="AX23" s="216">
        <f ca="1">IF($D23&lt;&gt;"Serviço",0,IF(OR(AND(AUTOEVENTO="Manual",$M23=1),$M23&gt;(ROW(PLE.lastrow)-ROW(PLE.firstrow))),0,IF(OFFSET(PLE!$G$14,$M23,AX$13)="",10^12,OFFSET(PLE!$G$14,$M23,AX$13))))</f>
        <v>1000000000000</v>
      </c>
      <c r="AY23" s="216">
        <f ca="1">IF($D23&lt;&gt;"Serviço",0,IF(OR(AND(AUTOEVENTO="Manual",$M23=1),$M23&gt;(ROW(PLE.lastrow)-ROW(PLE.firstrow))),0,IF(OFFSET(PLE!$G$14,$M23,AY$13)="",10^12,OFFSET(PLE!$G$14,$M23,AY$13))))</f>
        <v>1000000000000</v>
      </c>
      <c r="AZ23" s="216">
        <f ca="1">IF($D23&lt;&gt;"Serviço",0,IF(OR(AND(AUTOEVENTO="Manual",$M23=1),$M23&gt;(ROW(PLE.lastrow)-ROW(PLE.firstrow))),0,IF(OFFSET(PLE!$G$14,$M23,AZ$13)="",10^12,OFFSET(PLE!$G$14,$M23,AZ$13))))</f>
        <v>1000000000000</v>
      </c>
      <c r="BA23" s="216">
        <f ca="1">IF($D23&lt;&gt;"Serviço",0,IF(OR(AND(AUTOEVENTO="Manual",$M23=1),$M23&gt;(ROW(PLE.lastrow)-ROW(PLE.firstrow))),0,IF(OFFSET(PLE!$G$14,$M23,BA$13)="",10^12,OFFSET(PLE!$G$14,$M23,BA$13))))</f>
        <v>1000000000000</v>
      </c>
      <c r="BB23" s="216">
        <f ca="1">IF($D23&lt;&gt;"Serviço",0,IF(OR(AND(AUTOEVENTO="Manual",$M23=1),$M23&gt;(ROW(PLE.lastrow)-ROW(PLE.firstrow))),0,IF(OFFSET(PLE!$G$14,$M23,BB$13)="",10^12,OFFSET(PLE!$G$14,$M23,BB$13))))</f>
        <v>1000000000000</v>
      </c>
      <c r="BC23" s="216">
        <f ca="1">IF($D23&lt;&gt;"Serviço",0,IF(OR(AND(AUTOEVENTO="Manual",$M23=1),$M23&gt;(ROW(PLE.lastrow)-ROW(PLE.firstrow))),0,IF(OFFSET(PLE!$G$14,$M23,BC$13)="",10^12,OFFSET(PLE!$G$14,$M23,BC$13))))</f>
        <v>1000000000000</v>
      </c>
      <c r="BD23" s="216">
        <f ca="1">IF($D23&lt;&gt;"Serviço",0,IF(OR(AND(AUTOEVENTO="Manual",$M23=1),$M23&gt;(ROW(PLE.lastrow)-ROW(PLE.firstrow))),0,IF(OFFSET(PLE!$G$14,$M23,BD$13)="",10^12,OFFSET(PLE!$G$14,$M23,BD$13))))</f>
        <v>1000000000000</v>
      </c>
      <c r="BE23" s="216">
        <f ca="1">IF($D23&lt;&gt;"Serviço",0,IF(OR(AND(AUTOEVENTO="Manual",$M23=1),$M23&gt;(ROW(PLE.lastrow)-ROW(PLE.firstrow))),0,IF(OFFSET(PLE!$G$14,$M23,BE$13)="",10^12,OFFSET(PLE!$G$14,$M23,BE$13))))</f>
        <v>1000000000000</v>
      </c>
      <c r="BF23" s="216">
        <f ca="1">IF($D23&lt;&gt;"Serviço",0,IF(OR(AND(AUTOEVENTO="Manual",$M23=1),$M23&gt;(ROW(PLE.lastrow)-ROW(PLE.firstrow))),0,IF(OFFSET(PLE!$G$14,$M23,BF$13)="",10^12,OFFSET(PLE!$G$14,$M23,BF$13))))</f>
        <v>1000000000000</v>
      </c>
      <c r="BG23" s="216">
        <f ca="1">IF($D23&lt;&gt;"Serviço",0,IF(OR(AND(AUTOEVENTO="Manual",$M23=1),$M23&gt;(ROW(PLE.lastrow)-ROW(PLE.firstrow))),0,IF(OFFSET(PLE!$G$14,$M23,BG$13)="",10^12,OFFSET(PLE!$G$14,$M23,BG$13))))</f>
        <v>1000000000000</v>
      </c>
    </row>
    <row r="24" spans="1:59" ht="38.25" x14ac:dyDescent="0.2">
      <c r="A24" s="9" t="str">
        <f ca="1">IF(AUTOEVENTO="Manual",IF(K24&lt;&gt;"",MIN(VALUE(LEFT(K24,FIND(".",K24)-1)),COUNTA(EVENTOS.Lista)),0),IF(OR($B24&gt;AUTOEVENTO,$B24="S",$B24=0),SUBSTITUTE(OFFSET($A24,-1,0),IF($D24="Serviço",".",""),""),ROW(A24)-ROW($A$15)&amp;"."))</f>
        <v>2</v>
      </c>
      <c r="B24" s="9" t="str">
        <f ca="1">OFFSET(ORÇAMENTO!C$15,ROW(B24)-ROW(B$15),0)</f>
        <v>S</v>
      </c>
      <c r="C24" s="9" t="str">
        <f ca="1">OFFSET(ORÇAMENTO!L$15,ROW(C24)-ROW(C$15),0)</f>
        <v/>
      </c>
      <c r="D24" s="145" t="str">
        <f ca="1">OFFSET(ORÇAMENTO!N$15,ROW(D24)-ROW(D$15),0)</f>
        <v>Serviço</v>
      </c>
      <c r="E24" s="205" t="str">
        <f ca="1">OFFSET(ORÇAMENTO!O$15,ROW(E24)-ROW(E$15),0)</f>
        <v>-</v>
      </c>
      <c r="F24" s="206" t="str">
        <f ca="1">OFFSET(ORÇAMENTO!R$15,ROW(F24)-ROW(F$15),0)</f>
        <v>ENTRADA DE ENERGIA ELÉTRICA, AÉREA, TRIFÁSICA, COM CAIXA DE EMBUTIR, CABO DE 16 MM2 E DISJUNTOR DIN 50A (NÃO INCLUSO O POSTE DE CONCRETO). AF_07/2020</v>
      </c>
      <c r="G24" s="207" t="str">
        <f ca="1">IF($D24&lt;&gt;"Serviço","",OFFSET(ORÇAMENTO!S$15,ROW(G24)-ROW(G$15),0))</f>
        <v>UN</v>
      </c>
      <c r="H24" s="151">
        <f ca="1">IF($D24&lt;&gt;"Serviço",0,IF(ACOMPANHAMENTO="BM",ROUND(OFFSET(ORÇAMENTO!AJ$15,ROW(H24)-ROW(H$15),0),15-13*ORÇAMENTO!$AF$7),SUMPRODUCT(($Q$12:$AA$12&lt;&gt;"")*ROUND($Q24:$AA24,15-13*ORÇAMENTO!$AF$7))))</f>
        <v>1</v>
      </c>
      <c r="I24" s="649"/>
      <c r="K24" s="208"/>
      <c r="L24" s="209" t="s">
        <v>255</v>
      </c>
      <c r="M24" s="210">
        <f ca="1">IF($D24&lt;&gt;"Serviço","",IF(AUTOEVENTO="manual",$A24,IF(ISERROR(MATCH($A24,$A$15:OFFSET($A24,-1,0),0)),MAX($M$15:OFFSET(M24,-1,0))+1,INDEX($M$15:OFFSET(M24,-1,0),MATCH($A24,$A$15:OFFSET($A24,-1,0),0)))))</f>
        <v>2</v>
      </c>
      <c r="N24" s="211" t="str">
        <f ca="1">IF($D24&lt;&gt;"Serviço","",IF(AUTOEVENTO="Manual",IF($A24=0,"&lt;-- defina o número do agrupador",OFFSET(EVENTOS!$D$14,$A24,0)),OFFSET($F$15,$A24,0)))</f>
        <v>SERVIÇOS PRELIMINARES  E PROVISÓRIOS</v>
      </c>
      <c r="O24" s="212"/>
      <c r="Q24" s="212"/>
      <c r="R24" s="213"/>
      <c r="S24" s="213"/>
      <c r="T24" s="213"/>
      <c r="U24" s="213"/>
      <c r="V24" s="213"/>
      <c r="W24" s="213"/>
      <c r="X24" s="213"/>
      <c r="Y24" s="213"/>
      <c r="Z24" s="214"/>
      <c r="AB24" s="630">
        <f ca="1">IF(AND($D24="Serviço",AB$12&lt;&gt;0,$H24&gt;0,OR(AUTOEVENTO&lt;&gt;"manual",$M24&lt;&gt;1)),
IF(Import.TipoArredondamento&lt;&gt;"TransfereGOV",
ROUND(OFFSET($P24,0,AB$13),15-13*ORÇAMENTO!$AF$7)/$H24*OFFSET(ORÇAMENTO!$X$15,ROW(AB24)-ROW(AB$15),0),
ROUND(ROUND(OFFSET($P24,0,AB$13),15-13*ORÇAMENTO!$AF$7)*OFFSET(ORÇAMENTO!$W$15,ROW(AB24)-ROW(AB$15),0),15-13*ORÇAMENTO!$AF$11)),0)</f>
        <v>0</v>
      </c>
      <c r="AC24" s="631">
        <f ca="1">IF(AND($D24="Serviço",AC$12&lt;&gt;0,$H24&gt;0,OR(AUTOEVENTO&lt;&gt;"manual",$M24&lt;&gt;1)),
IF(Import.TipoArredondamento&lt;&gt;"TransfereGOV",
ROUND(OFFSET($P24,0,AC$13),15-13*ORÇAMENTO!$AF$7)/$H24*OFFSET(ORÇAMENTO!$X$15,ROW(AC24)-ROW(AC$15),0),
ROUND(ROUND(OFFSET($P24,0,AC$13),15-13*ORÇAMENTO!$AF$7)*OFFSET(ORÇAMENTO!$W$15,ROW(AC24)-ROW(AC$15),0),15-13*ORÇAMENTO!$AF$11)),0)</f>
        <v>0</v>
      </c>
      <c r="AD24" s="631">
        <f ca="1">IF(AND($D24="Serviço",AD$12&lt;&gt;0,$H24&gt;0,OR(AUTOEVENTO&lt;&gt;"manual",$M24&lt;&gt;1)),
IF(Import.TipoArredondamento&lt;&gt;"TransfereGOV",
ROUND(OFFSET($P24,0,AD$13),15-13*ORÇAMENTO!$AF$7)/$H24*OFFSET(ORÇAMENTO!$X$15,ROW(AD24)-ROW(AD$15),0),
ROUND(ROUND(OFFSET($P24,0,AD$13),15-13*ORÇAMENTO!$AF$7)*OFFSET(ORÇAMENTO!$W$15,ROW(AD24)-ROW(AD$15),0),15-13*ORÇAMENTO!$AF$11)),0)</f>
        <v>0</v>
      </c>
      <c r="AE24" s="631">
        <f ca="1">IF(AND($D24="Serviço",AE$12&lt;&gt;0,$H24&gt;0,OR(AUTOEVENTO&lt;&gt;"manual",$M24&lt;&gt;1)),
IF(Import.TipoArredondamento&lt;&gt;"TransfereGOV",
ROUND(OFFSET($P24,0,AE$13),15-13*ORÇAMENTO!$AF$7)/$H24*OFFSET(ORÇAMENTO!$X$15,ROW(AE24)-ROW(AE$15),0),
ROUND(ROUND(OFFSET($P24,0,AE$13),15-13*ORÇAMENTO!$AF$7)*OFFSET(ORÇAMENTO!$W$15,ROW(AE24)-ROW(AE$15),0),15-13*ORÇAMENTO!$AF$11)),0)</f>
        <v>0</v>
      </c>
      <c r="AF24" s="631">
        <f ca="1">IF(AND($D24="Serviço",AF$12&lt;&gt;0,$H24&gt;0,OR(AUTOEVENTO&lt;&gt;"manual",$M24&lt;&gt;1)),
IF(Import.TipoArredondamento&lt;&gt;"TransfereGOV",
ROUND(OFFSET($P24,0,AF$13),15-13*ORÇAMENTO!$AF$7)/$H24*OFFSET(ORÇAMENTO!$X$15,ROW(AF24)-ROW(AF$15),0),
ROUND(ROUND(OFFSET($P24,0,AF$13),15-13*ORÇAMENTO!$AF$7)*OFFSET(ORÇAMENTO!$W$15,ROW(AF24)-ROW(AF$15),0),15-13*ORÇAMENTO!$AF$11)),0)</f>
        <v>0</v>
      </c>
      <c r="AG24" s="631">
        <f ca="1">IF(AND($D24="Serviço",AG$12&lt;&gt;0,$H24&gt;0,OR(AUTOEVENTO&lt;&gt;"manual",$M24&lt;&gt;1)),
IF(Import.TipoArredondamento&lt;&gt;"TransfereGOV",
ROUND(OFFSET($P24,0,AG$13),15-13*ORÇAMENTO!$AF$7)/$H24*OFFSET(ORÇAMENTO!$X$15,ROW(AG24)-ROW(AG$15),0),
ROUND(ROUND(OFFSET($P24,0,AG$13),15-13*ORÇAMENTO!$AF$7)*OFFSET(ORÇAMENTO!$W$15,ROW(AG24)-ROW(AG$15),0),15-13*ORÇAMENTO!$AF$11)),0)</f>
        <v>0</v>
      </c>
      <c r="AH24" s="631">
        <f ca="1">IF(AND($D24="Serviço",AH$12&lt;&gt;0,$H24&gt;0,OR(AUTOEVENTO&lt;&gt;"manual",$M24&lt;&gt;1)),
IF(Import.TipoArredondamento&lt;&gt;"TransfereGOV",
ROUND(OFFSET($P24,0,AH$13),15-13*ORÇAMENTO!$AF$7)/$H24*OFFSET(ORÇAMENTO!$X$15,ROW(AH24)-ROW(AH$15),0),
ROUND(ROUND(OFFSET($P24,0,AH$13),15-13*ORÇAMENTO!$AF$7)*OFFSET(ORÇAMENTO!$W$15,ROW(AH24)-ROW(AH$15),0),15-13*ORÇAMENTO!$AF$11)),0)</f>
        <v>0</v>
      </c>
      <c r="AI24" s="631">
        <f ca="1">IF(AND($D24="Serviço",AI$12&lt;&gt;0,$H24&gt;0,OR(AUTOEVENTO&lt;&gt;"manual",$M24&lt;&gt;1)),
IF(Import.TipoArredondamento&lt;&gt;"TransfereGOV",
ROUND(OFFSET($P24,0,AI$13),15-13*ORÇAMENTO!$AF$7)/$H24*OFFSET(ORÇAMENTO!$X$15,ROW(AI24)-ROW(AI$15),0),
ROUND(ROUND(OFFSET($P24,0,AI$13),15-13*ORÇAMENTO!$AF$7)*OFFSET(ORÇAMENTO!$W$15,ROW(AI24)-ROW(AI$15),0),15-13*ORÇAMENTO!$AF$11)),0)</f>
        <v>0</v>
      </c>
      <c r="AJ24" s="631">
        <f ca="1">IF(AND($D24="Serviço",AJ$12&lt;&gt;0,$H24&gt;0,OR(AUTOEVENTO&lt;&gt;"manual",$M24&lt;&gt;1)),
IF(Import.TipoArredondamento&lt;&gt;"TransfereGOV",
ROUND(OFFSET($P24,0,AJ$13),15-13*ORÇAMENTO!$AF$7)/$H24*OFFSET(ORÇAMENTO!$X$15,ROW(AJ24)-ROW(AJ$15),0),
ROUND(ROUND(OFFSET($P24,0,AJ$13),15-13*ORÇAMENTO!$AF$7)*OFFSET(ORÇAMENTO!$W$15,ROW(AJ24)-ROW(AJ$15),0),15-13*ORÇAMENTO!$AF$11)),0)</f>
        <v>0</v>
      </c>
      <c r="AK24" s="632">
        <f ca="1">IF(AND($D24="Serviço",AK$12&lt;&gt;0,$H24&gt;0,OR(AUTOEVENTO&lt;&gt;"manual",$M24&lt;&gt;1)),
IF(Import.TipoArredondamento&lt;&gt;"TransfereGOV",
ROUND(OFFSET($P24,0,AK$13),15-13*ORÇAMENTO!$AF$7)/$H24*OFFSET(ORÇAMENTO!$X$15,ROW(AK24)-ROW(AK$15),0),
ROUND(ROUND(OFFSET($P24,0,AK$13),15-13*ORÇAMENTO!$AF$7)*OFFSET(ORÇAMENTO!$W$15,ROW(AK24)-ROW(AK$15),0),15-13*ORÇAMENTO!$AF$11)),0)</f>
        <v>0</v>
      </c>
      <c r="AM24" s="215">
        <f ca="1">IF($D24&lt;&gt;"Serviço",0,IF(AND(AUTOEVENTO="Manual",$M24=1),0,IF(OFFSET(CRONOPLE!$F$14,$M24,AM$13)="",10^12,OFFSET(CRONOPLE!$F$14,$M24,AM$13))))</f>
        <v>1000000000000</v>
      </c>
      <c r="AN24" s="215">
        <f ca="1">IF($D24&lt;&gt;"Serviço",0,IF(AND(AUTOEVENTO="Manual",$M24=1),0,IF(OFFSET(CRONOPLE!$F$14,$M24,AN$13)="",10^12,OFFSET(CRONOPLE!$F$14,$M24,AN$13))))</f>
        <v>1000000000000</v>
      </c>
      <c r="AO24" s="215">
        <f ca="1">IF($D24&lt;&gt;"Serviço",0,IF(AND(AUTOEVENTO="Manual",$M24=1),0,IF(OFFSET(CRONOPLE!$F$14,$M24,AO$13)="",10^12,OFFSET(CRONOPLE!$F$14,$M24,AO$13))))</f>
        <v>1000000000000</v>
      </c>
      <c r="AP24" s="215">
        <f ca="1">IF($D24&lt;&gt;"Serviço",0,IF(AND(AUTOEVENTO="Manual",$M24=1),0,IF(OFFSET(CRONOPLE!$F$14,$M24,AP$13)="",10^12,OFFSET(CRONOPLE!$F$14,$M24,AP$13))))</f>
        <v>1000000000000</v>
      </c>
      <c r="AQ24" s="215">
        <f ca="1">IF($D24&lt;&gt;"Serviço",0,IF(AND(AUTOEVENTO="Manual",$M24=1),0,IF(OFFSET(CRONOPLE!$F$14,$M24,AQ$13)="",10^12,OFFSET(CRONOPLE!$F$14,$M24,AQ$13))))</f>
        <v>1000000000000</v>
      </c>
      <c r="AR24" s="215">
        <f ca="1">IF($D24&lt;&gt;"Serviço",0,IF(AND(AUTOEVENTO="Manual",$M24=1),0,IF(OFFSET(CRONOPLE!$F$14,$M24,AR$13)="",10^12,OFFSET(CRONOPLE!$F$14,$M24,AR$13))))</f>
        <v>1000000000000</v>
      </c>
      <c r="AS24" s="215">
        <f ca="1">IF($D24&lt;&gt;"Serviço",0,IF(AND(AUTOEVENTO="Manual",$M24=1),0,IF(OFFSET(CRONOPLE!$F$14,$M24,AS$13)="",10^12,OFFSET(CRONOPLE!$F$14,$M24,AS$13))))</f>
        <v>1000000000000</v>
      </c>
      <c r="AT24" s="215">
        <f ca="1">IF($D24&lt;&gt;"Serviço",0,IF(AND(AUTOEVENTO="Manual",$M24=1),0,IF(OFFSET(CRONOPLE!$F$14,$M24,AT$13)="",10^12,OFFSET(CRONOPLE!$F$14,$M24,AT$13))))</f>
        <v>1000000000000</v>
      </c>
      <c r="AU24" s="215">
        <f ca="1">IF($D24&lt;&gt;"Serviço",0,IF(AND(AUTOEVENTO="Manual",$M24=1),0,IF(OFFSET(CRONOPLE!$F$14,$M24,AU$13)="",10^12,OFFSET(CRONOPLE!$F$14,$M24,AU$13))))</f>
        <v>1000000000000</v>
      </c>
      <c r="AV24" s="215">
        <f ca="1">IF($D24&lt;&gt;"Serviço",0,IF(AND(AUTOEVENTO="Manual",$M24=1),0,IF(OFFSET(CRONOPLE!$F$14,$M24,AV$13)="",10^12,OFFSET(CRONOPLE!$F$14,$M24,AV$13))))</f>
        <v>1000000000000</v>
      </c>
      <c r="AX24" s="216">
        <f ca="1">IF($D24&lt;&gt;"Serviço",0,IF(OR(AND(AUTOEVENTO="Manual",$M24=1),$M24&gt;(ROW(PLE.lastrow)-ROW(PLE.firstrow))),0,IF(OFFSET(PLE!$G$14,$M24,AX$13)="",10^12,OFFSET(PLE!$G$14,$M24,AX$13))))</f>
        <v>1000000000000</v>
      </c>
      <c r="AY24" s="216">
        <f ca="1">IF($D24&lt;&gt;"Serviço",0,IF(OR(AND(AUTOEVENTO="Manual",$M24=1),$M24&gt;(ROW(PLE.lastrow)-ROW(PLE.firstrow))),0,IF(OFFSET(PLE!$G$14,$M24,AY$13)="",10^12,OFFSET(PLE!$G$14,$M24,AY$13))))</f>
        <v>1000000000000</v>
      </c>
      <c r="AZ24" s="216">
        <f ca="1">IF($D24&lt;&gt;"Serviço",0,IF(OR(AND(AUTOEVENTO="Manual",$M24=1),$M24&gt;(ROW(PLE.lastrow)-ROW(PLE.firstrow))),0,IF(OFFSET(PLE!$G$14,$M24,AZ$13)="",10^12,OFFSET(PLE!$G$14,$M24,AZ$13))))</f>
        <v>1000000000000</v>
      </c>
      <c r="BA24" s="216">
        <f ca="1">IF($D24&lt;&gt;"Serviço",0,IF(OR(AND(AUTOEVENTO="Manual",$M24=1),$M24&gt;(ROW(PLE.lastrow)-ROW(PLE.firstrow))),0,IF(OFFSET(PLE!$G$14,$M24,BA$13)="",10^12,OFFSET(PLE!$G$14,$M24,BA$13))))</f>
        <v>1000000000000</v>
      </c>
      <c r="BB24" s="216">
        <f ca="1">IF($D24&lt;&gt;"Serviço",0,IF(OR(AND(AUTOEVENTO="Manual",$M24=1),$M24&gt;(ROW(PLE.lastrow)-ROW(PLE.firstrow))),0,IF(OFFSET(PLE!$G$14,$M24,BB$13)="",10^12,OFFSET(PLE!$G$14,$M24,BB$13))))</f>
        <v>1000000000000</v>
      </c>
      <c r="BC24" s="216">
        <f ca="1">IF($D24&lt;&gt;"Serviço",0,IF(OR(AND(AUTOEVENTO="Manual",$M24=1),$M24&gt;(ROW(PLE.lastrow)-ROW(PLE.firstrow))),0,IF(OFFSET(PLE!$G$14,$M24,BC$13)="",10^12,OFFSET(PLE!$G$14,$M24,BC$13))))</f>
        <v>1000000000000</v>
      </c>
      <c r="BD24" s="216">
        <f ca="1">IF($D24&lt;&gt;"Serviço",0,IF(OR(AND(AUTOEVENTO="Manual",$M24=1),$M24&gt;(ROW(PLE.lastrow)-ROW(PLE.firstrow))),0,IF(OFFSET(PLE!$G$14,$M24,BD$13)="",10^12,OFFSET(PLE!$G$14,$M24,BD$13))))</f>
        <v>1000000000000</v>
      </c>
      <c r="BE24" s="216">
        <f ca="1">IF($D24&lt;&gt;"Serviço",0,IF(OR(AND(AUTOEVENTO="Manual",$M24=1),$M24&gt;(ROW(PLE.lastrow)-ROW(PLE.firstrow))),0,IF(OFFSET(PLE!$G$14,$M24,BE$13)="",10^12,OFFSET(PLE!$G$14,$M24,BE$13))))</f>
        <v>1000000000000</v>
      </c>
      <c r="BF24" s="216">
        <f ca="1">IF($D24&lt;&gt;"Serviço",0,IF(OR(AND(AUTOEVENTO="Manual",$M24=1),$M24&gt;(ROW(PLE.lastrow)-ROW(PLE.firstrow))),0,IF(OFFSET(PLE!$G$14,$M24,BF$13)="",10^12,OFFSET(PLE!$G$14,$M24,BF$13))))</f>
        <v>1000000000000</v>
      </c>
      <c r="BG24" s="216">
        <f ca="1">IF($D24&lt;&gt;"Serviço",0,IF(OR(AND(AUTOEVENTO="Manual",$M24=1),$M24&gt;(ROW(PLE.lastrow)-ROW(PLE.firstrow))),0,IF(OFFSET(PLE!$G$14,$M24,BG$13)="",10^12,OFFSET(PLE!$G$14,$M24,BG$13))))</f>
        <v>1000000000000</v>
      </c>
    </row>
    <row r="25" spans="1:59" ht="38.25" x14ac:dyDescent="0.2">
      <c r="A25" s="9" t="str">
        <f ca="1">IF(AUTOEVENTO="Manual",IF(K25&lt;&gt;"",MIN(VALUE(LEFT(K25,FIND(".",K25)-1)),COUNTA(EVENTOS.Lista)),0),IF(OR($B25&gt;AUTOEVENTO,$B25="S",$B25=0),SUBSTITUTE(OFFSET($A25,-1,0),IF($D25="Serviço",".",""),""),ROW(A25)-ROW($A$15)&amp;"."))</f>
        <v>2</v>
      </c>
      <c r="B25" s="9" t="str">
        <f ca="1">OFFSET(ORÇAMENTO!C$15,ROW(B25)-ROW(B$15),0)</f>
        <v>S</v>
      </c>
      <c r="C25" s="9" t="str">
        <f ca="1">OFFSET(ORÇAMENTO!L$15,ROW(C25)-ROW(C$15),0)</f>
        <v/>
      </c>
      <c r="D25" s="145" t="str">
        <f ca="1">OFFSET(ORÇAMENTO!N$15,ROW(D25)-ROW(D$15),0)</f>
        <v>Serviço</v>
      </c>
      <c r="E25" s="205" t="str">
        <f ca="1">OFFSET(ORÇAMENTO!O$15,ROW(E25)-ROW(E$15),0)</f>
        <v>-</v>
      </c>
      <c r="F25" s="206" t="str">
        <f ca="1">OFFSET(ORÇAMENTO!R$15,ROW(F25)-ROW(F$15),0)</f>
        <v>LIMPEZA MECANIZADA DE CAMADA VEGETAL, VEGETAÇÃO E PEQUENAS ÁRVORES (DIÂMETRO DE TRONCO MENOR QUE 0,20 M), COM TRATOR DE ESTEIRAS. AF_03/2024</v>
      </c>
      <c r="G25" s="207" t="str">
        <f ca="1">IF($D25&lt;&gt;"Serviço","",OFFSET(ORÇAMENTO!S$15,ROW(G25)-ROW(G$15),0))</f>
        <v>M2</v>
      </c>
      <c r="H25" s="151">
        <f ca="1">IF($D25&lt;&gt;"Serviço",0,IF(ACOMPANHAMENTO="BM",ROUND(OFFSET(ORÇAMENTO!AJ$15,ROW(H25)-ROW(H$15),0),15-13*ORÇAMENTO!$AF$7),SUMPRODUCT(($Q$12:$AA$12&lt;&gt;"")*ROUND($Q25:$AA25,15-13*ORÇAMENTO!$AF$7))))</f>
        <v>800</v>
      </c>
      <c r="I25" s="649"/>
      <c r="K25" s="208"/>
      <c r="L25" s="209" t="s">
        <v>255</v>
      </c>
      <c r="M25" s="210">
        <f ca="1">IF($D25&lt;&gt;"Serviço","",IF(AUTOEVENTO="manual",$A25,IF(ISERROR(MATCH($A25,$A$15:OFFSET($A25,-1,0),0)),MAX($M$15:OFFSET(M25,-1,0))+1,INDEX($M$15:OFFSET(M25,-1,0),MATCH($A25,$A$15:OFFSET($A25,-1,0),0)))))</f>
        <v>2</v>
      </c>
      <c r="N25" s="211" t="str">
        <f ca="1">IF($D25&lt;&gt;"Serviço","",IF(AUTOEVENTO="Manual",IF($A25=0,"&lt;-- defina o número do agrupador",OFFSET(EVENTOS!$D$14,$A25,0)),OFFSET($F$15,$A25,0)))</f>
        <v>SERVIÇOS PRELIMINARES  E PROVISÓRIOS</v>
      </c>
      <c r="O25" s="212"/>
      <c r="Q25" s="212"/>
      <c r="R25" s="213"/>
      <c r="S25" s="213"/>
      <c r="T25" s="213"/>
      <c r="U25" s="213"/>
      <c r="V25" s="213"/>
      <c r="W25" s="213"/>
      <c r="X25" s="213"/>
      <c r="Y25" s="213"/>
      <c r="Z25" s="214"/>
      <c r="AB25" s="630">
        <f ca="1">IF(AND($D25="Serviço",AB$12&lt;&gt;0,$H25&gt;0,OR(AUTOEVENTO&lt;&gt;"manual",$M25&lt;&gt;1)),
IF(Import.TipoArredondamento&lt;&gt;"TransfereGOV",
ROUND(OFFSET($P25,0,AB$13),15-13*ORÇAMENTO!$AF$7)/$H25*OFFSET(ORÇAMENTO!$X$15,ROW(AB25)-ROW(AB$15),0),
ROUND(ROUND(OFFSET($P25,0,AB$13),15-13*ORÇAMENTO!$AF$7)*OFFSET(ORÇAMENTO!$W$15,ROW(AB25)-ROW(AB$15),0),15-13*ORÇAMENTO!$AF$11)),0)</f>
        <v>0</v>
      </c>
      <c r="AC25" s="631">
        <f ca="1">IF(AND($D25="Serviço",AC$12&lt;&gt;0,$H25&gt;0,OR(AUTOEVENTO&lt;&gt;"manual",$M25&lt;&gt;1)),
IF(Import.TipoArredondamento&lt;&gt;"TransfereGOV",
ROUND(OFFSET($P25,0,AC$13),15-13*ORÇAMENTO!$AF$7)/$H25*OFFSET(ORÇAMENTO!$X$15,ROW(AC25)-ROW(AC$15),0),
ROUND(ROUND(OFFSET($P25,0,AC$13),15-13*ORÇAMENTO!$AF$7)*OFFSET(ORÇAMENTO!$W$15,ROW(AC25)-ROW(AC$15),0),15-13*ORÇAMENTO!$AF$11)),0)</f>
        <v>0</v>
      </c>
      <c r="AD25" s="631">
        <f ca="1">IF(AND($D25="Serviço",AD$12&lt;&gt;0,$H25&gt;0,OR(AUTOEVENTO&lt;&gt;"manual",$M25&lt;&gt;1)),
IF(Import.TipoArredondamento&lt;&gt;"TransfereGOV",
ROUND(OFFSET($P25,0,AD$13),15-13*ORÇAMENTO!$AF$7)/$H25*OFFSET(ORÇAMENTO!$X$15,ROW(AD25)-ROW(AD$15),0),
ROUND(ROUND(OFFSET($P25,0,AD$13),15-13*ORÇAMENTO!$AF$7)*OFFSET(ORÇAMENTO!$W$15,ROW(AD25)-ROW(AD$15),0),15-13*ORÇAMENTO!$AF$11)),0)</f>
        <v>0</v>
      </c>
      <c r="AE25" s="631">
        <f ca="1">IF(AND($D25="Serviço",AE$12&lt;&gt;0,$H25&gt;0,OR(AUTOEVENTO&lt;&gt;"manual",$M25&lt;&gt;1)),
IF(Import.TipoArredondamento&lt;&gt;"TransfereGOV",
ROUND(OFFSET($P25,0,AE$13),15-13*ORÇAMENTO!$AF$7)/$H25*OFFSET(ORÇAMENTO!$X$15,ROW(AE25)-ROW(AE$15),0),
ROUND(ROUND(OFFSET($P25,0,AE$13),15-13*ORÇAMENTO!$AF$7)*OFFSET(ORÇAMENTO!$W$15,ROW(AE25)-ROW(AE$15),0),15-13*ORÇAMENTO!$AF$11)),0)</f>
        <v>0</v>
      </c>
      <c r="AF25" s="631">
        <f ca="1">IF(AND($D25="Serviço",AF$12&lt;&gt;0,$H25&gt;0,OR(AUTOEVENTO&lt;&gt;"manual",$M25&lt;&gt;1)),
IF(Import.TipoArredondamento&lt;&gt;"TransfereGOV",
ROUND(OFFSET($P25,0,AF$13),15-13*ORÇAMENTO!$AF$7)/$H25*OFFSET(ORÇAMENTO!$X$15,ROW(AF25)-ROW(AF$15),0),
ROUND(ROUND(OFFSET($P25,0,AF$13),15-13*ORÇAMENTO!$AF$7)*OFFSET(ORÇAMENTO!$W$15,ROW(AF25)-ROW(AF$15),0),15-13*ORÇAMENTO!$AF$11)),0)</f>
        <v>0</v>
      </c>
      <c r="AG25" s="631">
        <f ca="1">IF(AND($D25="Serviço",AG$12&lt;&gt;0,$H25&gt;0,OR(AUTOEVENTO&lt;&gt;"manual",$M25&lt;&gt;1)),
IF(Import.TipoArredondamento&lt;&gt;"TransfereGOV",
ROUND(OFFSET($P25,0,AG$13),15-13*ORÇAMENTO!$AF$7)/$H25*OFFSET(ORÇAMENTO!$X$15,ROW(AG25)-ROW(AG$15),0),
ROUND(ROUND(OFFSET($P25,0,AG$13),15-13*ORÇAMENTO!$AF$7)*OFFSET(ORÇAMENTO!$W$15,ROW(AG25)-ROW(AG$15),0),15-13*ORÇAMENTO!$AF$11)),0)</f>
        <v>0</v>
      </c>
      <c r="AH25" s="631">
        <f ca="1">IF(AND($D25="Serviço",AH$12&lt;&gt;0,$H25&gt;0,OR(AUTOEVENTO&lt;&gt;"manual",$M25&lt;&gt;1)),
IF(Import.TipoArredondamento&lt;&gt;"TransfereGOV",
ROUND(OFFSET($P25,0,AH$13),15-13*ORÇAMENTO!$AF$7)/$H25*OFFSET(ORÇAMENTO!$X$15,ROW(AH25)-ROW(AH$15),0),
ROUND(ROUND(OFFSET($P25,0,AH$13),15-13*ORÇAMENTO!$AF$7)*OFFSET(ORÇAMENTO!$W$15,ROW(AH25)-ROW(AH$15),0),15-13*ORÇAMENTO!$AF$11)),0)</f>
        <v>0</v>
      </c>
      <c r="AI25" s="631">
        <f ca="1">IF(AND($D25="Serviço",AI$12&lt;&gt;0,$H25&gt;0,OR(AUTOEVENTO&lt;&gt;"manual",$M25&lt;&gt;1)),
IF(Import.TipoArredondamento&lt;&gt;"TransfereGOV",
ROUND(OFFSET($P25,0,AI$13),15-13*ORÇAMENTO!$AF$7)/$H25*OFFSET(ORÇAMENTO!$X$15,ROW(AI25)-ROW(AI$15),0),
ROUND(ROUND(OFFSET($P25,0,AI$13),15-13*ORÇAMENTO!$AF$7)*OFFSET(ORÇAMENTO!$W$15,ROW(AI25)-ROW(AI$15),0),15-13*ORÇAMENTO!$AF$11)),0)</f>
        <v>0</v>
      </c>
      <c r="AJ25" s="631">
        <f ca="1">IF(AND($D25="Serviço",AJ$12&lt;&gt;0,$H25&gt;0,OR(AUTOEVENTO&lt;&gt;"manual",$M25&lt;&gt;1)),
IF(Import.TipoArredondamento&lt;&gt;"TransfereGOV",
ROUND(OFFSET($P25,0,AJ$13),15-13*ORÇAMENTO!$AF$7)/$H25*OFFSET(ORÇAMENTO!$X$15,ROW(AJ25)-ROW(AJ$15),0),
ROUND(ROUND(OFFSET($P25,0,AJ$13),15-13*ORÇAMENTO!$AF$7)*OFFSET(ORÇAMENTO!$W$15,ROW(AJ25)-ROW(AJ$15),0),15-13*ORÇAMENTO!$AF$11)),0)</f>
        <v>0</v>
      </c>
      <c r="AK25" s="632">
        <f ca="1">IF(AND($D25="Serviço",AK$12&lt;&gt;0,$H25&gt;0,OR(AUTOEVENTO&lt;&gt;"manual",$M25&lt;&gt;1)),
IF(Import.TipoArredondamento&lt;&gt;"TransfereGOV",
ROUND(OFFSET($P25,0,AK$13),15-13*ORÇAMENTO!$AF$7)/$H25*OFFSET(ORÇAMENTO!$X$15,ROW(AK25)-ROW(AK$15),0),
ROUND(ROUND(OFFSET($P25,0,AK$13),15-13*ORÇAMENTO!$AF$7)*OFFSET(ORÇAMENTO!$W$15,ROW(AK25)-ROW(AK$15),0),15-13*ORÇAMENTO!$AF$11)),0)</f>
        <v>0</v>
      </c>
      <c r="AM25" s="215">
        <f ca="1">IF($D25&lt;&gt;"Serviço",0,IF(AND(AUTOEVENTO="Manual",$M25=1),0,IF(OFFSET(CRONOPLE!$F$14,$M25,AM$13)="",10^12,OFFSET(CRONOPLE!$F$14,$M25,AM$13))))</f>
        <v>1000000000000</v>
      </c>
      <c r="AN25" s="215">
        <f ca="1">IF($D25&lt;&gt;"Serviço",0,IF(AND(AUTOEVENTO="Manual",$M25=1),0,IF(OFFSET(CRONOPLE!$F$14,$M25,AN$13)="",10^12,OFFSET(CRONOPLE!$F$14,$M25,AN$13))))</f>
        <v>1000000000000</v>
      </c>
      <c r="AO25" s="215">
        <f ca="1">IF($D25&lt;&gt;"Serviço",0,IF(AND(AUTOEVENTO="Manual",$M25=1),0,IF(OFFSET(CRONOPLE!$F$14,$M25,AO$13)="",10^12,OFFSET(CRONOPLE!$F$14,$M25,AO$13))))</f>
        <v>1000000000000</v>
      </c>
      <c r="AP25" s="215">
        <f ca="1">IF($D25&lt;&gt;"Serviço",0,IF(AND(AUTOEVENTO="Manual",$M25=1),0,IF(OFFSET(CRONOPLE!$F$14,$M25,AP$13)="",10^12,OFFSET(CRONOPLE!$F$14,$M25,AP$13))))</f>
        <v>1000000000000</v>
      </c>
      <c r="AQ25" s="215">
        <f ca="1">IF($D25&lt;&gt;"Serviço",0,IF(AND(AUTOEVENTO="Manual",$M25=1),0,IF(OFFSET(CRONOPLE!$F$14,$M25,AQ$13)="",10^12,OFFSET(CRONOPLE!$F$14,$M25,AQ$13))))</f>
        <v>1000000000000</v>
      </c>
      <c r="AR25" s="215">
        <f ca="1">IF($D25&lt;&gt;"Serviço",0,IF(AND(AUTOEVENTO="Manual",$M25=1),0,IF(OFFSET(CRONOPLE!$F$14,$M25,AR$13)="",10^12,OFFSET(CRONOPLE!$F$14,$M25,AR$13))))</f>
        <v>1000000000000</v>
      </c>
      <c r="AS25" s="215">
        <f ca="1">IF($D25&lt;&gt;"Serviço",0,IF(AND(AUTOEVENTO="Manual",$M25=1),0,IF(OFFSET(CRONOPLE!$F$14,$M25,AS$13)="",10^12,OFFSET(CRONOPLE!$F$14,$M25,AS$13))))</f>
        <v>1000000000000</v>
      </c>
      <c r="AT25" s="215">
        <f ca="1">IF($D25&lt;&gt;"Serviço",0,IF(AND(AUTOEVENTO="Manual",$M25=1),0,IF(OFFSET(CRONOPLE!$F$14,$M25,AT$13)="",10^12,OFFSET(CRONOPLE!$F$14,$M25,AT$13))))</f>
        <v>1000000000000</v>
      </c>
      <c r="AU25" s="215">
        <f ca="1">IF($D25&lt;&gt;"Serviço",0,IF(AND(AUTOEVENTO="Manual",$M25=1),0,IF(OFFSET(CRONOPLE!$F$14,$M25,AU$13)="",10^12,OFFSET(CRONOPLE!$F$14,$M25,AU$13))))</f>
        <v>1000000000000</v>
      </c>
      <c r="AV25" s="215">
        <f ca="1">IF($D25&lt;&gt;"Serviço",0,IF(AND(AUTOEVENTO="Manual",$M25=1),0,IF(OFFSET(CRONOPLE!$F$14,$M25,AV$13)="",10^12,OFFSET(CRONOPLE!$F$14,$M25,AV$13))))</f>
        <v>1000000000000</v>
      </c>
      <c r="AX25" s="216">
        <f ca="1">IF($D25&lt;&gt;"Serviço",0,IF(OR(AND(AUTOEVENTO="Manual",$M25=1),$M25&gt;(ROW(PLE.lastrow)-ROW(PLE.firstrow))),0,IF(OFFSET(PLE!$G$14,$M25,AX$13)="",10^12,OFFSET(PLE!$G$14,$M25,AX$13))))</f>
        <v>1000000000000</v>
      </c>
      <c r="AY25" s="216">
        <f ca="1">IF($D25&lt;&gt;"Serviço",0,IF(OR(AND(AUTOEVENTO="Manual",$M25=1),$M25&gt;(ROW(PLE.lastrow)-ROW(PLE.firstrow))),0,IF(OFFSET(PLE!$G$14,$M25,AY$13)="",10^12,OFFSET(PLE!$G$14,$M25,AY$13))))</f>
        <v>1000000000000</v>
      </c>
      <c r="AZ25" s="216">
        <f ca="1">IF($D25&lt;&gt;"Serviço",0,IF(OR(AND(AUTOEVENTO="Manual",$M25=1),$M25&gt;(ROW(PLE.lastrow)-ROW(PLE.firstrow))),0,IF(OFFSET(PLE!$G$14,$M25,AZ$13)="",10^12,OFFSET(PLE!$G$14,$M25,AZ$13))))</f>
        <v>1000000000000</v>
      </c>
      <c r="BA25" s="216">
        <f ca="1">IF($D25&lt;&gt;"Serviço",0,IF(OR(AND(AUTOEVENTO="Manual",$M25=1),$M25&gt;(ROW(PLE.lastrow)-ROW(PLE.firstrow))),0,IF(OFFSET(PLE!$G$14,$M25,BA$13)="",10^12,OFFSET(PLE!$G$14,$M25,BA$13))))</f>
        <v>1000000000000</v>
      </c>
      <c r="BB25" s="216">
        <f ca="1">IF($D25&lt;&gt;"Serviço",0,IF(OR(AND(AUTOEVENTO="Manual",$M25=1),$M25&gt;(ROW(PLE.lastrow)-ROW(PLE.firstrow))),0,IF(OFFSET(PLE!$G$14,$M25,BB$13)="",10^12,OFFSET(PLE!$G$14,$M25,BB$13))))</f>
        <v>1000000000000</v>
      </c>
      <c r="BC25" s="216">
        <f ca="1">IF($D25&lt;&gt;"Serviço",0,IF(OR(AND(AUTOEVENTO="Manual",$M25=1),$M25&gt;(ROW(PLE.lastrow)-ROW(PLE.firstrow))),0,IF(OFFSET(PLE!$G$14,$M25,BC$13)="",10^12,OFFSET(PLE!$G$14,$M25,BC$13))))</f>
        <v>1000000000000</v>
      </c>
      <c r="BD25" s="216">
        <f ca="1">IF($D25&lt;&gt;"Serviço",0,IF(OR(AND(AUTOEVENTO="Manual",$M25=1),$M25&gt;(ROW(PLE.lastrow)-ROW(PLE.firstrow))),0,IF(OFFSET(PLE!$G$14,$M25,BD$13)="",10^12,OFFSET(PLE!$G$14,$M25,BD$13))))</f>
        <v>1000000000000</v>
      </c>
      <c r="BE25" s="216">
        <f ca="1">IF($D25&lt;&gt;"Serviço",0,IF(OR(AND(AUTOEVENTO="Manual",$M25=1),$M25&gt;(ROW(PLE.lastrow)-ROW(PLE.firstrow))),0,IF(OFFSET(PLE!$G$14,$M25,BE$13)="",10^12,OFFSET(PLE!$G$14,$M25,BE$13))))</f>
        <v>1000000000000</v>
      </c>
      <c r="BF25" s="216">
        <f ca="1">IF($D25&lt;&gt;"Serviço",0,IF(OR(AND(AUTOEVENTO="Manual",$M25=1),$M25&gt;(ROW(PLE.lastrow)-ROW(PLE.firstrow))),0,IF(OFFSET(PLE!$G$14,$M25,BF$13)="",10^12,OFFSET(PLE!$G$14,$M25,BF$13))))</f>
        <v>1000000000000</v>
      </c>
      <c r="BG25" s="216">
        <f ca="1">IF($D25&lt;&gt;"Serviço",0,IF(OR(AND(AUTOEVENTO="Manual",$M25=1),$M25&gt;(ROW(PLE.lastrow)-ROW(PLE.firstrow))),0,IF(OFFSET(PLE!$G$14,$M25,BG$13)="",10^12,OFFSET(PLE!$G$14,$M25,BG$13))))</f>
        <v>1000000000000</v>
      </c>
    </row>
    <row r="26" spans="1:59" ht="12.75" x14ac:dyDescent="0.2">
      <c r="A26" s="9" t="str">
        <f t="shared" ca="1" si="8"/>
        <v>11.</v>
      </c>
      <c r="B26" s="9">
        <f ca="1">OFFSET(ORÇAMENTO!C$15,ROW(B26)-ROW(B$15),0)</f>
        <v>2</v>
      </c>
      <c r="C26" s="9" t="str">
        <f ca="1">OFFSET(ORÇAMENTO!L$15,ROW(C26)-ROW(C$15),0)</f>
        <v>F</v>
      </c>
      <c r="D26" s="145" t="str">
        <f ca="1">OFFSET(ORÇAMENTO!N$15,ROW(D26)-ROW(D$15),0)</f>
        <v>Nível 2</v>
      </c>
      <c r="E26" s="205" t="str">
        <f ca="1">OFFSET(ORÇAMENTO!O$15,ROW(E26)-ROW(E$15),0)</f>
        <v>1.2.</v>
      </c>
      <c r="F26" s="206" t="str">
        <f ca="1">OFFSET(ORÇAMENTO!R$15,ROW(F26)-ROW(F$15),0)</f>
        <v xml:space="preserve">ADMINISTRAÇÃO LOCAL </v>
      </c>
      <c r="G26" s="207" t="str">
        <f ca="1">IF($D26&lt;&gt;"Serviço","",OFFSET(ORÇAMENTO!S$15,ROW(G26)-ROW(G$15),0))</f>
        <v/>
      </c>
      <c r="H26" s="151">
        <f ca="1">IF($D26&lt;&gt;"Serviço",0,IF(ACOMPANHAMENTO="BM",ROUND(OFFSET(ORÇAMENTO!AJ$15,ROW(H26)-ROW(H$15),0),15-13*ORÇAMENTO!$AF$7),SUMPRODUCT(($Q$12:$AA$12&lt;&gt;"")*ROUND($Q26:$AA26,15-13*ORÇAMENTO!$AF$7))))</f>
        <v>0</v>
      </c>
      <c r="I26" s="649"/>
      <c r="K26" s="208"/>
      <c r="L26" s="209" t="s">
        <v>255</v>
      </c>
      <c r="M26" s="210" t="str">
        <f ca="1">IF($D26&lt;&gt;"Serviço","",IF(AUTOEVENTO="manual",$A26,IF(ISERROR(MATCH($A26,$A$15:OFFSET($A26,-1,0),0)),MAX($M$15:OFFSET(M26,-1,0))+1,INDEX($M$15:OFFSET(M26,-1,0),MATCH($A26,$A$15:OFFSET($A26,-1,0),0)))))</f>
        <v/>
      </c>
      <c r="N26" s="211" t="str">
        <f ca="1">IF($D26&lt;&gt;"Serviço","",IF(AUTOEVENTO="Manual",IF($A26=0,"&lt;-- defina o número do agrupador",OFFSET(EVENTOS!$D$14,$A26,0)),OFFSET($F$15,$A26,0)))</f>
        <v/>
      </c>
      <c r="O26" s="212"/>
      <c r="Q26" s="212"/>
      <c r="R26" s="213"/>
      <c r="S26" s="213"/>
      <c r="T26" s="213"/>
      <c r="U26" s="213"/>
      <c r="V26" s="213"/>
      <c r="W26" s="213"/>
      <c r="X26" s="213"/>
      <c r="Y26" s="213"/>
      <c r="Z26" s="214"/>
      <c r="AB26" s="630">
        <f ca="1">IF(AND($D26="Serviço",AB$12&lt;&gt;0,$H26&gt;0,OR(AUTOEVENTO&lt;&gt;"manual",$M26&lt;&gt;1)),
IF(Import.TipoArredondamento&lt;&gt;"TransfereGOV",
ROUND(OFFSET($P26,0,AB$13),15-13*ORÇAMENTO!$AF$7)/$H26*OFFSET(ORÇAMENTO!$X$15,ROW(AB26)-ROW(AB$15),0),
ROUND(ROUND(OFFSET($P26,0,AB$13),15-13*ORÇAMENTO!$AF$7)*OFFSET(ORÇAMENTO!$W$15,ROW(AB26)-ROW(AB$15),0),15-13*ORÇAMENTO!$AF$11)),0)</f>
        <v>0</v>
      </c>
      <c r="AC26" s="631">
        <f ca="1">IF(AND($D26="Serviço",AC$12&lt;&gt;0,$H26&gt;0,OR(AUTOEVENTO&lt;&gt;"manual",$M26&lt;&gt;1)),
IF(Import.TipoArredondamento&lt;&gt;"TransfereGOV",
ROUND(OFFSET($P26,0,AC$13),15-13*ORÇAMENTO!$AF$7)/$H26*OFFSET(ORÇAMENTO!$X$15,ROW(AC26)-ROW(AC$15),0),
ROUND(ROUND(OFFSET($P26,0,AC$13),15-13*ORÇAMENTO!$AF$7)*OFFSET(ORÇAMENTO!$W$15,ROW(AC26)-ROW(AC$15),0),15-13*ORÇAMENTO!$AF$11)),0)</f>
        <v>0</v>
      </c>
      <c r="AD26" s="631">
        <f ca="1">IF(AND($D26="Serviço",AD$12&lt;&gt;0,$H26&gt;0,OR(AUTOEVENTO&lt;&gt;"manual",$M26&lt;&gt;1)),
IF(Import.TipoArredondamento&lt;&gt;"TransfereGOV",
ROUND(OFFSET($P26,0,AD$13),15-13*ORÇAMENTO!$AF$7)/$H26*OFFSET(ORÇAMENTO!$X$15,ROW(AD26)-ROW(AD$15),0),
ROUND(ROUND(OFFSET($P26,0,AD$13),15-13*ORÇAMENTO!$AF$7)*OFFSET(ORÇAMENTO!$W$15,ROW(AD26)-ROW(AD$15),0),15-13*ORÇAMENTO!$AF$11)),0)</f>
        <v>0</v>
      </c>
      <c r="AE26" s="631">
        <f ca="1">IF(AND($D26="Serviço",AE$12&lt;&gt;0,$H26&gt;0,OR(AUTOEVENTO&lt;&gt;"manual",$M26&lt;&gt;1)),
IF(Import.TipoArredondamento&lt;&gt;"TransfereGOV",
ROUND(OFFSET($P26,0,AE$13),15-13*ORÇAMENTO!$AF$7)/$H26*OFFSET(ORÇAMENTO!$X$15,ROW(AE26)-ROW(AE$15),0),
ROUND(ROUND(OFFSET($P26,0,AE$13),15-13*ORÇAMENTO!$AF$7)*OFFSET(ORÇAMENTO!$W$15,ROW(AE26)-ROW(AE$15),0),15-13*ORÇAMENTO!$AF$11)),0)</f>
        <v>0</v>
      </c>
      <c r="AF26" s="631">
        <f ca="1">IF(AND($D26="Serviço",AF$12&lt;&gt;0,$H26&gt;0,OR(AUTOEVENTO&lt;&gt;"manual",$M26&lt;&gt;1)),
IF(Import.TipoArredondamento&lt;&gt;"TransfereGOV",
ROUND(OFFSET($P26,0,AF$13),15-13*ORÇAMENTO!$AF$7)/$H26*OFFSET(ORÇAMENTO!$X$15,ROW(AF26)-ROW(AF$15),0),
ROUND(ROUND(OFFSET($P26,0,AF$13),15-13*ORÇAMENTO!$AF$7)*OFFSET(ORÇAMENTO!$W$15,ROW(AF26)-ROW(AF$15),0),15-13*ORÇAMENTO!$AF$11)),0)</f>
        <v>0</v>
      </c>
      <c r="AG26" s="631">
        <f ca="1">IF(AND($D26="Serviço",AG$12&lt;&gt;0,$H26&gt;0,OR(AUTOEVENTO&lt;&gt;"manual",$M26&lt;&gt;1)),
IF(Import.TipoArredondamento&lt;&gt;"TransfereGOV",
ROUND(OFFSET($P26,0,AG$13),15-13*ORÇAMENTO!$AF$7)/$H26*OFFSET(ORÇAMENTO!$X$15,ROW(AG26)-ROW(AG$15),0),
ROUND(ROUND(OFFSET($P26,0,AG$13),15-13*ORÇAMENTO!$AF$7)*OFFSET(ORÇAMENTO!$W$15,ROW(AG26)-ROW(AG$15),0),15-13*ORÇAMENTO!$AF$11)),0)</f>
        <v>0</v>
      </c>
      <c r="AH26" s="631">
        <f ca="1">IF(AND($D26="Serviço",AH$12&lt;&gt;0,$H26&gt;0,OR(AUTOEVENTO&lt;&gt;"manual",$M26&lt;&gt;1)),
IF(Import.TipoArredondamento&lt;&gt;"TransfereGOV",
ROUND(OFFSET($P26,0,AH$13),15-13*ORÇAMENTO!$AF$7)/$H26*OFFSET(ORÇAMENTO!$X$15,ROW(AH26)-ROW(AH$15),0),
ROUND(ROUND(OFFSET($P26,0,AH$13),15-13*ORÇAMENTO!$AF$7)*OFFSET(ORÇAMENTO!$W$15,ROW(AH26)-ROW(AH$15),0),15-13*ORÇAMENTO!$AF$11)),0)</f>
        <v>0</v>
      </c>
      <c r="AI26" s="631">
        <f ca="1">IF(AND($D26="Serviço",AI$12&lt;&gt;0,$H26&gt;0,OR(AUTOEVENTO&lt;&gt;"manual",$M26&lt;&gt;1)),
IF(Import.TipoArredondamento&lt;&gt;"TransfereGOV",
ROUND(OFFSET($P26,0,AI$13),15-13*ORÇAMENTO!$AF$7)/$H26*OFFSET(ORÇAMENTO!$X$15,ROW(AI26)-ROW(AI$15),0),
ROUND(ROUND(OFFSET($P26,0,AI$13),15-13*ORÇAMENTO!$AF$7)*OFFSET(ORÇAMENTO!$W$15,ROW(AI26)-ROW(AI$15),0),15-13*ORÇAMENTO!$AF$11)),0)</f>
        <v>0</v>
      </c>
      <c r="AJ26" s="631">
        <f ca="1">IF(AND($D26="Serviço",AJ$12&lt;&gt;0,$H26&gt;0,OR(AUTOEVENTO&lt;&gt;"manual",$M26&lt;&gt;1)),
IF(Import.TipoArredondamento&lt;&gt;"TransfereGOV",
ROUND(OFFSET($P26,0,AJ$13),15-13*ORÇAMENTO!$AF$7)/$H26*OFFSET(ORÇAMENTO!$X$15,ROW(AJ26)-ROW(AJ$15),0),
ROUND(ROUND(OFFSET($P26,0,AJ$13),15-13*ORÇAMENTO!$AF$7)*OFFSET(ORÇAMENTO!$W$15,ROW(AJ26)-ROW(AJ$15),0),15-13*ORÇAMENTO!$AF$11)),0)</f>
        <v>0</v>
      </c>
      <c r="AK26" s="632">
        <f ca="1">IF(AND($D26="Serviço",AK$12&lt;&gt;0,$H26&gt;0,OR(AUTOEVENTO&lt;&gt;"manual",$M26&lt;&gt;1)),
IF(Import.TipoArredondamento&lt;&gt;"TransfereGOV",
ROUND(OFFSET($P26,0,AK$13),15-13*ORÇAMENTO!$AF$7)/$H26*OFFSET(ORÇAMENTO!$X$15,ROW(AK26)-ROW(AK$15),0),
ROUND(ROUND(OFFSET($P26,0,AK$13),15-13*ORÇAMENTO!$AF$7)*OFFSET(ORÇAMENTO!$W$15,ROW(AK26)-ROW(AK$15),0),15-13*ORÇAMENTO!$AF$11)),0)</f>
        <v>0</v>
      </c>
      <c r="AM26" s="215">
        <f ca="1">IF($D26&lt;&gt;"Serviço",0,IF(AND(AUTOEVENTO="Manual",$M26=1),0,IF(OFFSET(CRONOPLE!$F$14,$M26,AM$13)="",10^12,OFFSET(CRONOPLE!$F$14,$M26,AM$13))))</f>
        <v>0</v>
      </c>
      <c r="AN26" s="215">
        <f ca="1">IF($D26&lt;&gt;"Serviço",0,IF(AND(AUTOEVENTO="Manual",$M26=1),0,IF(OFFSET(CRONOPLE!$F$14,$M26,AN$13)="",10^12,OFFSET(CRONOPLE!$F$14,$M26,AN$13))))</f>
        <v>0</v>
      </c>
      <c r="AO26" s="215">
        <f ca="1">IF($D26&lt;&gt;"Serviço",0,IF(AND(AUTOEVENTO="Manual",$M26=1),0,IF(OFFSET(CRONOPLE!$F$14,$M26,AO$13)="",10^12,OFFSET(CRONOPLE!$F$14,$M26,AO$13))))</f>
        <v>0</v>
      </c>
      <c r="AP26" s="215">
        <f ca="1">IF($D26&lt;&gt;"Serviço",0,IF(AND(AUTOEVENTO="Manual",$M26=1),0,IF(OFFSET(CRONOPLE!$F$14,$M26,AP$13)="",10^12,OFFSET(CRONOPLE!$F$14,$M26,AP$13))))</f>
        <v>0</v>
      </c>
      <c r="AQ26" s="215">
        <f ca="1">IF($D26&lt;&gt;"Serviço",0,IF(AND(AUTOEVENTO="Manual",$M26=1),0,IF(OFFSET(CRONOPLE!$F$14,$M26,AQ$13)="",10^12,OFFSET(CRONOPLE!$F$14,$M26,AQ$13))))</f>
        <v>0</v>
      </c>
      <c r="AR26" s="215">
        <f ca="1">IF($D26&lt;&gt;"Serviço",0,IF(AND(AUTOEVENTO="Manual",$M26=1),0,IF(OFFSET(CRONOPLE!$F$14,$M26,AR$13)="",10^12,OFFSET(CRONOPLE!$F$14,$M26,AR$13))))</f>
        <v>0</v>
      </c>
      <c r="AS26" s="215">
        <f ca="1">IF($D26&lt;&gt;"Serviço",0,IF(AND(AUTOEVENTO="Manual",$M26=1),0,IF(OFFSET(CRONOPLE!$F$14,$M26,AS$13)="",10^12,OFFSET(CRONOPLE!$F$14,$M26,AS$13))))</f>
        <v>0</v>
      </c>
      <c r="AT26" s="215">
        <f ca="1">IF($D26&lt;&gt;"Serviço",0,IF(AND(AUTOEVENTO="Manual",$M26=1),0,IF(OFFSET(CRONOPLE!$F$14,$M26,AT$13)="",10^12,OFFSET(CRONOPLE!$F$14,$M26,AT$13))))</f>
        <v>0</v>
      </c>
      <c r="AU26" s="215">
        <f ca="1">IF($D26&lt;&gt;"Serviço",0,IF(AND(AUTOEVENTO="Manual",$M26=1),0,IF(OFFSET(CRONOPLE!$F$14,$M26,AU$13)="",10^12,OFFSET(CRONOPLE!$F$14,$M26,AU$13))))</f>
        <v>0</v>
      </c>
      <c r="AV26" s="215">
        <f ca="1">IF($D26&lt;&gt;"Serviço",0,IF(AND(AUTOEVENTO="Manual",$M26=1),0,IF(OFFSET(CRONOPLE!$F$14,$M26,AV$13)="",10^12,OFFSET(CRONOPLE!$F$14,$M26,AV$13))))</f>
        <v>0</v>
      </c>
      <c r="AX26" s="216">
        <f ca="1">IF($D26&lt;&gt;"Serviço",0,IF(OR(AND(AUTOEVENTO="Manual",$M26=1),$M26&gt;(ROW(PLE.lastrow)-ROW(PLE.firstrow))),0,IF(OFFSET(PLE!$G$14,$M26,AX$13)="",10^12,OFFSET(PLE!$G$14,$M26,AX$13))))</f>
        <v>0</v>
      </c>
      <c r="AY26" s="216">
        <f ca="1">IF($D26&lt;&gt;"Serviço",0,IF(OR(AND(AUTOEVENTO="Manual",$M26=1),$M26&gt;(ROW(PLE.lastrow)-ROW(PLE.firstrow))),0,IF(OFFSET(PLE!$G$14,$M26,AY$13)="",10^12,OFFSET(PLE!$G$14,$M26,AY$13))))</f>
        <v>0</v>
      </c>
      <c r="AZ26" s="216">
        <f ca="1">IF($D26&lt;&gt;"Serviço",0,IF(OR(AND(AUTOEVENTO="Manual",$M26=1),$M26&gt;(ROW(PLE.lastrow)-ROW(PLE.firstrow))),0,IF(OFFSET(PLE!$G$14,$M26,AZ$13)="",10^12,OFFSET(PLE!$G$14,$M26,AZ$13))))</f>
        <v>0</v>
      </c>
      <c r="BA26" s="216">
        <f ca="1">IF($D26&lt;&gt;"Serviço",0,IF(OR(AND(AUTOEVENTO="Manual",$M26=1),$M26&gt;(ROW(PLE.lastrow)-ROW(PLE.firstrow))),0,IF(OFFSET(PLE!$G$14,$M26,BA$13)="",10^12,OFFSET(PLE!$G$14,$M26,BA$13))))</f>
        <v>0</v>
      </c>
      <c r="BB26" s="216">
        <f ca="1">IF($D26&lt;&gt;"Serviço",0,IF(OR(AND(AUTOEVENTO="Manual",$M26=1),$M26&gt;(ROW(PLE.lastrow)-ROW(PLE.firstrow))),0,IF(OFFSET(PLE!$G$14,$M26,BB$13)="",10^12,OFFSET(PLE!$G$14,$M26,BB$13))))</f>
        <v>0</v>
      </c>
      <c r="BC26" s="216">
        <f ca="1">IF($D26&lt;&gt;"Serviço",0,IF(OR(AND(AUTOEVENTO="Manual",$M26=1),$M26&gt;(ROW(PLE.lastrow)-ROW(PLE.firstrow))),0,IF(OFFSET(PLE!$G$14,$M26,BC$13)="",10^12,OFFSET(PLE!$G$14,$M26,BC$13))))</f>
        <v>0</v>
      </c>
      <c r="BD26" s="216">
        <f ca="1">IF($D26&lt;&gt;"Serviço",0,IF(OR(AND(AUTOEVENTO="Manual",$M26=1),$M26&gt;(ROW(PLE.lastrow)-ROW(PLE.firstrow))),0,IF(OFFSET(PLE!$G$14,$M26,BD$13)="",10^12,OFFSET(PLE!$G$14,$M26,BD$13))))</f>
        <v>0</v>
      </c>
      <c r="BE26" s="216">
        <f ca="1">IF($D26&lt;&gt;"Serviço",0,IF(OR(AND(AUTOEVENTO="Manual",$M26=1),$M26&gt;(ROW(PLE.lastrow)-ROW(PLE.firstrow))),0,IF(OFFSET(PLE!$G$14,$M26,BE$13)="",10^12,OFFSET(PLE!$G$14,$M26,BE$13))))</f>
        <v>0</v>
      </c>
      <c r="BF26" s="216">
        <f ca="1">IF($D26&lt;&gt;"Serviço",0,IF(OR(AND(AUTOEVENTO="Manual",$M26=1),$M26&gt;(ROW(PLE.lastrow)-ROW(PLE.firstrow))),0,IF(OFFSET(PLE!$G$14,$M26,BF$13)="",10^12,OFFSET(PLE!$G$14,$M26,BF$13))))</f>
        <v>0</v>
      </c>
      <c r="BG26" s="216">
        <f ca="1">IF($D26&lt;&gt;"Serviço",0,IF(OR(AND(AUTOEVENTO="Manual",$M26=1),$M26&gt;(ROW(PLE.lastrow)-ROW(PLE.firstrow))),0,IF(OFFSET(PLE!$G$14,$M26,BG$13)="",10^12,OFFSET(PLE!$G$14,$M26,BG$13))))</f>
        <v>0</v>
      </c>
    </row>
    <row r="27" spans="1:59" ht="51" x14ac:dyDescent="0.2">
      <c r="A27" s="9" t="str">
        <f t="shared" ca="1" si="8"/>
        <v>11</v>
      </c>
      <c r="B27" s="9" t="str">
        <f ca="1">OFFSET(ORÇAMENTO!C$15,ROW(B27)-ROW(B$15),0)</f>
        <v>S</v>
      </c>
      <c r="C27" s="9" t="str">
        <f ca="1">OFFSET(ORÇAMENTO!L$15,ROW(C27)-ROW(C$15),0)</f>
        <v/>
      </c>
      <c r="D27" s="145" t="str">
        <f ca="1">OFFSET(ORÇAMENTO!N$15,ROW(D27)-ROW(D$15),0)</f>
        <v>Serviço</v>
      </c>
      <c r="E27" s="205" t="str">
        <f ca="1">OFFSET(ORÇAMENTO!O$15,ROW(E27)-ROW(E$15),0)</f>
        <v>-</v>
      </c>
      <c r="F27" s="206" t="str">
        <f ca="1">OFFSET(ORÇAMENTO!R$15,ROW(F27)-ROW(F$15),0)</f>
        <v xml:space="preserve">ADMINISTRAÇÃ LOCAL DA OBRA, CONTENDO ENGENHEIRO CIVIL, MESTRE DE OBRAS, TECNICO DE SEGURANÇA DO TRABALHO , APONTADOR E LIMPEZA PERMANENTE DA OBRA, CONSIDERANDO 15 MESES DE OBRA, UNIDADE PORCENTAGEM DE OBRA EXECUTADA. </v>
      </c>
      <c r="G27" s="207" t="str">
        <f ca="1">IF($D27&lt;&gt;"Serviço","",OFFSET(ORÇAMENTO!S$15,ROW(G27)-ROW(G$15),0))</f>
        <v>UNIDADE</v>
      </c>
      <c r="H27" s="151">
        <f ca="1">IF($D27&lt;&gt;"Serviço",0,IF(ACOMPANHAMENTO="BM",ROUND(OFFSET(ORÇAMENTO!AJ$15,ROW(H27)-ROW(H$15),0),15-13*ORÇAMENTO!$AF$7),SUMPRODUCT(($Q$12:$AA$12&lt;&gt;"")*ROUND($Q27:$AA27,15-13*ORÇAMENTO!$AF$7))))</f>
        <v>1</v>
      </c>
      <c r="I27" s="649" t="s">
        <v>455</v>
      </c>
      <c r="K27" s="208"/>
      <c r="L27" s="209" t="s">
        <v>255</v>
      </c>
      <c r="M27" s="210">
        <f ca="1">IF($D27&lt;&gt;"Serviço","",IF(AUTOEVENTO="manual",$A27,IF(ISERROR(MATCH($A27,$A$15:OFFSET($A27,-1,0),0)),MAX($M$15:OFFSET(M27,-1,0))+1,INDEX($M$15:OFFSET(M27,-1,0),MATCH($A27,$A$15:OFFSET($A27,-1,0),0)))))</f>
        <v>3</v>
      </c>
      <c r="N27" s="211" t="str">
        <f ca="1">IF($D27&lt;&gt;"Serviço","",IF(AUTOEVENTO="Manual",IF($A27=0,"&lt;-- defina o número do agrupador",OFFSET(EVENTOS!$D$14,$A27,0)),OFFSET($F$15,$A27,0)))</f>
        <v xml:space="preserve">ADMINISTRAÇÃO LOCAL </v>
      </c>
      <c r="O27" s="212"/>
      <c r="Q27" s="212">
        <v>240</v>
      </c>
      <c r="R27" s="213"/>
      <c r="S27" s="213"/>
      <c r="T27" s="213"/>
      <c r="U27" s="213"/>
      <c r="V27" s="213"/>
      <c r="W27" s="213"/>
      <c r="X27" s="213"/>
      <c r="Y27" s="213"/>
      <c r="Z27" s="214"/>
      <c r="AB27" s="630">
        <f ca="1">IF(AND($D27="Serviço",AB$12&lt;&gt;0,$H27&gt;0,OR(AUTOEVENTO&lt;&gt;"manual",$M27&lt;&gt;1)),
IF(Import.TipoArredondamento&lt;&gt;"TransfereGOV",
ROUND(OFFSET($P27,0,AB$13),15-13*ORÇAMENTO!$AF$7)/$H27*OFFSET(ORÇAMENTO!$X$15,ROW(AB27)-ROW(AB$15),0),
ROUND(ROUND(OFFSET($P27,0,AB$13),15-13*ORÇAMENTO!$AF$7)*OFFSET(ORÇAMENTO!$W$15,ROW(AB27)-ROW(AB$15),0),15-13*ORÇAMENTO!$AF$11)),0)</f>
        <v>0</v>
      </c>
      <c r="AC27" s="631">
        <f ca="1">IF(AND($D27="Serviço",AC$12&lt;&gt;0,$H27&gt;0,OR(AUTOEVENTO&lt;&gt;"manual",$M27&lt;&gt;1)),
IF(Import.TipoArredondamento&lt;&gt;"TransfereGOV",
ROUND(OFFSET($P27,0,AC$13),15-13*ORÇAMENTO!$AF$7)/$H27*OFFSET(ORÇAMENTO!$X$15,ROW(AC27)-ROW(AC$15),0),
ROUND(ROUND(OFFSET($P27,0,AC$13),15-13*ORÇAMENTO!$AF$7)*OFFSET(ORÇAMENTO!$W$15,ROW(AC27)-ROW(AC$15),0),15-13*ORÇAMENTO!$AF$11)),0)</f>
        <v>0</v>
      </c>
      <c r="AD27" s="631">
        <f ca="1">IF(AND($D27="Serviço",AD$12&lt;&gt;0,$H27&gt;0,OR(AUTOEVENTO&lt;&gt;"manual",$M27&lt;&gt;1)),
IF(Import.TipoArredondamento&lt;&gt;"TransfereGOV",
ROUND(OFFSET($P27,0,AD$13),15-13*ORÇAMENTO!$AF$7)/$H27*OFFSET(ORÇAMENTO!$X$15,ROW(AD27)-ROW(AD$15),0),
ROUND(ROUND(OFFSET($P27,0,AD$13),15-13*ORÇAMENTO!$AF$7)*OFFSET(ORÇAMENTO!$W$15,ROW(AD27)-ROW(AD$15),0),15-13*ORÇAMENTO!$AF$11)),0)</f>
        <v>0</v>
      </c>
      <c r="AE27" s="631">
        <f ca="1">IF(AND($D27="Serviço",AE$12&lt;&gt;0,$H27&gt;0,OR(AUTOEVENTO&lt;&gt;"manual",$M27&lt;&gt;1)),
IF(Import.TipoArredondamento&lt;&gt;"TransfereGOV",
ROUND(OFFSET($P27,0,AE$13),15-13*ORÇAMENTO!$AF$7)/$H27*OFFSET(ORÇAMENTO!$X$15,ROW(AE27)-ROW(AE$15),0),
ROUND(ROUND(OFFSET($P27,0,AE$13),15-13*ORÇAMENTO!$AF$7)*OFFSET(ORÇAMENTO!$W$15,ROW(AE27)-ROW(AE$15),0),15-13*ORÇAMENTO!$AF$11)),0)</f>
        <v>0</v>
      </c>
      <c r="AF27" s="631">
        <f ca="1">IF(AND($D27="Serviço",AF$12&lt;&gt;0,$H27&gt;0,OR(AUTOEVENTO&lt;&gt;"manual",$M27&lt;&gt;1)),
IF(Import.TipoArredondamento&lt;&gt;"TransfereGOV",
ROUND(OFFSET($P27,0,AF$13),15-13*ORÇAMENTO!$AF$7)/$H27*OFFSET(ORÇAMENTO!$X$15,ROW(AF27)-ROW(AF$15),0),
ROUND(ROUND(OFFSET($P27,0,AF$13),15-13*ORÇAMENTO!$AF$7)*OFFSET(ORÇAMENTO!$W$15,ROW(AF27)-ROW(AF$15),0),15-13*ORÇAMENTO!$AF$11)),0)</f>
        <v>0</v>
      </c>
      <c r="AG27" s="631">
        <f ca="1">IF(AND($D27="Serviço",AG$12&lt;&gt;0,$H27&gt;0,OR(AUTOEVENTO&lt;&gt;"manual",$M27&lt;&gt;1)),
IF(Import.TipoArredondamento&lt;&gt;"TransfereGOV",
ROUND(OFFSET($P27,0,AG$13),15-13*ORÇAMENTO!$AF$7)/$H27*OFFSET(ORÇAMENTO!$X$15,ROW(AG27)-ROW(AG$15),0),
ROUND(ROUND(OFFSET($P27,0,AG$13),15-13*ORÇAMENTO!$AF$7)*OFFSET(ORÇAMENTO!$W$15,ROW(AG27)-ROW(AG$15),0),15-13*ORÇAMENTO!$AF$11)),0)</f>
        <v>0</v>
      </c>
      <c r="AH27" s="631">
        <f ca="1">IF(AND($D27="Serviço",AH$12&lt;&gt;0,$H27&gt;0,OR(AUTOEVENTO&lt;&gt;"manual",$M27&lt;&gt;1)),
IF(Import.TipoArredondamento&lt;&gt;"TransfereGOV",
ROUND(OFFSET($P27,0,AH$13),15-13*ORÇAMENTO!$AF$7)/$H27*OFFSET(ORÇAMENTO!$X$15,ROW(AH27)-ROW(AH$15),0),
ROUND(ROUND(OFFSET($P27,0,AH$13),15-13*ORÇAMENTO!$AF$7)*OFFSET(ORÇAMENTO!$W$15,ROW(AH27)-ROW(AH$15),0),15-13*ORÇAMENTO!$AF$11)),0)</f>
        <v>0</v>
      </c>
      <c r="AI27" s="631">
        <f ca="1">IF(AND($D27="Serviço",AI$12&lt;&gt;0,$H27&gt;0,OR(AUTOEVENTO&lt;&gt;"manual",$M27&lt;&gt;1)),
IF(Import.TipoArredondamento&lt;&gt;"TransfereGOV",
ROUND(OFFSET($P27,0,AI$13),15-13*ORÇAMENTO!$AF$7)/$H27*OFFSET(ORÇAMENTO!$X$15,ROW(AI27)-ROW(AI$15),0),
ROUND(ROUND(OFFSET($P27,0,AI$13),15-13*ORÇAMENTO!$AF$7)*OFFSET(ORÇAMENTO!$W$15,ROW(AI27)-ROW(AI$15),0),15-13*ORÇAMENTO!$AF$11)),0)</f>
        <v>0</v>
      </c>
      <c r="AJ27" s="631">
        <f ca="1">IF(AND($D27="Serviço",AJ$12&lt;&gt;0,$H27&gt;0,OR(AUTOEVENTO&lt;&gt;"manual",$M27&lt;&gt;1)),
IF(Import.TipoArredondamento&lt;&gt;"TransfereGOV",
ROUND(OFFSET($P27,0,AJ$13),15-13*ORÇAMENTO!$AF$7)/$H27*OFFSET(ORÇAMENTO!$X$15,ROW(AJ27)-ROW(AJ$15),0),
ROUND(ROUND(OFFSET($P27,0,AJ$13),15-13*ORÇAMENTO!$AF$7)*OFFSET(ORÇAMENTO!$W$15,ROW(AJ27)-ROW(AJ$15),0),15-13*ORÇAMENTO!$AF$11)),0)</f>
        <v>0</v>
      </c>
      <c r="AK27" s="632">
        <f ca="1">IF(AND($D27="Serviço",AK$12&lt;&gt;0,$H27&gt;0,OR(AUTOEVENTO&lt;&gt;"manual",$M27&lt;&gt;1)),
IF(Import.TipoArredondamento&lt;&gt;"TransfereGOV",
ROUND(OFFSET($P27,0,AK$13),15-13*ORÇAMENTO!$AF$7)/$H27*OFFSET(ORÇAMENTO!$X$15,ROW(AK27)-ROW(AK$15),0),
ROUND(ROUND(OFFSET($P27,0,AK$13),15-13*ORÇAMENTO!$AF$7)*OFFSET(ORÇAMENTO!$W$15,ROW(AK27)-ROW(AK$15),0),15-13*ORÇAMENTO!$AF$11)),0)</f>
        <v>0</v>
      </c>
      <c r="AM27" s="215">
        <f ca="1">IF($D27&lt;&gt;"Serviço",0,IF(AND(AUTOEVENTO="Manual",$M27=1),0,IF(OFFSET(CRONOPLE!$F$14,$M27,AM$13)="",10^12,OFFSET(CRONOPLE!$F$14,$M27,AM$13))))</f>
        <v>1000000000000</v>
      </c>
      <c r="AN27" s="215">
        <f ca="1">IF($D27&lt;&gt;"Serviço",0,IF(AND(AUTOEVENTO="Manual",$M27=1),0,IF(OFFSET(CRONOPLE!$F$14,$M27,AN$13)="",10^12,OFFSET(CRONOPLE!$F$14,$M27,AN$13))))</f>
        <v>1000000000000</v>
      </c>
      <c r="AO27" s="215">
        <f ca="1">IF($D27&lt;&gt;"Serviço",0,IF(AND(AUTOEVENTO="Manual",$M27=1),0,IF(OFFSET(CRONOPLE!$F$14,$M27,AO$13)="",10^12,OFFSET(CRONOPLE!$F$14,$M27,AO$13))))</f>
        <v>1000000000000</v>
      </c>
      <c r="AP27" s="215">
        <f ca="1">IF($D27&lt;&gt;"Serviço",0,IF(AND(AUTOEVENTO="Manual",$M27=1),0,IF(OFFSET(CRONOPLE!$F$14,$M27,AP$13)="",10^12,OFFSET(CRONOPLE!$F$14,$M27,AP$13))))</f>
        <v>1000000000000</v>
      </c>
      <c r="AQ27" s="215">
        <f ca="1">IF($D27&lt;&gt;"Serviço",0,IF(AND(AUTOEVENTO="Manual",$M27=1),0,IF(OFFSET(CRONOPLE!$F$14,$M27,AQ$13)="",10^12,OFFSET(CRONOPLE!$F$14,$M27,AQ$13))))</f>
        <v>1000000000000</v>
      </c>
      <c r="AR27" s="215">
        <f ca="1">IF($D27&lt;&gt;"Serviço",0,IF(AND(AUTOEVENTO="Manual",$M27=1),0,IF(OFFSET(CRONOPLE!$F$14,$M27,AR$13)="",10^12,OFFSET(CRONOPLE!$F$14,$M27,AR$13))))</f>
        <v>1000000000000</v>
      </c>
      <c r="AS27" s="215">
        <f ca="1">IF($D27&lt;&gt;"Serviço",0,IF(AND(AUTOEVENTO="Manual",$M27=1),0,IF(OFFSET(CRONOPLE!$F$14,$M27,AS$13)="",10^12,OFFSET(CRONOPLE!$F$14,$M27,AS$13))))</f>
        <v>1000000000000</v>
      </c>
      <c r="AT27" s="215">
        <f ca="1">IF($D27&lt;&gt;"Serviço",0,IF(AND(AUTOEVENTO="Manual",$M27=1),0,IF(OFFSET(CRONOPLE!$F$14,$M27,AT$13)="",10^12,OFFSET(CRONOPLE!$F$14,$M27,AT$13))))</f>
        <v>1000000000000</v>
      </c>
      <c r="AU27" s="215">
        <f ca="1">IF($D27&lt;&gt;"Serviço",0,IF(AND(AUTOEVENTO="Manual",$M27=1),0,IF(OFFSET(CRONOPLE!$F$14,$M27,AU$13)="",10^12,OFFSET(CRONOPLE!$F$14,$M27,AU$13))))</f>
        <v>1000000000000</v>
      </c>
      <c r="AV27" s="215">
        <f ca="1">IF($D27&lt;&gt;"Serviço",0,IF(AND(AUTOEVENTO="Manual",$M27=1),0,IF(OFFSET(CRONOPLE!$F$14,$M27,AV$13)="",10^12,OFFSET(CRONOPLE!$F$14,$M27,AV$13))))</f>
        <v>1000000000000</v>
      </c>
      <c r="AX27" s="216">
        <f ca="1">IF($D27&lt;&gt;"Serviço",0,IF(OR(AND(AUTOEVENTO="Manual",$M27=1),$M27&gt;(ROW(PLE.lastrow)-ROW(PLE.firstrow))),0,IF(OFFSET(PLE!$G$14,$M27,AX$13)="",10^12,OFFSET(PLE!$G$14,$M27,AX$13))))</f>
        <v>1000000000000</v>
      </c>
      <c r="AY27" s="216">
        <f ca="1">IF($D27&lt;&gt;"Serviço",0,IF(OR(AND(AUTOEVENTO="Manual",$M27=1),$M27&gt;(ROW(PLE.lastrow)-ROW(PLE.firstrow))),0,IF(OFFSET(PLE!$G$14,$M27,AY$13)="",10^12,OFFSET(PLE!$G$14,$M27,AY$13))))</f>
        <v>1000000000000</v>
      </c>
      <c r="AZ27" s="216">
        <f ca="1">IF($D27&lt;&gt;"Serviço",0,IF(OR(AND(AUTOEVENTO="Manual",$M27=1),$M27&gt;(ROW(PLE.lastrow)-ROW(PLE.firstrow))),0,IF(OFFSET(PLE!$G$14,$M27,AZ$13)="",10^12,OFFSET(PLE!$G$14,$M27,AZ$13))))</f>
        <v>1000000000000</v>
      </c>
      <c r="BA27" s="216">
        <f ca="1">IF($D27&lt;&gt;"Serviço",0,IF(OR(AND(AUTOEVENTO="Manual",$M27=1),$M27&gt;(ROW(PLE.lastrow)-ROW(PLE.firstrow))),0,IF(OFFSET(PLE!$G$14,$M27,BA$13)="",10^12,OFFSET(PLE!$G$14,$M27,BA$13))))</f>
        <v>1000000000000</v>
      </c>
      <c r="BB27" s="216">
        <f ca="1">IF($D27&lt;&gt;"Serviço",0,IF(OR(AND(AUTOEVENTO="Manual",$M27=1),$M27&gt;(ROW(PLE.lastrow)-ROW(PLE.firstrow))),0,IF(OFFSET(PLE!$G$14,$M27,BB$13)="",10^12,OFFSET(PLE!$G$14,$M27,BB$13))))</f>
        <v>1000000000000</v>
      </c>
      <c r="BC27" s="216">
        <f ca="1">IF($D27&lt;&gt;"Serviço",0,IF(OR(AND(AUTOEVENTO="Manual",$M27=1),$M27&gt;(ROW(PLE.lastrow)-ROW(PLE.firstrow))),0,IF(OFFSET(PLE!$G$14,$M27,BC$13)="",10^12,OFFSET(PLE!$G$14,$M27,BC$13))))</f>
        <v>1000000000000</v>
      </c>
      <c r="BD27" s="216">
        <f ca="1">IF($D27&lt;&gt;"Serviço",0,IF(OR(AND(AUTOEVENTO="Manual",$M27=1),$M27&gt;(ROW(PLE.lastrow)-ROW(PLE.firstrow))),0,IF(OFFSET(PLE!$G$14,$M27,BD$13)="",10^12,OFFSET(PLE!$G$14,$M27,BD$13))))</f>
        <v>1000000000000</v>
      </c>
      <c r="BE27" s="216">
        <f ca="1">IF($D27&lt;&gt;"Serviço",0,IF(OR(AND(AUTOEVENTO="Manual",$M27=1),$M27&gt;(ROW(PLE.lastrow)-ROW(PLE.firstrow))),0,IF(OFFSET(PLE!$G$14,$M27,BE$13)="",10^12,OFFSET(PLE!$G$14,$M27,BE$13))))</f>
        <v>1000000000000</v>
      </c>
      <c r="BF27" s="216">
        <f ca="1">IF($D27&lt;&gt;"Serviço",0,IF(OR(AND(AUTOEVENTO="Manual",$M27=1),$M27&gt;(ROW(PLE.lastrow)-ROW(PLE.firstrow))),0,IF(OFFSET(PLE!$G$14,$M27,BF$13)="",10^12,OFFSET(PLE!$G$14,$M27,BF$13))))</f>
        <v>1000000000000</v>
      </c>
      <c r="BG27" s="216">
        <f ca="1">IF($D27&lt;&gt;"Serviço",0,IF(OR(AND(AUTOEVENTO="Manual",$M27=1),$M27&gt;(ROW(PLE.lastrow)-ROW(PLE.firstrow))),0,IF(OFFSET(PLE!$G$14,$M27,BG$13)="",10^12,OFFSET(PLE!$G$14,$M27,BG$13))))</f>
        <v>1000000000000</v>
      </c>
    </row>
    <row r="28" spans="1:59" ht="12.75" x14ac:dyDescent="0.2">
      <c r="A28" s="9" t="str">
        <f t="shared" ca="1" si="8"/>
        <v>13.</v>
      </c>
      <c r="B28" s="9">
        <f ca="1">OFFSET(ORÇAMENTO!C$15,ROW(B28)-ROW(B$15),0)</f>
        <v>2</v>
      </c>
      <c r="C28" s="9" t="str">
        <f ca="1">OFFSET(ORÇAMENTO!L$15,ROW(C28)-ROW(C$15),0)</f>
        <v>F</v>
      </c>
      <c r="D28" s="145" t="str">
        <f ca="1">OFFSET(ORÇAMENTO!N$15,ROW(D28)-ROW(D$15),0)</f>
        <v>Nível 2</v>
      </c>
      <c r="E28" s="205" t="str">
        <f ca="1">OFFSET(ORÇAMENTO!O$15,ROW(E28)-ROW(E$15),0)</f>
        <v>1.3.</v>
      </c>
      <c r="F28" s="206" t="str">
        <f ca="1">OFFSET(ORÇAMENTO!R$15,ROW(F28)-ROW(F$15),0)</f>
        <v xml:space="preserve">REGULARIZAÇÃO TERRENO </v>
      </c>
      <c r="G28" s="207" t="str">
        <f ca="1">IF($D28&lt;&gt;"Serviço","",OFFSET(ORÇAMENTO!S$15,ROW(G28)-ROW(G$15),0))</f>
        <v/>
      </c>
      <c r="H28" s="151">
        <f ca="1">IF($D28&lt;&gt;"Serviço",0,IF(ACOMPANHAMENTO="BM",ROUND(OFFSET(ORÇAMENTO!AJ$15,ROW(H28)-ROW(H$15),0),15-13*ORÇAMENTO!$AF$7),SUMPRODUCT(($Q$12:$AA$12&lt;&gt;"")*ROUND($Q28:$AA28,15-13*ORÇAMENTO!$AF$7))))</f>
        <v>0</v>
      </c>
      <c r="I28" s="649"/>
      <c r="K28" s="208"/>
      <c r="L28" s="209" t="s">
        <v>255</v>
      </c>
      <c r="M28" s="210" t="str">
        <f ca="1">IF($D28&lt;&gt;"Serviço","",IF(AUTOEVENTO="manual",$A28,IF(ISERROR(MATCH($A28,$A$15:OFFSET($A28,-1,0),0)),MAX($M$15:OFFSET(M28,-1,0))+1,INDEX($M$15:OFFSET(M28,-1,0),MATCH($A28,$A$15:OFFSET($A28,-1,0),0)))))</f>
        <v/>
      </c>
      <c r="N28" s="211" t="str">
        <f ca="1">IF($D28&lt;&gt;"Serviço","",IF(AUTOEVENTO="Manual",IF($A28=0,"&lt;-- defina o número do agrupador",OFFSET(EVENTOS!$D$14,$A28,0)),OFFSET($F$15,$A28,0)))</f>
        <v/>
      </c>
      <c r="O28" s="212"/>
      <c r="Q28" s="212"/>
      <c r="R28" s="213"/>
      <c r="S28" s="213"/>
      <c r="T28" s="213"/>
      <c r="U28" s="213"/>
      <c r="V28" s="213"/>
      <c r="W28" s="213"/>
      <c r="X28" s="213"/>
      <c r="Y28" s="213"/>
      <c r="Z28" s="214"/>
      <c r="AB28" s="630">
        <f ca="1">IF(AND($D28="Serviço",AB$12&lt;&gt;0,$H28&gt;0,OR(AUTOEVENTO&lt;&gt;"manual",$M28&lt;&gt;1)),
IF(Import.TipoArredondamento&lt;&gt;"TransfereGOV",
ROUND(OFFSET($P28,0,AB$13),15-13*ORÇAMENTO!$AF$7)/$H28*OFFSET(ORÇAMENTO!$X$15,ROW(AB28)-ROW(AB$15),0),
ROUND(ROUND(OFFSET($P28,0,AB$13),15-13*ORÇAMENTO!$AF$7)*OFFSET(ORÇAMENTO!$W$15,ROW(AB28)-ROW(AB$15),0),15-13*ORÇAMENTO!$AF$11)),0)</f>
        <v>0</v>
      </c>
      <c r="AC28" s="631">
        <f ca="1">IF(AND($D28="Serviço",AC$12&lt;&gt;0,$H28&gt;0,OR(AUTOEVENTO&lt;&gt;"manual",$M28&lt;&gt;1)),
IF(Import.TipoArredondamento&lt;&gt;"TransfereGOV",
ROUND(OFFSET($P28,0,AC$13),15-13*ORÇAMENTO!$AF$7)/$H28*OFFSET(ORÇAMENTO!$X$15,ROW(AC28)-ROW(AC$15),0),
ROUND(ROUND(OFFSET($P28,0,AC$13),15-13*ORÇAMENTO!$AF$7)*OFFSET(ORÇAMENTO!$W$15,ROW(AC28)-ROW(AC$15),0),15-13*ORÇAMENTO!$AF$11)),0)</f>
        <v>0</v>
      </c>
      <c r="AD28" s="631">
        <f ca="1">IF(AND($D28="Serviço",AD$12&lt;&gt;0,$H28&gt;0,OR(AUTOEVENTO&lt;&gt;"manual",$M28&lt;&gt;1)),
IF(Import.TipoArredondamento&lt;&gt;"TransfereGOV",
ROUND(OFFSET($P28,0,AD$13),15-13*ORÇAMENTO!$AF$7)/$H28*OFFSET(ORÇAMENTO!$X$15,ROW(AD28)-ROW(AD$15),0),
ROUND(ROUND(OFFSET($P28,0,AD$13),15-13*ORÇAMENTO!$AF$7)*OFFSET(ORÇAMENTO!$W$15,ROW(AD28)-ROW(AD$15),0),15-13*ORÇAMENTO!$AF$11)),0)</f>
        <v>0</v>
      </c>
      <c r="AE28" s="631">
        <f ca="1">IF(AND($D28="Serviço",AE$12&lt;&gt;0,$H28&gt;0,OR(AUTOEVENTO&lt;&gt;"manual",$M28&lt;&gt;1)),
IF(Import.TipoArredondamento&lt;&gt;"TransfereGOV",
ROUND(OFFSET($P28,0,AE$13),15-13*ORÇAMENTO!$AF$7)/$H28*OFFSET(ORÇAMENTO!$X$15,ROW(AE28)-ROW(AE$15),0),
ROUND(ROUND(OFFSET($P28,0,AE$13),15-13*ORÇAMENTO!$AF$7)*OFFSET(ORÇAMENTO!$W$15,ROW(AE28)-ROW(AE$15),0),15-13*ORÇAMENTO!$AF$11)),0)</f>
        <v>0</v>
      </c>
      <c r="AF28" s="631">
        <f ca="1">IF(AND($D28="Serviço",AF$12&lt;&gt;0,$H28&gt;0,OR(AUTOEVENTO&lt;&gt;"manual",$M28&lt;&gt;1)),
IF(Import.TipoArredondamento&lt;&gt;"TransfereGOV",
ROUND(OFFSET($P28,0,AF$13),15-13*ORÇAMENTO!$AF$7)/$H28*OFFSET(ORÇAMENTO!$X$15,ROW(AF28)-ROW(AF$15),0),
ROUND(ROUND(OFFSET($P28,0,AF$13),15-13*ORÇAMENTO!$AF$7)*OFFSET(ORÇAMENTO!$W$15,ROW(AF28)-ROW(AF$15),0),15-13*ORÇAMENTO!$AF$11)),0)</f>
        <v>0</v>
      </c>
      <c r="AG28" s="631">
        <f ca="1">IF(AND($D28="Serviço",AG$12&lt;&gt;0,$H28&gt;0,OR(AUTOEVENTO&lt;&gt;"manual",$M28&lt;&gt;1)),
IF(Import.TipoArredondamento&lt;&gt;"TransfereGOV",
ROUND(OFFSET($P28,0,AG$13),15-13*ORÇAMENTO!$AF$7)/$H28*OFFSET(ORÇAMENTO!$X$15,ROW(AG28)-ROW(AG$15),0),
ROUND(ROUND(OFFSET($P28,0,AG$13),15-13*ORÇAMENTO!$AF$7)*OFFSET(ORÇAMENTO!$W$15,ROW(AG28)-ROW(AG$15),0),15-13*ORÇAMENTO!$AF$11)),0)</f>
        <v>0</v>
      </c>
      <c r="AH28" s="631">
        <f ca="1">IF(AND($D28="Serviço",AH$12&lt;&gt;0,$H28&gt;0,OR(AUTOEVENTO&lt;&gt;"manual",$M28&lt;&gt;1)),
IF(Import.TipoArredondamento&lt;&gt;"TransfereGOV",
ROUND(OFFSET($P28,0,AH$13),15-13*ORÇAMENTO!$AF$7)/$H28*OFFSET(ORÇAMENTO!$X$15,ROW(AH28)-ROW(AH$15),0),
ROUND(ROUND(OFFSET($P28,0,AH$13),15-13*ORÇAMENTO!$AF$7)*OFFSET(ORÇAMENTO!$W$15,ROW(AH28)-ROW(AH$15),0),15-13*ORÇAMENTO!$AF$11)),0)</f>
        <v>0</v>
      </c>
      <c r="AI28" s="631">
        <f ca="1">IF(AND($D28="Serviço",AI$12&lt;&gt;0,$H28&gt;0,OR(AUTOEVENTO&lt;&gt;"manual",$M28&lt;&gt;1)),
IF(Import.TipoArredondamento&lt;&gt;"TransfereGOV",
ROUND(OFFSET($P28,0,AI$13),15-13*ORÇAMENTO!$AF$7)/$H28*OFFSET(ORÇAMENTO!$X$15,ROW(AI28)-ROW(AI$15),0),
ROUND(ROUND(OFFSET($P28,0,AI$13),15-13*ORÇAMENTO!$AF$7)*OFFSET(ORÇAMENTO!$W$15,ROW(AI28)-ROW(AI$15),0),15-13*ORÇAMENTO!$AF$11)),0)</f>
        <v>0</v>
      </c>
      <c r="AJ28" s="631">
        <f ca="1">IF(AND($D28="Serviço",AJ$12&lt;&gt;0,$H28&gt;0,OR(AUTOEVENTO&lt;&gt;"manual",$M28&lt;&gt;1)),
IF(Import.TipoArredondamento&lt;&gt;"TransfereGOV",
ROUND(OFFSET($P28,0,AJ$13),15-13*ORÇAMENTO!$AF$7)/$H28*OFFSET(ORÇAMENTO!$X$15,ROW(AJ28)-ROW(AJ$15),0),
ROUND(ROUND(OFFSET($P28,0,AJ$13),15-13*ORÇAMENTO!$AF$7)*OFFSET(ORÇAMENTO!$W$15,ROW(AJ28)-ROW(AJ$15),0),15-13*ORÇAMENTO!$AF$11)),0)</f>
        <v>0</v>
      </c>
      <c r="AK28" s="632">
        <f ca="1">IF(AND($D28="Serviço",AK$12&lt;&gt;0,$H28&gt;0,OR(AUTOEVENTO&lt;&gt;"manual",$M28&lt;&gt;1)),
IF(Import.TipoArredondamento&lt;&gt;"TransfereGOV",
ROUND(OFFSET($P28,0,AK$13),15-13*ORÇAMENTO!$AF$7)/$H28*OFFSET(ORÇAMENTO!$X$15,ROW(AK28)-ROW(AK$15),0),
ROUND(ROUND(OFFSET($P28,0,AK$13),15-13*ORÇAMENTO!$AF$7)*OFFSET(ORÇAMENTO!$W$15,ROW(AK28)-ROW(AK$15),0),15-13*ORÇAMENTO!$AF$11)),0)</f>
        <v>0</v>
      </c>
      <c r="AM28" s="215">
        <f ca="1">IF($D28&lt;&gt;"Serviço",0,IF(AND(AUTOEVENTO="Manual",$M28=1),0,IF(OFFSET(CRONOPLE!$F$14,$M28,AM$13)="",10^12,OFFSET(CRONOPLE!$F$14,$M28,AM$13))))</f>
        <v>0</v>
      </c>
      <c r="AN28" s="215">
        <f ca="1">IF($D28&lt;&gt;"Serviço",0,IF(AND(AUTOEVENTO="Manual",$M28=1),0,IF(OFFSET(CRONOPLE!$F$14,$M28,AN$13)="",10^12,OFFSET(CRONOPLE!$F$14,$M28,AN$13))))</f>
        <v>0</v>
      </c>
      <c r="AO28" s="215">
        <f ca="1">IF($D28&lt;&gt;"Serviço",0,IF(AND(AUTOEVENTO="Manual",$M28=1),0,IF(OFFSET(CRONOPLE!$F$14,$M28,AO$13)="",10^12,OFFSET(CRONOPLE!$F$14,$M28,AO$13))))</f>
        <v>0</v>
      </c>
      <c r="AP28" s="215">
        <f ca="1">IF($D28&lt;&gt;"Serviço",0,IF(AND(AUTOEVENTO="Manual",$M28=1),0,IF(OFFSET(CRONOPLE!$F$14,$M28,AP$13)="",10^12,OFFSET(CRONOPLE!$F$14,$M28,AP$13))))</f>
        <v>0</v>
      </c>
      <c r="AQ28" s="215">
        <f ca="1">IF($D28&lt;&gt;"Serviço",0,IF(AND(AUTOEVENTO="Manual",$M28=1),0,IF(OFFSET(CRONOPLE!$F$14,$M28,AQ$13)="",10^12,OFFSET(CRONOPLE!$F$14,$M28,AQ$13))))</f>
        <v>0</v>
      </c>
      <c r="AR28" s="215">
        <f ca="1">IF($D28&lt;&gt;"Serviço",0,IF(AND(AUTOEVENTO="Manual",$M28=1),0,IF(OFFSET(CRONOPLE!$F$14,$M28,AR$13)="",10^12,OFFSET(CRONOPLE!$F$14,$M28,AR$13))))</f>
        <v>0</v>
      </c>
      <c r="AS28" s="215">
        <f ca="1">IF($D28&lt;&gt;"Serviço",0,IF(AND(AUTOEVENTO="Manual",$M28=1),0,IF(OFFSET(CRONOPLE!$F$14,$M28,AS$13)="",10^12,OFFSET(CRONOPLE!$F$14,$M28,AS$13))))</f>
        <v>0</v>
      </c>
      <c r="AT28" s="215">
        <f ca="1">IF($D28&lt;&gt;"Serviço",0,IF(AND(AUTOEVENTO="Manual",$M28=1),0,IF(OFFSET(CRONOPLE!$F$14,$M28,AT$13)="",10^12,OFFSET(CRONOPLE!$F$14,$M28,AT$13))))</f>
        <v>0</v>
      </c>
      <c r="AU28" s="215">
        <f ca="1">IF($D28&lt;&gt;"Serviço",0,IF(AND(AUTOEVENTO="Manual",$M28=1),0,IF(OFFSET(CRONOPLE!$F$14,$M28,AU$13)="",10^12,OFFSET(CRONOPLE!$F$14,$M28,AU$13))))</f>
        <v>0</v>
      </c>
      <c r="AV28" s="215">
        <f ca="1">IF($D28&lt;&gt;"Serviço",0,IF(AND(AUTOEVENTO="Manual",$M28=1),0,IF(OFFSET(CRONOPLE!$F$14,$M28,AV$13)="",10^12,OFFSET(CRONOPLE!$F$14,$M28,AV$13))))</f>
        <v>0</v>
      </c>
      <c r="AX28" s="216">
        <f ca="1">IF($D28&lt;&gt;"Serviço",0,IF(OR(AND(AUTOEVENTO="Manual",$M28=1),$M28&gt;(ROW(PLE.lastrow)-ROW(PLE.firstrow))),0,IF(OFFSET(PLE!$G$14,$M28,AX$13)="",10^12,OFFSET(PLE!$G$14,$M28,AX$13))))</f>
        <v>0</v>
      </c>
      <c r="AY28" s="216">
        <f ca="1">IF($D28&lt;&gt;"Serviço",0,IF(OR(AND(AUTOEVENTO="Manual",$M28=1),$M28&gt;(ROW(PLE.lastrow)-ROW(PLE.firstrow))),0,IF(OFFSET(PLE!$G$14,$M28,AY$13)="",10^12,OFFSET(PLE!$G$14,$M28,AY$13))))</f>
        <v>0</v>
      </c>
      <c r="AZ28" s="216">
        <f ca="1">IF($D28&lt;&gt;"Serviço",0,IF(OR(AND(AUTOEVENTO="Manual",$M28=1),$M28&gt;(ROW(PLE.lastrow)-ROW(PLE.firstrow))),0,IF(OFFSET(PLE!$G$14,$M28,AZ$13)="",10^12,OFFSET(PLE!$G$14,$M28,AZ$13))))</f>
        <v>0</v>
      </c>
      <c r="BA28" s="216">
        <f ca="1">IF($D28&lt;&gt;"Serviço",0,IF(OR(AND(AUTOEVENTO="Manual",$M28=1),$M28&gt;(ROW(PLE.lastrow)-ROW(PLE.firstrow))),0,IF(OFFSET(PLE!$G$14,$M28,BA$13)="",10^12,OFFSET(PLE!$G$14,$M28,BA$13))))</f>
        <v>0</v>
      </c>
      <c r="BB28" s="216">
        <f ca="1">IF($D28&lt;&gt;"Serviço",0,IF(OR(AND(AUTOEVENTO="Manual",$M28=1),$M28&gt;(ROW(PLE.lastrow)-ROW(PLE.firstrow))),0,IF(OFFSET(PLE!$G$14,$M28,BB$13)="",10^12,OFFSET(PLE!$G$14,$M28,BB$13))))</f>
        <v>0</v>
      </c>
      <c r="BC28" s="216">
        <f ca="1">IF($D28&lt;&gt;"Serviço",0,IF(OR(AND(AUTOEVENTO="Manual",$M28=1),$M28&gt;(ROW(PLE.lastrow)-ROW(PLE.firstrow))),0,IF(OFFSET(PLE!$G$14,$M28,BC$13)="",10^12,OFFSET(PLE!$G$14,$M28,BC$13))))</f>
        <v>0</v>
      </c>
      <c r="BD28" s="216">
        <f ca="1">IF($D28&lt;&gt;"Serviço",0,IF(OR(AND(AUTOEVENTO="Manual",$M28=1),$M28&gt;(ROW(PLE.lastrow)-ROW(PLE.firstrow))),0,IF(OFFSET(PLE!$G$14,$M28,BD$13)="",10^12,OFFSET(PLE!$G$14,$M28,BD$13))))</f>
        <v>0</v>
      </c>
      <c r="BE28" s="216">
        <f ca="1">IF($D28&lt;&gt;"Serviço",0,IF(OR(AND(AUTOEVENTO="Manual",$M28=1),$M28&gt;(ROW(PLE.lastrow)-ROW(PLE.firstrow))),0,IF(OFFSET(PLE!$G$14,$M28,BE$13)="",10^12,OFFSET(PLE!$G$14,$M28,BE$13))))</f>
        <v>0</v>
      </c>
      <c r="BF28" s="216">
        <f ca="1">IF($D28&lt;&gt;"Serviço",0,IF(OR(AND(AUTOEVENTO="Manual",$M28=1),$M28&gt;(ROW(PLE.lastrow)-ROW(PLE.firstrow))),0,IF(OFFSET(PLE!$G$14,$M28,BF$13)="",10^12,OFFSET(PLE!$G$14,$M28,BF$13))))</f>
        <v>0</v>
      </c>
      <c r="BG28" s="216">
        <f ca="1">IF($D28&lt;&gt;"Serviço",0,IF(OR(AND(AUTOEVENTO="Manual",$M28=1),$M28&gt;(ROW(PLE.lastrow)-ROW(PLE.firstrow))),0,IF(OFFSET(PLE!$G$14,$M28,BG$13)="",10^12,OFFSET(PLE!$G$14,$M28,BG$13))))</f>
        <v>0</v>
      </c>
    </row>
    <row r="29" spans="1:59" ht="51" x14ac:dyDescent="0.2">
      <c r="A29" s="9" t="str">
        <f t="shared" ca="1" si="8"/>
        <v>13</v>
      </c>
      <c r="B29" s="9" t="str">
        <f ca="1">OFFSET(ORÇAMENTO!C$15,ROW(B29)-ROW(B$15),0)</f>
        <v>S</v>
      </c>
      <c r="C29" s="9" t="str">
        <f ca="1">OFFSET(ORÇAMENTO!L$15,ROW(C29)-ROW(C$15),0)</f>
        <v/>
      </c>
      <c r="D29" s="145" t="str">
        <f ca="1">OFFSET(ORÇAMENTO!N$15,ROW(D29)-ROW(D$15),0)</f>
        <v>Serviço</v>
      </c>
      <c r="E29" s="205" t="str">
        <f ca="1">OFFSET(ORÇAMENTO!O$15,ROW(E29)-ROW(E$15),0)</f>
        <v>-</v>
      </c>
      <c r="F29" s="206" t="str">
        <f ca="1">OFFSET(ORÇAMENTO!R$15,ROW(F29)-ROW(F$15),0)</f>
        <v>ESCAVAÇÃO HORIZONTAL, INCLUINDO ESCARIFICAÇÃO, CARGA, DESCARGA E TRANSPORTE EM SOLO DE 2A CATEGORIA COM TRATOR DE ESTEIRAS (125HP/LÂMINA: 2,70M3) E CAMINHÃO BASCULANTE DE 14M3, DMT ATÉ 200M. AF_07/2020</v>
      </c>
      <c r="G29" s="207" t="str">
        <f ca="1">IF($D29&lt;&gt;"Serviço","",OFFSET(ORÇAMENTO!S$15,ROW(G29)-ROW(G$15),0))</f>
        <v>M3</v>
      </c>
      <c r="H29" s="151">
        <f ca="1">IF($D29&lt;&gt;"Serviço",0,IF(ACOMPANHAMENTO="BM",ROUND(OFFSET(ORÇAMENTO!AJ$15,ROW(H29)-ROW(H$15),0),15-13*ORÇAMENTO!$AF$7),SUMPRODUCT(($Q$12:$AA$12&lt;&gt;"")*ROUND($Q29:$AA29,15-13*ORÇAMENTO!$AF$7))))</f>
        <v>350</v>
      </c>
      <c r="I29" s="649"/>
      <c r="K29" s="208"/>
      <c r="L29" s="209" t="s">
        <v>255</v>
      </c>
      <c r="M29" s="210">
        <f ca="1">IF($D29&lt;&gt;"Serviço","",IF(AUTOEVENTO="manual",$A29,IF(ISERROR(MATCH($A29,$A$15:OFFSET($A29,-1,0),0)),MAX($M$15:OFFSET(M29,-1,0))+1,INDEX($M$15:OFFSET(M29,-1,0),MATCH($A29,$A$15:OFFSET($A29,-1,0),0)))))</f>
        <v>4</v>
      </c>
      <c r="N29" s="211" t="str">
        <f ca="1">IF($D29&lt;&gt;"Serviço","",IF(AUTOEVENTO="Manual",IF($A29=0,"&lt;-- defina o número do agrupador",OFFSET(EVENTOS!$D$14,$A29,0)),OFFSET($F$15,$A29,0)))</f>
        <v xml:space="preserve">REGULARIZAÇÃO TERRENO </v>
      </c>
      <c r="O29" s="212"/>
      <c r="Q29" s="212"/>
      <c r="R29" s="213"/>
      <c r="S29" s="213"/>
      <c r="T29" s="213"/>
      <c r="U29" s="213"/>
      <c r="V29" s="213"/>
      <c r="W29" s="213"/>
      <c r="X29" s="213"/>
      <c r="Y29" s="213"/>
      <c r="Z29" s="214"/>
      <c r="AB29" s="630">
        <f ca="1">IF(AND($D29="Serviço",AB$12&lt;&gt;0,$H29&gt;0,OR(AUTOEVENTO&lt;&gt;"manual",$M29&lt;&gt;1)),
IF(Import.TipoArredondamento&lt;&gt;"TransfereGOV",
ROUND(OFFSET($P29,0,AB$13),15-13*ORÇAMENTO!$AF$7)/$H29*OFFSET(ORÇAMENTO!$X$15,ROW(AB29)-ROW(AB$15),0),
ROUND(ROUND(OFFSET($P29,0,AB$13),15-13*ORÇAMENTO!$AF$7)*OFFSET(ORÇAMENTO!$W$15,ROW(AB29)-ROW(AB$15),0),15-13*ORÇAMENTO!$AF$11)),0)</f>
        <v>0</v>
      </c>
      <c r="AC29" s="631">
        <f ca="1">IF(AND($D29="Serviço",AC$12&lt;&gt;0,$H29&gt;0,OR(AUTOEVENTO&lt;&gt;"manual",$M29&lt;&gt;1)),
IF(Import.TipoArredondamento&lt;&gt;"TransfereGOV",
ROUND(OFFSET($P29,0,AC$13),15-13*ORÇAMENTO!$AF$7)/$H29*OFFSET(ORÇAMENTO!$X$15,ROW(AC29)-ROW(AC$15),0),
ROUND(ROUND(OFFSET($P29,0,AC$13),15-13*ORÇAMENTO!$AF$7)*OFFSET(ORÇAMENTO!$W$15,ROW(AC29)-ROW(AC$15),0),15-13*ORÇAMENTO!$AF$11)),0)</f>
        <v>0</v>
      </c>
      <c r="AD29" s="631">
        <f ca="1">IF(AND($D29="Serviço",AD$12&lt;&gt;0,$H29&gt;0,OR(AUTOEVENTO&lt;&gt;"manual",$M29&lt;&gt;1)),
IF(Import.TipoArredondamento&lt;&gt;"TransfereGOV",
ROUND(OFFSET($P29,0,AD$13),15-13*ORÇAMENTO!$AF$7)/$H29*OFFSET(ORÇAMENTO!$X$15,ROW(AD29)-ROW(AD$15),0),
ROUND(ROUND(OFFSET($P29,0,AD$13),15-13*ORÇAMENTO!$AF$7)*OFFSET(ORÇAMENTO!$W$15,ROW(AD29)-ROW(AD$15),0),15-13*ORÇAMENTO!$AF$11)),0)</f>
        <v>0</v>
      </c>
      <c r="AE29" s="631">
        <f ca="1">IF(AND($D29="Serviço",AE$12&lt;&gt;0,$H29&gt;0,OR(AUTOEVENTO&lt;&gt;"manual",$M29&lt;&gt;1)),
IF(Import.TipoArredondamento&lt;&gt;"TransfereGOV",
ROUND(OFFSET($P29,0,AE$13),15-13*ORÇAMENTO!$AF$7)/$H29*OFFSET(ORÇAMENTO!$X$15,ROW(AE29)-ROW(AE$15),0),
ROUND(ROUND(OFFSET($P29,0,AE$13),15-13*ORÇAMENTO!$AF$7)*OFFSET(ORÇAMENTO!$W$15,ROW(AE29)-ROW(AE$15),0),15-13*ORÇAMENTO!$AF$11)),0)</f>
        <v>0</v>
      </c>
      <c r="AF29" s="631">
        <f ca="1">IF(AND($D29="Serviço",AF$12&lt;&gt;0,$H29&gt;0,OR(AUTOEVENTO&lt;&gt;"manual",$M29&lt;&gt;1)),
IF(Import.TipoArredondamento&lt;&gt;"TransfereGOV",
ROUND(OFFSET($P29,0,AF$13),15-13*ORÇAMENTO!$AF$7)/$H29*OFFSET(ORÇAMENTO!$X$15,ROW(AF29)-ROW(AF$15),0),
ROUND(ROUND(OFFSET($P29,0,AF$13),15-13*ORÇAMENTO!$AF$7)*OFFSET(ORÇAMENTO!$W$15,ROW(AF29)-ROW(AF$15),0),15-13*ORÇAMENTO!$AF$11)),0)</f>
        <v>0</v>
      </c>
      <c r="AG29" s="631">
        <f ca="1">IF(AND($D29="Serviço",AG$12&lt;&gt;0,$H29&gt;0,OR(AUTOEVENTO&lt;&gt;"manual",$M29&lt;&gt;1)),
IF(Import.TipoArredondamento&lt;&gt;"TransfereGOV",
ROUND(OFFSET($P29,0,AG$13),15-13*ORÇAMENTO!$AF$7)/$H29*OFFSET(ORÇAMENTO!$X$15,ROW(AG29)-ROW(AG$15),0),
ROUND(ROUND(OFFSET($P29,0,AG$13),15-13*ORÇAMENTO!$AF$7)*OFFSET(ORÇAMENTO!$W$15,ROW(AG29)-ROW(AG$15),0),15-13*ORÇAMENTO!$AF$11)),0)</f>
        <v>0</v>
      </c>
      <c r="AH29" s="631">
        <f ca="1">IF(AND($D29="Serviço",AH$12&lt;&gt;0,$H29&gt;0,OR(AUTOEVENTO&lt;&gt;"manual",$M29&lt;&gt;1)),
IF(Import.TipoArredondamento&lt;&gt;"TransfereGOV",
ROUND(OFFSET($P29,0,AH$13),15-13*ORÇAMENTO!$AF$7)/$H29*OFFSET(ORÇAMENTO!$X$15,ROW(AH29)-ROW(AH$15),0),
ROUND(ROUND(OFFSET($P29,0,AH$13),15-13*ORÇAMENTO!$AF$7)*OFFSET(ORÇAMENTO!$W$15,ROW(AH29)-ROW(AH$15),0),15-13*ORÇAMENTO!$AF$11)),0)</f>
        <v>0</v>
      </c>
      <c r="AI29" s="631">
        <f ca="1">IF(AND($D29="Serviço",AI$12&lt;&gt;0,$H29&gt;0,OR(AUTOEVENTO&lt;&gt;"manual",$M29&lt;&gt;1)),
IF(Import.TipoArredondamento&lt;&gt;"TransfereGOV",
ROUND(OFFSET($P29,0,AI$13),15-13*ORÇAMENTO!$AF$7)/$H29*OFFSET(ORÇAMENTO!$X$15,ROW(AI29)-ROW(AI$15),0),
ROUND(ROUND(OFFSET($P29,0,AI$13),15-13*ORÇAMENTO!$AF$7)*OFFSET(ORÇAMENTO!$W$15,ROW(AI29)-ROW(AI$15),0),15-13*ORÇAMENTO!$AF$11)),0)</f>
        <v>0</v>
      </c>
      <c r="AJ29" s="631">
        <f ca="1">IF(AND($D29="Serviço",AJ$12&lt;&gt;0,$H29&gt;0,OR(AUTOEVENTO&lt;&gt;"manual",$M29&lt;&gt;1)),
IF(Import.TipoArredondamento&lt;&gt;"TransfereGOV",
ROUND(OFFSET($P29,0,AJ$13),15-13*ORÇAMENTO!$AF$7)/$H29*OFFSET(ORÇAMENTO!$X$15,ROW(AJ29)-ROW(AJ$15),0),
ROUND(ROUND(OFFSET($P29,0,AJ$13),15-13*ORÇAMENTO!$AF$7)*OFFSET(ORÇAMENTO!$W$15,ROW(AJ29)-ROW(AJ$15),0),15-13*ORÇAMENTO!$AF$11)),0)</f>
        <v>0</v>
      </c>
      <c r="AK29" s="632">
        <f ca="1">IF(AND($D29="Serviço",AK$12&lt;&gt;0,$H29&gt;0,OR(AUTOEVENTO&lt;&gt;"manual",$M29&lt;&gt;1)),
IF(Import.TipoArredondamento&lt;&gt;"TransfereGOV",
ROUND(OFFSET($P29,0,AK$13),15-13*ORÇAMENTO!$AF$7)/$H29*OFFSET(ORÇAMENTO!$X$15,ROW(AK29)-ROW(AK$15),0),
ROUND(ROUND(OFFSET($P29,0,AK$13),15-13*ORÇAMENTO!$AF$7)*OFFSET(ORÇAMENTO!$W$15,ROW(AK29)-ROW(AK$15),0),15-13*ORÇAMENTO!$AF$11)),0)</f>
        <v>0</v>
      </c>
      <c r="AM29" s="215">
        <f ca="1">IF($D29&lt;&gt;"Serviço",0,IF(AND(AUTOEVENTO="Manual",$M29=1),0,IF(OFFSET(CRONOPLE!$F$14,$M29,AM$13)="",10^12,OFFSET(CRONOPLE!$F$14,$M29,AM$13))))</f>
        <v>1000000000000</v>
      </c>
      <c r="AN29" s="215">
        <f ca="1">IF($D29&lt;&gt;"Serviço",0,IF(AND(AUTOEVENTO="Manual",$M29=1),0,IF(OFFSET(CRONOPLE!$F$14,$M29,AN$13)="",10^12,OFFSET(CRONOPLE!$F$14,$M29,AN$13))))</f>
        <v>1000000000000</v>
      </c>
      <c r="AO29" s="215">
        <f ca="1">IF($D29&lt;&gt;"Serviço",0,IF(AND(AUTOEVENTO="Manual",$M29=1),0,IF(OFFSET(CRONOPLE!$F$14,$M29,AO$13)="",10^12,OFFSET(CRONOPLE!$F$14,$M29,AO$13))))</f>
        <v>1000000000000</v>
      </c>
      <c r="AP29" s="215">
        <f ca="1">IF($D29&lt;&gt;"Serviço",0,IF(AND(AUTOEVENTO="Manual",$M29=1),0,IF(OFFSET(CRONOPLE!$F$14,$M29,AP$13)="",10^12,OFFSET(CRONOPLE!$F$14,$M29,AP$13))))</f>
        <v>1000000000000</v>
      </c>
      <c r="AQ29" s="215">
        <f ca="1">IF($D29&lt;&gt;"Serviço",0,IF(AND(AUTOEVENTO="Manual",$M29=1),0,IF(OFFSET(CRONOPLE!$F$14,$M29,AQ$13)="",10^12,OFFSET(CRONOPLE!$F$14,$M29,AQ$13))))</f>
        <v>1000000000000</v>
      </c>
      <c r="AR29" s="215">
        <f ca="1">IF($D29&lt;&gt;"Serviço",0,IF(AND(AUTOEVENTO="Manual",$M29=1),0,IF(OFFSET(CRONOPLE!$F$14,$M29,AR$13)="",10^12,OFFSET(CRONOPLE!$F$14,$M29,AR$13))))</f>
        <v>1000000000000</v>
      </c>
      <c r="AS29" s="215">
        <f ca="1">IF($D29&lt;&gt;"Serviço",0,IF(AND(AUTOEVENTO="Manual",$M29=1),0,IF(OFFSET(CRONOPLE!$F$14,$M29,AS$13)="",10^12,OFFSET(CRONOPLE!$F$14,$M29,AS$13))))</f>
        <v>1000000000000</v>
      </c>
      <c r="AT29" s="215">
        <f ca="1">IF($D29&lt;&gt;"Serviço",0,IF(AND(AUTOEVENTO="Manual",$M29=1),0,IF(OFFSET(CRONOPLE!$F$14,$M29,AT$13)="",10^12,OFFSET(CRONOPLE!$F$14,$M29,AT$13))))</f>
        <v>1000000000000</v>
      </c>
      <c r="AU29" s="215">
        <f ca="1">IF($D29&lt;&gt;"Serviço",0,IF(AND(AUTOEVENTO="Manual",$M29=1),0,IF(OFFSET(CRONOPLE!$F$14,$M29,AU$13)="",10^12,OFFSET(CRONOPLE!$F$14,$M29,AU$13))))</f>
        <v>1000000000000</v>
      </c>
      <c r="AV29" s="215">
        <f ca="1">IF($D29&lt;&gt;"Serviço",0,IF(AND(AUTOEVENTO="Manual",$M29=1),0,IF(OFFSET(CRONOPLE!$F$14,$M29,AV$13)="",10^12,OFFSET(CRONOPLE!$F$14,$M29,AV$13))))</f>
        <v>1000000000000</v>
      </c>
      <c r="AX29" s="216">
        <f ca="1">IF($D29&lt;&gt;"Serviço",0,IF(OR(AND(AUTOEVENTO="Manual",$M29=1),$M29&gt;(ROW(PLE.lastrow)-ROW(PLE.firstrow))),0,IF(OFFSET(PLE!$G$14,$M29,AX$13)="",10^12,OFFSET(PLE!$G$14,$M29,AX$13))))</f>
        <v>1000000000000</v>
      </c>
      <c r="AY29" s="216">
        <f ca="1">IF($D29&lt;&gt;"Serviço",0,IF(OR(AND(AUTOEVENTO="Manual",$M29=1),$M29&gt;(ROW(PLE.lastrow)-ROW(PLE.firstrow))),0,IF(OFFSET(PLE!$G$14,$M29,AY$13)="",10^12,OFFSET(PLE!$G$14,$M29,AY$13))))</f>
        <v>1000000000000</v>
      </c>
      <c r="AZ29" s="216">
        <f ca="1">IF($D29&lt;&gt;"Serviço",0,IF(OR(AND(AUTOEVENTO="Manual",$M29=1),$M29&gt;(ROW(PLE.lastrow)-ROW(PLE.firstrow))),0,IF(OFFSET(PLE!$G$14,$M29,AZ$13)="",10^12,OFFSET(PLE!$G$14,$M29,AZ$13))))</f>
        <v>1000000000000</v>
      </c>
      <c r="BA29" s="216">
        <f ca="1">IF($D29&lt;&gt;"Serviço",0,IF(OR(AND(AUTOEVENTO="Manual",$M29=1),$M29&gt;(ROW(PLE.lastrow)-ROW(PLE.firstrow))),0,IF(OFFSET(PLE!$G$14,$M29,BA$13)="",10^12,OFFSET(PLE!$G$14,$M29,BA$13))))</f>
        <v>1000000000000</v>
      </c>
      <c r="BB29" s="216">
        <f ca="1">IF($D29&lt;&gt;"Serviço",0,IF(OR(AND(AUTOEVENTO="Manual",$M29=1),$M29&gt;(ROW(PLE.lastrow)-ROW(PLE.firstrow))),0,IF(OFFSET(PLE!$G$14,$M29,BB$13)="",10^12,OFFSET(PLE!$G$14,$M29,BB$13))))</f>
        <v>1000000000000</v>
      </c>
      <c r="BC29" s="216">
        <f ca="1">IF($D29&lt;&gt;"Serviço",0,IF(OR(AND(AUTOEVENTO="Manual",$M29=1),$M29&gt;(ROW(PLE.lastrow)-ROW(PLE.firstrow))),0,IF(OFFSET(PLE!$G$14,$M29,BC$13)="",10^12,OFFSET(PLE!$G$14,$M29,BC$13))))</f>
        <v>1000000000000</v>
      </c>
      <c r="BD29" s="216">
        <f ca="1">IF($D29&lt;&gt;"Serviço",0,IF(OR(AND(AUTOEVENTO="Manual",$M29=1),$M29&gt;(ROW(PLE.lastrow)-ROW(PLE.firstrow))),0,IF(OFFSET(PLE!$G$14,$M29,BD$13)="",10^12,OFFSET(PLE!$G$14,$M29,BD$13))))</f>
        <v>1000000000000</v>
      </c>
      <c r="BE29" s="216">
        <f ca="1">IF($D29&lt;&gt;"Serviço",0,IF(OR(AND(AUTOEVENTO="Manual",$M29=1),$M29&gt;(ROW(PLE.lastrow)-ROW(PLE.firstrow))),0,IF(OFFSET(PLE!$G$14,$M29,BE$13)="",10^12,OFFSET(PLE!$G$14,$M29,BE$13))))</f>
        <v>1000000000000</v>
      </c>
      <c r="BF29" s="216">
        <f ca="1">IF($D29&lt;&gt;"Serviço",0,IF(OR(AND(AUTOEVENTO="Manual",$M29=1),$M29&gt;(ROW(PLE.lastrow)-ROW(PLE.firstrow))),0,IF(OFFSET(PLE!$G$14,$M29,BF$13)="",10^12,OFFSET(PLE!$G$14,$M29,BF$13))))</f>
        <v>1000000000000</v>
      </c>
      <c r="BG29" s="216">
        <f ca="1">IF($D29&lt;&gt;"Serviço",0,IF(OR(AND(AUTOEVENTO="Manual",$M29=1),$M29&gt;(ROW(PLE.lastrow)-ROW(PLE.firstrow))),0,IF(OFFSET(PLE!$G$14,$M29,BG$13)="",10^12,OFFSET(PLE!$G$14,$M29,BG$13))))</f>
        <v>1000000000000</v>
      </c>
    </row>
    <row r="30" spans="1:59" ht="63.75" x14ac:dyDescent="0.2">
      <c r="A30" s="9" t="str">
        <f t="shared" ca="1" si="8"/>
        <v>13</v>
      </c>
      <c r="B30" s="9" t="str">
        <f ca="1">OFFSET(ORÇAMENTO!C$15,ROW(B30)-ROW(B$15),0)</f>
        <v>S</v>
      </c>
      <c r="C30" s="9" t="str">
        <f ca="1">OFFSET(ORÇAMENTO!L$15,ROW(C30)-ROW(C$15),0)</f>
        <v/>
      </c>
      <c r="D30" s="145" t="str">
        <f ca="1">OFFSET(ORÇAMENTO!N$15,ROW(D30)-ROW(D$15),0)</f>
        <v>Serviço</v>
      </c>
      <c r="E30" s="205" t="str">
        <f ca="1">OFFSET(ORÇAMENTO!O$15,ROW(E30)-ROW(E$15),0)</f>
        <v>-</v>
      </c>
      <c r="F30" s="206" t="str">
        <f ca="1">OFFSET(ORÇAMENTO!R$15,ROW(F30)-ROW(F$15),0)</f>
        <v>REATERRO MECANIZADO DE VALA COM ESCAVADEIRA HIDRÁULICA (CAPACIDADE DA CAÇAMBA: 0,8 M³/POTÊNCIA: 111 HP), LARGURA ATÉ 1,5 M, PROFUNDIDADE DE 1,5 A 3,0 M, COM SOLO (SEM SUBSTITUIÇÃO) DE 1ª CATEGORIA, COM COMPACTADOR DE SOLOS DE PERCUSSÃO. AF_08/2023</v>
      </c>
      <c r="G30" s="207" t="str">
        <f ca="1">IF($D30&lt;&gt;"Serviço","",OFFSET(ORÇAMENTO!S$15,ROW(G30)-ROW(G$15),0))</f>
        <v>M3</v>
      </c>
      <c r="H30" s="151">
        <f ca="1">IF($D30&lt;&gt;"Serviço",0,IF(ACOMPANHAMENTO="BM",ROUND(OFFSET(ORÇAMENTO!AJ$15,ROW(H30)-ROW(H$15),0),15-13*ORÇAMENTO!$AF$7),SUMPRODUCT(($Q$12:$AA$12&lt;&gt;"")*ROUND($Q30:$AA30,15-13*ORÇAMENTO!$AF$7))))</f>
        <v>350</v>
      </c>
      <c r="I30" s="649"/>
      <c r="K30" s="208"/>
      <c r="L30" s="209" t="s">
        <v>255</v>
      </c>
      <c r="M30" s="210">
        <f ca="1">IF($D30&lt;&gt;"Serviço","",IF(AUTOEVENTO="manual",$A30,IF(ISERROR(MATCH($A30,$A$15:OFFSET($A30,-1,0),0)),MAX($M$15:OFFSET(M30,-1,0))+1,INDEX($M$15:OFFSET(M30,-1,0),MATCH($A30,$A$15:OFFSET($A30,-1,0),0)))))</f>
        <v>4</v>
      </c>
      <c r="N30" s="211" t="str">
        <f ca="1">IF($D30&lt;&gt;"Serviço","",IF(AUTOEVENTO="Manual",IF($A30=0,"&lt;-- defina o número do agrupador",OFFSET(EVENTOS!$D$14,$A30,0)),OFFSET($F$15,$A30,0)))</f>
        <v xml:space="preserve">REGULARIZAÇÃO TERRENO </v>
      </c>
      <c r="O30" s="212"/>
      <c r="Q30" s="212"/>
      <c r="R30" s="213"/>
      <c r="S30" s="213"/>
      <c r="T30" s="213"/>
      <c r="U30" s="213"/>
      <c r="V30" s="213"/>
      <c r="W30" s="213"/>
      <c r="X30" s="213"/>
      <c r="Y30" s="213"/>
      <c r="Z30" s="214"/>
      <c r="AB30" s="630">
        <f ca="1">IF(AND($D30="Serviço",AB$12&lt;&gt;0,$H30&gt;0,OR(AUTOEVENTO&lt;&gt;"manual",$M30&lt;&gt;1)),
IF(Import.TipoArredondamento&lt;&gt;"TransfereGOV",
ROUND(OFFSET($P30,0,AB$13),15-13*ORÇAMENTO!$AF$7)/$H30*OFFSET(ORÇAMENTO!$X$15,ROW(AB30)-ROW(AB$15),0),
ROUND(ROUND(OFFSET($P30,0,AB$13),15-13*ORÇAMENTO!$AF$7)*OFFSET(ORÇAMENTO!$W$15,ROW(AB30)-ROW(AB$15),0),15-13*ORÇAMENTO!$AF$11)),0)</f>
        <v>0</v>
      </c>
      <c r="AC30" s="631">
        <f ca="1">IF(AND($D30="Serviço",AC$12&lt;&gt;0,$H30&gt;0,OR(AUTOEVENTO&lt;&gt;"manual",$M30&lt;&gt;1)),
IF(Import.TipoArredondamento&lt;&gt;"TransfereGOV",
ROUND(OFFSET($P30,0,AC$13),15-13*ORÇAMENTO!$AF$7)/$H30*OFFSET(ORÇAMENTO!$X$15,ROW(AC30)-ROW(AC$15),0),
ROUND(ROUND(OFFSET($P30,0,AC$13),15-13*ORÇAMENTO!$AF$7)*OFFSET(ORÇAMENTO!$W$15,ROW(AC30)-ROW(AC$15),0),15-13*ORÇAMENTO!$AF$11)),0)</f>
        <v>0</v>
      </c>
      <c r="AD30" s="631">
        <f ca="1">IF(AND($D30="Serviço",AD$12&lt;&gt;0,$H30&gt;0,OR(AUTOEVENTO&lt;&gt;"manual",$M30&lt;&gt;1)),
IF(Import.TipoArredondamento&lt;&gt;"TransfereGOV",
ROUND(OFFSET($P30,0,AD$13),15-13*ORÇAMENTO!$AF$7)/$H30*OFFSET(ORÇAMENTO!$X$15,ROW(AD30)-ROW(AD$15),0),
ROUND(ROUND(OFFSET($P30,0,AD$13),15-13*ORÇAMENTO!$AF$7)*OFFSET(ORÇAMENTO!$W$15,ROW(AD30)-ROW(AD$15),0),15-13*ORÇAMENTO!$AF$11)),0)</f>
        <v>0</v>
      </c>
      <c r="AE30" s="631">
        <f ca="1">IF(AND($D30="Serviço",AE$12&lt;&gt;0,$H30&gt;0,OR(AUTOEVENTO&lt;&gt;"manual",$M30&lt;&gt;1)),
IF(Import.TipoArredondamento&lt;&gt;"TransfereGOV",
ROUND(OFFSET($P30,0,AE$13),15-13*ORÇAMENTO!$AF$7)/$H30*OFFSET(ORÇAMENTO!$X$15,ROW(AE30)-ROW(AE$15),0),
ROUND(ROUND(OFFSET($P30,0,AE$13),15-13*ORÇAMENTO!$AF$7)*OFFSET(ORÇAMENTO!$W$15,ROW(AE30)-ROW(AE$15),0),15-13*ORÇAMENTO!$AF$11)),0)</f>
        <v>0</v>
      </c>
      <c r="AF30" s="631">
        <f ca="1">IF(AND($D30="Serviço",AF$12&lt;&gt;0,$H30&gt;0,OR(AUTOEVENTO&lt;&gt;"manual",$M30&lt;&gt;1)),
IF(Import.TipoArredondamento&lt;&gt;"TransfereGOV",
ROUND(OFFSET($P30,0,AF$13),15-13*ORÇAMENTO!$AF$7)/$H30*OFFSET(ORÇAMENTO!$X$15,ROW(AF30)-ROW(AF$15),0),
ROUND(ROUND(OFFSET($P30,0,AF$13),15-13*ORÇAMENTO!$AF$7)*OFFSET(ORÇAMENTO!$W$15,ROW(AF30)-ROW(AF$15),0),15-13*ORÇAMENTO!$AF$11)),0)</f>
        <v>0</v>
      </c>
      <c r="AG30" s="631">
        <f ca="1">IF(AND($D30="Serviço",AG$12&lt;&gt;0,$H30&gt;0,OR(AUTOEVENTO&lt;&gt;"manual",$M30&lt;&gt;1)),
IF(Import.TipoArredondamento&lt;&gt;"TransfereGOV",
ROUND(OFFSET($P30,0,AG$13),15-13*ORÇAMENTO!$AF$7)/$H30*OFFSET(ORÇAMENTO!$X$15,ROW(AG30)-ROW(AG$15),0),
ROUND(ROUND(OFFSET($P30,0,AG$13),15-13*ORÇAMENTO!$AF$7)*OFFSET(ORÇAMENTO!$W$15,ROW(AG30)-ROW(AG$15),0),15-13*ORÇAMENTO!$AF$11)),0)</f>
        <v>0</v>
      </c>
      <c r="AH30" s="631">
        <f ca="1">IF(AND($D30="Serviço",AH$12&lt;&gt;0,$H30&gt;0,OR(AUTOEVENTO&lt;&gt;"manual",$M30&lt;&gt;1)),
IF(Import.TipoArredondamento&lt;&gt;"TransfereGOV",
ROUND(OFFSET($P30,0,AH$13),15-13*ORÇAMENTO!$AF$7)/$H30*OFFSET(ORÇAMENTO!$X$15,ROW(AH30)-ROW(AH$15),0),
ROUND(ROUND(OFFSET($P30,0,AH$13),15-13*ORÇAMENTO!$AF$7)*OFFSET(ORÇAMENTO!$W$15,ROW(AH30)-ROW(AH$15),0),15-13*ORÇAMENTO!$AF$11)),0)</f>
        <v>0</v>
      </c>
      <c r="AI30" s="631">
        <f ca="1">IF(AND($D30="Serviço",AI$12&lt;&gt;0,$H30&gt;0,OR(AUTOEVENTO&lt;&gt;"manual",$M30&lt;&gt;1)),
IF(Import.TipoArredondamento&lt;&gt;"TransfereGOV",
ROUND(OFFSET($P30,0,AI$13),15-13*ORÇAMENTO!$AF$7)/$H30*OFFSET(ORÇAMENTO!$X$15,ROW(AI30)-ROW(AI$15),0),
ROUND(ROUND(OFFSET($P30,0,AI$13),15-13*ORÇAMENTO!$AF$7)*OFFSET(ORÇAMENTO!$W$15,ROW(AI30)-ROW(AI$15),0),15-13*ORÇAMENTO!$AF$11)),0)</f>
        <v>0</v>
      </c>
      <c r="AJ30" s="631">
        <f ca="1">IF(AND($D30="Serviço",AJ$12&lt;&gt;0,$H30&gt;0,OR(AUTOEVENTO&lt;&gt;"manual",$M30&lt;&gt;1)),
IF(Import.TipoArredondamento&lt;&gt;"TransfereGOV",
ROUND(OFFSET($P30,0,AJ$13),15-13*ORÇAMENTO!$AF$7)/$H30*OFFSET(ORÇAMENTO!$X$15,ROW(AJ30)-ROW(AJ$15),0),
ROUND(ROUND(OFFSET($P30,0,AJ$13),15-13*ORÇAMENTO!$AF$7)*OFFSET(ORÇAMENTO!$W$15,ROW(AJ30)-ROW(AJ$15),0),15-13*ORÇAMENTO!$AF$11)),0)</f>
        <v>0</v>
      </c>
      <c r="AK30" s="632">
        <f ca="1">IF(AND($D30="Serviço",AK$12&lt;&gt;0,$H30&gt;0,OR(AUTOEVENTO&lt;&gt;"manual",$M30&lt;&gt;1)),
IF(Import.TipoArredondamento&lt;&gt;"TransfereGOV",
ROUND(OFFSET($P30,0,AK$13),15-13*ORÇAMENTO!$AF$7)/$H30*OFFSET(ORÇAMENTO!$X$15,ROW(AK30)-ROW(AK$15),0),
ROUND(ROUND(OFFSET($P30,0,AK$13),15-13*ORÇAMENTO!$AF$7)*OFFSET(ORÇAMENTO!$W$15,ROW(AK30)-ROW(AK$15),0),15-13*ORÇAMENTO!$AF$11)),0)</f>
        <v>0</v>
      </c>
      <c r="AM30" s="215">
        <f ca="1">IF($D30&lt;&gt;"Serviço",0,IF(AND(AUTOEVENTO="Manual",$M30=1),0,IF(OFFSET(CRONOPLE!$F$14,$M30,AM$13)="",10^12,OFFSET(CRONOPLE!$F$14,$M30,AM$13))))</f>
        <v>1000000000000</v>
      </c>
      <c r="AN30" s="215">
        <f ca="1">IF($D30&lt;&gt;"Serviço",0,IF(AND(AUTOEVENTO="Manual",$M30=1),0,IF(OFFSET(CRONOPLE!$F$14,$M30,AN$13)="",10^12,OFFSET(CRONOPLE!$F$14,$M30,AN$13))))</f>
        <v>1000000000000</v>
      </c>
      <c r="AO30" s="215">
        <f ca="1">IF($D30&lt;&gt;"Serviço",0,IF(AND(AUTOEVENTO="Manual",$M30=1),0,IF(OFFSET(CRONOPLE!$F$14,$M30,AO$13)="",10^12,OFFSET(CRONOPLE!$F$14,$M30,AO$13))))</f>
        <v>1000000000000</v>
      </c>
      <c r="AP30" s="215">
        <f ca="1">IF($D30&lt;&gt;"Serviço",0,IF(AND(AUTOEVENTO="Manual",$M30=1),0,IF(OFFSET(CRONOPLE!$F$14,$M30,AP$13)="",10^12,OFFSET(CRONOPLE!$F$14,$M30,AP$13))))</f>
        <v>1000000000000</v>
      </c>
      <c r="AQ30" s="215">
        <f ca="1">IF($D30&lt;&gt;"Serviço",0,IF(AND(AUTOEVENTO="Manual",$M30=1),0,IF(OFFSET(CRONOPLE!$F$14,$M30,AQ$13)="",10^12,OFFSET(CRONOPLE!$F$14,$M30,AQ$13))))</f>
        <v>1000000000000</v>
      </c>
      <c r="AR30" s="215">
        <f ca="1">IF($D30&lt;&gt;"Serviço",0,IF(AND(AUTOEVENTO="Manual",$M30=1),0,IF(OFFSET(CRONOPLE!$F$14,$M30,AR$13)="",10^12,OFFSET(CRONOPLE!$F$14,$M30,AR$13))))</f>
        <v>1000000000000</v>
      </c>
      <c r="AS30" s="215">
        <f ca="1">IF($D30&lt;&gt;"Serviço",0,IF(AND(AUTOEVENTO="Manual",$M30=1),0,IF(OFFSET(CRONOPLE!$F$14,$M30,AS$13)="",10^12,OFFSET(CRONOPLE!$F$14,$M30,AS$13))))</f>
        <v>1000000000000</v>
      </c>
      <c r="AT30" s="215">
        <f ca="1">IF($D30&lt;&gt;"Serviço",0,IF(AND(AUTOEVENTO="Manual",$M30=1),0,IF(OFFSET(CRONOPLE!$F$14,$M30,AT$13)="",10^12,OFFSET(CRONOPLE!$F$14,$M30,AT$13))))</f>
        <v>1000000000000</v>
      </c>
      <c r="AU30" s="215">
        <f ca="1">IF($D30&lt;&gt;"Serviço",0,IF(AND(AUTOEVENTO="Manual",$M30=1),0,IF(OFFSET(CRONOPLE!$F$14,$M30,AU$13)="",10^12,OFFSET(CRONOPLE!$F$14,$M30,AU$13))))</f>
        <v>1000000000000</v>
      </c>
      <c r="AV30" s="215">
        <f ca="1">IF($D30&lt;&gt;"Serviço",0,IF(AND(AUTOEVENTO="Manual",$M30=1),0,IF(OFFSET(CRONOPLE!$F$14,$M30,AV$13)="",10^12,OFFSET(CRONOPLE!$F$14,$M30,AV$13))))</f>
        <v>1000000000000</v>
      </c>
      <c r="AX30" s="216">
        <f ca="1">IF($D30&lt;&gt;"Serviço",0,IF(OR(AND(AUTOEVENTO="Manual",$M30=1),$M30&gt;(ROW(PLE.lastrow)-ROW(PLE.firstrow))),0,IF(OFFSET(PLE!$G$14,$M30,AX$13)="",10^12,OFFSET(PLE!$G$14,$M30,AX$13))))</f>
        <v>1000000000000</v>
      </c>
      <c r="AY30" s="216">
        <f ca="1">IF($D30&lt;&gt;"Serviço",0,IF(OR(AND(AUTOEVENTO="Manual",$M30=1),$M30&gt;(ROW(PLE.lastrow)-ROW(PLE.firstrow))),0,IF(OFFSET(PLE!$G$14,$M30,AY$13)="",10^12,OFFSET(PLE!$G$14,$M30,AY$13))))</f>
        <v>1000000000000</v>
      </c>
      <c r="AZ30" s="216">
        <f ca="1">IF($D30&lt;&gt;"Serviço",0,IF(OR(AND(AUTOEVENTO="Manual",$M30=1),$M30&gt;(ROW(PLE.lastrow)-ROW(PLE.firstrow))),0,IF(OFFSET(PLE!$G$14,$M30,AZ$13)="",10^12,OFFSET(PLE!$G$14,$M30,AZ$13))))</f>
        <v>1000000000000</v>
      </c>
      <c r="BA30" s="216">
        <f ca="1">IF($D30&lt;&gt;"Serviço",0,IF(OR(AND(AUTOEVENTO="Manual",$M30=1),$M30&gt;(ROW(PLE.lastrow)-ROW(PLE.firstrow))),0,IF(OFFSET(PLE!$G$14,$M30,BA$13)="",10^12,OFFSET(PLE!$G$14,$M30,BA$13))))</f>
        <v>1000000000000</v>
      </c>
      <c r="BB30" s="216">
        <f ca="1">IF($D30&lt;&gt;"Serviço",0,IF(OR(AND(AUTOEVENTO="Manual",$M30=1),$M30&gt;(ROW(PLE.lastrow)-ROW(PLE.firstrow))),0,IF(OFFSET(PLE!$G$14,$M30,BB$13)="",10^12,OFFSET(PLE!$G$14,$M30,BB$13))))</f>
        <v>1000000000000</v>
      </c>
      <c r="BC30" s="216">
        <f ca="1">IF($D30&lt;&gt;"Serviço",0,IF(OR(AND(AUTOEVENTO="Manual",$M30=1),$M30&gt;(ROW(PLE.lastrow)-ROW(PLE.firstrow))),0,IF(OFFSET(PLE!$G$14,$M30,BC$13)="",10^12,OFFSET(PLE!$G$14,$M30,BC$13))))</f>
        <v>1000000000000</v>
      </c>
      <c r="BD30" s="216">
        <f ca="1">IF($D30&lt;&gt;"Serviço",0,IF(OR(AND(AUTOEVENTO="Manual",$M30=1),$M30&gt;(ROW(PLE.lastrow)-ROW(PLE.firstrow))),0,IF(OFFSET(PLE!$G$14,$M30,BD$13)="",10^12,OFFSET(PLE!$G$14,$M30,BD$13))))</f>
        <v>1000000000000</v>
      </c>
      <c r="BE30" s="216">
        <f ca="1">IF($D30&lt;&gt;"Serviço",0,IF(OR(AND(AUTOEVENTO="Manual",$M30=1),$M30&gt;(ROW(PLE.lastrow)-ROW(PLE.firstrow))),0,IF(OFFSET(PLE!$G$14,$M30,BE$13)="",10^12,OFFSET(PLE!$G$14,$M30,BE$13))))</f>
        <v>1000000000000</v>
      </c>
      <c r="BF30" s="216">
        <f ca="1">IF($D30&lt;&gt;"Serviço",0,IF(OR(AND(AUTOEVENTO="Manual",$M30=1),$M30&gt;(ROW(PLE.lastrow)-ROW(PLE.firstrow))),0,IF(OFFSET(PLE!$G$14,$M30,BF$13)="",10^12,OFFSET(PLE!$G$14,$M30,BF$13))))</f>
        <v>1000000000000</v>
      </c>
      <c r="BG30" s="216">
        <f ca="1">IF($D30&lt;&gt;"Serviço",0,IF(OR(AND(AUTOEVENTO="Manual",$M30=1),$M30&gt;(ROW(PLE.lastrow)-ROW(PLE.firstrow))),0,IF(OFFSET(PLE!$G$14,$M30,BG$13)="",10^12,OFFSET(PLE!$G$14,$M30,BG$13))))</f>
        <v>1000000000000</v>
      </c>
    </row>
    <row r="31" spans="1:59" ht="12.75" x14ac:dyDescent="0.2">
      <c r="A31" s="9" t="str">
        <f t="shared" ca="1" si="8"/>
        <v>16.</v>
      </c>
      <c r="B31" s="9">
        <f ca="1">OFFSET(ORÇAMENTO!C$15,ROW(B31)-ROW(B$15),0)</f>
        <v>2</v>
      </c>
      <c r="C31" s="9" t="str">
        <f ca="1">OFFSET(ORÇAMENTO!L$15,ROW(C31)-ROW(C$15),0)</f>
        <v>F</v>
      </c>
      <c r="D31" s="145" t="str">
        <f ca="1">OFFSET(ORÇAMENTO!N$15,ROW(D31)-ROW(D$15),0)</f>
        <v>Nível 2</v>
      </c>
      <c r="E31" s="205" t="str">
        <f ca="1">OFFSET(ORÇAMENTO!O$15,ROW(E31)-ROW(E$15),0)</f>
        <v>1.4.</v>
      </c>
      <c r="F31" s="206" t="str">
        <f ca="1">OFFSET(ORÇAMENTO!R$15,ROW(F31)-ROW(F$15),0)</f>
        <v>FUNDAÇÃO (estaca e blocos)</v>
      </c>
      <c r="G31" s="207" t="str">
        <f ca="1">IF($D31&lt;&gt;"Serviço","",OFFSET(ORÇAMENTO!S$15,ROW(G31)-ROW(G$15),0))</f>
        <v/>
      </c>
      <c r="H31" s="151">
        <f ca="1">IF($D31&lt;&gt;"Serviço",0,IF(ACOMPANHAMENTO="BM",ROUND(OFFSET(ORÇAMENTO!AJ$15,ROW(H31)-ROW(H$15),0),15-13*ORÇAMENTO!$AF$7),SUMPRODUCT(($Q$12:$AA$12&lt;&gt;"")*ROUND($Q31:$AA31,15-13*ORÇAMENTO!$AF$7))))</f>
        <v>0</v>
      </c>
      <c r="I31" s="649"/>
      <c r="K31" s="208"/>
      <c r="L31" s="209" t="s">
        <v>255</v>
      </c>
      <c r="M31" s="210" t="str">
        <f ca="1">IF($D31&lt;&gt;"Serviço","",IF(AUTOEVENTO="manual",$A31,IF(ISERROR(MATCH($A31,$A$15:OFFSET($A31,-1,0),0)),MAX($M$15:OFFSET(M31,-1,0))+1,INDEX($M$15:OFFSET(M31,-1,0),MATCH($A31,$A$15:OFFSET($A31,-1,0),0)))))</f>
        <v/>
      </c>
      <c r="N31" s="211" t="str">
        <f ca="1">IF($D31&lt;&gt;"Serviço","",IF(AUTOEVENTO="Manual",IF($A31=0,"&lt;-- defina o número do agrupador",OFFSET(EVENTOS!$D$14,$A31,0)),OFFSET($F$15,$A31,0)))</f>
        <v/>
      </c>
      <c r="O31" s="212"/>
      <c r="Q31" s="212"/>
      <c r="R31" s="213"/>
      <c r="S31" s="213"/>
      <c r="T31" s="213"/>
      <c r="U31" s="213"/>
      <c r="V31" s="213"/>
      <c r="W31" s="213"/>
      <c r="X31" s="213"/>
      <c r="Y31" s="213"/>
      <c r="Z31" s="214"/>
      <c r="AB31" s="630">
        <f ca="1">IF(AND($D31="Serviço",AB$12&lt;&gt;0,$H31&gt;0,OR(AUTOEVENTO&lt;&gt;"manual",$M31&lt;&gt;1)),
IF(Import.TipoArredondamento&lt;&gt;"TransfereGOV",
ROUND(OFFSET($P31,0,AB$13),15-13*ORÇAMENTO!$AF$7)/$H31*OFFSET(ORÇAMENTO!$X$15,ROW(AB31)-ROW(AB$15),0),
ROUND(ROUND(OFFSET($P31,0,AB$13),15-13*ORÇAMENTO!$AF$7)*OFFSET(ORÇAMENTO!$W$15,ROW(AB31)-ROW(AB$15),0),15-13*ORÇAMENTO!$AF$11)),0)</f>
        <v>0</v>
      </c>
      <c r="AC31" s="631">
        <f ca="1">IF(AND($D31="Serviço",AC$12&lt;&gt;0,$H31&gt;0,OR(AUTOEVENTO&lt;&gt;"manual",$M31&lt;&gt;1)),
IF(Import.TipoArredondamento&lt;&gt;"TransfereGOV",
ROUND(OFFSET($P31,0,AC$13),15-13*ORÇAMENTO!$AF$7)/$H31*OFFSET(ORÇAMENTO!$X$15,ROW(AC31)-ROW(AC$15),0),
ROUND(ROUND(OFFSET($P31,0,AC$13),15-13*ORÇAMENTO!$AF$7)*OFFSET(ORÇAMENTO!$W$15,ROW(AC31)-ROW(AC$15),0),15-13*ORÇAMENTO!$AF$11)),0)</f>
        <v>0</v>
      </c>
      <c r="AD31" s="631">
        <f ca="1">IF(AND($D31="Serviço",AD$12&lt;&gt;0,$H31&gt;0,OR(AUTOEVENTO&lt;&gt;"manual",$M31&lt;&gt;1)),
IF(Import.TipoArredondamento&lt;&gt;"TransfereGOV",
ROUND(OFFSET($P31,0,AD$13),15-13*ORÇAMENTO!$AF$7)/$H31*OFFSET(ORÇAMENTO!$X$15,ROW(AD31)-ROW(AD$15),0),
ROUND(ROUND(OFFSET($P31,0,AD$13),15-13*ORÇAMENTO!$AF$7)*OFFSET(ORÇAMENTO!$W$15,ROW(AD31)-ROW(AD$15),0),15-13*ORÇAMENTO!$AF$11)),0)</f>
        <v>0</v>
      </c>
      <c r="AE31" s="631">
        <f ca="1">IF(AND($D31="Serviço",AE$12&lt;&gt;0,$H31&gt;0,OR(AUTOEVENTO&lt;&gt;"manual",$M31&lt;&gt;1)),
IF(Import.TipoArredondamento&lt;&gt;"TransfereGOV",
ROUND(OFFSET($P31,0,AE$13),15-13*ORÇAMENTO!$AF$7)/$H31*OFFSET(ORÇAMENTO!$X$15,ROW(AE31)-ROW(AE$15),0),
ROUND(ROUND(OFFSET($P31,0,AE$13),15-13*ORÇAMENTO!$AF$7)*OFFSET(ORÇAMENTO!$W$15,ROW(AE31)-ROW(AE$15),0),15-13*ORÇAMENTO!$AF$11)),0)</f>
        <v>0</v>
      </c>
      <c r="AF31" s="631">
        <f ca="1">IF(AND($D31="Serviço",AF$12&lt;&gt;0,$H31&gt;0,OR(AUTOEVENTO&lt;&gt;"manual",$M31&lt;&gt;1)),
IF(Import.TipoArredondamento&lt;&gt;"TransfereGOV",
ROUND(OFFSET($P31,0,AF$13),15-13*ORÇAMENTO!$AF$7)/$H31*OFFSET(ORÇAMENTO!$X$15,ROW(AF31)-ROW(AF$15),0),
ROUND(ROUND(OFFSET($P31,0,AF$13),15-13*ORÇAMENTO!$AF$7)*OFFSET(ORÇAMENTO!$W$15,ROW(AF31)-ROW(AF$15),0),15-13*ORÇAMENTO!$AF$11)),0)</f>
        <v>0</v>
      </c>
      <c r="AG31" s="631">
        <f ca="1">IF(AND($D31="Serviço",AG$12&lt;&gt;0,$H31&gt;0,OR(AUTOEVENTO&lt;&gt;"manual",$M31&lt;&gt;1)),
IF(Import.TipoArredondamento&lt;&gt;"TransfereGOV",
ROUND(OFFSET($P31,0,AG$13),15-13*ORÇAMENTO!$AF$7)/$H31*OFFSET(ORÇAMENTO!$X$15,ROW(AG31)-ROW(AG$15),0),
ROUND(ROUND(OFFSET($P31,0,AG$13),15-13*ORÇAMENTO!$AF$7)*OFFSET(ORÇAMENTO!$W$15,ROW(AG31)-ROW(AG$15),0),15-13*ORÇAMENTO!$AF$11)),0)</f>
        <v>0</v>
      </c>
      <c r="AH31" s="631">
        <f ca="1">IF(AND($D31="Serviço",AH$12&lt;&gt;0,$H31&gt;0,OR(AUTOEVENTO&lt;&gt;"manual",$M31&lt;&gt;1)),
IF(Import.TipoArredondamento&lt;&gt;"TransfereGOV",
ROUND(OFFSET($P31,0,AH$13),15-13*ORÇAMENTO!$AF$7)/$H31*OFFSET(ORÇAMENTO!$X$15,ROW(AH31)-ROW(AH$15),0),
ROUND(ROUND(OFFSET($P31,0,AH$13),15-13*ORÇAMENTO!$AF$7)*OFFSET(ORÇAMENTO!$W$15,ROW(AH31)-ROW(AH$15),0),15-13*ORÇAMENTO!$AF$11)),0)</f>
        <v>0</v>
      </c>
      <c r="AI31" s="631">
        <f ca="1">IF(AND($D31="Serviço",AI$12&lt;&gt;0,$H31&gt;0,OR(AUTOEVENTO&lt;&gt;"manual",$M31&lt;&gt;1)),
IF(Import.TipoArredondamento&lt;&gt;"TransfereGOV",
ROUND(OFFSET($P31,0,AI$13),15-13*ORÇAMENTO!$AF$7)/$H31*OFFSET(ORÇAMENTO!$X$15,ROW(AI31)-ROW(AI$15),0),
ROUND(ROUND(OFFSET($P31,0,AI$13),15-13*ORÇAMENTO!$AF$7)*OFFSET(ORÇAMENTO!$W$15,ROW(AI31)-ROW(AI$15),0),15-13*ORÇAMENTO!$AF$11)),0)</f>
        <v>0</v>
      </c>
      <c r="AJ31" s="631">
        <f ca="1">IF(AND($D31="Serviço",AJ$12&lt;&gt;0,$H31&gt;0,OR(AUTOEVENTO&lt;&gt;"manual",$M31&lt;&gt;1)),
IF(Import.TipoArredondamento&lt;&gt;"TransfereGOV",
ROUND(OFFSET($P31,0,AJ$13),15-13*ORÇAMENTO!$AF$7)/$H31*OFFSET(ORÇAMENTO!$X$15,ROW(AJ31)-ROW(AJ$15),0),
ROUND(ROUND(OFFSET($P31,0,AJ$13),15-13*ORÇAMENTO!$AF$7)*OFFSET(ORÇAMENTO!$W$15,ROW(AJ31)-ROW(AJ$15),0),15-13*ORÇAMENTO!$AF$11)),0)</f>
        <v>0</v>
      </c>
      <c r="AK31" s="632">
        <f ca="1">IF(AND($D31="Serviço",AK$12&lt;&gt;0,$H31&gt;0,OR(AUTOEVENTO&lt;&gt;"manual",$M31&lt;&gt;1)),
IF(Import.TipoArredondamento&lt;&gt;"TransfereGOV",
ROUND(OFFSET($P31,0,AK$13),15-13*ORÇAMENTO!$AF$7)/$H31*OFFSET(ORÇAMENTO!$X$15,ROW(AK31)-ROW(AK$15),0),
ROUND(ROUND(OFFSET($P31,0,AK$13),15-13*ORÇAMENTO!$AF$7)*OFFSET(ORÇAMENTO!$W$15,ROW(AK31)-ROW(AK$15),0),15-13*ORÇAMENTO!$AF$11)),0)</f>
        <v>0</v>
      </c>
      <c r="AM31" s="215">
        <f ca="1">IF($D31&lt;&gt;"Serviço",0,IF(AND(AUTOEVENTO="Manual",$M31=1),0,IF(OFFSET(CRONOPLE!$F$14,$M31,AM$13)="",10^12,OFFSET(CRONOPLE!$F$14,$M31,AM$13))))</f>
        <v>0</v>
      </c>
      <c r="AN31" s="215">
        <f ca="1">IF($D31&lt;&gt;"Serviço",0,IF(AND(AUTOEVENTO="Manual",$M31=1),0,IF(OFFSET(CRONOPLE!$F$14,$M31,AN$13)="",10^12,OFFSET(CRONOPLE!$F$14,$M31,AN$13))))</f>
        <v>0</v>
      </c>
      <c r="AO31" s="215">
        <f ca="1">IF($D31&lt;&gt;"Serviço",0,IF(AND(AUTOEVENTO="Manual",$M31=1),0,IF(OFFSET(CRONOPLE!$F$14,$M31,AO$13)="",10^12,OFFSET(CRONOPLE!$F$14,$M31,AO$13))))</f>
        <v>0</v>
      </c>
      <c r="AP31" s="215">
        <f ca="1">IF($D31&lt;&gt;"Serviço",0,IF(AND(AUTOEVENTO="Manual",$M31=1),0,IF(OFFSET(CRONOPLE!$F$14,$M31,AP$13)="",10^12,OFFSET(CRONOPLE!$F$14,$M31,AP$13))))</f>
        <v>0</v>
      </c>
      <c r="AQ31" s="215">
        <f ca="1">IF($D31&lt;&gt;"Serviço",0,IF(AND(AUTOEVENTO="Manual",$M31=1),0,IF(OFFSET(CRONOPLE!$F$14,$M31,AQ$13)="",10^12,OFFSET(CRONOPLE!$F$14,$M31,AQ$13))))</f>
        <v>0</v>
      </c>
      <c r="AR31" s="215">
        <f ca="1">IF($D31&lt;&gt;"Serviço",0,IF(AND(AUTOEVENTO="Manual",$M31=1),0,IF(OFFSET(CRONOPLE!$F$14,$M31,AR$13)="",10^12,OFFSET(CRONOPLE!$F$14,$M31,AR$13))))</f>
        <v>0</v>
      </c>
      <c r="AS31" s="215">
        <f ca="1">IF($D31&lt;&gt;"Serviço",0,IF(AND(AUTOEVENTO="Manual",$M31=1),0,IF(OFFSET(CRONOPLE!$F$14,$M31,AS$13)="",10^12,OFFSET(CRONOPLE!$F$14,$M31,AS$13))))</f>
        <v>0</v>
      </c>
      <c r="AT31" s="215">
        <f ca="1">IF($D31&lt;&gt;"Serviço",0,IF(AND(AUTOEVENTO="Manual",$M31=1),0,IF(OFFSET(CRONOPLE!$F$14,$M31,AT$13)="",10^12,OFFSET(CRONOPLE!$F$14,$M31,AT$13))))</f>
        <v>0</v>
      </c>
      <c r="AU31" s="215">
        <f ca="1">IF($D31&lt;&gt;"Serviço",0,IF(AND(AUTOEVENTO="Manual",$M31=1),0,IF(OFFSET(CRONOPLE!$F$14,$M31,AU$13)="",10^12,OFFSET(CRONOPLE!$F$14,$M31,AU$13))))</f>
        <v>0</v>
      </c>
      <c r="AV31" s="215">
        <f ca="1">IF($D31&lt;&gt;"Serviço",0,IF(AND(AUTOEVENTO="Manual",$M31=1),0,IF(OFFSET(CRONOPLE!$F$14,$M31,AV$13)="",10^12,OFFSET(CRONOPLE!$F$14,$M31,AV$13))))</f>
        <v>0</v>
      </c>
      <c r="AX31" s="216">
        <f ca="1">IF($D31&lt;&gt;"Serviço",0,IF(OR(AND(AUTOEVENTO="Manual",$M31=1),$M31&gt;(ROW(PLE.lastrow)-ROW(PLE.firstrow))),0,IF(OFFSET(PLE!$G$14,$M31,AX$13)="",10^12,OFFSET(PLE!$G$14,$M31,AX$13))))</f>
        <v>0</v>
      </c>
      <c r="AY31" s="216">
        <f ca="1">IF($D31&lt;&gt;"Serviço",0,IF(OR(AND(AUTOEVENTO="Manual",$M31=1),$M31&gt;(ROW(PLE.lastrow)-ROW(PLE.firstrow))),0,IF(OFFSET(PLE!$G$14,$M31,AY$13)="",10^12,OFFSET(PLE!$G$14,$M31,AY$13))))</f>
        <v>0</v>
      </c>
      <c r="AZ31" s="216">
        <f ca="1">IF($D31&lt;&gt;"Serviço",0,IF(OR(AND(AUTOEVENTO="Manual",$M31=1),$M31&gt;(ROW(PLE.lastrow)-ROW(PLE.firstrow))),0,IF(OFFSET(PLE!$G$14,$M31,AZ$13)="",10^12,OFFSET(PLE!$G$14,$M31,AZ$13))))</f>
        <v>0</v>
      </c>
      <c r="BA31" s="216">
        <f ca="1">IF($D31&lt;&gt;"Serviço",0,IF(OR(AND(AUTOEVENTO="Manual",$M31=1),$M31&gt;(ROW(PLE.lastrow)-ROW(PLE.firstrow))),0,IF(OFFSET(PLE!$G$14,$M31,BA$13)="",10^12,OFFSET(PLE!$G$14,$M31,BA$13))))</f>
        <v>0</v>
      </c>
      <c r="BB31" s="216">
        <f ca="1">IF($D31&lt;&gt;"Serviço",0,IF(OR(AND(AUTOEVENTO="Manual",$M31=1),$M31&gt;(ROW(PLE.lastrow)-ROW(PLE.firstrow))),0,IF(OFFSET(PLE!$G$14,$M31,BB$13)="",10^12,OFFSET(PLE!$G$14,$M31,BB$13))))</f>
        <v>0</v>
      </c>
      <c r="BC31" s="216">
        <f ca="1">IF($D31&lt;&gt;"Serviço",0,IF(OR(AND(AUTOEVENTO="Manual",$M31=1),$M31&gt;(ROW(PLE.lastrow)-ROW(PLE.firstrow))),0,IF(OFFSET(PLE!$G$14,$M31,BC$13)="",10^12,OFFSET(PLE!$G$14,$M31,BC$13))))</f>
        <v>0</v>
      </c>
      <c r="BD31" s="216">
        <f ca="1">IF($D31&lt;&gt;"Serviço",0,IF(OR(AND(AUTOEVENTO="Manual",$M31=1),$M31&gt;(ROW(PLE.lastrow)-ROW(PLE.firstrow))),0,IF(OFFSET(PLE!$G$14,$M31,BD$13)="",10^12,OFFSET(PLE!$G$14,$M31,BD$13))))</f>
        <v>0</v>
      </c>
      <c r="BE31" s="216">
        <f ca="1">IF($D31&lt;&gt;"Serviço",0,IF(OR(AND(AUTOEVENTO="Manual",$M31=1),$M31&gt;(ROW(PLE.lastrow)-ROW(PLE.firstrow))),0,IF(OFFSET(PLE!$G$14,$M31,BE$13)="",10^12,OFFSET(PLE!$G$14,$M31,BE$13))))</f>
        <v>0</v>
      </c>
      <c r="BF31" s="216">
        <f ca="1">IF($D31&lt;&gt;"Serviço",0,IF(OR(AND(AUTOEVENTO="Manual",$M31=1),$M31&gt;(ROW(PLE.lastrow)-ROW(PLE.firstrow))),0,IF(OFFSET(PLE!$G$14,$M31,BF$13)="",10^12,OFFSET(PLE!$G$14,$M31,BF$13))))</f>
        <v>0</v>
      </c>
      <c r="BG31" s="216">
        <f ca="1">IF($D31&lt;&gt;"Serviço",0,IF(OR(AND(AUTOEVENTO="Manual",$M31=1),$M31&gt;(ROW(PLE.lastrow)-ROW(PLE.firstrow))),0,IF(OFFSET(PLE!$G$14,$M31,BG$13)="",10^12,OFFSET(PLE!$G$14,$M31,BG$13))))</f>
        <v>0</v>
      </c>
    </row>
    <row r="32" spans="1:59" ht="38.25" x14ac:dyDescent="0.2">
      <c r="A32" s="9" t="str">
        <f t="shared" ca="1" si="8"/>
        <v>16</v>
      </c>
      <c r="B32" s="9" t="str">
        <f ca="1">OFFSET(ORÇAMENTO!C$15,ROW(B32)-ROW(B$15),0)</f>
        <v>S</v>
      </c>
      <c r="C32" s="9" t="str">
        <f ca="1">OFFSET(ORÇAMENTO!L$15,ROW(C32)-ROW(C$15),0)</f>
        <v/>
      </c>
      <c r="D32" s="145" t="str">
        <f ca="1">OFFSET(ORÇAMENTO!N$15,ROW(D32)-ROW(D$15),0)</f>
        <v>Serviço</v>
      </c>
      <c r="E32" s="205" t="str">
        <f ca="1">OFFSET(ORÇAMENTO!O$15,ROW(E32)-ROW(E$15),0)</f>
        <v>-</v>
      </c>
      <c r="F32" s="206" t="str">
        <f ca="1">OFFSET(ORÇAMENTO!R$15,ROW(F32)-ROW(F$15),0)</f>
        <v>ESCAVAÇÃO MECANIZADA PARA BLOCO DE COROAMENTO OU SAPATA COM RETROESCAVADEIRA (INCLUINDO ESCAVAÇÃO PARA COLOCAÇÃO DE FÔRMAS). AF_01/2024</v>
      </c>
      <c r="G32" s="207" t="str">
        <f ca="1">IF($D32&lt;&gt;"Serviço","",OFFSET(ORÇAMENTO!S$15,ROW(G32)-ROW(G$15),0))</f>
        <v>M3</v>
      </c>
      <c r="H32" s="151">
        <f ca="1">IF($D32&lt;&gt;"Serviço",0,IF(ACOMPANHAMENTO="BM",ROUND(OFFSET(ORÇAMENTO!AJ$15,ROW(H32)-ROW(H$15),0),15-13*ORÇAMENTO!$AF$7),SUMPRODUCT(($Q$12:$AA$12&lt;&gt;"")*ROUND($Q32:$AA32,15-13*ORÇAMENTO!$AF$7))))</f>
        <v>247.5</v>
      </c>
      <c r="I32" s="649"/>
      <c r="K32" s="208"/>
      <c r="L32" s="209" t="s">
        <v>255</v>
      </c>
      <c r="M32" s="210">
        <f ca="1">IF($D32&lt;&gt;"Serviço","",IF(AUTOEVENTO="manual",$A32,IF(ISERROR(MATCH($A32,$A$15:OFFSET($A32,-1,0),0)),MAX($M$15:OFFSET(M32,-1,0))+1,INDEX($M$15:OFFSET(M32,-1,0),MATCH($A32,$A$15:OFFSET($A32,-1,0),0)))))</f>
        <v>5</v>
      </c>
      <c r="N32" s="211" t="str">
        <f ca="1">IF($D32&lt;&gt;"Serviço","",IF(AUTOEVENTO="Manual",IF($A32=0,"&lt;-- defina o número do agrupador",OFFSET(EVENTOS!$D$14,$A32,0)),OFFSET($F$15,$A32,0)))</f>
        <v>FUNDAÇÃO (estaca e blocos)</v>
      </c>
      <c r="O32" s="212"/>
      <c r="Q32" s="212"/>
      <c r="R32" s="213"/>
      <c r="S32" s="213"/>
      <c r="T32" s="213"/>
      <c r="U32" s="213"/>
      <c r="V32" s="213"/>
      <c r="W32" s="213"/>
      <c r="X32" s="213"/>
      <c r="Y32" s="213"/>
      <c r="Z32" s="214"/>
      <c r="AB32" s="630">
        <f ca="1">IF(AND($D32="Serviço",AB$12&lt;&gt;0,$H32&gt;0,OR(AUTOEVENTO&lt;&gt;"manual",$M32&lt;&gt;1)),
IF(Import.TipoArredondamento&lt;&gt;"TransfereGOV",
ROUND(OFFSET($P32,0,AB$13),15-13*ORÇAMENTO!$AF$7)/$H32*OFFSET(ORÇAMENTO!$X$15,ROW(AB32)-ROW(AB$15),0),
ROUND(ROUND(OFFSET($P32,0,AB$13),15-13*ORÇAMENTO!$AF$7)*OFFSET(ORÇAMENTO!$W$15,ROW(AB32)-ROW(AB$15),0),15-13*ORÇAMENTO!$AF$11)),0)</f>
        <v>0</v>
      </c>
      <c r="AC32" s="631">
        <f ca="1">IF(AND($D32="Serviço",AC$12&lt;&gt;0,$H32&gt;0,OR(AUTOEVENTO&lt;&gt;"manual",$M32&lt;&gt;1)),
IF(Import.TipoArredondamento&lt;&gt;"TransfereGOV",
ROUND(OFFSET($P32,0,AC$13),15-13*ORÇAMENTO!$AF$7)/$H32*OFFSET(ORÇAMENTO!$X$15,ROW(AC32)-ROW(AC$15),0),
ROUND(ROUND(OFFSET($P32,0,AC$13),15-13*ORÇAMENTO!$AF$7)*OFFSET(ORÇAMENTO!$W$15,ROW(AC32)-ROW(AC$15),0),15-13*ORÇAMENTO!$AF$11)),0)</f>
        <v>0</v>
      </c>
      <c r="AD32" s="631">
        <f ca="1">IF(AND($D32="Serviço",AD$12&lt;&gt;0,$H32&gt;0,OR(AUTOEVENTO&lt;&gt;"manual",$M32&lt;&gt;1)),
IF(Import.TipoArredondamento&lt;&gt;"TransfereGOV",
ROUND(OFFSET($P32,0,AD$13),15-13*ORÇAMENTO!$AF$7)/$H32*OFFSET(ORÇAMENTO!$X$15,ROW(AD32)-ROW(AD$15),0),
ROUND(ROUND(OFFSET($P32,0,AD$13),15-13*ORÇAMENTO!$AF$7)*OFFSET(ORÇAMENTO!$W$15,ROW(AD32)-ROW(AD$15),0),15-13*ORÇAMENTO!$AF$11)),0)</f>
        <v>0</v>
      </c>
      <c r="AE32" s="631">
        <f ca="1">IF(AND($D32="Serviço",AE$12&lt;&gt;0,$H32&gt;0,OR(AUTOEVENTO&lt;&gt;"manual",$M32&lt;&gt;1)),
IF(Import.TipoArredondamento&lt;&gt;"TransfereGOV",
ROUND(OFFSET($P32,0,AE$13),15-13*ORÇAMENTO!$AF$7)/$H32*OFFSET(ORÇAMENTO!$X$15,ROW(AE32)-ROW(AE$15),0),
ROUND(ROUND(OFFSET($P32,0,AE$13),15-13*ORÇAMENTO!$AF$7)*OFFSET(ORÇAMENTO!$W$15,ROW(AE32)-ROW(AE$15),0),15-13*ORÇAMENTO!$AF$11)),0)</f>
        <v>0</v>
      </c>
      <c r="AF32" s="631">
        <f ca="1">IF(AND($D32="Serviço",AF$12&lt;&gt;0,$H32&gt;0,OR(AUTOEVENTO&lt;&gt;"manual",$M32&lt;&gt;1)),
IF(Import.TipoArredondamento&lt;&gt;"TransfereGOV",
ROUND(OFFSET($P32,0,AF$13),15-13*ORÇAMENTO!$AF$7)/$H32*OFFSET(ORÇAMENTO!$X$15,ROW(AF32)-ROW(AF$15),0),
ROUND(ROUND(OFFSET($P32,0,AF$13),15-13*ORÇAMENTO!$AF$7)*OFFSET(ORÇAMENTO!$W$15,ROW(AF32)-ROW(AF$15),0),15-13*ORÇAMENTO!$AF$11)),0)</f>
        <v>0</v>
      </c>
      <c r="AG32" s="631">
        <f ca="1">IF(AND($D32="Serviço",AG$12&lt;&gt;0,$H32&gt;0,OR(AUTOEVENTO&lt;&gt;"manual",$M32&lt;&gt;1)),
IF(Import.TipoArredondamento&lt;&gt;"TransfereGOV",
ROUND(OFFSET($P32,0,AG$13),15-13*ORÇAMENTO!$AF$7)/$H32*OFFSET(ORÇAMENTO!$X$15,ROW(AG32)-ROW(AG$15),0),
ROUND(ROUND(OFFSET($P32,0,AG$13),15-13*ORÇAMENTO!$AF$7)*OFFSET(ORÇAMENTO!$W$15,ROW(AG32)-ROW(AG$15),0),15-13*ORÇAMENTO!$AF$11)),0)</f>
        <v>0</v>
      </c>
      <c r="AH32" s="631">
        <f ca="1">IF(AND($D32="Serviço",AH$12&lt;&gt;0,$H32&gt;0,OR(AUTOEVENTO&lt;&gt;"manual",$M32&lt;&gt;1)),
IF(Import.TipoArredondamento&lt;&gt;"TransfereGOV",
ROUND(OFFSET($P32,0,AH$13),15-13*ORÇAMENTO!$AF$7)/$H32*OFFSET(ORÇAMENTO!$X$15,ROW(AH32)-ROW(AH$15),0),
ROUND(ROUND(OFFSET($P32,0,AH$13),15-13*ORÇAMENTO!$AF$7)*OFFSET(ORÇAMENTO!$W$15,ROW(AH32)-ROW(AH$15),0),15-13*ORÇAMENTO!$AF$11)),0)</f>
        <v>0</v>
      </c>
      <c r="AI32" s="631">
        <f ca="1">IF(AND($D32="Serviço",AI$12&lt;&gt;0,$H32&gt;0,OR(AUTOEVENTO&lt;&gt;"manual",$M32&lt;&gt;1)),
IF(Import.TipoArredondamento&lt;&gt;"TransfereGOV",
ROUND(OFFSET($P32,0,AI$13),15-13*ORÇAMENTO!$AF$7)/$H32*OFFSET(ORÇAMENTO!$X$15,ROW(AI32)-ROW(AI$15),0),
ROUND(ROUND(OFFSET($P32,0,AI$13),15-13*ORÇAMENTO!$AF$7)*OFFSET(ORÇAMENTO!$W$15,ROW(AI32)-ROW(AI$15),0),15-13*ORÇAMENTO!$AF$11)),0)</f>
        <v>0</v>
      </c>
      <c r="AJ32" s="631">
        <f ca="1">IF(AND($D32="Serviço",AJ$12&lt;&gt;0,$H32&gt;0,OR(AUTOEVENTO&lt;&gt;"manual",$M32&lt;&gt;1)),
IF(Import.TipoArredondamento&lt;&gt;"TransfereGOV",
ROUND(OFFSET($P32,0,AJ$13),15-13*ORÇAMENTO!$AF$7)/$H32*OFFSET(ORÇAMENTO!$X$15,ROW(AJ32)-ROW(AJ$15),0),
ROUND(ROUND(OFFSET($P32,0,AJ$13),15-13*ORÇAMENTO!$AF$7)*OFFSET(ORÇAMENTO!$W$15,ROW(AJ32)-ROW(AJ$15),0),15-13*ORÇAMENTO!$AF$11)),0)</f>
        <v>0</v>
      </c>
      <c r="AK32" s="632">
        <f ca="1">IF(AND($D32="Serviço",AK$12&lt;&gt;0,$H32&gt;0,OR(AUTOEVENTO&lt;&gt;"manual",$M32&lt;&gt;1)),
IF(Import.TipoArredondamento&lt;&gt;"TransfereGOV",
ROUND(OFFSET($P32,0,AK$13),15-13*ORÇAMENTO!$AF$7)/$H32*OFFSET(ORÇAMENTO!$X$15,ROW(AK32)-ROW(AK$15),0),
ROUND(ROUND(OFFSET($P32,0,AK$13),15-13*ORÇAMENTO!$AF$7)*OFFSET(ORÇAMENTO!$W$15,ROW(AK32)-ROW(AK$15),0),15-13*ORÇAMENTO!$AF$11)),0)</f>
        <v>0</v>
      </c>
      <c r="AM32" s="215">
        <f ca="1">IF($D32&lt;&gt;"Serviço",0,IF(AND(AUTOEVENTO="Manual",$M32=1),0,IF(OFFSET(CRONOPLE!$F$14,$M32,AM$13)="",10^12,OFFSET(CRONOPLE!$F$14,$M32,AM$13))))</f>
        <v>1000000000000</v>
      </c>
      <c r="AN32" s="215">
        <f ca="1">IF($D32&lt;&gt;"Serviço",0,IF(AND(AUTOEVENTO="Manual",$M32=1),0,IF(OFFSET(CRONOPLE!$F$14,$M32,AN$13)="",10^12,OFFSET(CRONOPLE!$F$14,$M32,AN$13))))</f>
        <v>1000000000000</v>
      </c>
      <c r="AO32" s="215">
        <f ca="1">IF($D32&lt;&gt;"Serviço",0,IF(AND(AUTOEVENTO="Manual",$M32=1),0,IF(OFFSET(CRONOPLE!$F$14,$M32,AO$13)="",10^12,OFFSET(CRONOPLE!$F$14,$M32,AO$13))))</f>
        <v>1000000000000</v>
      </c>
      <c r="AP32" s="215">
        <f ca="1">IF($D32&lt;&gt;"Serviço",0,IF(AND(AUTOEVENTO="Manual",$M32=1),0,IF(OFFSET(CRONOPLE!$F$14,$M32,AP$13)="",10^12,OFFSET(CRONOPLE!$F$14,$M32,AP$13))))</f>
        <v>1000000000000</v>
      </c>
      <c r="AQ32" s="215">
        <f ca="1">IF($D32&lt;&gt;"Serviço",0,IF(AND(AUTOEVENTO="Manual",$M32=1),0,IF(OFFSET(CRONOPLE!$F$14,$M32,AQ$13)="",10^12,OFFSET(CRONOPLE!$F$14,$M32,AQ$13))))</f>
        <v>1000000000000</v>
      </c>
      <c r="AR32" s="215">
        <f ca="1">IF($D32&lt;&gt;"Serviço",0,IF(AND(AUTOEVENTO="Manual",$M32=1),0,IF(OFFSET(CRONOPLE!$F$14,$M32,AR$13)="",10^12,OFFSET(CRONOPLE!$F$14,$M32,AR$13))))</f>
        <v>1000000000000</v>
      </c>
      <c r="AS32" s="215">
        <f ca="1">IF($D32&lt;&gt;"Serviço",0,IF(AND(AUTOEVENTO="Manual",$M32=1),0,IF(OFFSET(CRONOPLE!$F$14,$M32,AS$13)="",10^12,OFFSET(CRONOPLE!$F$14,$M32,AS$13))))</f>
        <v>1000000000000</v>
      </c>
      <c r="AT32" s="215">
        <f ca="1">IF($D32&lt;&gt;"Serviço",0,IF(AND(AUTOEVENTO="Manual",$M32=1),0,IF(OFFSET(CRONOPLE!$F$14,$M32,AT$13)="",10^12,OFFSET(CRONOPLE!$F$14,$M32,AT$13))))</f>
        <v>1000000000000</v>
      </c>
      <c r="AU32" s="215">
        <f ca="1">IF($D32&lt;&gt;"Serviço",0,IF(AND(AUTOEVENTO="Manual",$M32=1),0,IF(OFFSET(CRONOPLE!$F$14,$M32,AU$13)="",10^12,OFFSET(CRONOPLE!$F$14,$M32,AU$13))))</f>
        <v>1000000000000</v>
      </c>
      <c r="AV32" s="215">
        <f ca="1">IF($D32&lt;&gt;"Serviço",0,IF(AND(AUTOEVENTO="Manual",$M32=1),0,IF(OFFSET(CRONOPLE!$F$14,$M32,AV$13)="",10^12,OFFSET(CRONOPLE!$F$14,$M32,AV$13))))</f>
        <v>1000000000000</v>
      </c>
      <c r="AX32" s="216">
        <f ca="1">IF($D32&lt;&gt;"Serviço",0,IF(OR(AND(AUTOEVENTO="Manual",$M32=1),$M32&gt;(ROW(PLE.lastrow)-ROW(PLE.firstrow))),0,IF(OFFSET(PLE!$G$14,$M32,AX$13)="",10^12,OFFSET(PLE!$G$14,$M32,AX$13))))</f>
        <v>1000000000000</v>
      </c>
      <c r="AY32" s="216">
        <f ca="1">IF($D32&lt;&gt;"Serviço",0,IF(OR(AND(AUTOEVENTO="Manual",$M32=1),$M32&gt;(ROW(PLE.lastrow)-ROW(PLE.firstrow))),0,IF(OFFSET(PLE!$G$14,$M32,AY$13)="",10^12,OFFSET(PLE!$G$14,$M32,AY$13))))</f>
        <v>1000000000000</v>
      </c>
      <c r="AZ32" s="216">
        <f ca="1">IF($D32&lt;&gt;"Serviço",0,IF(OR(AND(AUTOEVENTO="Manual",$M32=1),$M32&gt;(ROW(PLE.lastrow)-ROW(PLE.firstrow))),0,IF(OFFSET(PLE!$G$14,$M32,AZ$13)="",10^12,OFFSET(PLE!$G$14,$M32,AZ$13))))</f>
        <v>1000000000000</v>
      </c>
      <c r="BA32" s="216">
        <f ca="1">IF($D32&lt;&gt;"Serviço",0,IF(OR(AND(AUTOEVENTO="Manual",$M32=1),$M32&gt;(ROW(PLE.lastrow)-ROW(PLE.firstrow))),0,IF(OFFSET(PLE!$G$14,$M32,BA$13)="",10^12,OFFSET(PLE!$G$14,$M32,BA$13))))</f>
        <v>1000000000000</v>
      </c>
      <c r="BB32" s="216">
        <f ca="1">IF($D32&lt;&gt;"Serviço",0,IF(OR(AND(AUTOEVENTO="Manual",$M32=1),$M32&gt;(ROW(PLE.lastrow)-ROW(PLE.firstrow))),0,IF(OFFSET(PLE!$G$14,$M32,BB$13)="",10^12,OFFSET(PLE!$G$14,$M32,BB$13))))</f>
        <v>1000000000000</v>
      </c>
      <c r="BC32" s="216">
        <f ca="1">IF($D32&lt;&gt;"Serviço",0,IF(OR(AND(AUTOEVENTO="Manual",$M32=1),$M32&gt;(ROW(PLE.lastrow)-ROW(PLE.firstrow))),0,IF(OFFSET(PLE!$G$14,$M32,BC$13)="",10^12,OFFSET(PLE!$G$14,$M32,BC$13))))</f>
        <v>1000000000000</v>
      </c>
      <c r="BD32" s="216">
        <f ca="1">IF($D32&lt;&gt;"Serviço",0,IF(OR(AND(AUTOEVENTO="Manual",$M32=1),$M32&gt;(ROW(PLE.lastrow)-ROW(PLE.firstrow))),0,IF(OFFSET(PLE!$G$14,$M32,BD$13)="",10^12,OFFSET(PLE!$G$14,$M32,BD$13))))</f>
        <v>1000000000000</v>
      </c>
      <c r="BE32" s="216">
        <f ca="1">IF($D32&lt;&gt;"Serviço",0,IF(OR(AND(AUTOEVENTO="Manual",$M32=1),$M32&gt;(ROW(PLE.lastrow)-ROW(PLE.firstrow))),0,IF(OFFSET(PLE!$G$14,$M32,BE$13)="",10^12,OFFSET(PLE!$G$14,$M32,BE$13))))</f>
        <v>1000000000000</v>
      </c>
      <c r="BF32" s="216">
        <f ca="1">IF($D32&lt;&gt;"Serviço",0,IF(OR(AND(AUTOEVENTO="Manual",$M32=1),$M32&gt;(ROW(PLE.lastrow)-ROW(PLE.firstrow))),0,IF(OFFSET(PLE!$G$14,$M32,BF$13)="",10^12,OFFSET(PLE!$G$14,$M32,BF$13))))</f>
        <v>1000000000000</v>
      </c>
      <c r="BG32" s="216">
        <f ca="1">IF($D32&lt;&gt;"Serviço",0,IF(OR(AND(AUTOEVENTO="Manual",$M32=1),$M32&gt;(ROW(PLE.lastrow)-ROW(PLE.firstrow))),0,IF(OFFSET(PLE!$G$14,$M32,BG$13)="",10^12,OFFSET(PLE!$G$14,$M32,BG$13))))</f>
        <v>1000000000000</v>
      </c>
    </row>
    <row r="33" spans="1:59" ht="25.5" x14ac:dyDescent="0.2">
      <c r="A33" s="9" t="str">
        <f t="shared" ca="1" si="8"/>
        <v>16</v>
      </c>
      <c r="B33" s="9" t="str">
        <f ca="1">OFFSET(ORÇAMENTO!C$15,ROW(B33)-ROW(B$15),0)</f>
        <v>S</v>
      </c>
      <c r="C33" s="9" t="str">
        <f ca="1">OFFSET(ORÇAMENTO!L$15,ROW(C33)-ROW(C$15),0)</f>
        <v/>
      </c>
      <c r="D33" s="145" t="str">
        <f ca="1">OFFSET(ORÇAMENTO!N$15,ROW(D33)-ROW(D$15),0)</f>
        <v>Serviço</v>
      </c>
      <c r="E33" s="205" t="str">
        <f ca="1">OFFSET(ORÇAMENTO!O$15,ROW(E33)-ROW(E$15),0)</f>
        <v>-</v>
      </c>
      <c r="F33" s="206" t="str">
        <f ca="1">OFFSET(ORÇAMENTO!R$15,ROW(F33)-ROW(F$15),0)</f>
        <v>REATERRO MANUAL DE VALAS, COM COMPACTADOR DE SOLOS DE PERCUSSÃO. AF_08/2023</v>
      </c>
      <c r="G33" s="207" t="str">
        <f ca="1">IF($D33&lt;&gt;"Serviço","",OFFSET(ORÇAMENTO!S$15,ROW(G33)-ROW(G$15),0))</f>
        <v>M3</v>
      </c>
      <c r="H33" s="151">
        <f ca="1">IF($D33&lt;&gt;"Serviço",0,IF(ACOMPANHAMENTO="BM",ROUND(OFFSET(ORÇAMENTO!AJ$15,ROW(H33)-ROW(H$15),0),15-13*ORÇAMENTO!$AF$7),SUMPRODUCT(($Q$12:$AA$12&lt;&gt;"")*ROUND($Q33:$AA33,15-13*ORÇAMENTO!$AF$7))))</f>
        <v>247.5</v>
      </c>
      <c r="I33" s="649"/>
      <c r="K33" s="208"/>
      <c r="L33" s="209" t="s">
        <v>255</v>
      </c>
      <c r="M33" s="210">
        <f ca="1">IF($D33&lt;&gt;"Serviço","",IF(AUTOEVENTO="manual",$A33,IF(ISERROR(MATCH($A33,$A$15:OFFSET($A33,-1,0),0)),MAX($M$15:OFFSET(M33,-1,0))+1,INDEX($M$15:OFFSET(M33,-1,0),MATCH($A33,$A$15:OFFSET($A33,-1,0),0)))))</f>
        <v>5</v>
      </c>
      <c r="N33" s="211" t="str">
        <f ca="1">IF($D33&lt;&gt;"Serviço","",IF(AUTOEVENTO="Manual",IF($A33=0,"&lt;-- defina o número do agrupador",OFFSET(EVENTOS!$D$14,$A33,0)),OFFSET($F$15,$A33,0)))</f>
        <v>FUNDAÇÃO (estaca e blocos)</v>
      </c>
      <c r="O33" s="212"/>
      <c r="Q33" s="212"/>
      <c r="R33" s="213"/>
      <c r="S33" s="213"/>
      <c r="T33" s="213"/>
      <c r="U33" s="213"/>
      <c r="V33" s="213"/>
      <c r="W33" s="213"/>
      <c r="X33" s="213"/>
      <c r="Y33" s="213"/>
      <c r="Z33" s="214"/>
      <c r="AB33" s="630">
        <f ca="1">IF(AND($D33="Serviço",AB$12&lt;&gt;0,$H33&gt;0,OR(AUTOEVENTO&lt;&gt;"manual",$M33&lt;&gt;1)),
IF(Import.TipoArredondamento&lt;&gt;"TransfereGOV",
ROUND(OFFSET($P33,0,AB$13),15-13*ORÇAMENTO!$AF$7)/$H33*OFFSET(ORÇAMENTO!$X$15,ROW(AB33)-ROW(AB$15),0),
ROUND(ROUND(OFFSET($P33,0,AB$13),15-13*ORÇAMENTO!$AF$7)*OFFSET(ORÇAMENTO!$W$15,ROW(AB33)-ROW(AB$15),0),15-13*ORÇAMENTO!$AF$11)),0)</f>
        <v>0</v>
      </c>
      <c r="AC33" s="631">
        <f ca="1">IF(AND($D33="Serviço",AC$12&lt;&gt;0,$H33&gt;0,OR(AUTOEVENTO&lt;&gt;"manual",$M33&lt;&gt;1)),
IF(Import.TipoArredondamento&lt;&gt;"TransfereGOV",
ROUND(OFFSET($P33,0,AC$13),15-13*ORÇAMENTO!$AF$7)/$H33*OFFSET(ORÇAMENTO!$X$15,ROW(AC33)-ROW(AC$15),0),
ROUND(ROUND(OFFSET($P33,0,AC$13),15-13*ORÇAMENTO!$AF$7)*OFFSET(ORÇAMENTO!$W$15,ROW(AC33)-ROW(AC$15),0),15-13*ORÇAMENTO!$AF$11)),0)</f>
        <v>0</v>
      </c>
      <c r="AD33" s="631">
        <f ca="1">IF(AND($D33="Serviço",AD$12&lt;&gt;0,$H33&gt;0,OR(AUTOEVENTO&lt;&gt;"manual",$M33&lt;&gt;1)),
IF(Import.TipoArredondamento&lt;&gt;"TransfereGOV",
ROUND(OFFSET($P33,0,AD$13),15-13*ORÇAMENTO!$AF$7)/$H33*OFFSET(ORÇAMENTO!$X$15,ROW(AD33)-ROW(AD$15),0),
ROUND(ROUND(OFFSET($P33,0,AD$13),15-13*ORÇAMENTO!$AF$7)*OFFSET(ORÇAMENTO!$W$15,ROW(AD33)-ROW(AD$15),0),15-13*ORÇAMENTO!$AF$11)),0)</f>
        <v>0</v>
      </c>
      <c r="AE33" s="631">
        <f ca="1">IF(AND($D33="Serviço",AE$12&lt;&gt;0,$H33&gt;0,OR(AUTOEVENTO&lt;&gt;"manual",$M33&lt;&gt;1)),
IF(Import.TipoArredondamento&lt;&gt;"TransfereGOV",
ROUND(OFFSET($P33,0,AE$13),15-13*ORÇAMENTO!$AF$7)/$H33*OFFSET(ORÇAMENTO!$X$15,ROW(AE33)-ROW(AE$15),0),
ROUND(ROUND(OFFSET($P33,0,AE$13),15-13*ORÇAMENTO!$AF$7)*OFFSET(ORÇAMENTO!$W$15,ROW(AE33)-ROW(AE$15),0),15-13*ORÇAMENTO!$AF$11)),0)</f>
        <v>0</v>
      </c>
      <c r="AF33" s="631">
        <f ca="1">IF(AND($D33="Serviço",AF$12&lt;&gt;0,$H33&gt;0,OR(AUTOEVENTO&lt;&gt;"manual",$M33&lt;&gt;1)),
IF(Import.TipoArredondamento&lt;&gt;"TransfereGOV",
ROUND(OFFSET($P33,0,AF$13),15-13*ORÇAMENTO!$AF$7)/$H33*OFFSET(ORÇAMENTO!$X$15,ROW(AF33)-ROW(AF$15),0),
ROUND(ROUND(OFFSET($P33,0,AF$13),15-13*ORÇAMENTO!$AF$7)*OFFSET(ORÇAMENTO!$W$15,ROW(AF33)-ROW(AF$15),0),15-13*ORÇAMENTO!$AF$11)),0)</f>
        <v>0</v>
      </c>
      <c r="AG33" s="631">
        <f ca="1">IF(AND($D33="Serviço",AG$12&lt;&gt;0,$H33&gt;0,OR(AUTOEVENTO&lt;&gt;"manual",$M33&lt;&gt;1)),
IF(Import.TipoArredondamento&lt;&gt;"TransfereGOV",
ROUND(OFFSET($P33,0,AG$13),15-13*ORÇAMENTO!$AF$7)/$H33*OFFSET(ORÇAMENTO!$X$15,ROW(AG33)-ROW(AG$15),0),
ROUND(ROUND(OFFSET($P33,0,AG$13),15-13*ORÇAMENTO!$AF$7)*OFFSET(ORÇAMENTO!$W$15,ROW(AG33)-ROW(AG$15),0),15-13*ORÇAMENTO!$AF$11)),0)</f>
        <v>0</v>
      </c>
      <c r="AH33" s="631">
        <f ca="1">IF(AND($D33="Serviço",AH$12&lt;&gt;0,$H33&gt;0,OR(AUTOEVENTO&lt;&gt;"manual",$M33&lt;&gt;1)),
IF(Import.TipoArredondamento&lt;&gt;"TransfereGOV",
ROUND(OFFSET($P33,0,AH$13),15-13*ORÇAMENTO!$AF$7)/$H33*OFFSET(ORÇAMENTO!$X$15,ROW(AH33)-ROW(AH$15),0),
ROUND(ROUND(OFFSET($P33,0,AH$13),15-13*ORÇAMENTO!$AF$7)*OFFSET(ORÇAMENTO!$W$15,ROW(AH33)-ROW(AH$15),0),15-13*ORÇAMENTO!$AF$11)),0)</f>
        <v>0</v>
      </c>
      <c r="AI33" s="631">
        <f ca="1">IF(AND($D33="Serviço",AI$12&lt;&gt;0,$H33&gt;0,OR(AUTOEVENTO&lt;&gt;"manual",$M33&lt;&gt;1)),
IF(Import.TipoArredondamento&lt;&gt;"TransfereGOV",
ROUND(OFFSET($P33,0,AI$13),15-13*ORÇAMENTO!$AF$7)/$H33*OFFSET(ORÇAMENTO!$X$15,ROW(AI33)-ROW(AI$15),0),
ROUND(ROUND(OFFSET($P33,0,AI$13),15-13*ORÇAMENTO!$AF$7)*OFFSET(ORÇAMENTO!$W$15,ROW(AI33)-ROW(AI$15),0),15-13*ORÇAMENTO!$AF$11)),0)</f>
        <v>0</v>
      </c>
      <c r="AJ33" s="631">
        <f ca="1">IF(AND($D33="Serviço",AJ$12&lt;&gt;0,$H33&gt;0,OR(AUTOEVENTO&lt;&gt;"manual",$M33&lt;&gt;1)),
IF(Import.TipoArredondamento&lt;&gt;"TransfereGOV",
ROUND(OFFSET($P33,0,AJ$13),15-13*ORÇAMENTO!$AF$7)/$H33*OFFSET(ORÇAMENTO!$X$15,ROW(AJ33)-ROW(AJ$15),0),
ROUND(ROUND(OFFSET($P33,0,AJ$13),15-13*ORÇAMENTO!$AF$7)*OFFSET(ORÇAMENTO!$W$15,ROW(AJ33)-ROW(AJ$15),0),15-13*ORÇAMENTO!$AF$11)),0)</f>
        <v>0</v>
      </c>
      <c r="AK33" s="632">
        <f ca="1">IF(AND($D33="Serviço",AK$12&lt;&gt;0,$H33&gt;0,OR(AUTOEVENTO&lt;&gt;"manual",$M33&lt;&gt;1)),
IF(Import.TipoArredondamento&lt;&gt;"TransfereGOV",
ROUND(OFFSET($P33,0,AK$13),15-13*ORÇAMENTO!$AF$7)/$H33*OFFSET(ORÇAMENTO!$X$15,ROW(AK33)-ROW(AK$15),0),
ROUND(ROUND(OFFSET($P33,0,AK$13),15-13*ORÇAMENTO!$AF$7)*OFFSET(ORÇAMENTO!$W$15,ROW(AK33)-ROW(AK$15),0),15-13*ORÇAMENTO!$AF$11)),0)</f>
        <v>0</v>
      </c>
      <c r="AM33" s="215">
        <f ca="1">IF($D33&lt;&gt;"Serviço",0,IF(AND(AUTOEVENTO="Manual",$M33=1),0,IF(OFFSET(CRONOPLE!$F$14,$M33,AM$13)="",10^12,OFFSET(CRONOPLE!$F$14,$M33,AM$13))))</f>
        <v>1000000000000</v>
      </c>
      <c r="AN33" s="215">
        <f ca="1">IF($D33&lt;&gt;"Serviço",0,IF(AND(AUTOEVENTO="Manual",$M33=1),0,IF(OFFSET(CRONOPLE!$F$14,$M33,AN$13)="",10^12,OFFSET(CRONOPLE!$F$14,$M33,AN$13))))</f>
        <v>1000000000000</v>
      </c>
      <c r="AO33" s="215">
        <f ca="1">IF($D33&lt;&gt;"Serviço",0,IF(AND(AUTOEVENTO="Manual",$M33=1),0,IF(OFFSET(CRONOPLE!$F$14,$M33,AO$13)="",10^12,OFFSET(CRONOPLE!$F$14,$M33,AO$13))))</f>
        <v>1000000000000</v>
      </c>
      <c r="AP33" s="215">
        <f ca="1">IF($D33&lt;&gt;"Serviço",0,IF(AND(AUTOEVENTO="Manual",$M33=1),0,IF(OFFSET(CRONOPLE!$F$14,$M33,AP$13)="",10^12,OFFSET(CRONOPLE!$F$14,$M33,AP$13))))</f>
        <v>1000000000000</v>
      </c>
      <c r="AQ33" s="215">
        <f ca="1">IF($D33&lt;&gt;"Serviço",0,IF(AND(AUTOEVENTO="Manual",$M33=1),0,IF(OFFSET(CRONOPLE!$F$14,$M33,AQ$13)="",10^12,OFFSET(CRONOPLE!$F$14,$M33,AQ$13))))</f>
        <v>1000000000000</v>
      </c>
      <c r="AR33" s="215">
        <f ca="1">IF($D33&lt;&gt;"Serviço",0,IF(AND(AUTOEVENTO="Manual",$M33=1),0,IF(OFFSET(CRONOPLE!$F$14,$M33,AR$13)="",10^12,OFFSET(CRONOPLE!$F$14,$M33,AR$13))))</f>
        <v>1000000000000</v>
      </c>
      <c r="AS33" s="215">
        <f ca="1">IF($D33&lt;&gt;"Serviço",0,IF(AND(AUTOEVENTO="Manual",$M33=1),0,IF(OFFSET(CRONOPLE!$F$14,$M33,AS$13)="",10^12,OFFSET(CRONOPLE!$F$14,$M33,AS$13))))</f>
        <v>1000000000000</v>
      </c>
      <c r="AT33" s="215">
        <f ca="1">IF($D33&lt;&gt;"Serviço",0,IF(AND(AUTOEVENTO="Manual",$M33=1),0,IF(OFFSET(CRONOPLE!$F$14,$M33,AT$13)="",10^12,OFFSET(CRONOPLE!$F$14,$M33,AT$13))))</f>
        <v>1000000000000</v>
      </c>
      <c r="AU33" s="215">
        <f ca="1">IF($D33&lt;&gt;"Serviço",0,IF(AND(AUTOEVENTO="Manual",$M33=1),0,IF(OFFSET(CRONOPLE!$F$14,$M33,AU$13)="",10^12,OFFSET(CRONOPLE!$F$14,$M33,AU$13))))</f>
        <v>1000000000000</v>
      </c>
      <c r="AV33" s="215">
        <f ca="1">IF($D33&lt;&gt;"Serviço",0,IF(AND(AUTOEVENTO="Manual",$M33=1),0,IF(OFFSET(CRONOPLE!$F$14,$M33,AV$13)="",10^12,OFFSET(CRONOPLE!$F$14,$M33,AV$13))))</f>
        <v>1000000000000</v>
      </c>
      <c r="AX33" s="216">
        <f ca="1">IF($D33&lt;&gt;"Serviço",0,IF(OR(AND(AUTOEVENTO="Manual",$M33=1),$M33&gt;(ROW(PLE.lastrow)-ROW(PLE.firstrow))),0,IF(OFFSET(PLE!$G$14,$M33,AX$13)="",10^12,OFFSET(PLE!$G$14,$M33,AX$13))))</f>
        <v>1000000000000</v>
      </c>
      <c r="AY33" s="216">
        <f ca="1">IF($D33&lt;&gt;"Serviço",0,IF(OR(AND(AUTOEVENTO="Manual",$M33=1),$M33&gt;(ROW(PLE.lastrow)-ROW(PLE.firstrow))),0,IF(OFFSET(PLE!$G$14,$M33,AY$13)="",10^12,OFFSET(PLE!$G$14,$M33,AY$13))))</f>
        <v>1000000000000</v>
      </c>
      <c r="AZ33" s="216">
        <f ca="1">IF($D33&lt;&gt;"Serviço",0,IF(OR(AND(AUTOEVENTO="Manual",$M33=1),$M33&gt;(ROW(PLE.lastrow)-ROW(PLE.firstrow))),0,IF(OFFSET(PLE!$G$14,$M33,AZ$13)="",10^12,OFFSET(PLE!$G$14,$M33,AZ$13))))</f>
        <v>1000000000000</v>
      </c>
      <c r="BA33" s="216">
        <f ca="1">IF($D33&lt;&gt;"Serviço",0,IF(OR(AND(AUTOEVENTO="Manual",$M33=1),$M33&gt;(ROW(PLE.lastrow)-ROW(PLE.firstrow))),0,IF(OFFSET(PLE!$G$14,$M33,BA$13)="",10^12,OFFSET(PLE!$G$14,$M33,BA$13))))</f>
        <v>1000000000000</v>
      </c>
      <c r="BB33" s="216">
        <f ca="1">IF($D33&lt;&gt;"Serviço",0,IF(OR(AND(AUTOEVENTO="Manual",$M33=1),$M33&gt;(ROW(PLE.lastrow)-ROW(PLE.firstrow))),0,IF(OFFSET(PLE!$G$14,$M33,BB$13)="",10^12,OFFSET(PLE!$G$14,$M33,BB$13))))</f>
        <v>1000000000000</v>
      </c>
      <c r="BC33" s="216">
        <f ca="1">IF($D33&lt;&gt;"Serviço",0,IF(OR(AND(AUTOEVENTO="Manual",$M33=1),$M33&gt;(ROW(PLE.lastrow)-ROW(PLE.firstrow))),0,IF(OFFSET(PLE!$G$14,$M33,BC$13)="",10^12,OFFSET(PLE!$G$14,$M33,BC$13))))</f>
        <v>1000000000000</v>
      </c>
      <c r="BD33" s="216">
        <f ca="1">IF($D33&lt;&gt;"Serviço",0,IF(OR(AND(AUTOEVENTO="Manual",$M33=1),$M33&gt;(ROW(PLE.lastrow)-ROW(PLE.firstrow))),0,IF(OFFSET(PLE!$G$14,$M33,BD$13)="",10^12,OFFSET(PLE!$G$14,$M33,BD$13))))</f>
        <v>1000000000000</v>
      </c>
      <c r="BE33" s="216">
        <f ca="1">IF($D33&lt;&gt;"Serviço",0,IF(OR(AND(AUTOEVENTO="Manual",$M33=1),$M33&gt;(ROW(PLE.lastrow)-ROW(PLE.firstrow))),0,IF(OFFSET(PLE!$G$14,$M33,BE$13)="",10^12,OFFSET(PLE!$G$14,$M33,BE$13))))</f>
        <v>1000000000000</v>
      </c>
      <c r="BF33" s="216">
        <f ca="1">IF($D33&lt;&gt;"Serviço",0,IF(OR(AND(AUTOEVENTO="Manual",$M33=1),$M33&gt;(ROW(PLE.lastrow)-ROW(PLE.firstrow))),0,IF(OFFSET(PLE!$G$14,$M33,BF$13)="",10^12,OFFSET(PLE!$G$14,$M33,BF$13))))</f>
        <v>1000000000000</v>
      </c>
      <c r="BG33" s="216">
        <f ca="1">IF($D33&lt;&gt;"Serviço",0,IF(OR(AND(AUTOEVENTO="Manual",$M33=1),$M33&gt;(ROW(PLE.lastrow)-ROW(PLE.firstrow))),0,IF(OFFSET(PLE!$G$14,$M33,BG$13)="",10^12,OFFSET(PLE!$G$14,$M33,BG$13))))</f>
        <v>1000000000000</v>
      </c>
    </row>
    <row r="34" spans="1:59" ht="38.25" x14ac:dyDescent="0.2">
      <c r="A34" s="9" t="str">
        <f t="shared" ca="1" si="8"/>
        <v>16</v>
      </c>
      <c r="B34" s="9" t="str">
        <f ca="1">OFFSET(ORÇAMENTO!C$15,ROW(B34)-ROW(B$15),0)</f>
        <v>S</v>
      </c>
      <c r="C34" s="9" t="str">
        <f ca="1">OFFSET(ORÇAMENTO!L$15,ROW(C34)-ROW(C$15),0)</f>
        <v/>
      </c>
      <c r="D34" s="145" t="str">
        <f ca="1">OFFSET(ORÇAMENTO!N$15,ROW(D34)-ROW(D$15),0)</f>
        <v>Serviço</v>
      </c>
      <c r="E34" s="205" t="str">
        <f ca="1">OFFSET(ORÇAMENTO!O$15,ROW(E34)-ROW(E$15),0)</f>
        <v>-</v>
      </c>
      <c r="F34" s="206" t="str">
        <f ca="1">OFFSET(ORÇAMENTO!R$15,ROW(F34)-ROW(F$15),0)</f>
        <v>FABRICAÇÃO, MONTAGEM E DESMONTAGEM DE FÔRMA PARA BLOCO DE COROAMENTO, EM MADEIRA SERRADA, E=25 MM, 4 UTILIZAÇÕES. AF_01/2024</v>
      </c>
      <c r="G34" s="207" t="str">
        <f ca="1">IF($D34&lt;&gt;"Serviço","",OFFSET(ORÇAMENTO!S$15,ROW(G34)-ROW(G$15),0))</f>
        <v>M2</v>
      </c>
      <c r="H34" s="151">
        <f ca="1">IF($D34&lt;&gt;"Serviço",0,IF(ACOMPANHAMENTO="BM",ROUND(OFFSET(ORÇAMENTO!AJ$15,ROW(H34)-ROW(H$15),0),15-13*ORÇAMENTO!$AF$7),SUMPRODUCT(($Q$12:$AA$12&lt;&gt;"")*ROUND($Q34:$AA34,15-13*ORÇAMENTO!$AF$7))))</f>
        <v>143.69999999999999</v>
      </c>
      <c r="I34" s="649"/>
      <c r="K34" s="208"/>
      <c r="L34" s="209" t="s">
        <v>255</v>
      </c>
      <c r="M34" s="210">
        <f ca="1">IF($D34&lt;&gt;"Serviço","",IF(AUTOEVENTO="manual",$A34,IF(ISERROR(MATCH($A34,$A$15:OFFSET($A34,-1,0),0)),MAX($M$15:OFFSET(M34,-1,0))+1,INDEX($M$15:OFFSET(M34,-1,0),MATCH($A34,$A$15:OFFSET($A34,-1,0),0)))))</f>
        <v>5</v>
      </c>
      <c r="N34" s="211" t="str">
        <f ca="1">IF($D34&lt;&gt;"Serviço","",IF(AUTOEVENTO="Manual",IF($A34=0,"&lt;-- defina o número do agrupador",OFFSET(EVENTOS!$D$14,$A34,0)),OFFSET($F$15,$A34,0)))</f>
        <v>FUNDAÇÃO (estaca e blocos)</v>
      </c>
      <c r="O34" s="212"/>
      <c r="Q34" s="212"/>
      <c r="R34" s="213"/>
      <c r="S34" s="213"/>
      <c r="T34" s="213"/>
      <c r="U34" s="213"/>
      <c r="V34" s="213"/>
      <c r="W34" s="213"/>
      <c r="X34" s="213"/>
      <c r="Y34" s="213"/>
      <c r="Z34" s="214"/>
      <c r="AB34" s="630">
        <f ca="1">IF(AND($D34="Serviço",AB$12&lt;&gt;0,$H34&gt;0,OR(AUTOEVENTO&lt;&gt;"manual",$M34&lt;&gt;1)),
IF(Import.TipoArredondamento&lt;&gt;"TransfereGOV",
ROUND(OFFSET($P34,0,AB$13),15-13*ORÇAMENTO!$AF$7)/$H34*OFFSET(ORÇAMENTO!$X$15,ROW(AB34)-ROW(AB$15),0),
ROUND(ROUND(OFFSET($P34,0,AB$13),15-13*ORÇAMENTO!$AF$7)*OFFSET(ORÇAMENTO!$W$15,ROW(AB34)-ROW(AB$15),0),15-13*ORÇAMENTO!$AF$11)),0)</f>
        <v>0</v>
      </c>
      <c r="AC34" s="631">
        <f ca="1">IF(AND($D34="Serviço",AC$12&lt;&gt;0,$H34&gt;0,OR(AUTOEVENTO&lt;&gt;"manual",$M34&lt;&gt;1)),
IF(Import.TipoArredondamento&lt;&gt;"TransfereGOV",
ROUND(OFFSET($P34,0,AC$13),15-13*ORÇAMENTO!$AF$7)/$H34*OFFSET(ORÇAMENTO!$X$15,ROW(AC34)-ROW(AC$15),0),
ROUND(ROUND(OFFSET($P34,0,AC$13),15-13*ORÇAMENTO!$AF$7)*OFFSET(ORÇAMENTO!$W$15,ROW(AC34)-ROW(AC$15),0),15-13*ORÇAMENTO!$AF$11)),0)</f>
        <v>0</v>
      </c>
      <c r="AD34" s="631">
        <f ca="1">IF(AND($D34="Serviço",AD$12&lt;&gt;0,$H34&gt;0,OR(AUTOEVENTO&lt;&gt;"manual",$M34&lt;&gt;1)),
IF(Import.TipoArredondamento&lt;&gt;"TransfereGOV",
ROUND(OFFSET($P34,0,AD$13),15-13*ORÇAMENTO!$AF$7)/$H34*OFFSET(ORÇAMENTO!$X$15,ROW(AD34)-ROW(AD$15),0),
ROUND(ROUND(OFFSET($P34,0,AD$13),15-13*ORÇAMENTO!$AF$7)*OFFSET(ORÇAMENTO!$W$15,ROW(AD34)-ROW(AD$15),0),15-13*ORÇAMENTO!$AF$11)),0)</f>
        <v>0</v>
      </c>
      <c r="AE34" s="631">
        <f ca="1">IF(AND($D34="Serviço",AE$12&lt;&gt;0,$H34&gt;0,OR(AUTOEVENTO&lt;&gt;"manual",$M34&lt;&gt;1)),
IF(Import.TipoArredondamento&lt;&gt;"TransfereGOV",
ROUND(OFFSET($P34,0,AE$13),15-13*ORÇAMENTO!$AF$7)/$H34*OFFSET(ORÇAMENTO!$X$15,ROW(AE34)-ROW(AE$15),0),
ROUND(ROUND(OFFSET($P34,0,AE$13),15-13*ORÇAMENTO!$AF$7)*OFFSET(ORÇAMENTO!$W$15,ROW(AE34)-ROW(AE$15),0),15-13*ORÇAMENTO!$AF$11)),0)</f>
        <v>0</v>
      </c>
      <c r="AF34" s="631">
        <f ca="1">IF(AND($D34="Serviço",AF$12&lt;&gt;0,$H34&gt;0,OR(AUTOEVENTO&lt;&gt;"manual",$M34&lt;&gt;1)),
IF(Import.TipoArredondamento&lt;&gt;"TransfereGOV",
ROUND(OFFSET($P34,0,AF$13),15-13*ORÇAMENTO!$AF$7)/$H34*OFFSET(ORÇAMENTO!$X$15,ROW(AF34)-ROW(AF$15),0),
ROUND(ROUND(OFFSET($P34,0,AF$13),15-13*ORÇAMENTO!$AF$7)*OFFSET(ORÇAMENTO!$W$15,ROW(AF34)-ROW(AF$15),0),15-13*ORÇAMENTO!$AF$11)),0)</f>
        <v>0</v>
      </c>
      <c r="AG34" s="631">
        <f ca="1">IF(AND($D34="Serviço",AG$12&lt;&gt;0,$H34&gt;0,OR(AUTOEVENTO&lt;&gt;"manual",$M34&lt;&gt;1)),
IF(Import.TipoArredondamento&lt;&gt;"TransfereGOV",
ROUND(OFFSET($P34,0,AG$13),15-13*ORÇAMENTO!$AF$7)/$H34*OFFSET(ORÇAMENTO!$X$15,ROW(AG34)-ROW(AG$15),0),
ROUND(ROUND(OFFSET($P34,0,AG$13),15-13*ORÇAMENTO!$AF$7)*OFFSET(ORÇAMENTO!$W$15,ROW(AG34)-ROW(AG$15),0),15-13*ORÇAMENTO!$AF$11)),0)</f>
        <v>0</v>
      </c>
      <c r="AH34" s="631">
        <f ca="1">IF(AND($D34="Serviço",AH$12&lt;&gt;0,$H34&gt;0,OR(AUTOEVENTO&lt;&gt;"manual",$M34&lt;&gt;1)),
IF(Import.TipoArredondamento&lt;&gt;"TransfereGOV",
ROUND(OFFSET($P34,0,AH$13),15-13*ORÇAMENTO!$AF$7)/$H34*OFFSET(ORÇAMENTO!$X$15,ROW(AH34)-ROW(AH$15),0),
ROUND(ROUND(OFFSET($P34,0,AH$13),15-13*ORÇAMENTO!$AF$7)*OFFSET(ORÇAMENTO!$W$15,ROW(AH34)-ROW(AH$15),0),15-13*ORÇAMENTO!$AF$11)),0)</f>
        <v>0</v>
      </c>
      <c r="AI34" s="631">
        <f ca="1">IF(AND($D34="Serviço",AI$12&lt;&gt;0,$H34&gt;0,OR(AUTOEVENTO&lt;&gt;"manual",$M34&lt;&gt;1)),
IF(Import.TipoArredondamento&lt;&gt;"TransfereGOV",
ROUND(OFFSET($P34,0,AI$13),15-13*ORÇAMENTO!$AF$7)/$H34*OFFSET(ORÇAMENTO!$X$15,ROW(AI34)-ROW(AI$15),0),
ROUND(ROUND(OFFSET($P34,0,AI$13),15-13*ORÇAMENTO!$AF$7)*OFFSET(ORÇAMENTO!$W$15,ROW(AI34)-ROW(AI$15),0),15-13*ORÇAMENTO!$AF$11)),0)</f>
        <v>0</v>
      </c>
      <c r="AJ34" s="631">
        <f ca="1">IF(AND($D34="Serviço",AJ$12&lt;&gt;0,$H34&gt;0,OR(AUTOEVENTO&lt;&gt;"manual",$M34&lt;&gt;1)),
IF(Import.TipoArredondamento&lt;&gt;"TransfereGOV",
ROUND(OFFSET($P34,0,AJ$13),15-13*ORÇAMENTO!$AF$7)/$H34*OFFSET(ORÇAMENTO!$X$15,ROW(AJ34)-ROW(AJ$15),0),
ROUND(ROUND(OFFSET($P34,0,AJ$13),15-13*ORÇAMENTO!$AF$7)*OFFSET(ORÇAMENTO!$W$15,ROW(AJ34)-ROW(AJ$15),0),15-13*ORÇAMENTO!$AF$11)),0)</f>
        <v>0</v>
      </c>
      <c r="AK34" s="632">
        <f ca="1">IF(AND($D34="Serviço",AK$12&lt;&gt;0,$H34&gt;0,OR(AUTOEVENTO&lt;&gt;"manual",$M34&lt;&gt;1)),
IF(Import.TipoArredondamento&lt;&gt;"TransfereGOV",
ROUND(OFFSET($P34,0,AK$13),15-13*ORÇAMENTO!$AF$7)/$H34*OFFSET(ORÇAMENTO!$X$15,ROW(AK34)-ROW(AK$15),0),
ROUND(ROUND(OFFSET($P34,0,AK$13),15-13*ORÇAMENTO!$AF$7)*OFFSET(ORÇAMENTO!$W$15,ROW(AK34)-ROW(AK$15),0),15-13*ORÇAMENTO!$AF$11)),0)</f>
        <v>0</v>
      </c>
      <c r="AM34" s="215">
        <f ca="1">IF($D34&lt;&gt;"Serviço",0,IF(AND(AUTOEVENTO="Manual",$M34=1),0,IF(OFFSET(CRONOPLE!$F$14,$M34,AM$13)="",10^12,OFFSET(CRONOPLE!$F$14,$M34,AM$13))))</f>
        <v>1000000000000</v>
      </c>
      <c r="AN34" s="215">
        <f ca="1">IF($D34&lt;&gt;"Serviço",0,IF(AND(AUTOEVENTO="Manual",$M34=1),0,IF(OFFSET(CRONOPLE!$F$14,$M34,AN$13)="",10^12,OFFSET(CRONOPLE!$F$14,$M34,AN$13))))</f>
        <v>1000000000000</v>
      </c>
      <c r="AO34" s="215">
        <f ca="1">IF($D34&lt;&gt;"Serviço",0,IF(AND(AUTOEVENTO="Manual",$M34=1),0,IF(OFFSET(CRONOPLE!$F$14,$M34,AO$13)="",10^12,OFFSET(CRONOPLE!$F$14,$M34,AO$13))))</f>
        <v>1000000000000</v>
      </c>
      <c r="AP34" s="215">
        <f ca="1">IF($D34&lt;&gt;"Serviço",0,IF(AND(AUTOEVENTO="Manual",$M34=1),0,IF(OFFSET(CRONOPLE!$F$14,$M34,AP$13)="",10^12,OFFSET(CRONOPLE!$F$14,$M34,AP$13))))</f>
        <v>1000000000000</v>
      </c>
      <c r="AQ34" s="215">
        <f ca="1">IF($D34&lt;&gt;"Serviço",0,IF(AND(AUTOEVENTO="Manual",$M34=1),0,IF(OFFSET(CRONOPLE!$F$14,$M34,AQ$13)="",10^12,OFFSET(CRONOPLE!$F$14,$M34,AQ$13))))</f>
        <v>1000000000000</v>
      </c>
      <c r="AR34" s="215">
        <f ca="1">IF($D34&lt;&gt;"Serviço",0,IF(AND(AUTOEVENTO="Manual",$M34=1),0,IF(OFFSET(CRONOPLE!$F$14,$M34,AR$13)="",10^12,OFFSET(CRONOPLE!$F$14,$M34,AR$13))))</f>
        <v>1000000000000</v>
      </c>
      <c r="AS34" s="215">
        <f ca="1">IF($D34&lt;&gt;"Serviço",0,IF(AND(AUTOEVENTO="Manual",$M34=1),0,IF(OFFSET(CRONOPLE!$F$14,$M34,AS$13)="",10^12,OFFSET(CRONOPLE!$F$14,$M34,AS$13))))</f>
        <v>1000000000000</v>
      </c>
      <c r="AT34" s="215">
        <f ca="1">IF($D34&lt;&gt;"Serviço",0,IF(AND(AUTOEVENTO="Manual",$M34=1),0,IF(OFFSET(CRONOPLE!$F$14,$M34,AT$13)="",10^12,OFFSET(CRONOPLE!$F$14,$M34,AT$13))))</f>
        <v>1000000000000</v>
      </c>
      <c r="AU34" s="215">
        <f ca="1">IF($D34&lt;&gt;"Serviço",0,IF(AND(AUTOEVENTO="Manual",$M34=1),0,IF(OFFSET(CRONOPLE!$F$14,$M34,AU$13)="",10^12,OFFSET(CRONOPLE!$F$14,$M34,AU$13))))</f>
        <v>1000000000000</v>
      </c>
      <c r="AV34" s="215">
        <f ca="1">IF($D34&lt;&gt;"Serviço",0,IF(AND(AUTOEVENTO="Manual",$M34=1),0,IF(OFFSET(CRONOPLE!$F$14,$M34,AV$13)="",10^12,OFFSET(CRONOPLE!$F$14,$M34,AV$13))))</f>
        <v>1000000000000</v>
      </c>
      <c r="AX34" s="216">
        <f ca="1">IF($D34&lt;&gt;"Serviço",0,IF(OR(AND(AUTOEVENTO="Manual",$M34=1),$M34&gt;(ROW(PLE.lastrow)-ROW(PLE.firstrow))),0,IF(OFFSET(PLE!$G$14,$M34,AX$13)="",10^12,OFFSET(PLE!$G$14,$M34,AX$13))))</f>
        <v>1000000000000</v>
      </c>
      <c r="AY34" s="216">
        <f ca="1">IF($D34&lt;&gt;"Serviço",0,IF(OR(AND(AUTOEVENTO="Manual",$M34=1),$M34&gt;(ROW(PLE.lastrow)-ROW(PLE.firstrow))),0,IF(OFFSET(PLE!$G$14,$M34,AY$13)="",10^12,OFFSET(PLE!$G$14,$M34,AY$13))))</f>
        <v>1000000000000</v>
      </c>
      <c r="AZ34" s="216">
        <f ca="1">IF($D34&lt;&gt;"Serviço",0,IF(OR(AND(AUTOEVENTO="Manual",$M34=1),$M34&gt;(ROW(PLE.lastrow)-ROW(PLE.firstrow))),0,IF(OFFSET(PLE!$G$14,$M34,AZ$13)="",10^12,OFFSET(PLE!$G$14,$M34,AZ$13))))</f>
        <v>1000000000000</v>
      </c>
      <c r="BA34" s="216">
        <f ca="1">IF($D34&lt;&gt;"Serviço",0,IF(OR(AND(AUTOEVENTO="Manual",$M34=1),$M34&gt;(ROW(PLE.lastrow)-ROW(PLE.firstrow))),0,IF(OFFSET(PLE!$G$14,$M34,BA$13)="",10^12,OFFSET(PLE!$G$14,$M34,BA$13))))</f>
        <v>1000000000000</v>
      </c>
      <c r="BB34" s="216">
        <f ca="1">IF($D34&lt;&gt;"Serviço",0,IF(OR(AND(AUTOEVENTO="Manual",$M34=1),$M34&gt;(ROW(PLE.lastrow)-ROW(PLE.firstrow))),0,IF(OFFSET(PLE!$G$14,$M34,BB$13)="",10^12,OFFSET(PLE!$G$14,$M34,BB$13))))</f>
        <v>1000000000000</v>
      </c>
      <c r="BC34" s="216">
        <f ca="1">IF($D34&lt;&gt;"Serviço",0,IF(OR(AND(AUTOEVENTO="Manual",$M34=1),$M34&gt;(ROW(PLE.lastrow)-ROW(PLE.firstrow))),0,IF(OFFSET(PLE!$G$14,$M34,BC$13)="",10^12,OFFSET(PLE!$G$14,$M34,BC$13))))</f>
        <v>1000000000000</v>
      </c>
      <c r="BD34" s="216">
        <f ca="1">IF($D34&lt;&gt;"Serviço",0,IF(OR(AND(AUTOEVENTO="Manual",$M34=1),$M34&gt;(ROW(PLE.lastrow)-ROW(PLE.firstrow))),0,IF(OFFSET(PLE!$G$14,$M34,BD$13)="",10^12,OFFSET(PLE!$G$14,$M34,BD$13))))</f>
        <v>1000000000000</v>
      </c>
      <c r="BE34" s="216">
        <f ca="1">IF($D34&lt;&gt;"Serviço",0,IF(OR(AND(AUTOEVENTO="Manual",$M34=1),$M34&gt;(ROW(PLE.lastrow)-ROW(PLE.firstrow))),0,IF(OFFSET(PLE!$G$14,$M34,BE$13)="",10^12,OFFSET(PLE!$G$14,$M34,BE$13))))</f>
        <v>1000000000000</v>
      </c>
      <c r="BF34" s="216">
        <f ca="1">IF($D34&lt;&gt;"Serviço",0,IF(OR(AND(AUTOEVENTO="Manual",$M34=1),$M34&gt;(ROW(PLE.lastrow)-ROW(PLE.firstrow))),0,IF(OFFSET(PLE!$G$14,$M34,BF$13)="",10^12,OFFSET(PLE!$G$14,$M34,BF$13))))</f>
        <v>1000000000000</v>
      </c>
      <c r="BG34" s="216">
        <f ca="1">IF($D34&lt;&gt;"Serviço",0,IF(OR(AND(AUTOEVENTO="Manual",$M34=1),$M34&gt;(ROW(PLE.lastrow)-ROW(PLE.firstrow))),0,IF(OFFSET(PLE!$G$14,$M34,BG$13)="",10^12,OFFSET(PLE!$G$14,$M34,BG$13))))</f>
        <v>1000000000000</v>
      </c>
    </row>
    <row r="35" spans="1:59" ht="25.5" x14ac:dyDescent="0.2">
      <c r="A35" s="9" t="str">
        <f t="shared" ca="1" si="8"/>
        <v>16</v>
      </c>
      <c r="B35" s="9" t="str">
        <f ca="1">OFFSET(ORÇAMENTO!C$15,ROW(B35)-ROW(B$15),0)</f>
        <v>S</v>
      </c>
      <c r="C35" s="9" t="str">
        <f ca="1">OFFSET(ORÇAMENTO!L$15,ROW(C35)-ROW(C$15),0)</f>
        <v/>
      </c>
      <c r="D35" s="145" t="str">
        <f ca="1">OFFSET(ORÇAMENTO!N$15,ROW(D35)-ROW(D$15),0)</f>
        <v>Serviço</v>
      </c>
      <c r="E35" s="205" t="str">
        <f ca="1">OFFSET(ORÇAMENTO!O$15,ROW(E35)-ROW(E$15),0)</f>
        <v>-</v>
      </c>
      <c r="F35" s="206" t="str">
        <f ca="1">OFFSET(ORÇAMENTO!R$15,ROW(F35)-ROW(F$15),0)</f>
        <v>ARMAÇÃO DE BLOCO UTILIZANDO AÇO CA-50 DE 6,3 MM - MONTAGEM. AF_01/2024</v>
      </c>
      <c r="G35" s="207" t="str">
        <f ca="1">IF($D35&lt;&gt;"Serviço","",OFFSET(ORÇAMENTO!S$15,ROW(G35)-ROW(G$15),0))</f>
        <v>KG</v>
      </c>
      <c r="H35" s="151">
        <f ca="1">IF($D35&lt;&gt;"Serviço",0,IF(ACOMPANHAMENTO="BM",ROUND(OFFSET(ORÇAMENTO!AJ$15,ROW(H35)-ROW(H$15),0),15-13*ORÇAMENTO!$AF$7),SUMPRODUCT(($Q$12:$AA$12&lt;&gt;"")*ROUND($Q35:$AA35,15-13*ORÇAMENTO!$AF$7))))</f>
        <v>31.9</v>
      </c>
      <c r="I35" s="649"/>
      <c r="K35" s="208"/>
      <c r="L35" s="209" t="s">
        <v>255</v>
      </c>
      <c r="M35" s="210">
        <f ca="1">IF($D35&lt;&gt;"Serviço","",IF(AUTOEVENTO="manual",$A35,IF(ISERROR(MATCH($A35,$A$15:OFFSET($A35,-1,0),0)),MAX($M$15:OFFSET(M35,-1,0))+1,INDEX($M$15:OFFSET(M35,-1,0),MATCH($A35,$A$15:OFFSET($A35,-1,0),0)))))</f>
        <v>5</v>
      </c>
      <c r="N35" s="211" t="str">
        <f ca="1">IF($D35&lt;&gt;"Serviço","",IF(AUTOEVENTO="Manual",IF($A35=0,"&lt;-- defina o número do agrupador",OFFSET(EVENTOS!$D$14,$A35,0)),OFFSET($F$15,$A35,0)))</f>
        <v>FUNDAÇÃO (estaca e blocos)</v>
      </c>
      <c r="O35" s="212"/>
      <c r="Q35" s="212"/>
      <c r="R35" s="213"/>
      <c r="S35" s="213"/>
      <c r="T35" s="213"/>
      <c r="U35" s="213"/>
      <c r="V35" s="213"/>
      <c r="W35" s="213"/>
      <c r="X35" s="213"/>
      <c r="Y35" s="213"/>
      <c r="Z35" s="214"/>
      <c r="AB35" s="630">
        <f ca="1">IF(AND($D35="Serviço",AB$12&lt;&gt;0,$H35&gt;0,OR(AUTOEVENTO&lt;&gt;"manual",$M35&lt;&gt;1)),
IF(Import.TipoArredondamento&lt;&gt;"TransfereGOV",
ROUND(OFFSET($P35,0,AB$13),15-13*ORÇAMENTO!$AF$7)/$H35*OFFSET(ORÇAMENTO!$X$15,ROW(AB35)-ROW(AB$15),0),
ROUND(ROUND(OFFSET($P35,0,AB$13),15-13*ORÇAMENTO!$AF$7)*OFFSET(ORÇAMENTO!$W$15,ROW(AB35)-ROW(AB$15),0),15-13*ORÇAMENTO!$AF$11)),0)</f>
        <v>0</v>
      </c>
      <c r="AC35" s="631">
        <f ca="1">IF(AND($D35="Serviço",AC$12&lt;&gt;0,$H35&gt;0,OR(AUTOEVENTO&lt;&gt;"manual",$M35&lt;&gt;1)),
IF(Import.TipoArredondamento&lt;&gt;"TransfereGOV",
ROUND(OFFSET($P35,0,AC$13),15-13*ORÇAMENTO!$AF$7)/$H35*OFFSET(ORÇAMENTO!$X$15,ROW(AC35)-ROW(AC$15),0),
ROUND(ROUND(OFFSET($P35,0,AC$13),15-13*ORÇAMENTO!$AF$7)*OFFSET(ORÇAMENTO!$W$15,ROW(AC35)-ROW(AC$15),0),15-13*ORÇAMENTO!$AF$11)),0)</f>
        <v>0</v>
      </c>
      <c r="AD35" s="631">
        <f ca="1">IF(AND($D35="Serviço",AD$12&lt;&gt;0,$H35&gt;0,OR(AUTOEVENTO&lt;&gt;"manual",$M35&lt;&gt;1)),
IF(Import.TipoArredondamento&lt;&gt;"TransfereGOV",
ROUND(OFFSET($P35,0,AD$13),15-13*ORÇAMENTO!$AF$7)/$H35*OFFSET(ORÇAMENTO!$X$15,ROW(AD35)-ROW(AD$15),0),
ROUND(ROUND(OFFSET($P35,0,AD$13),15-13*ORÇAMENTO!$AF$7)*OFFSET(ORÇAMENTO!$W$15,ROW(AD35)-ROW(AD$15),0),15-13*ORÇAMENTO!$AF$11)),0)</f>
        <v>0</v>
      </c>
      <c r="AE35" s="631">
        <f ca="1">IF(AND($D35="Serviço",AE$12&lt;&gt;0,$H35&gt;0,OR(AUTOEVENTO&lt;&gt;"manual",$M35&lt;&gt;1)),
IF(Import.TipoArredondamento&lt;&gt;"TransfereGOV",
ROUND(OFFSET($P35,0,AE$13),15-13*ORÇAMENTO!$AF$7)/$H35*OFFSET(ORÇAMENTO!$X$15,ROW(AE35)-ROW(AE$15),0),
ROUND(ROUND(OFFSET($P35,0,AE$13),15-13*ORÇAMENTO!$AF$7)*OFFSET(ORÇAMENTO!$W$15,ROW(AE35)-ROW(AE$15),0),15-13*ORÇAMENTO!$AF$11)),0)</f>
        <v>0</v>
      </c>
      <c r="AF35" s="631">
        <f ca="1">IF(AND($D35="Serviço",AF$12&lt;&gt;0,$H35&gt;0,OR(AUTOEVENTO&lt;&gt;"manual",$M35&lt;&gt;1)),
IF(Import.TipoArredondamento&lt;&gt;"TransfereGOV",
ROUND(OFFSET($P35,0,AF$13),15-13*ORÇAMENTO!$AF$7)/$H35*OFFSET(ORÇAMENTO!$X$15,ROW(AF35)-ROW(AF$15),0),
ROUND(ROUND(OFFSET($P35,0,AF$13),15-13*ORÇAMENTO!$AF$7)*OFFSET(ORÇAMENTO!$W$15,ROW(AF35)-ROW(AF$15),0),15-13*ORÇAMENTO!$AF$11)),0)</f>
        <v>0</v>
      </c>
      <c r="AG35" s="631">
        <f ca="1">IF(AND($D35="Serviço",AG$12&lt;&gt;0,$H35&gt;0,OR(AUTOEVENTO&lt;&gt;"manual",$M35&lt;&gt;1)),
IF(Import.TipoArredondamento&lt;&gt;"TransfereGOV",
ROUND(OFFSET($P35,0,AG$13),15-13*ORÇAMENTO!$AF$7)/$H35*OFFSET(ORÇAMENTO!$X$15,ROW(AG35)-ROW(AG$15),0),
ROUND(ROUND(OFFSET($P35,0,AG$13),15-13*ORÇAMENTO!$AF$7)*OFFSET(ORÇAMENTO!$W$15,ROW(AG35)-ROW(AG$15),0),15-13*ORÇAMENTO!$AF$11)),0)</f>
        <v>0</v>
      </c>
      <c r="AH35" s="631">
        <f ca="1">IF(AND($D35="Serviço",AH$12&lt;&gt;0,$H35&gt;0,OR(AUTOEVENTO&lt;&gt;"manual",$M35&lt;&gt;1)),
IF(Import.TipoArredondamento&lt;&gt;"TransfereGOV",
ROUND(OFFSET($P35,0,AH$13),15-13*ORÇAMENTO!$AF$7)/$H35*OFFSET(ORÇAMENTO!$X$15,ROW(AH35)-ROW(AH$15),0),
ROUND(ROUND(OFFSET($P35,0,AH$13),15-13*ORÇAMENTO!$AF$7)*OFFSET(ORÇAMENTO!$W$15,ROW(AH35)-ROW(AH$15),0),15-13*ORÇAMENTO!$AF$11)),0)</f>
        <v>0</v>
      </c>
      <c r="AI35" s="631">
        <f ca="1">IF(AND($D35="Serviço",AI$12&lt;&gt;0,$H35&gt;0,OR(AUTOEVENTO&lt;&gt;"manual",$M35&lt;&gt;1)),
IF(Import.TipoArredondamento&lt;&gt;"TransfereGOV",
ROUND(OFFSET($P35,0,AI$13),15-13*ORÇAMENTO!$AF$7)/$H35*OFFSET(ORÇAMENTO!$X$15,ROW(AI35)-ROW(AI$15),0),
ROUND(ROUND(OFFSET($P35,0,AI$13),15-13*ORÇAMENTO!$AF$7)*OFFSET(ORÇAMENTO!$W$15,ROW(AI35)-ROW(AI$15),0),15-13*ORÇAMENTO!$AF$11)),0)</f>
        <v>0</v>
      </c>
      <c r="AJ35" s="631">
        <f ca="1">IF(AND($D35="Serviço",AJ$12&lt;&gt;0,$H35&gt;0,OR(AUTOEVENTO&lt;&gt;"manual",$M35&lt;&gt;1)),
IF(Import.TipoArredondamento&lt;&gt;"TransfereGOV",
ROUND(OFFSET($P35,0,AJ$13),15-13*ORÇAMENTO!$AF$7)/$H35*OFFSET(ORÇAMENTO!$X$15,ROW(AJ35)-ROW(AJ$15),0),
ROUND(ROUND(OFFSET($P35,0,AJ$13),15-13*ORÇAMENTO!$AF$7)*OFFSET(ORÇAMENTO!$W$15,ROW(AJ35)-ROW(AJ$15),0),15-13*ORÇAMENTO!$AF$11)),0)</f>
        <v>0</v>
      </c>
      <c r="AK35" s="632">
        <f ca="1">IF(AND($D35="Serviço",AK$12&lt;&gt;0,$H35&gt;0,OR(AUTOEVENTO&lt;&gt;"manual",$M35&lt;&gt;1)),
IF(Import.TipoArredondamento&lt;&gt;"TransfereGOV",
ROUND(OFFSET($P35,0,AK$13),15-13*ORÇAMENTO!$AF$7)/$H35*OFFSET(ORÇAMENTO!$X$15,ROW(AK35)-ROW(AK$15),0),
ROUND(ROUND(OFFSET($P35,0,AK$13),15-13*ORÇAMENTO!$AF$7)*OFFSET(ORÇAMENTO!$W$15,ROW(AK35)-ROW(AK$15),0),15-13*ORÇAMENTO!$AF$11)),0)</f>
        <v>0</v>
      </c>
      <c r="AM35" s="215">
        <f ca="1">IF($D35&lt;&gt;"Serviço",0,IF(AND(AUTOEVENTO="Manual",$M35=1),0,IF(OFFSET(CRONOPLE!$F$14,$M35,AM$13)="",10^12,OFFSET(CRONOPLE!$F$14,$M35,AM$13))))</f>
        <v>1000000000000</v>
      </c>
      <c r="AN35" s="215">
        <f ca="1">IF($D35&lt;&gt;"Serviço",0,IF(AND(AUTOEVENTO="Manual",$M35=1),0,IF(OFFSET(CRONOPLE!$F$14,$M35,AN$13)="",10^12,OFFSET(CRONOPLE!$F$14,$M35,AN$13))))</f>
        <v>1000000000000</v>
      </c>
      <c r="AO35" s="215">
        <f ca="1">IF($D35&lt;&gt;"Serviço",0,IF(AND(AUTOEVENTO="Manual",$M35=1),0,IF(OFFSET(CRONOPLE!$F$14,$M35,AO$13)="",10^12,OFFSET(CRONOPLE!$F$14,$M35,AO$13))))</f>
        <v>1000000000000</v>
      </c>
      <c r="AP35" s="215">
        <f ca="1">IF($D35&lt;&gt;"Serviço",0,IF(AND(AUTOEVENTO="Manual",$M35=1),0,IF(OFFSET(CRONOPLE!$F$14,$M35,AP$13)="",10^12,OFFSET(CRONOPLE!$F$14,$M35,AP$13))))</f>
        <v>1000000000000</v>
      </c>
      <c r="AQ35" s="215">
        <f ca="1">IF($D35&lt;&gt;"Serviço",0,IF(AND(AUTOEVENTO="Manual",$M35=1),0,IF(OFFSET(CRONOPLE!$F$14,$M35,AQ$13)="",10^12,OFFSET(CRONOPLE!$F$14,$M35,AQ$13))))</f>
        <v>1000000000000</v>
      </c>
      <c r="AR35" s="215">
        <f ca="1">IF($D35&lt;&gt;"Serviço",0,IF(AND(AUTOEVENTO="Manual",$M35=1),0,IF(OFFSET(CRONOPLE!$F$14,$M35,AR$13)="",10^12,OFFSET(CRONOPLE!$F$14,$M35,AR$13))))</f>
        <v>1000000000000</v>
      </c>
      <c r="AS35" s="215">
        <f ca="1">IF($D35&lt;&gt;"Serviço",0,IF(AND(AUTOEVENTO="Manual",$M35=1),0,IF(OFFSET(CRONOPLE!$F$14,$M35,AS$13)="",10^12,OFFSET(CRONOPLE!$F$14,$M35,AS$13))))</f>
        <v>1000000000000</v>
      </c>
      <c r="AT35" s="215">
        <f ca="1">IF($D35&lt;&gt;"Serviço",0,IF(AND(AUTOEVENTO="Manual",$M35=1),0,IF(OFFSET(CRONOPLE!$F$14,$M35,AT$13)="",10^12,OFFSET(CRONOPLE!$F$14,$M35,AT$13))))</f>
        <v>1000000000000</v>
      </c>
      <c r="AU35" s="215">
        <f ca="1">IF($D35&lt;&gt;"Serviço",0,IF(AND(AUTOEVENTO="Manual",$M35=1),0,IF(OFFSET(CRONOPLE!$F$14,$M35,AU$13)="",10^12,OFFSET(CRONOPLE!$F$14,$M35,AU$13))))</f>
        <v>1000000000000</v>
      </c>
      <c r="AV35" s="215">
        <f ca="1">IF($D35&lt;&gt;"Serviço",0,IF(AND(AUTOEVENTO="Manual",$M35=1),0,IF(OFFSET(CRONOPLE!$F$14,$M35,AV$13)="",10^12,OFFSET(CRONOPLE!$F$14,$M35,AV$13))))</f>
        <v>1000000000000</v>
      </c>
      <c r="AX35" s="216">
        <f ca="1">IF($D35&lt;&gt;"Serviço",0,IF(OR(AND(AUTOEVENTO="Manual",$M35=1),$M35&gt;(ROW(PLE.lastrow)-ROW(PLE.firstrow))),0,IF(OFFSET(PLE!$G$14,$M35,AX$13)="",10^12,OFFSET(PLE!$G$14,$M35,AX$13))))</f>
        <v>1000000000000</v>
      </c>
      <c r="AY35" s="216">
        <f ca="1">IF($D35&lt;&gt;"Serviço",0,IF(OR(AND(AUTOEVENTO="Manual",$M35=1),$M35&gt;(ROW(PLE.lastrow)-ROW(PLE.firstrow))),0,IF(OFFSET(PLE!$G$14,$M35,AY$13)="",10^12,OFFSET(PLE!$G$14,$M35,AY$13))))</f>
        <v>1000000000000</v>
      </c>
      <c r="AZ35" s="216">
        <f ca="1">IF($D35&lt;&gt;"Serviço",0,IF(OR(AND(AUTOEVENTO="Manual",$M35=1),$M35&gt;(ROW(PLE.lastrow)-ROW(PLE.firstrow))),0,IF(OFFSET(PLE!$G$14,$M35,AZ$13)="",10^12,OFFSET(PLE!$G$14,$M35,AZ$13))))</f>
        <v>1000000000000</v>
      </c>
      <c r="BA35" s="216">
        <f ca="1">IF($D35&lt;&gt;"Serviço",0,IF(OR(AND(AUTOEVENTO="Manual",$M35=1),$M35&gt;(ROW(PLE.lastrow)-ROW(PLE.firstrow))),0,IF(OFFSET(PLE!$G$14,$M35,BA$13)="",10^12,OFFSET(PLE!$G$14,$M35,BA$13))))</f>
        <v>1000000000000</v>
      </c>
      <c r="BB35" s="216">
        <f ca="1">IF($D35&lt;&gt;"Serviço",0,IF(OR(AND(AUTOEVENTO="Manual",$M35=1),$M35&gt;(ROW(PLE.lastrow)-ROW(PLE.firstrow))),0,IF(OFFSET(PLE!$G$14,$M35,BB$13)="",10^12,OFFSET(PLE!$G$14,$M35,BB$13))))</f>
        <v>1000000000000</v>
      </c>
      <c r="BC35" s="216">
        <f ca="1">IF($D35&lt;&gt;"Serviço",0,IF(OR(AND(AUTOEVENTO="Manual",$M35=1),$M35&gt;(ROW(PLE.lastrow)-ROW(PLE.firstrow))),0,IF(OFFSET(PLE!$G$14,$M35,BC$13)="",10^12,OFFSET(PLE!$G$14,$M35,BC$13))))</f>
        <v>1000000000000</v>
      </c>
      <c r="BD35" s="216">
        <f ca="1">IF($D35&lt;&gt;"Serviço",0,IF(OR(AND(AUTOEVENTO="Manual",$M35=1),$M35&gt;(ROW(PLE.lastrow)-ROW(PLE.firstrow))),0,IF(OFFSET(PLE!$G$14,$M35,BD$13)="",10^12,OFFSET(PLE!$G$14,$M35,BD$13))))</f>
        <v>1000000000000</v>
      </c>
      <c r="BE35" s="216">
        <f ca="1">IF($D35&lt;&gt;"Serviço",0,IF(OR(AND(AUTOEVENTO="Manual",$M35=1),$M35&gt;(ROW(PLE.lastrow)-ROW(PLE.firstrow))),0,IF(OFFSET(PLE!$G$14,$M35,BE$13)="",10^12,OFFSET(PLE!$G$14,$M35,BE$13))))</f>
        <v>1000000000000</v>
      </c>
      <c r="BF35" s="216">
        <f ca="1">IF($D35&lt;&gt;"Serviço",0,IF(OR(AND(AUTOEVENTO="Manual",$M35=1),$M35&gt;(ROW(PLE.lastrow)-ROW(PLE.firstrow))),0,IF(OFFSET(PLE!$G$14,$M35,BF$13)="",10^12,OFFSET(PLE!$G$14,$M35,BF$13))))</f>
        <v>1000000000000</v>
      </c>
      <c r="BG35" s="216">
        <f ca="1">IF($D35&lt;&gt;"Serviço",0,IF(OR(AND(AUTOEVENTO="Manual",$M35=1),$M35&gt;(ROW(PLE.lastrow)-ROW(PLE.firstrow))),0,IF(OFFSET(PLE!$G$14,$M35,BG$13)="",10^12,OFFSET(PLE!$G$14,$M35,BG$13))))</f>
        <v>1000000000000</v>
      </c>
    </row>
    <row r="36" spans="1:59" ht="25.5" x14ac:dyDescent="0.2">
      <c r="A36" s="9" t="str">
        <f t="shared" ca="1" si="8"/>
        <v>16</v>
      </c>
      <c r="B36" s="9" t="str">
        <f ca="1">OFFSET(ORÇAMENTO!C$15,ROW(B36)-ROW(B$15),0)</f>
        <v>S</v>
      </c>
      <c r="C36" s="9" t="str">
        <f ca="1">OFFSET(ORÇAMENTO!L$15,ROW(C36)-ROW(C$15),0)</f>
        <v/>
      </c>
      <c r="D36" s="145" t="str">
        <f ca="1">OFFSET(ORÇAMENTO!N$15,ROW(D36)-ROW(D$15),0)</f>
        <v>Serviço</v>
      </c>
      <c r="E36" s="205" t="str">
        <f ca="1">OFFSET(ORÇAMENTO!O$15,ROW(E36)-ROW(E$15),0)</f>
        <v>-</v>
      </c>
      <c r="F36" s="206" t="str">
        <f ca="1">OFFSET(ORÇAMENTO!R$15,ROW(F36)-ROW(F$15),0)</f>
        <v>ARMAÇÃO DE BLOCO UTILIZANDO AÇO CA-50 DE 8 MM - MONTAGEM. AF_01/2024</v>
      </c>
      <c r="G36" s="207" t="str">
        <f ca="1">IF($D36&lt;&gt;"Serviço","",OFFSET(ORÇAMENTO!S$15,ROW(G36)-ROW(G$15),0))</f>
        <v>KG</v>
      </c>
      <c r="H36" s="151">
        <f ca="1">IF($D36&lt;&gt;"Serviço",0,IF(ACOMPANHAMENTO="BM",ROUND(OFFSET(ORÇAMENTO!AJ$15,ROW(H36)-ROW(H$15),0),15-13*ORÇAMENTO!$AF$7),SUMPRODUCT(($Q$12:$AA$12&lt;&gt;"")*ROUND($Q36:$AA36,15-13*ORÇAMENTO!$AF$7))))</f>
        <v>183.8</v>
      </c>
      <c r="I36" s="649"/>
      <c r="K36" s="208"/>
      <c r="L36" s="209" t="s">
        <v>255</v>
      </c>
      <c r="M36" s="210">
        <f ca="1">IF($D36&lt;&gt;"Serviço","",IF(AUTOEVENTO="manual",$A36,IF(ISERROR(MATCH($A36,$A$15:OFFSET($A36,-1,0),0)),MAX($M$15:OFFSET(M36,-1,0))+1,INDEX($M$15:OFFSET(M36,-1,0),MATCH($A36,$A$15:OFFSET($A36,-1,0),0)))))</f>
        <v>5</v>
      </c>
      <c r="N36" s="211" t="str">
        <f ca="1">IF($D36&lt;&gt;"Serviço","",IF(AUTOEVENTO="Manual",IF($A36=0,"&lt;-- defina o número do agrupador",OFFSET(EVENTOS!$D$14,$A36,0)),OFFSET($F$15,$A36,0)))</f>
        <v>FUNDAÇÃO (estaca e blocos)</v>
      </c>
      <c r="O36" s="212"/>
      <c r="Q36" s="212"/>
      <c r="R36" s="213"/>
      <c r="S36" s="213"/>
      <c r="T36" s="213"/>
      <c r="U36" s="213"/>
      <c r="V36" s="213"/>
      <c r="W36" s="213"/>
      <c r="X36" s="213"/>
      <c r="Y36" s="213"/>
      <c r="Z36" s="214"/>
      <c r="AB36" s="630">
        <f ca="1">IF(AND($D36="Serviço",AB$12&lt;&gt;0,$H36&gt;0,OR(AUTOEVENTO&lt;&gt;"manual",$M36&lt;&gt;1)),
IF(Import.TipoArredondamento&lt;&gt;"TransfereGOV",
ROUND(OFFSET($P36,0,AB$13),15-13*ORÇAMENTO!$AF$7)/$H36*OFFSET(ORÇAMENTO!$X$15,ROW(AB36)-ROW(AB$15),0),
ROUND(ROUND(OFFSET($P36,0,AB$13),15-13*ORÇAMENTO!$AF$7)*OFFSET(ORÇAMENTO!$W$15,ROW(AB36)-ROW(AB$15),0),15-13*ORÇAMENTO!$AF$11)),0)</f>
        <v>0</v>
      </c>
      <c r="AC36" s="631">
        <f ca="1">IF(AND($D36="Serviço",AC$12&lt;&gt;0,$H36&gt;0,OR(AUTOEVENTO&lt;&gt;"manual",$M36&lt;&gt;1)),
IF(Import.TipoArredondamento&lt;&gt;"TransfereGOV",
ROUND(OFFSET($P36,0,AC$13),15-13*ORÇAMENTO!$AF$7)/$H36*OFFSET(ORÇAMENTO!$X$15,ROW(AC36)-ROW(AC$15),0),
ROUND(ROUND(OFFSET($P36,0,AC$13),15-13*ORÇAMENTO!$AF$7)*OFFSET(ORÇAMENTO!$W$15,ROW(AC36)-ROW(AC$15),0),15-13*ORÇAMENTO!$AF$11)),0)</f>
        <v>0</v>
      </c>
      <c r="AD36" s="631">
        <f ca="1">IF(AND($D36="Serviço",AD$12&lt;&gt;0,$H36&gt;0,OR(AUTOEVENTO&lt;&gt;"manual",$M36&lt;&gt;1)),
IF(Import.TipoArredondamento&lt;&gt;"TransfereGOV",
ROUND(OFFSET($P36,0,AD$13),15-13*ORÇAMENTO!$AF$7)/$H36*OFFSET(ORÇAMENTO!$X$15,ROW(AD36)-ROW(AD$15),0),
ROUND(ROUND(OFFSET($P36,0,AD$13),15-13*ORÇAMENTO!$AF$7)*OFFSET(ORÇAMENTO!$W$15,ROW(AD36)-ROW(AD$15),0),15-13*ORÇAMENTO!$AF$11)),0)</f>
        <v>0</v>
      </c>
      <c r="AE36" s="631">
        <f ca="1">IF(AND($D36="Serviço",AE$12&lt;&gt;0,$H36&gt;0,OR(AUTOEVENTO&lt;&gt;"manual",$M36&lt;&gt;1)),
IF(Import.TipoArredondamento&lt;&gt;"TransfereGOV",
ROUND(OFFSET($P36,0,AE$13),15-13*ORÇAMENTO!$AF$7)/$H36*OFFSET(ORÇAMENTO!$X$15,ROW(AE36)-ROW(AE$15),0),
ROUND(ROUND(OFFSET($P36,0,AE$13),15-13*ORÇAMENTO!$AF$7)*OFFSET(ORÇAMENTO!$W$15,ROW(AE36)-ROW(AE$15),0),15-13*ORÇAMENTO!$AF$11)),0)</f>
        <v>0</v>
      </c>
      <c r="AF36" s="631">
        <f ca="1">IF(AND($D36="Serviço",AF$12&lt;&gt;0,$H36&gt;0,OR(AUTOEVENTO&lt;&gt;"manual",$M36&lt;&gt;1)),
IF(Import.TipoArredondamento&lt;&gt;"TransfereGOV",
ROUND(OFFSET($P36,0,AF$13),15-13*ORÇAMENTO!$AF$7)/$H36*OFFSET(ORÇAMENTO!$X$15,ROW(AF36)-ROW(AF$15),0),
ROUND(ROUND(OFFSET($P36,0,AF$13),15-13*ORÇAMENTO!$AF$7)*OFFSET(ORÇAMENTO!$W$15,ROW(AF36)-ROW(AF$15),0),15-13*ORÇAMENTO!$AF$11)),0)</f>
        <v>0</v>
      </c>
      <c r="AG36" s="631">
        <f ca="1">IF(AND($D36="Serviço",AG$12&lt;&gt;0,$H36&gt;0,OR(AUTOEVENTO&lt;&gt;"manual",$M36&lt;&gt;1)),
IF(Import.TipoArredondamento&lt;&gt;"TransfereGOV",
ROUND(OFFSET($P36,0,AG$13),15-13*ORÇAMENTO!$AF$7)/$H36*OFFSET(ORÇAMENTO!$X$15,ROW(AG36)-ROW(AG$15),0),
ROUND(ROUND(OFFSET($P36,0,AG$13),15-13*ORÇAMENTO!$AF$7)*OFFSET(ORÇAMENTO!$W$15,ROW(AG36)-ROW(AG$15),0),15-13*ORÇAMENTO!$AF$11)),0)</f>
        <v>0</v>
      </c>
      <c r="AH36" s="631">
        <f ca="1">IF(AND($D36="Serviço",AH$12&lt;&gt;0,$H36&gt;0,OR(AUTOEVENTO&lt;&gt;"manual",$M36&lt;&gt;1)),
IF(Import.TipoArredondamento&lt;&gt;"TransfereGOV",
ROUND(OFFSET($P36,0,AH$13),15-13*ORÇAMENTO!$AF$7)/$H36*OFFSET(ORÇAMENTO!$X$15,ROW(AH36)-ROW(AH$15),0),
ROUND(ROUND(OFFSET($P36,0,AH$13),15-13*ORÇAMENTO!$AF$7)*OFFSET(ORÇAMENTO!$W$15,ROW(AH36)-ROW(AH$15),0),15-13*ORÇAMENTO!$AF$11)),0)</f>
        <v>0</v>
      </c>
      <c r="AI36" s="631">
        <f ca="1">IF(AND($D36="Serviço",AI$12&lt;&gt;0,$H36&gt;0,OR(AUTOEVENTO&lt;&gt;"manual",$M36&lt;&gt;1)),
IF(Import.TipoArredondamento&lt;&gt;"TransfereGOV",
ROUND(OFFSET($P36,0,AI$13),15-13*ORÇAMENTO!$AF$7)/$H36*OFFSET(ORÇAMENTO!$X$15,ROW(AI36)-ROW(AI$15),0),
ROUND(ROUND(OFFSET($P36,0,AI$13),15-13*ORÇAMENTO!$AF$7)*OFFSET(ORÇAMENTO!$W$15,ROW(AI36)-ROW(AI$15),0),15-13*ORÇAMENTO!$AF$11)),0)</f>
        <v>0</v>
      </c>
      <c r="AJ36" s="631">
        <f ca="1">IF(AND($D36="Serviço",AJ$12&lt;&gt;0,$H36&gt;0,OR(AUTOEVENTO&lt;&gt;"manual",$M36&lt;&gt;1)),
IF(Import.TipoArredondamento&lt;&gt;"TransfereGOV",
ROUND(OFFSET($P36,0,AJ$13),15-13*ORÇAMENTO!$AF$7)/$H36*OFFSET(ORÇAMENTO!$X$15,ROW(AJ36)-ROW(AJ$15),0),
ROUND(ROUND(OFFSET($P36,0,AJ$13),15-13*ORÇAMENTO!$AF$7)*OFFSET(ORÇAMENTO!$W$15,ROW(AJ36)-ROW(AJ$15),0),15-13*ORÇAMENTO!$AF$11)),0)</f>
        <v>0</v>
      </c>
      <c r="AK36" s="632">
        <f ca="1">IF(AND($D36="Serviço",AK$12&lt;&gt;0,$H36&gt;0,OR(AUTOEVENTO&lt;&gt;"manual",$M36&lt;&gt;1)),
IF(Import.TipoArredondamento&lt;&gt;"TransfereGOV",
ROUND(OFFSET($P36,0,AK$13),15-13*ORÇAMENTO!$AF$7)/$H36*OFFSET(ORÇAMENTO!$X$15,ROW(AK36)-ROW(AK$15),0),
ROUND(ROUND(OFFSET($P36,0,AK$13),15-13*ORÇAMENTO!$AF$7)*OFFSET(ORÇAMENTO!$W$15,ROW(AK36)-ROW(AK$15),0),15-13*ORÇAMENTO!$AF$11)),0)</f>
        <v>0</v>
      </c>
      <c r="AM36" s="215">
        <f ca="1">IF($D36&lt;&gt;"Serviço",0,IF(AND(AUTOEVENTO="Manual",$M36=1),0,IF(OFFSET(CRONOPLE!$F$14,$M36,AM$13)="",10^12,OFFSET(CRONOPLE!$F$14,$M36,AM$13))))</f>
        <v>1000000000000</v>
      </c>
      <c r="AN36" s="215">
        <f ca="1">IF($D36&lt;&gt;"Serviço",0,IF(AND(AUTOEVENTO="Manual",$M36=1),0,IF(OFFSET(CRONOPLE!$F$14,$M36,AN$13)="",10^12,OFFSET(CRONOPLE!$F$14,$M36,AN$13))))</f>
        <v>1000000000000</v>
      </c>
      <c r="AO36" s="215">
        <f ca="1">IF($D36&lt;&gt;"Serviço",0,IF(AND(AUTOEVENTO="Manual",$M36=1),0,IF(OFFSET(CRONOPLE!$F$14,$M36,AO$13)="",10^12,OFFSET(CRONOPLE!$F$14,$M36,AO$13))))</f>
        <v>1000000000000</v>
      </c>
      <c r="AP36" s="215">
        <f ca="1">IF($D36&lt;&gt;"Serviço",0,IF(AND(AUTOEVENTO="Manual",$M36=1),0,IF(OFFSET(CRONOPLE!$F$14,$M36,AP$13)="",10^12,OFFSET(CRONOPLE!$F$14,$M36,AP$13))))</f>
        <v>1000000000000</v>
      </c>
      <c r="AQ36" s="215">
        <f ca="1">IF($D36&lt;&gt;"Serviço",0,IF(AND(AUTOEVENTO="Manual",$M36=1),0,IF(OFFSET(CRONOPLE!$F$14,$M36,AQ$13)="",10^12,OFFSET(CRONOPLE!$F$14,$M36,AQ$13))))</f>
        <v>1000000000000</v>
      </c>
      <c r="AR36" s="215">
        <f ca="1">IF($D36&lt;&gt;"Serviço",0,IF(AND(AUTOEVENTO="Manual",$M36=1),0,IF(OFFSET(CRONOPLE!$F$14,$M36,AR$13)="",10^12,OFFSET(CRONOPLE!$F$14,$M36,AR$13))))</f>
        <v>1000000000000</v>
      </c>
      <c r="AS36" s="215">
        <f ca="1">IF($D36&lt;&gt;"Serviço",0,IF(AND(AUTOEVENTO="Manual",$M36=1),0,IF(OFFSET(CRONOPLE!$F$14,$M36,AS$13)="",10^12,OFFSET(CRONOPLE!$F$14,$M36,AS$13))))</f>
        <v>1000000000000</v>
      </c>
      <c r="AT36" s="215">
        <f ca="1">IF($D36&lt;&gt;"Serviço",0,IF(AND(AUTOEVENTO="Manual",$M36=1),0,IF(OFFSET(CRONOPLE!$F$14,$M36,AT$13)="",10^12,OFFSET(CRONOPLE!$F$14,$M36,AT$13))))</f>
        <v>1000000000000</v>
      </c>
      <c r="AU36" s="215">
        <f ca="1">IF($D36&lt;&gt;"Serviço",0,IF(AND(AUTOEVENTO="Manual",$M36=1),0,IF(OFFSET(CRONOPLE!$F$14,$M36,AU$13)="",10^12,OFFSET(CRONOPLE!$F$14,$M36,AU$13))))</f>
        <v>1000000000000</v>
      </c>
      <c r="AV36" s="215">
        <f ca="1">IF($D36&lt;&gt;"Serviço",0,IF(AND(AUTOEVENTO="Manual",$M36=1),0,IF(OFFSET(CRONOPLE!$F$14,$M36,AV$13)="",10^12,OFFSET(CRONOPLE!$F$14,$M36,AV$13))))</f>
        <v>1000000000000</v>
      </c>
      <c r="AX36" s="216">
        <f ca="1">IF($D36&lt;&gt;"Serviço",0,IF(OR(AND(AUTOEVENTO="Manual",$M36=1),$M36&gt;(ROW(PLE.lastrow)-ROW(PLE.firstrow))),0,IF(OFFSET(PLE!$G$14,$M36,AX$13)="",10^12,OFFSET(PLE!$G$14,$M36,AX$13))))</f>
        <v>1000000000000</v>
      </c>
      <c r="AY36" s="216">
        <f ca="1">IF($D36&lt;&gt;"Serviço",0,IF(OR(AND(AUTOEVENTO="Manual",$M36=1),$M36&gt;(ROW(PLE.lastrow)-ROW(PLE.firstrow))),0,IF(OFFSET(PLE!$G$14,$M36,AY$13)="",10^12,OFFSET(PLE!$G$14,$M36,AY$13))))</f>
        <v>1000000000000</v>
      </c>
      <c r="AZ36" s="216">
        <f ca="1">IF($D36&lt;&gt;"Serviço",0,IF(OR(AND(AUTOEVENTO="Manual",$M36=1),$M36&gt;(ROW(PLE.lastrow)-ROW(PLE.firstrow))),0,IF(OFFSET(PLE!$G$14,$M36,AZ$13)="",10^12,OFFSET(PLE!$G$14,$M36,AZ$13))))</f>
        <v>1000000000000</v>
      </c>
      <c r="BA36" s="216">
        <f ca="1">IF($D36&lt;&gt;"Serviço",0,IF(OR(AND(AUTOEVENTO="Manual",$M36=1),$M36&gt;(ROW(PLE.lastrow)-ROW(PLE.firstrow))),0,IF(OFFSET(PLE!$G$14,$M36,BA$13)="",10^12,OFFSET(PLE!$G$14,$M36,BA$13))))</f>
        <v>1000000000000</v>
      </c>
      <c r="BB36" s="216">
        <f ca="1">IF($D36&lt;&gt;"Serviço",0,IF(OR(AND(AUTOEVENTO="Manual",$M36=1),$M36&gt;(ROW(PLE.lastrow)-ROW(PLE.firstrow))),0,IF(OFFSET(PLE!$G$14,$M36,BB$13)="",10^12,OFFSET(PLE!$G$14,$M36,BB$13))))</f>
        <v>1000000000000</v>
      </c>
      <c r="BC36" s="216">
        <f ca="1">IF($D36&lt;&gt;"Serviço",0,IF(OR(AND(AUTOEVENTO="Manual",$M36=1),$M36&gt;(ROW(PLE.lastrow)-ROW(PLE.firstrow))),0,IF(OFFSET(PLE!$G$14,$M36,BC$13)="",10^12,OFFSET(PLE!$G$14,$M36,BC$13))))</f>
        <v>1000000000000</v>
      </c>
      <c r="BD36" s="216">
        <f ca="1">IF($D36&lt;&gt;"Serviço",0,IF(OR(AND(AUTOEVENTO="Manual",$M36=1),$M36&gt;(ROW(PLE.lastrow)-ROW(PLE.firstrow))),0,IF(OFFSET(PLE!$G$14,$M36,BD$13)="",10^12,OFFSET(PLE!$G$14,$M36,BD$13))))</f>
        <v>1000000000000</v>
      </c>
      <c r="BE36" s="216">
        <f ca="1">IF($D36&lt;&gt;"Serviço",0,IF(OR(AND(AUTOEVENTO="Manual",$M36=1),$M36&gt;(ROW(PLE.lastrow)-ROW(PLE.firstrow))),0,IF(OFFSET(PLE!$G$14,$M36,BE$13)="",10^12,OFFSET(PLE!$G$14,$M36,BE$13))))</f>
        <v>1000000000000</v>
      </c>
      <c r="BF36" s="216">
        <f ca="1">IF($D36&lt;&gt;"Serviço",0,IF(OR(AND(AUTOEVENTO="Manual",$M36=1),$M36&gt;(ROW(PLE.lastrow)-ROW(PLE.firstrow))),0,IF(OFFSET(PLE!$G$14,$M36,BF$13)="",10^12,OFFSET(PLE!$G$14,$M36,BF$13))))</f>
        <v>1000000000000</v>
      </c>
      <c r="BG36" s="216">
        <f ca="1">IF($D36&lt;&gt;"Serviço",0,IF(OR(AND(AUTOEVENTO="Manual",$M36=1),$M36&gt;(ROW(PLE.lastrow)-ROW(PLE.firstrow))),0,IF(OFFSET(PLE!$G$14,$M36,BG$13)="",10^12,OFFSET(PLE!$G$14,$M36,BG$13))))</f>
        <v>1000000000000</v>
      </c>
    </row>
    <row r="37" spans="1:59" ht="25.5" x14ac:dyDescent="0.2">
      <c r="A37" s="9" t="str">
        <f ca="1">IF(AUTOEVENTO="Manual",IF(K37&lt;&gt;"",MIN(VALUE(LEFT(K37,FIND(".",K37)-1)),COUNTA(EVENTOS.Lista)),0),IF(OR($B37&gt;AUTOEVENTO,$B37="S",$B37=0),SUBSTITUTE(OFFSET($A37,-1,0),IF($D37="Serviço",".",""),""),ROW(A37)-ROW($A$15)&amp;"."))</f>
        <v>16</v>
      </c>
      <c r="B37" s="9" t="str">
        <f ca="1">OFFSET(ORÇAMENTO!C$15,ROW(B37)-ROW(B$15),0)</f>
        <v>S</v>
      </c>
      <c r="C37" s="9" t="str">
        <f ca="1">OFFSET(ORÇAMENTO!L$15,ROW(C37)-ROW(C$15),0)</f>
        <v/>
      </c>
      <c r="D37" s="145" t="str">
        <f ca="1">OFFSET(ORÇAMENTO!N$15,ROW(D37)-ROW(D$15),0)</f>
        <v>Serviço</v>
      </c>
      <c r="E37" s="205" t="str">
        <f ca="1">OFFSET(ORÇAMENTO!O$15,ROW(E37)-ROW(E$15),0)</f>
        <v>-</v>
      </c>
      <c r="F37" s="206" t="str">
        <f ca="1">OFFSET(ORÇAMENTO!R$15,ROW(F37)-ROW(F$15),0)</f>
        <v>ARMAÇÃO DE BLOCO UTILIZANDO AÇO CA-50 DE 10 MM - MONTAGEM. AF_01/2024</v>
      </c>
      <c r="G37" s="207" t="str">
        <f ca="1">IF($D37&lt;&gt;"Serviço","",OFFSET(ORÇAMENTO!S$15,ROW(G37)-ROW(G$15),0))</f>
        <v>KG</v>
      </c>
      <c r="H37" s="151">
        <f ca="1">IF($D37&lt;&gt;"Serviço",0,IF(ACOMPANHAMENTO="BM",ROUND(OFFSET(ORÇAMENTO!AJ$15,ROW(H37)-ROW(H$15),0),15-13*ORÇAMENTO!$AF$7),SUMPRODUCT(($Q$12:$AA$12&lt;&gt;"")*ROUND($Q37:$AA37,15-13*ORÇAMENTO!$AF$7))))</f>
        <v>54</v>
      </c>
      <c r="I37" s="649"/>
      <c r="K37" s="208"/>
      <c r="L37" s="209" t="s">
        <v>255</v>
      </c>
      <c r="M37" s="210">
        <f ca="1">IF($D37&lt;&gt;"Serviço","",IF(AUTOEVENTO="manual",$A37,IF(ISERROR(MATCH($A37,$A$15:OFFSET($A37,-1,0),0)),MAX($M$15:OFFSET(M37,-1,0))+1,INDEX($M$15:OFFSET(M37,-1,0),MATCH($A37,$A$15:OFFSET($A37,-1,0),0)))))</f>
        <v>5</v>
      </c>
      <c r="N37" s="211" t="str">
        <f ca="1">IF($D37&lt;&gt;"Serviço","",IF(AUTOEVENTO="Manual",IF($A37=0,"&lt;-- defina o número do agrupador",OFFSET(EVENTOS!$D$14,$A37,0)),OFFSET($F$15,$A37,0)))</f>
        <v>FUNDAÇÃO (estaca e blocos)</v>
      </c>
      <c r="O37" s="212"/>
      <c r="Q37" s="212"/>
      <c r="R37" s="213"/>
      <c r="S37" s="213"/>
      <c r="T37" s="213"/>
      <c r="U37" s="213"/>
      <c r="V37" s="213"/>
      <c r="W37" s="213"/>
      <c r="X37" s="213"/>
      <c r="Y37" s="213"/>
      <c r="Z37" s="214"/>
      <c r="AB37" s="630">
        <f ca="1">IF(AND($D37="Serviço",AB$12&lt;&gt;0,$H37&gt;0,OR(AUTOEVENTO&lt;&gt;"manual",$M37&lt;&gt;1)),
IF(Import.TipoArredondamento&lt;&gt;"TransfereGOV",
ROUND(OFFSET($P37,0,AB$13),15-13*ORÇAMENTO!$AF$7)/$H37*OFFSET(ORÇAMENTO!$X$15,ROW(AB37)-ROW(AB$15),0),
ROUND(ROUND(OFFSET($P37,0,AB$13),15-13*ORÇAMENTO!$AF$7)*OFFSET(ORÇAMENTO!$W$15,ROW(AB37)-ROW(AB$15),0),15-13*ORÇAMENTO!$AF$11)),0)</f>
        <v>0</v>
      </c>
      <c r="AC37" s="631">
        <f ca="1">IF(AND($D37="Serviço",AC$12&lt;&gt;0,$H37&gt;0,OR(AUTOEVENTO&lt;&gt;"manual",$M37&lt;&gt;1)),
IF(Import.TipoArredondamento&lt;&gt;"TransfereGOV",
ROUND(OFFSET($P37,0,AC$13),15-13*ORÇAMENTO!$AF$7)/$H37*OFFSET(ORÇAMENTO!$X$15,ROW(AC37)-ROW(AC$15),0),
ROUND(ROUND(OFFSET($P37,0,AC$13),15-13*ORÇAMENTO!$AF$7)*OFFSET(ORÇAMENTO!$W$15,ROW(AC37)-ROW(AC$15),0),15-13*ORÇAMENTO!$AF$11)),0)</f>
        <v>0</v>
      </c>
      <c r="AD37" s="631">
        <f ca="1">IF(AND($D37="Serviço",AD$12&lt;&gt;0,$H37&gt;0,OR(AUTOEVENTO&lt;&gt;"manual",$M37&lt;&gt;1)),
IF(Import.TipoArredondamento&lt;&gt;"TransfereGOV",
ROUND(OFFSET($P37,0,AD$13),15-13*ORÇAMENTO!$AF$7)/$H37*OFFSET(ORÇAMENTO!$X$15,ROW(AD37)-ROW(AD$15),0),
ROUND(ROUND(OFFSET($P37,0,AD$13),15-13*ORÇAMENTO!$AF$7)*OFFSET(ORÇAMENTO!$W$15,ROW(AD37)-ROW(AD$15),0),15-13*ORÇAMENTO!$AF$11)),0)</f>
        <v>0</v>
      </c>
      <c r="AE37" s="631">
        <f ca="1">IF(AND($D37="Serviço",AE$12&lt;&gt;0,$H37&gt;0,OR(AUTOEVENTO&lt;&gt;"manual",$M37&lt;&gt;1)),
IF(Import.TipoArredondamento&lt;&gt;"TransfereGOV",
ROUND(OFFSET($P37,0,AE$13),15-13*ORÇAMENTO!$AF$7)/$H37*OFFSET(ORÇAMENTO!$X$15,ROW(AE37)-ROW(AE$15),0),
ROUND(ROUND(OFFSET($P37,0,AE$13),15-13*ORÇAMENTO!$AF$7)*OFFSET(ORÇAMENTO!$W$15,ROW(AE37)-ROW(AE$15),0),15-13*ORÇAMENTO!$AF$11)),0)</f>
        <v>0</v>
      </c>
      <c r="AF37" s="631">
        <f ca="1">IF(AND($D37="Serviço",AF$12&lt;&gt;0,$H37&gt;0,OR(AUTOEVENTO&lt;&gt;"manual",$M37&lt;&gt;1)),
IF(Import.TipoArredondamento&lt;&gt;"TransfereGOV",
ROUND(OFFSET($P37,0,AF$13),15-13*ORÇAMENTO!$AF$7)/$H37*OFFSET(ORÇAMENTO!$X$15,ROW(AF37)-ROW(AF$15),0),
ROUND(ROUND(OFFSET($P37,0,AF$13),15-13*ORÇAMENTO!$AF$7)*OFFSET(ORÇAMENTO!$W$15,ROW(AF37)-ROW(AF$15),0),15-13*ORÇAMENTO!$AF$11)),0)</f>
        <v>0</v>
      </c>
      <c r="AG37" s="631">
        <f ca="1">IF(AND($D37="Serviço",AG$12&lt;&gt;0,$H37&gt;0,OR(AUTOEVENTO&lt;&gt;"manual",$M37&lt;&gt;1)),
IF(Import.TipoArredondamento&lt;&gt;"TransfereGOV",
ROUND(OFFSET($P37,0,AG$13),15-13*ORÇAMENTO!$AF$7)/$H37*OFFSET(ORÇAMENTO!$X$15,ROW(AG37)-ROW(AG$15),0),
ROUND(ROUND(OFFSET($P37,0,AG$13),15-13*ORÇAMENTO!$AF$7)*OFFSET(ORÇAMENTO!$W$15,ROW(AG37)-ROW(AG$15),0),15-13*ORÇAMENTO!$AF$11)),0)</f>
        <v>0</v>
      </c>
      <c r="AH37" s="631">
        <f ca="1">IF(AND($D37="Serviço",AH$12&lt;&gt;0,$H37&gt;0,OR(AUTOEVENTO&lt;&gt;"manual",$M37&lt;&gt;1)),
IF(Import.TipoArredondamento&lt;&gt;"TransfereGOV",
ROUND(OFFSET($P37,0,AH$13),15-13*ORÇAMENTO!$AF$7)/$H37*OFFSET(ORÇAMENTO!$X$15,ROW(AH37)-ROW(AH$15),0),
ROUND(ROUND(OFFSET($P37,0,AH$13),15-13*ORÇAMENTO!$AF$7)*OFFSET(ORÇAMENTO!$W$15,ROW(AH37)-ROW(AH$15),0),15-13*ORÇAMENTO!$AF$11)),0)</f>
        <v>0</v>
      </c>
      <c r="AI37" s="631">
        <f ca="1">IF(AND($D37="Serviço",AI$12&lt;&gt;0,$H37&gt;0,OR(AUTOEVENTO&lt;&gt;"manual",$M37&lt;&gt;1)),
IF(Import.TipoArredondamento&lt;&gt;"TransfereGOV",
ROUND(OFFSET($P37,0,AI$13),15-13*ORÇAMENTO!$AF$7)/$H37*OFFSET(ORÇAMENTO!$X$15,ROW(AI37)-ROW(AI$15),0),
ROUND(ROUND(OFFSET($P37,0,AI$13),15-13*ORÇAMENTO!$AF$7)*OFFSET(ORÇAMENTO!$W$15,ROW(AI37)-ROW(AI$15),0),15-13*ORÇAMENTO!$AF$11)),0)</f>
        <v>0</v>
      </c>
      <c r="AJ37" s="631">
        <f ca="1">IF(AND($D37="Serviço",AJ$12&lt;&gt;0,$H37&gt;0,OR(AUTOEVENTO&lt;&gt;"manual",$M37&lt;&gt;1)),
IF(Import.TipoArredondamento&lt;&gt;"TransfereGOV",
ROUND(OFFSET($P37,0,AJ$13),15-13*ORÇAMENTO!$AF$7)/$H37*OFFSET(ORÇAMENTO!$X$15,ROW(AJ37)-ROW(AJ$15),0),
ROUND(ROUND(OFFSET($P37,0,AJ$13),15-13*ORÇAMENTO!$AF$7)*OFFSET(ORÇAMENTO!$W$15,ROW(AJ37)-ROW(AJ$15),0),15-13*ORÇAMENTO!$AF$11)),0)</f>
        <v>0</v>
      </c>
      <c r="AK37" s="632">
        <f ca="1">IF(AND($D37="Serviço",AK$12&lt;&gt;0,$H37&gt;0,OR(AUTOEVENTO&lt;&gt;"manual",$M37&lt;&gt;1)),
IF(Import.TipoArredondamento&lt;&gt;"TransfereGOV",
ROUND(OFFSET($P37,0,AK$13),15-13*ORÇAMENTO!$AF$7)/$H37*OFFSET(ORÇAMENTO!$X$15,ROW(AK37)-ROW(AK$15),0),
ROUND(ROUND(OFFSET($P37,0,AK$13),15-13*ORÇAMENTO!$AF$7)*OFFSET(ORÇAMENTO!$W$15,ROW(AK37)-ROW(AK$15),0),15-13*ORÇAMENTO!$AF$11)),0)</f>
        <v>0</v>
      </c>
      <c r="AM37" s="215">
        <f ca="1">IF($D37&lt;&gt;"Serviço",0,IF(AND(AUTOEVENTO="Manual",$M37=1),0,IF(OFFSET(CRONOPLE!$F$14,$M37,AM$13)="",10^12,OFFSET(CRONOPLE!$F$14,$M37,AM$13))))</f>
        <v>1000000000000</v>
      </c>
      <c r="AN37" s="215">
        <f ca="1">IF($D37&lt;&gt;"Serviço",0,IF(AND(AUTOEVENTO="Manual",$M37=1),0,IF(OFFSET(CRONOPLE!$F$14,$M37,AN$13)="",10^12,OFFSET(CRONOPLE!$F$14,$M37,AN$13))))</f>
        <v>1000000000000</v>
      </c>
      <c r="AO37" s="215">
        <f ca="1">IF($D37&lt;&gt;"Serviço",0,IF(AND(AUTOEVENTO="Manual",$M37=1),0,IF(OFFSET(CRONOPLE!$F$14,$M37,AO$13)="",10^12,OFFSET(CRONOPLE!$F$14,$M37,AO$13))))</f>
        <v>1000000000000</v>
      </c>
      <c r="AP37" s="215">
        <f ca="1">IF($D37&lt;&gt;"Serviço",0,IF(AND(AUTOEVENTO="Manual",$M37=1),0,IF(OFFSET(CRONOPLE!$F$14,$M37,AP$13)="",10^12,OFFSET(CRONOPLE!$F$14,$M37,AP$13))))</f>
        <v>1000000000000</v>
      </c>
      <c r="AQ37" s="215">
        <f ca="1">IF($D37&lt;&gt;"Serviço",0,IF(AND(AUTOEVENTO="Manual",$M37=1),0,IF(OFFSET(CRONOPLE!$F$14,$M37,AQ$13)="",10^12,OFFSET(CRONOPLE!$F$14,$M37,AQ$13))))</f>
        <v>1000000000000</v>
      </c>
      <c r="AR37" s="215">
        <f ca="1">IF($D37&lt;&gt;"Serviço",0,IF(AND(AUTOEVENTO="Manual",$M37=1),0,IF(OFFSET(CRONOPLE!$F$14,$M37,AR$13)="",10^12,OFFSET(CRONOPLE!$F$14,$M37,AR$13))))</f>
        <v>1000000000000</v>
      </c>
      <c r="AS37" s="215">
        <f ca="1">IF($D37&lt;&gt;"Serviço",0,IF(AND(AUTOEVENTO="Manual",$M37=1),0,IF(OFFSET(CRONOPLE!$F$14,$M37,AS$13)="",10^12,OFFSET(CRONOPLE!$F$14,$M37,AS$13))))</f>
        <v>1000000000000</v>
      </c>
      <c r="AT37" s="215">
        <f ca="1">IF($D37&lt;&gt;"Serviço",0,IF(AND(AUTOEVENTO="Manual",$M37=1),0,IF(OFFSET(CRONOPLE!$F$14,$M37,AT$13)="",10^12,OFFSET(CRONOPLE!$F$14,$M37,AT$13))))</f>
        <v>1000000000000</v>
      </c>
      <c r="AU37" s="215">
        <f ca="1">IF($D37&lt;&gt;"Serviço",0,IF(AND(AUTOEVENTO="Manual",$M37=1),0,IF(OFFSET(CRONOPLE!$F$14,$M37,AU$13)="",10^12,OFFSET(CRONOPLE!$F$14,$M37,AU$13))))</f>
        <v>1000000000000</v>
      </c>
      <c r="AV37" s="215">
        <f ca="1">IF($D37&lt;&gt;"Serviço",0,IF(AND(AUTOEVENTO="Manual",$M37=1),0,IF(OFFSET(CRONOPLE!$F$14,$M37,AV$13)="",10^12,OFFSET(CRONOPLE!$F$14,$M37,AV$13))))</f>
        <v>1000000000000</v>
      </c>
      <c r="AX37" s="216">
        <f ca="1">IF($D37&lt;&gt;"Serviço",0,IF(OR(AND(AUTOEVENTO="Manual",$M37=1),$M37&gt;(ROW(PLE.lastrow)-ROW(PLE.firstrow))),0,IF(OFFSET(PLE!$G$14,$M37,AX$13)="",10^12,OFFSET(PLE!$G$14,$M37,AX$13))))</f>
        <v>1000000000000</v>
      </c>
      <c r="AY37" s="216">
        <f ca="1">IF($D37&lt;&gt;"Serviço",0,IF(OR(AND(AUTOEVENTO="Manual",$M37=1),$M37&gt;(ROW(PLE.lastrow)-ROW(PLE.firstrow))),0,IF(OFFSET(PLE!$G$14,$M37,AY$13)="",10^12,OFFSET(PLE!$G$14,$M37,AY$13))))</f>
        <v>1000000000000</v>
      </c>
      <c r="AZ37" s="216">
        <f ca="1">IF($D37&lt;&gt;"Serviço",0,IF(OR(AND(AUTOEVENTO="Manual",$M37=1),$M37&gt;(ROW(PLE.lastrow)-ROW(PLE.firstrow))),0,IF(OFFSET(PLE!$G$14,$M37,AZ$13)="",10^12,OFFSET(PLE!$G$14,$M37,AZ$13))))</f>
        <v>1000000000000</v>
      </c>
      <c r="BA37" s="216">
        <f ca="1">IF($D37&lt;&gt;"Serviço",0,IF(OR(AND(AUTOEVENTO="Manual",$M37=1),$M37&gt;(ROW(PLE.lastrow)-ROW(PLE.firstrow))),0,IF(OFFSET(PLE!$G$14,$M37,BA$13)="",10^12,OFFSET(PLE!$G$14,$M37,BA$13))))</f>
        <v>1000000000000</v>
      </c>
      <c r="BB37" s="216">
        <f ca="1">IF($D37&lt;&gt;"Serviço",0,IF(OR(AND(AUTOEVENTO="Manual",$M37=1),$M37&gt;(ROW(PLE.lastrow)-ROW(PLE.firstrow))),0,IF(OFFSET(PLE!$G$14,$M37,BB$13)="",10^12,OFFSET(PLE!$G$14,$M37,BB$13))))</f>
        <v>1000000000000</v>
      </c>
      <c r="BC37" s="216">
        <f ca="1">IF($D37&lt;&gt;"Serviço",0,IF(OR(AND(AUTOEVENTO="Manual",$M37=1),$M37&gt;(ROW(PLE.lastrow)-ROW(PLE.firstrow))),0,IF(OFFSET(PLE!$G$14,$M37,BC$13)="",10^12,OFFSET(PLE!$G$14,$M37,BC$13))))</f>
        <v>1000000000000</v>
      </c>
      <c r="BD37" s="216">
        <f ca="1">IF($D37&lt;&gt;"Serviço",0,IF(OR(AND(AUTOEVENTO="Manual",$M37=1),$M37&gt;(ROW(PLE.lastrow)-ROW(PLE.firstrow))),0,IF(OFFSET(PLE!$G$14,$M37,BD$13)="",10^12,OFFSET(PLE!$G$14,$M37,BD$13))))</f>
        <v>1000000000000</v>
      </c>
      <c r="BE37" s="216">
        <f ca="1">IF($D37&lt;&gt;"Serviço",0,IF(OR(AND(AUTOEVENTO="Manual",$M37=1),$M37&gt;(ROW(PLE.lastrow)-ROW(PLE.firstrow))),0,IF(OFFSET(PLE!$G$14,$M37,BE$13)="",10^12,OFFSET(PLE!$G$14,$M37,BE$13))))</f>
        <v>1000000000000</v>
      </c>
      <c r="BF37" s="216">
        <f ca="1">IF($D37&lt;&gt;"Serviço",0,IF(OR(AND(AUTOEVENTO="Manual",$M37=1),$M37&gt;(ROW(PLE.lastrow)-ROW(PLE.firstrow))),0,IF(OFFSET(PLE!$G$14,$M37,BF$13)="",10^12,OFFSET(PLE!$G$14,$M37,BF$13))))</f>
        <v>1000000000000</v>
      </c>
      <c r="BG37" s="216">
        <f ca="1">IF($D37&lt;&gt;"Serviço",0,IF(OR(AND(AUTOEVENTO="Manual",$M37=1),$M37&gt;(ROW(PLE.lastrow)-ROW(PLE.firstrow))),0,IF(OFFSET(PLE!$G$14,$M37,BG$13)="",10^12,OFFSET(PLE!$G$14,$M37,BG$13))))</f>
        <v>1000000000000</v>
      </c>
    </row>
    <row r="38" spans="1:59" ht="25.5" x14ac:dyDescent="0.2">
      <c r="A38" s="9" t="str">
        <f ca="1">IF(AUTOEVENTO="Manual",IF(K38&lt;&gt;"",MIN(VALUE(LEFT(K38,FIND(".",K38)-1)),COUNTA(EVENTOS.Lista)),0),IF(OR($B38&gt;AUTOEVENTO,$B38="S",$B38=0),SUBSTITUTE(OFFSET($A38,-1,0),IF($D38="Serviço",".",""),""),ROW(A38)-ROW($A$15)&amp;"."))</f>
        <v>16</v>
      </c>
      <c r="B38" s="9" t="str">
        <f ca="1">OFFSET(ORÇAMENTO!C$15,ROW(B38)-ROW(B$15),0)</f>
        <v>S</v>
      </c>
      <c r="C38" s="9" t="str">
        <f ca="1">OFFSET(ORÇAMENTO!L$15,ROW(C38)-ROW(C$15),0)</f>
        <v/>
      </c>
      <c r="D38" s="145" t="str">
        <f ca="1">OFFSET(ORÇAMENTO!N$15,ROW(D38)-ROW(D$15),0)</f>
        <v>Serviço</v>
      </c>
      <c r="E38" s="205" t="str">
        <f ca="1">OFFSET(ORÇAMENTO!O$15,ROW(E38)-ROW(E$15),0)</f>
        <v>-</v>
      </c>
      <c r="F38" s="206" t="str">
        <f ca="1">OFFSET(ORÇAMENTO!R$15,ROW(F38)-ROW(F$15),0)</f>
        <v>ARMAÇÃO DE BLOCO UTILIZANDO AÇO CA-60 DE 5 MM - MONTAGEM. AF_01/2024</v>
      </c>
      <c r="G38" s="207" t="str">
        <f ca="1">IF($D38&lt;&gt;"Serviço","",OFFSET(ORÇAMENTO!S$15,ROW(G38)-ROW(G$15),0))</f>
        <v>KG</v>
      </c>
      <c r="H38" s="151">
        <f ca="1">IF($D38&lt;&gt;"Serviço",0,IF(ACOMPANHAMENTO="BM",ROUND(OFFSET(ORÇAMENTO!AJ$15,ROW(H38)-ROW(H$15),0),15-13*ORÇAMENTO!$AF$7),SUMPRODUCT(($Q$12:$AA$12&lt;&gt;"")*ROUND($Q38:$AA38,15-13*ORÇAMENTO!$AF$7))))</f>
        <v>295</v>
      </c>
      <c r="I38" s="649"/>
      <c r="K38" s="208"/>
      <c r="L38" s="209" t="s">
        <v>255</v>
      </c>
      <c r="M38" s="210">
        <f ca="1">IF($D38&lt;&gt;"Serviço","",IF(AUTOEVENTO="manual",$A38,IF(ISERROR(MATCH($A38,$A$15:OFFSET($A38,-1,0),0)),MAX($M$15:OFFSET(M38,-1,0))+1,INDEX($M$15:OFFSET(M38,-1,0),MATCH($A38,$A$15:OFFSET($A38,-1,0),0)))))</f>
        <v>5</v>
      </c>
      <c r="N38" s="211" t="str">
        <f ca="1">IF($D38&lt;&gt;"Serviço","",IF(AUTOEVENTO="Manual",IF($A38=0,"&lt;-- defina o número do agrupador",OFFSET(EVENTOS!$D$14,$A38,0)),OFFSET($F$15,$A38,0)))</f>
        <v>FUNDAÇÃO (estaca e blocos)</v>
      </c>
      <c r="O38" s="212"/>
      <c r="Q38" s="212"/>
      <c r="R38" s="213"/>
      <c r="S38" s="213"/>
      <c r="T38" s="213"/>
      <c r="U38" s="213"/>
      <c r="V38" s="213"/>
      <c r="W38" s="213"/>
      <c r="X38" s="213"/>
      <c r="Y38" s="213"/>
      <c r="Z38" s="214"/>
      <c r="AB38" s="630">
        <f ca="1">IF(AND($D38="Serviço",AB$12&lt;&gt;0,$H38&gt;0,OR(AUTOEVENTO&lt;&gt;"manual",$M38&lt;&gt;1)),
IF(Import.TipoArredondamento&lt;&gt;"TransfereGOV",
ROUND(OFFSET($P38,0,AB$13),15-13*ORÇAMENTO!$AF$7)/$H38*OFFSET(ORÇAMENTO!$X$15,ROW(AB38)-ROW(AB$15),0),
ROUND(ROUND(OFFSET($P38,0,AB$13),15-13*ORÇAMENTO!$AF$7)*OFFSET(ORÇAMENTO!$W$15,ROW(AB38)-ROW(AB$15),0),15-13*ORÇAMENTO!$AF$11)),0)</f>
        <v>0</v>
      </c>
      <c r="AC38" s="631">
        <f ca="1">IF(AND($D38="Serviço",AC$12&lt;&gt;0,$H38&gt;0,OR(AUTOEVENTO&lt;&gt;"manual",$M38&lt;&gt;1)),
IF(Import.TipoArredondamento&lt;&gt;"TransfereGOV",
ROUND(OFFSET($P38,0,AC$13),15-13*ORÇAMENTO!$AF$7)/$H38*OFFSET(ORÇAMENTO!$X$15,ROW(AC38)-ROW(AC$15),0),
ROUND(ROUND(OFFSET($P38,0,AC$13),15-13*ORÇAMENTO!$AF$7)*OFFSET(ORÇAMENTO!$W$15,ROW(AC38)-ROW(AC$15),0),15-13*ORÇAMENTO!$AF$11)),0)</f>
        <v>0</v>
      </c>
      <c r="AD38" s="631">
        <f ca="1">IF(AND($D38="Serviço",AD$12&lt;&gt;0,$H38&gt;0,OR(AUTOEVENTO&lt;&gt;"manual",$M38&lt;&gt;1)),
IF(Import.TipoArredondamento&lt;&gt;"TransfereGOV",
ROUND(OFFSET($P38,0,AD$13),15-13*ORÇAMENTO!$AF$7)/$H38*OFFSET(ORÇAMENTO!$X$15,ROW(AD38)-ROW(AD$15),0),
ROUND(ROUND(OFFSET($P38,0,AD$13),15-13*ORÇAMENTO!$AF$7)*OFFSET(ORÇAMENTO!$W$15,ROW(AD38)-ROW(AD$15),0),15-13*ORÇAMENTO!$AF$11)),0)</f>
        <v>0</v>
      </c>
      <c r="AE38" s="631">
        <f ca="1">IF(AND($D38="Serviço",AE$12&lt;&gt;0,$H38&gt;0,OR(AUTOEVENTO&lt;&gt;"manual",$M38&lt;&gt;1)),
IF(Import.TipoArredondamento&lt;&gt;"TransfereGOV",
ROUND(OFFSET($P38,0,AE$13),15-13*ORÇAMENTO!$AF$7)/$H38*OFFSET(ORÇAMENTO!$X$15,ROW(AE38)-ROW(AE$15),0),
ROUND(ROUND(OFFSET($P38,0,AE$13),15-13*ORÇAMENTO!$AF$7)*OFFSET(ORÇAMENTO!$W$15,ROW(AE38)-ROW(AE$15),0),15-13*ORÇAMENTO!$AF$11)),0)</f>
        <v>0</v>
      </c>
      <c r="AF38" s="631">
        <f ca="1">IF(AND($D38="Serviço",AF$12&lt;&gt;0,$H38&gt;0,OR(AUTOEVENTO&lt;&gt;"manual",$M38&lt;&gt;1)),
IF(Import.TipoArredondamento&lt;&gt;"TransfereGOV",
ROUND(OFFSET($P38,0,AF$13),15-13*ORÇAMENTO!$AF$7)/$H38*OFFSET(ORÇAMENTO!$X$15,ROW(AF38)-ROW(AF$15),0),
ROUND(ROUND(OFFSET($P38,0,AF$13),15-13*ORÇAMENTO!$AF$7)*OFFSET(ORÇAMENTO!$W$15,ROW(AF38)-ROW(AF$15),0),15-13*ORÇAMENTO!$AF$11)),0)</f>
        <v>0</v>
      </c>
      <c r="AG38" s="631">
        <f ca="1">IF(AND($D38="Serviço",AG$12&lt;&gt;0,$H38&gt;0,OR(AUTOEVENTO&lt;&gt;"manual",$M38&lt;&gt;1)),
IF(Import.TipoArredondamento&lt;&gt;"TransfereGOV",
ROUND(OFFSET($P38,0,AG$13),15-13*ORÇAMENTO!$AF$7)/$H38*OFFSET(ORÇAMENTO!$X$15,ROW(AG38)-ROW(AG$15),0),
ROUND(ROUND(OFFSET($P38,0,AG$13),15-13*ORÇAMENTO!$AF$7)*OFFSET(ORÇAMENTO!$W$15,ROW(AG38)-ROW(AG$15),0),15-13*ORÇAMENTO!$AF$11)),0)</f>
        <v>0</v>
      </c>
      <c r="AH38" s="631">
        <f ca="1">IF(AND($D38="Serviço",AH$12&lt;&gt;0,$H38&gt;0,OR(AUTOEVENTO&lt;&gt;"manual",$M38&lt;&gt;1)),
IF(Import.TipoArredondamento&lt;&gt;"TransfereGOV",
ROUND(OFFSET($P38,0,AH$13),15-13*ORÇAMENTO!$AF$7)/$H38*OFFSET(ORÇAMENTO!$X$15,ROW(AH38)-ROW(AH$15),0),
ROUND(ROUND(OFFSET($P38,0,AH$13),15-13*ORÇAMENTO!$AF$7)*OFFSET(ORÇAMENTO!$W$15,ROW(AH38)-ROW(AH$15),0),15-13*ORÇAMENTO!$AF$11)),0)</f>
        <v>0</v>
      </c>
      <c r="AI38" s="631">
        <f ca="1">IF(AND($D38="Serviço",AI$12&lt;&gt;0,$H38&gt;0,OR(AUTOEVENTO&lt;&gt;"manual",$M38&lt;&gt;1)),
IF(Import.TipoArredondamento&lt;&gt;"TransfereGOV",
ROUND(OFFSET($P38,0,AI$13),15-13*ORÇAMENTO!$AF$7)/$H38*OFFSET(ORÇAMENTO!$X$15,ROW(AI38)-ROW(AI$15),0),
ROUND(ROUND(OFFSET($P38,0,AI$13),15-13*ORÇAMENTO!$AF$7)*OFFSET(ORÇAMENTO!$W$15,ROW(AI38)-ROW(AI$15),0),15-13*ORÇAMENTO!$AF$11)),0)</f>
        <v>0</v>
      </c>
      <c r="AJ38" s="631">
        <f ca="1">IF(AND($D38="Serviço",AJ$12&lt;&gt;0,$H38&gt;0,OR(AUTOEVENTO&lt;&gt;"manual",$M38&lt;&gt;1)),
IF(Import.TipoArredondamento&lt;&gt;"TransfereGOV",
ROUND(OFFSET($P38,0,AJ$13),15-13*ORÇAMENTO!$AF$7)/$H38*OFFSET(ORÇAMENTO!$X$15,ROW(AJ38)-ROW(AJ$15),0),
ROUND(ROUND(OFFSET($P38,0,AJ$13),15-13*ORÇAMENTO!$AF$7)*OFFSET(ORÇAMENTO!$W$15,ROW(AJ38)-ROW(AJ$15),0),15-13*ORÇAMENTO!$AF$11)),0)</f>
        <v>0</v>
      </c>
      <c r="AK38" s="632">
        <f ca="1">IF(AND($D38="Serviço",AK$12&lt;&gt;0,$H38&gt;0,OR(AUTOEVENTO&lt;&gt;"manual",$M38&lt;&gt;1)),
IF(Import.TipoArredondamento&lt;&gt;"TransfereGOV",
ROUND(OFFSET($P38,0,AK$13),15-13*ORÇAMENTO!$AF$7)/$H38*OFFSET(ORÇAMENTO!$X$15,ROW(AK38)-ROW(AK$15),0),
ROUND(ROUND(OFFSET($P38,0,AK$13),15-13*ORÇAMENTO!$AF$7)*OFFSET(ORÇAMENTO!$W$15,ROW(AK38)-ROW(AK$15),0),15-13*ORÇAMENTO!$AF$11)),0)</f>
        <v>0</v>
      </c>
      <c r="AM38" s="215">
        <f ca="1">IF($D38&lt;&gt;"Serviço",0,IF(AND(AUTOEVENTO="Manual",$M38=1),0,IF(OFFSET(CRONOPLE!$F$14,$M38,AM$13)="",10^12,OFFSET(CRONOPLE!$F$14,$M38,AM$13))))</f>
        <v>1000000000000</v>
      </c>
      <c r="AN38" s="215">
        <f ca="1">IF($D38&lt;&gt;"Serviço",0,IF(AND(AUTOEVENTO="Manual",$M38=1),0,IF(OFFSET(CRONOPLE!$F$14,$M38,AN$13)="",10^12,OFFSET(CRONOPLE!$F$14,$M38,AN$13))))</f>
        <v>1000000000000</v>
      </c>
      <c r="AO38" s="215">
        <f ca="1">IF($D38&lt;&gt;"Serviço",0,IF(AND(AUTOEVENTO="Manual",$M38=1),0,IF(OFFSET(CRONOPLE!$F$14,$M38,AO$13)="",10^12,OFFSET(CRONOPLE!$F$14,$M38,AO$13))))</f>
        <v>1000000000000</v>
      </c>
      <c r="AP38" s="215">
        <f ca="1">IF($D38&lt;&gt;"Serviço",0,IF(AND(AUTOEVENTO="Manual",$M38=1),0,IF(OFFSET(CRONOPLE!$F$14,$M38,AP$13)="",10^12,OFFSET(CRONOPLE!$F$14,$M38,AP$13))))</f>
        <v>1000000000000</v>
      </c>
      <c r="AQ38" s="215">
        <f ca="1">IF($D38&lt;&gt;"Serviço",0,IF(AND(AUTOEVENTO="Manual",$M38=1),0,IF(OFFSET(CRONOPLE!$F$14,$M38,AQ$13)="",10^12,OFFSET(CRONOPLE!$F$14,$M38,AQ$13))))</f>
        <v>1000000000000</v>
      </c>
      <c r="AR38" s="215">
        <f ca="1">IF($D38&lt;&gt;"Serviço",0,IF(AND(AUTOEVENTO="Manual",$M38=1),0,IF(OFFSET(CRONOPLE!$F$14,$M38,AR$13)="",10^12,OFFSET(CRONOPLE!$F$14,$M38,AR$13))))</f>
        <v>1000000000000</v>
      </c>
      <c r="AS38" s="215">
        <f ca="1">IF($D38&lt;&gt;"Serviço",0,IF(AND(AUTOEVENTO="Manual",$M38=1),0,IF(OFFSET(CRONOPLE!$F$14,$M38,AS$13)="",10^12,OFFSET(CRONOPLE!$F$14,$M38,AS$13))))</f>
        <v>1000000000000</v>
      </c>
      <c r="AT38" s="215">
        <f ca="1">IF($D38&lt;&gt;"Serviço",0,IF(AND(AUTOEVENTO="Manual",$M38=1),0,IF(OFFSET(CRONOPLE!$F$14,$M38,AT$13)="",10^12,OFFSET(CRONOPLE!$F$14,$M38,AT$13))))</f>
        <v>1000000000000</v>
      </c>
      <c r="AU38" s="215">
        <f ca="1">IF($D38&lt;&gt;"Serviço",0,IF(AND(AUTOEVENTO="Manual",$M38=1),0,IF(OFFSET(CRONOPLE!$F$14,$M38,AU$13)="",10^12,OFFSET(CRONOPLE!$F$14,$M38,AU$13))))</f>
        <v>1000000000000</v>
      </c>
      <c r="AV38" s="215">
        <f ca="1">IF($D38&lt;&gt;"Serviço",0,IF(AND(AUTOEVENTO="Manual",$M38=1),0,IF(OFFSET(CRONOPLE!$F$14,$M38,AV$13)="",10^12,OFFSET(CRONOPLE!$F$14,$M38,AV$13))))</f>
        <v>1000000000000</v>
      </c>
      <c r="AX38" s="216">
        <f ca="1">IF($D38&lt;&gt;"Serviço",0,IF(OR(AND(AUTOEVENTO="Manual",$M38=1),$M38&gt;(ROW(PLE.lastrow)-ROW(PLE.firstrow))),0,IF(OFFSET(PLE!$G$14,$M38,AX$13)="",10^12,OFFSET(PLE!$G$14,$M38,AX$13))))</f>
        <v>1000000000000</v>
      </c>
      <c r="AY38" s="216">
        <f ca="1">IF($D38&lt;&gt;"Serviço",0,IF(OR(AND(AUTOEVENTO="Manual",$M38=1),$M38&gt;(ROW(PLE.lastrow)-ROW(PLE.firstrow))),0,IF(OFFSET(PLE!$G$14,$M38,AY$13)="",10^12,OFFSET(PLE!$G$14,$M38,AY$13))))</f>
        <v>1000000000000</v>
      </c>
      <c r="AZ38" s="216">
        <f ca="1">IF($D38&lt;&gt;"Serviço",0,IF(OR(AND(AUTOEVENTO="Manual",$M38=1),$M38&gt;(ROW(PLE.lastrow)-ROW(PLE.firstrow))),0,IF(OFFSET(PLE!$G$14,$M38,AZ$13)="",10^12,OFFSET(PLE!$G$14,$M38,AZ$13))))</f>
        <v>1000000000000</v>
      </c>
      <c r="BA38" s="216">
        <f ca="1">IF($D38&lt;&gt;"Serviço",0,IF(OR(AND(AUTOEVENTO="Manual",$M38=1),$M38&gt;(ROW(PLE.lastrow)-ROW(PLE.firstrow))),0,IF(OFFSET(PLE!$G$14,$M38,BA$13)="",10^12,OFFSET(PLE!$G$14,$M38,BA$13))))</f>
        <v>1000000000000</v>
      </c>
      <c r="BB38" s="216">
        <f ca="1">IF($D38&lt;&gt;"Serviço",0,IF(OR(AND(AUTOEVENTO="Manual",$M38=1),$M38&gt;(ROW(PLE.lastrow)-ROW(PLE.firstrow))),0,IF(OFFSET(PLE!$G$14,$M38,BB$13)="",10^12,OFFSET(PLE!$G$14,$M38,BB$13))))</f>
        <v>1000000000000</v>
      </c>
      <c r="BC38" s="216">
        <f ca="1">IF($D38&lt;&gt;"Serviço",0,IF(OR(AND(AUTOEVENTO="Manual",$M38=1),$M38&gt;(ROW(PLE.lastrow)-ROW(PLE.firstrow))),0,IF(OFFSET(PLE!$G$14,$M38,BC$13)="",10^12,OFFSET(PLE!$G$14,$M38,BC$13))))</f>
        <v>1000000000000</v>
      </c>
      <c r="BD38" s="216">
        <f ca="1">IF($D38&lt;&gt;"Serviço",0,IF(OR(AND(AUTOEVENTO="Manual",$M38=1),$M38&gt;(ROW(PLE.lastrow)-ROW(PLE.firstrow))),0,IF(OFFSET(PLE!$G$14,$M38,BD$13)="",10^12,OFFSET(PLE!$G$14,$M38,BD$13))))</f>
        <v>1000000000000</v>
      </c>
      <c r="BE38" s="216">
        <f ca="1">IF($D38&lt;&gt;"Serviço",0,IF(OR(AND(AUTOEVENTO="Manual",$M38=1),$M38&gt;(ROW(PLE.lastrow)-ROW(PLE.firstrow))),0,IF(OFFSET(PLE!$G$14,$M38,BE$13)="",10^12,OFFSET(PLE!$G$14,$M38,BE$13))))</f>
        <v>1000000000000</v>
      </c>
      <c r="BF38" s="216">
        <f ca="1">IF($D38&lt;&gt;"Serviço",0,IF(OR(AND(AUTOEVENTO="Manual",$M38=1),$M38&gt;(ROW(PLE.lastrow)-ROW(PLE.firstrow))),0,IF(OFFSET(PLE!$G$14,$M38,BF$13)="",10^12,OFFSET(PLE!$G$14,$M38,BF$13))))</f>
        <v>1000000000000</v>
      </c>
      <c r="BG38" s="216">
        <f ca="1">IF($D38&lt;&gt;"Serviço",0,IF(OR(AND(AUTOEVENTO="Manual",$M38=1),$M38&gt;(ROW(PLE.lastrow)-ROW(PLE.firstrow))),0,IF(OFFSET(PLE!$G$14,$M38,BG$13)="",10^12,OFFSET(PLE!$G$14,$M38,BG$13))))</f>
        <v>1000000000000</v>
      </c>
    </row>
    <row r="39" spans="1:59" ht="38.25" x14ac:dyDescent="0.2">
      <c r="A39" s="9" t="str">
        <f t="shared" ca="1" si="8"/>
        <v>16</v>
      </c>
      <c r="B39" s="9" t="str">
        <f ca="1">OFFSET(ORÇAMENTO!C$15,ROW(B39)-ROW(B$15),0)</f>
        <v>S</v>
      </c>
      <c r="C39" s="9" t="str">
        <f ca="1">OFFSET(ORÇAMENTO!L$15,ROW(C39)-ROW(C$15),0)</f>
        <v/>
      </c>
      <c r="D39" s="145" t="str">
        <f ca="1">OFFSET(ORÇAMENTO!N$15,ROW(D39)-ROW(D$15),0)</f>
        <v>Serviço</v>
      </c>
      <c r="E39" s="205" t="str">
        <f ca="1">OFFSET(ORÇAMENTO!O$15,ROW(E39)-ROW(E$15),0)</f>
        <v>-</v>
      </c>
      <c r="F39" s="206" t="str">
        <f ca="1">OFFSET(ORÇAMENTO!R$15,ROW(F39)-ROW(F$15),0)</f>
        <v>CONCRETAGEM DE BLOCO DE COROAMENTO OU VIGA BALDRAME, FCK 30 MPA, COM USO DE BOMBA - LANÇAMENTO, ADENSAMENTO E ACABAMENTO. AF_01/2024</v>
      </c>
      <c r="G39" s="207" t="str">
        <f ca="1">IF($D39&lt;&gt;"Serviço","",OFFSET(ORÇAMENTO!S$15,ROW(G39)-ROW(G$15),0))</f>
        <v>M3</v>
      </c>
      <c r="H39" s="151">
        <f ca="1">IF($D39&lt;&gt;"Serviço",0,IF(ACOMPANHAMENTO="BM",ROUND(OFFSET(ORÇAMENTO!AJ$15,ROW(H39)-ROW(H$15),0),15-13*ORÇAMENTO!$AF$7),SUMPRODUCT(($Q$12:$AA$12&lt;&gt;"")*ROUND($Q39:$AA39,15-13*ORÇAMENTO!$AF$7))))</f>
        <v>30.8</v>
      </c>
      <c r="I39" s="649"/>
      <c r="K39" s="208"/>
      <c r="L39" s="209" t="s">
        <v>255</v>
      </c>
      <c r="M39" s="210">
        <f ca="1">IF($D39&lt;&gt;"Serviço","",IF(AUTOEVENTO="manual",$A39,IF(ISERROR(MATCH($A39,$A$15:OFFSET($A39,-1,0),0)),MAX($M$15:OFFSET(M39,-1,0))+1,INDEX($M$15:OFFSET(M39,-1,0),MATCH($A39,$A$15:OFFSET($A39,-1,0),0)))))</f>
        <v>5</v>
      </c>
      <c r="N39" s="211" t="str">
        <f ca="1">IF($D39&lt;&gt;"Serviço","",IF(AUTOEVENTO="Manual",IF($A39=0,"&lt;-- defina o número do agrupador",OFFSET(EVENTOS!$D$14,$A39,0)),OFFSET($F$15,$A39,0)))</f>
        <v>FUNDAÇÃO (estaca e blocos)</v>
      </c>
      <c r="O39" s="212"/>
      <c r="Q39" s="212"/>
      <c r="R39" s="213"/>
      <c r="S39" s="213"/>
      <c r="T39" s="213"/>
      <c r="U39" s="213"/>
      <c r="V39" s="213"/>
      <c r="W39" s="213"/>
      <c r="X39" s="213"/>
      <c r="Y39" s="213"/>
      <c r="Z39" s="214"/>
      <c r="AB39" s="630">
        <f ca="1">IF(AND($D39="Serviço",AB$12&lt;&gt;0,$H39&gt;0,OR(AUTOEVENTO&lt;&gt;"manual",$M39&lt;&gt;1)),
IF(Import.TipoArredondamento&lt;&gt;"TransfereGOV",
ROUND(OFFSET($P39,0,AB$13),15-13*ORÇAMENTO!$AF$7)/$H39*OFFSET(ORÇAMENTO!$X$15,ROW(AB39)-ROW(AB$15),0),
ROUND(ROUND(OFFSET($P39,0,AB$13),15-13*ORÇAMENTO!$AF$7)*OFFSET(ORÇAMENTO!$W$15,ROW(AB39)-ROW(AB$15),0),15-13*ORÇAMENTO!$AF$11)),0)</f>
        <v>0</v>
      </c>
      <c r="AC39" s="631">
        <f ca="1">IF(AND($D39="Serviço",AC$12&lt;&gt;0,$H39&gt;0,OR(AUTOEVENTO&lt;&gt;"manual",$M39&lt;&gt;1)),
IF(Import.TipoArredondamento&lt;&gt;"TransfereGOV",
ROUND(OFFSET($P39,0,AC$13),15-13*ORÇAMENTO!$AF$7)/$H39*OFFSET(ORÇAMENTO!$X$15,ROW(AC39)-ROW(AC$15),0),
ROUND(ROUND(OFFSET($P39,0,AC$13),15-13*ORÇAMENTO!$AF$7)*OFFSET(ORÇAMENTO!$W$15,ROW(AC39)-ROW(AC$15),0),15-13*ORÇAMENTO!$AF$11)),0)</f>
        <v>0</v>
      </c>
      <c r="AD39" s="631">
        <f ca="1">IF(AND($D39="Serviço",AD$12&lt;&gt;0,$H39&gt;0,OR(AUTOEVENTO&lt;&gt;"manual",$M39&lt;&gt;1)),
IF(Import.TipoArredondamento&lt;&gt;"TransfereGOV",
ROUND(OFFSET($P39,0,AD$13),15-13*ORÇAMENTO!$AF$7)/$H39*OFFSET(ORÇAMENTO!$X$15,ROW(AD39)-ROW(AD$15),0),
ROUND(ROUND(OFFSET($P39,0,AD$13),15-13*ORÇAMENTO!$AF$7)*OFFSET(ORÇAMENTO!$W$15,ROW(AD39)-ROW(AD$15),0),15-13*ORÇAMENTO!$AF$11)),0)</f>
        <v>0</v>
      </c>
      <c r="AE39" s="631">
        <f ca="1">IF(AND($D39="Serviço",AE$12&lt;&gt;0,$H39&gt;0,OR(AUTOEVENTO&lt;&gt;"manual",$M39&lt;&gt;1)),
IF(Import.TipoArredondamento&lt;&gt;"TransfereGOV",
ROUND(OFFSET($P39,0,AE$13),15-13*ORÇAMENTO!$AF$7)/$H39*OFFSET(ORÇAMENTO!$X$15,ROW(AE39)-ROW(AE$15),0),
ROUND(ROUND(OFFSET($P39,0,AE$13),15-13*ORÇAMENTO!$AF$7)*OFFSET(ORÇAMENTO!$W$15,ROW(AE39)-ROW(AE$15),0),15-13*ORÇAMENTO!$AF$11)),0)</f>
        <v>0</v>
      </c>
      <c r="AF39" s="631">
        <f ca="1">IF(AND($D39="Serviço",AF$12&lt;&gt;0,$H39&gt;0,OR(AUTOEVENTO&lt;&gt;"manual",$M39&lt;&gt;1)),
IF(Import.TipoArredondamento&lt;&gt;"TransfereGOV",
ROUND(OFFSET($P39,0,AF$13),15-13*ORÇAMENTO!$AF$7)/$H39*OFFSET(ORÇAMENTO!$X$15,ROW(AF39)-ROW(AF$15),0),
ROUND(ROUND(OFFSET($P39,0,AF$13),15-13*ORÇAMENTO!$AF$7)*OFFSET(ORÇAMENTO!$W$15,ROW(AF39)-ROW(AF$15),0),15-13*ORÇAMENTO!$AF$11)),0)</f>
        <v>0</v>
      </c>
      <c r="AG39" s="631">
        <f ca="1">IF(AND($D39="Serviço",AG$12&lt;&gt;0,$H39&gt;0,OR(AUTOEVENTO&lt;&gt;"manual",$M39&lt;&gt;1)),
IF(Import.TipoArredondamento&lt;&gt;"TransfereGOV",
ROUND(OFFSET($P39,0,AG$13),15-13*ORÇAMENTO!$AF$7)/$H39*OFFSET(ORÇAMENTO!$X$15,ROW(AG39)-ROW(AG$15),0),
ROUND(ROUND(OFFSET($P39,0,AG$13),15-13*ORÇAMENTO!$AF$7)*OFFSET(ORÇAMENTO!$W$15,ROW(AG39)-ROW(AG$15),0),15-13*ORÇAMENTO!$AF$11)),0)</f>
        <v>0</v>
      </c>
      <c r="AH39" s="631">
        <f ca="1">IF(AND($D39="Serviço",AH$12&lt;&gt;0,$H39&gt;0,OR(AUTOEVENTO&lt;&gt;"manual",$M39&lt;&gt;1)),
IF(Import.TipoArredondamento&lt;&gt;"TransfereGOV",
ROUND(OFFSET($P39,0,AH$13),15-13*ORÇAMENTO!$AF$7)/$H39*OFFSET(ORÇAMENTO!$X$15,ROW(AH39)-ROW(AH$15),0),
ROUND(ROUND(OFFSET($P39,0,AH$13),15-13*ORÇAMENTO!$AF$7)*OFFSET(ORÇAMENTO!$W$15,ROW(AH39)-ROW(AH$15),0),15-13*ORÇAMENTO!$AF$11)),0)</f>
        <v>0</v>
      </c>
      <c r="AI39" s="631">
        <f ca="1">IF(AND($D39="Serviço",AI$12&lt;&gt;0,$H39&gt;0,OR(AUTOEVENTO&lt;&gt;"manual",$M39&lt;&gt;1)),
IF(Import.TipoArredondamento&lt;&gt;"TransfereGOV",
ROUND(OFFSET($P39,0,AI$13),15-13*ORÇAMENTO!$AF$7)/$H39*OFFSET(ORÇAMENTO!$X$15,ROW(AI39)-ROW(AI$15),0),
ROUND(ROUND(OFFSET($P39,0,AI$13),15-13*ORÇAMENTO!$AF$7)*OFFSET(ORÇAMENTO!$W$15,ROW(AI39)-ROW(AI$15),0),15-13*ORÇAMENTO!$AF$11)),0)</f>
        <v>0</v>
      </c>
      <c r="AJ39" s="631">
        <f ca="1">IF(AND($D39="Serviço",AJ$12&lt;&gt;0,$H39&gt;0,OR(AUTOEVENTO&lt;&gt;"manual",$M39&lt;&gt;1)),
IF(Import.TipoArredondamento&lt;&gt;"TransfereGOV",
ROUND(OFFSET($P39,0,AJ$13),15-13*ORÇAMENTO!$AF$7)/$H39*OFFSET(ORÇAMENTO!$X$15,ROW(AJ39)-ROW(AJ$15),0),
ROUND(ROUND(OFFSET($P39,0,AJ$13),15-13*ORÇAMENTO!$AF$7)*OFFSET(ORÇAMENTO!$W$15,ROW(AJ39)-ROW(AJ$15),0),15-13*ORÇAMENTO!$AF$11)),0)</f>
        <v>0</v>
      </c>
      <c r="AK39" s="632">
        <f ca="1">IF(AND($D39="Serviço",AK$12&lt;&gt;0,$H39&gt;0,OR(AUTOEVENTO&lt;&gt;"manual",$M39&lt;&gt;1)),
IF(Import.TipoArredondamento&lt;&gt;"TransfereGOV",
ROUND(OFFSET($P39,0,AK$13),15-13*ORÇAMENTO!$AF$7)/$H39*OFFSET(ORÇAMENTO!$X$15,ROW(AK39)-ROW(AK$15),0),
ROUND(ROUND(OFFSET($P39,0,AK$13),15-13*ORÇAMENTO!$AF$7)*OFFSET(ORÇAMENTO!$W$15,ROW(AK39)-ROW(AK$15),0),15-13*ORÇAMENTO!$AF$11)),0)</f>
        <v>0</v>
      </c>
      <c r="AM39" s="215">
        <f ca="1">IF($D39&lt;&gt;"Serviço",0,IF(AND(AUTOEVENTO="Manual",$M39=1),0,IF(OFFSET(CRONOPLE!$F$14,$M39,AM$13)="",10^12,OFFSET(CRONOPLE!$F$14,$M39,AM$13))))</f>
        <v>1000000000000</v>
      </c>
      <c r="AN39" s="215">
        <f ca="1">IF($D39&lt;&gt;"Serviço",0,IF(AND(AUTOEVENTO="Manual",$M39=1),0,IF(OFFSET(CRONOPLE!$F$14,$M39,AN$13)="",10^12,OFFSET(CRONOPLE!$F$14,$M39,AN$13))))</f>
        <v>1000000000000</v>
      </c>
      <c r="AO39" s="215">
        <f ca="1">IF($D39&lt;&gt;"Serviço",0,IF(AND(AUTOEVENTO="Manual",$M39=1),0,IF(OFFSET(CRONOPLE!$F$14,$M39,AO$13)="",10^12,OFFSET(CRONOPLE!$F$14,$M39,AO$13))))</f>
        <v>1000000000000</v>
      </c>
      <c r="AP39" s="215">
        <f ca="1">IF($D39&lt;&gt;"Serviço",0,IF(AND(AUTOEVENTO="Manual",$M39=1),0,IF(OFFSET(CRONOPLE!$F$14,$M39,AP$13)="",10^12,OFFSET(CRONOPLE!$F$14,$M39,AP$13))))</f>
        <v>1000000000000</v>
      </c>
      <c r="AQ39" s="215">
        <f ca="1">IF($D39&lt;&gt;"Serviço",0,IF(AND(AUTOEVENTO="Manual",$M39=1),0,IF(OFFSET(CRONOPLE!$F$14,$M39,AQ$13)="",10^12,OFFSET(CRONOPLE!$F$14,$M39,AQ$13))))</f>
        <v>1000000000000</v>
      </c>
      <c r="AR39" s="215">
        <f ca="1">IF($D39&lt;&gt;"Serviço",0,IF(AND(AUTOEVENTO="Manual",$M39=1),0,IF(OFFSET(CRONOPLE!$F$14,$M39,AR$13)="",10^12,OFFSET(CRONOPLE!$F$14,$M39,AR$13))))</f>
        <v>1000000000000</v>
      </c>
      <c r="AS39" s="215">
        <f ca="1">IF($D39&lt;&gt;"Serviço",0,IF(AND(AUTOEVENTO="Manual",$M39=1),0,IF(OFFSET(CRONOPLE!$F$14,$M39,AS$13)="",10^12,OFFSET(CRONOPLE!$F$14,$M39,AS$13))))</f>
        <v>1000000000000</v>
      </c>
      <c r="AT39" s="215">
        <f ca="1">IF($D39&lt;&gt;"Serviço",0,IF(AND(AUTOEVENTO="Manual",$M39=1),0,IF(OFFSET(CRONOPLE!$F$14,$M39,AT$13)="",10^12,OFFSET(CRONOPLE!$F$14,$M39,AT$13))))</f>
        <v>1000000000000</v>
      </c>
      <c r="AU39" s="215">
        <f ca="1">IF($D39&lt;&gt;"Serviço",0,IF(AND(AUTOEVENTO="Manual",$M39=1),0,IF(OFFSET(CRONOPLE!$F$14,$M39,AU$13)="",10^12,OFFSET(CRONOPLE!$F$14,$M39,AU$13))))</f>
        <v>1000000000000</v>
      </c>
      <c r="AV39" s="215">
        <f ca="1">IF($D39&lt;&gt;"Serviço",0,IF(AND(AUTOEVENTO="Manual",$M39=1),0,IF(OFFSET(CRONOPLE!$F$14,$M39,AV$13)="",10^12,OFFSET(CRONOPLE!$F$14,$M39,AV$13))))</f>
        <v>1000000000000</v>
      </c>
      <c r="AX39" s="216">
        <f ca="1">IF($D39&lt;&gt;"Serviço",0,IF(OR(AND(AUTOEVENTO="Manual",$M39=1),$M39&gt;(ROW(PLE.lastrow)-ROW(PLE.firstrow))),0,IF(OFFSET(PLE!$G$14,$M39,AX$13)="",10^12,OFFSET(PLE!$G$14,$M39,AX$13))))</f>
        <v>1000000000000</v>
      </c>
      <c r="AY39" s="216">
        <f ca="1">IF($D39&lt;&gt;"Serviço",0,IF(OR(AND(AUTOEVENTO="Manual",$M39=1),$M39&gt;(ROW(PLE.lastrow)-ROW(PLE.firstrow))),0,IF(OFFSET(PLE!$G$14,$M39,AY$13)="",10^12,OFFSET(PLE!$G$14,$M39,AY$13))))</f>
        <v>1000000000000</v>
      </c>
      <c r="AZ39" s="216">
        <f ca="1">IF($D39&lt;&gt;"Serviço",0,IF(OR(AND(AUTOEVENTO="Manual",$M39=1),$M39&gt;(ROW(PLE.lastrow)-ROW(PLE.firstrow))),0,IF(OFFSET(PLE!$G$14,$M39,AZ$13)="",10^12,OFFSET(PLE!$G$14,$M39,AZ$13))))</f>
        <v>1000000000000</v>
      </c>
      <c r="BA39" s="216">
        <f ca="1">IF($D39&lt;&gt;"Serviço",0,IF(OR(AND(AUTOEVENTO="Manual",$M39=1),$M39&gt;(ROW(PLE.lastrow)-ROW(PLE.firstrow))),0,IF(OFFSET(PLE!$G$14,$M39,BA$13)="",10^12,OFFSET(PLE!$G$14,$M39,BA$13))))</f>
        <v>1000000000000</v>
      </c>
      <c r="BB39" s="216">
        <f ca="1">IF($D39&lt;&gt;"Serviço",0,IF(OR(AND(AUTOEVENTO="Manual",$M39=1),$M39&gt;(ROW(PLE.lastrow)-ROW(PLE.firstrow))),0,IF(OFFSET(PLE!$G$14,$M39,BB$13)="",10^12,OFFSET(PLE!$G$14,$M39,BB$13))))</f>
        <v>1000000000000</v>
      </c>
      <c r="BC39" s="216">
        <f ca="1">IF($D39&lt;&gt;"Serviço",0,IF(OR(AND(AUTOEVENTO="Manual",$M39=1),$M39&gt;(ROW(PLE.lastrow)-ROW(PLE.firstrow))),0,IF(OFFSET(PLE!$G$14,$M39,BC$13)="",10^12,OFFSET(PLE!$G$14,$M39,BC$13))))</f>
        <v>1000000000000</v>
      </c>
      <c r="BD39" s="216">
        <f ca="1">IF($D39&lt;&gt;"Serviço",0,IF(OR(AND(AUTOEVENTO="Manual",$M39=1),$M39&gt;(ROW(PLE.lastrow)-ROW(PLE.firstrow))),0,IF(OFFSET(PLE!$G$14,$M39,BD$13)="",10^12,OFFSET(PLE!$G$14,$M39,BD$13))))</f>
        <v>1000000000000</v>
      </c>
      <c r="BE39" s="216">
        <f ca="1">IF($D39&lt;&gt;"Serviço",0,IF(OR(AND(AUTOEVENTO="Manual",$M39=1),$M39&gt;(ROW(PLE.lastrow)-ROW(PLE.firstrow))),0,IF(OFFSET(PLE!$G$14,$M39,BE$13)="",10^12,OFFSET(PLE!$G$14,$M39,BE$13))))</f>
        <v>1000000000000</v>
      </c>
      <c r="BF39" s="216">
        <f ca="1">IF($D39&lt;&gt;"Serviço",0,IF(OR(AND(AUTOEVENTO="Manual",$M39=1),$M39&gt;(ROW(PLE.lastrow)-ROW(PLE.firstrow))),0,IF(OFFSET(PLE!$G$14,$M39,BF$13)="",10^12,OFFSET(PLE!$G$14,$M39,BF$13))))</f>
        <v>1000000000000</v>
      </c>
      <c r="BG39" s="216">
        <f ca="1">IF($D39&lt;&gt;"Serviço",0,IF(OR(AND(AUTOEVENTO="Manual",$M39=1),$M39&gt;(ROW(PLE.lastrow)-ROW(PLE.firstrow))),0,IF(OFFSET(PLE!$G$14,$M39,BG$13)="",10^12,OFFSET(PLE!$G$14,$M39,BG$13))))</f>
        <v>1000000000000</v>
      </c>
    </row>
    <row r="40" spans="1:59" ht="38.25" x14ac:dyDescent="0.2">
      <c r="A40" s="9" t="str">
        <f t="shared" ca="1" si="8"/>
        <v>16</v>
      </c>
      <c r="B40" s="9" t="str">
        <f ca="1">OFFSET(ORÇAMENTO!C$15,ROW(B40)-ROW(B$15),0)</f>
        <v>S</v>
      </c>
      <c r="C40" s="9" t="str">
        <f ca="1">OFFSET(ORÇAMENTO!L$15,ROW(C40)-ROW(C$15),0)</f>
        <v/>
      </c>
      <c r="D40" s="145" t="str">
        <f ca="1">OFFSET(ORÇAMENTO!N$15,ROW(D40)-ROW(D$15),0)</f>
        <v>Serviço</v>
      </c>
      <c r="E40" s="205" t="str">
        <f ca="1">OFFSET(ORÇAMENTO!O$15,ROW(E40)-ROW(E$15),0)</f>
        <v>-</v>
      </c>
      <c r="F40" s="206" t="str">
        <f ca="1">OFFSET(ORÇAMENTO!R$15,ROW(F40)-ROW(F$15),0)</f>
        <v>ESTACA HÉLICE CONTÍNUA, DIÂMETRO DE 30 CM, INCLUSO CONCRETO FCK=30MPA E ARMADURA MÍNIMA (EXCLUSIVE BOMBEAMENTO, MOBILIZAÇÃO E DESMOBILIZAÇÃO). AF_12/2019_PA</v>
      </c>
      <c r="G40" s="207" t="str">
        <f ca="1">IF($D40&lt;&gt;"Serviço","",OFFSET(ORÇAMENTO!S$15,ROW(G40)-ROW(G$15),0))</f>
        <v>M</v>
      </c>
      <c r="H40" s="151">
        <f ca="1">IF($D40&lt;&gt;"Serviço",0,IF(ACOMPANHAMENTO="BM",ROUND(OFFSET(ORÇAMENTO!AJ$15,ROW(H40)-ROW(H$15),0),15-13*ORÇAMENTO!$AF$7),SUMPRODUCT(($Q$12:$AA$12&lt;&gt;"")*ROUND($Q40:$AA40,15-13*ORÇAMENTO!$AF$7))))</f>
        <v>140</v>
      </c>
      <c r="I40" s="649"/>
      <c r="K40" s="208"/>
      <c r="L40" s="209" t="s">
        <v>255</v>
      </c>
      <c r="M40" s="210">
        <f ca="1">IF($D40&lt;&gt;"Serviço","",IF(AUTOEVENTO="manual",$A40,IF(ISERROR(MATCH($A40,$A$15:OFFSET($A40,-1,0),0)),MAX($M$15:OFFSET(M40,-1,0))+1,INDEX($M$15:OFFSET(M40,-1,0),MATCH($A40,$A$15:OFFSET($A40,-1,0),0)))))</f>
        <v>5</v>
      </c>
      <c r="N40" s="211" t="str">
        <f ca="1">IF($D40&lt;&gt;"Serviço","",IF(AUTOEVENTO="Manual",IF($A40=0,"&lt;-- defina o número do agrupador",OFFSET(EVENTOS!$D$14,$A40,0)),OFFSET($F$15,$A40,0)))</f>
        <v>FUNDAÇÃO (estaca e blocos)</v>
      </c>
      <c r="O40" s="212"/>
      <c r="Q40" s="212"/>
      <c r="R40" s="213"/>
      <c r="S40" s="213"/>
      <c r="T40" s="213"/>
      <c r="U40" s="213"/>
      <c r="V40" s="213"/>
      <c r="W40" s="213"/>
      <c r="X40" s="213"/>
      <c r="Y40" s="213"/>
      <c r="Z40" s="214"/>
      <c r="AB40" s="630">
        <f ca="1">IF(AND($D40="Serviço",AB$12&lt;&gt;0,$H40&gt;0,OR(AUTOEVENTO&lt;&gt;"manual",$M40&lt;&gt;1)),
IF(Import.TipoArredondamento&lt;&gt;"TransfereGOV",
ROUND(OFFSET($P40,0,AB$13),15-13*ORÇAMENTO!$AF$7)/$H40*OFFSET(ORÇAMENTO!$X$15,ROW(AB40)-ROW(AB$15),0),
ROUND(ROUND(OFFSET($P40,0,AB$13),15-13*ORÇAMENTO!$AF$7)*OFFSET(ORÇAMENTO!$W$15,ROW(AB40)-ROW(AB$15),0),15-13*ORÇAMENTO!$AF$11)),0)</f>
        <v>0</v>
      </c>
      <c r="AC40" s="631">
        <f ca="1">IF(AND($D40="Serviço",AC$12&lt;&gt;0,$H40&gt;0,OR(AUTOEVENTO&lt;&gt;"manual",$M40&lt;&gt;1)),
IF(Import.TipoArredondamento&lt;&gt;"TransfereGOV",
ROUND(OFFSET($P40,0,AC$13),15-13*ORÇAMENTO!$AF$7)/$H40*OFFSET(ORÇAMENTO!$X$15,ROW(AC40)-ROW(AC$15),0),
ROUND(ROUND(OFFSET($P40,0,AC$13),15-13*ORÇAMENTO!$AF$7)*OFFSET(ORÇAMENTO!$W$15,ROW(AC40)-ROW(AC$15),0),15-13*ORÇAMENTO!$AF$11)),0)</f>
        <v>0</v>
      </c>
      <c r="AD40" s="631">
        <f ca="1">IF(AND($D40="Serviço",AD$12&lt;&gt;0,$H40&gt;0,OR(AUTOEVENTO&lt;&gt;"manual",$M40&lt;&gt;1)),
IF(Import.TipoArredondamento&lt;&gt;"TransfereGOV",
ROUND(OFFSET($P40,0,AD$13),15-13*ORÇAMENTO!$AF$7)/$H40*OFFSET(ORÇAMENTO!$X$15,ROW(AD40)-ROW(AD$15),0),
ROUND(ROUND(OFFSET($P40,0,AD$13),15-13*ORÇAMENTO!$AF$7)*OFFSET(ORÇAMENTO!$W$15,ROW(AD40)-ROW(AD$15),0),15-13*ORÇAMENTO!$AF$11)),0)</f>
        <v>0</v>
      </c>
      <c r="AE40" s="631">
        <f ca="1">IF(AND($D40="Serviço",AE$12&lt;&gt;0,$H40&gt;0,OR(AUTOEVENTO&lt;&gt;"manual",$M40&lt;&gt;1)),
IF(Import.TipoArredondamento&lt;&gt;"TransfereGOV",
ROUND(OFFSET($P40,0,AE$13),15-13*ORÇAMENTO!$AF$7)/$H40*OFFSET(ORÇAMENTO!$X$15,ROW(AE40)-ROW(AE$15),0),
ROUND(ROUND(OFFSET($P40,0,AE$13),15-13*ORÇAMENTO!$AF$7)*OFFSET(ORÇAMENTO!$W$15,ROW(AE40)-ROW(AE$15),0),15-13*ORÇAMENTO!$AF$11)),0)</f>
        <v>0</v>
      </c>
      <c r="AF40" s="631">
        <f ca="1">IF(AND($D40="Serviço",AF$12&lt;&gt;0,$H40&gt;0,OR(AUTOEVENTO&lt;&gt;"manual",$M40&lt;&gt;1)),
IF(Import.TipoArredondamento&lt;&gt;"TransfereGOV",
ROUND(OFFSET($P40,0,AF$13),15-13*ORÇAMENTO!$AF$7)/$H40*OFFSET(ORÇAMENTO!$X$15,ROW(AF40)-ROW(AF$15),0),
ROUND(ROUND(OFFSET($P40,0,AF$13),15-13*ORÇAMENTO!$AF$7)*OFFSET(ORÇAMENTO!$W$15,ROW(AF40)-ROW(AF$15),0),15-13*ORÇAMENTO!$AF$11)),0)</f>
        <v>0</v>
      </c>
      <c r="AG40" s="631">
        <f ca="1">IF(AND($D40="Serviço",AG$12&lt;&gt;0,$H40&gt;0,OR(AUTOEVENTO&lt;&gt;"manual",$M40&lt;&gt;1)),
IF(Import.TipoArredondamento&lt;&gt;"TransfereGOV",
ROUND(OFFSET($P40,0,AG$13),15-13*ORÇAMENTO!$AF$7)/$H40*OFFSET(ORÇAMENTO!$X$15,ROW(AG40)-ROW(AG$15),0),
ROUND(ROUND(OFFSET($P40,0,AG$13),15-13*ORÇAMENTO!$AF$7)*OFFSET(ORÇAMENTO!$W$15,ROW(AG40)-ROW(AG$15),0),15-13*ORÇAMENTO!$AF$11)),0)</f>
        <v>0</v>
      </c>
      <c r="AH40" s="631">
        <f ca="1">IF(AND($D40="Serviço",AH$12&lt;&gt;0,$H40&gt;0,OR(AUTOEVENTO&lt;&gt;"manual",$M40&lt;&gt;1)),
IF(Import.TipoArredondamento&lt;&gt;"TransfereGOV",
ROUND(OFFSET($P40,0,AH$13),15-13*ORÇAMENTO!$AF$7)/$H40*OFFSET(ORÇAMENTO!$X$15,ROW(AH40)-ROW(AH$15),0),
ROUND(ROUND(OFFSET($P40,0,AH$13),15-13*ORÇAMENTO!$AF$7)*OFFSET(ORÇAMENTO!$W$15,ROW(AH40)-ROW(AH$15),0),15-13*ORÇAMENTO!$AF$11)),0)</f>
        <v>0</v>
      </c>
      <c r="AI40" s="631">
        <f ca="1">IF(AND($D40="Serviço",AI$12&lt;&gt;0,$H40&gt;0,OR(AUTOEVENTO&lt;&gt;"manual",$M40&lt;&gt;1)),
IF(Import.TipoArredondamento&lt;&gt;"TransfereGOV",
ROUND(OFFSET($P40,0,AI$13),15-13*ORÇAMENTO!$AF$7)/$H40*OFFSET(ORÇAMENTO!$X$15,ROW(AI40)-ROW(AI$15),0),
ROUND(ROUND(OFFSET($P40,0,AI$13),15-13*ORÇAMENTO!$AF$7)*OFFSET(ORÇAMENTO!$W$15,ROW(AI40)-ROW(AI$15),0),15-13*ORÇAMENTO!$AF$11)),0)</f>
        <v>0</v>
      </c>
      <c r="AJ40" s="631">
        <f ca="1">IF(AND($D40="Serviço",AJ$12&lt;&gt;0,$H40&gt;0,OR(AUTOEVENTO&lt;&gt;"manual",$M40&lt;&gt;1)),
IF(Import.TipoArredondamento&lt;&gt;"TransfereGOV",
ROUND(OFFSET($P40,0,AJ$13),15-13*ORÇAMENTO!$AF$7)/$H40*OFFSET(ORÇAMENTO!$X$15,ROW(AJ40)-ROW(AJ$15),0),
ROUND(ROUND(OFFSET($P40,0,AJ$13),15-13*ORÇAMENTO!$AF$7)*OFFSET(ORÇAMENTO!$W$15,ROW(AJ40)-ROW(AJ$15),0),15-13*ORÇAMENTO!$AF$11)),0)</f>
        <v>0</v>
      </c>
      <c r="AK40" s="632">
        <f ca="1">IF(AND($D40="Serviço",AK$12&lt;&gt;0,$H40&gt;0,OR(AUTOEVENTO&lt;&gt;"manual",$M40&lt;&gt;1)),
IF(Import.TipoArredondamento&lt;&gt;"TransfereGOV",
ROUND(OFFSET($P40,0,AK$13),15-13*ORÇAMENTO!$AF$7)/$H40*OFFSET(ORÇAMENTO!$X$15,ROW(AK40)-ROW(AK$15),0),
ROUND(ROUND(OFFSET($P40,0,AK$13),15-13*ORÇAMENTO!$AF$7)*OFFSET(ORÇAMENTO!$W$15,ROW(AK40)-ROW(AK$15),0),15-13*ORÇAMENTO!$AF$11)),0)</f>
        <v>0</v>
      </c>
      <c r="AM40" s="215">
        <f ca="1">IF($D40&lt;&gt;"Serviço",0,IF(AND(AUTOEVENTO="Manual",$M40=1),0,IF(OFFSET(CRONOPLE!$F$14,$M40,AM$13)="",10^12,OFFSET(CRONOPLE!$F$14,$M40,AM$13))))</f>
        <v>1000000000000</v>
      </c>
      <c r="AN40" s="215">
        <f ca="1">IF($D40&lt;&gt;"Serviço",0,IF(AND(AUTOEVENTO="Manual",$M40=1),0,IF(OFFSET(CRONOPLE!$F$14,$M40,AN$13)="",10^12,OFFSET(CRONOPLE!$F$14,$M40,AN$13))))</f>
        <v>1000000000000</v>
      </c>
      <c r="AO40" s="215">
        <f ca="1">IF($D40&lt;&gt;"Serviço",0,IF(AND(AUTOEVENTO="Manual",$M40=1),0,IF(OFFSET(CRONOPLE!$F$14,$M40,AO$13)="",10^12,OFFSET(CRONOPLE!$F$14,$M40,AO$13))))</f>
        <v>1000000000000</v>
      </c>
      <c r="AP40" s="215">
        <f ca="1">IF($D40&lt;&gt;"Serviço",0,IF(AND(AUTOEVENTO="Manual",$M40=1),0,IF(OFFSET(CRONOPLE!$F$14,$M40,AP$13)="",10^12,OFFSET(CRONOPLE!$F$14,$M40,AP$13))))</f>
        <v>1000000000000</v>
      </c>
      <c r="AQ40" s="215">
        <f ca="1">IF($D40&lt;&gt;"Serviço",0,IF(AND(AUTOEVENTO="Manual",$M40=1),0,IF(OFFSET(CRONOPLE!$F$14,$M40,AQ$13)="",10^12,OFFSET(CRONOPLE!$F$14,$M40,AQ$13))))</f>
        <v>1000000000000</v>
      </c>
      <c r="AR40" s="215">
        <f ca="1">IF($D40&lt;&gt;"Serviço",0,IF(AND(AUTOEVENTO="Manual",$M40=1),0,IF(OFFSET(CRONOPLE!$F$14,$M40,AR$13)="",10^12,OFFSET(CRONOPLE!$F$14,$M40,AR$13))))</f>
        <v>1000000000000</v>
      </c>
      <c r="AS40" s="215">
        <f ca="1">IF($D40&lt;&gt;"Serviço",0,IF(AND(AUTOEVENTO="Manual",$M40=1),0,IF(OFFSET(CRONOPLE!$F$14,$M40,AS$13)="",10^12,OFFSET(CRONOPLE!$F$14,$M40,AS$13))))</f>
        <v>1000000000000</v>
      </c>
      <c r="AT40" s="215">
        <f ca="1">IF($D40&lt;&gt;"Serviço",0,IF(AND(AUTOEVENTO="Manual",$M40=1),0,IF(OFFSET(CRONOPLE!$F$14,$M40,AT$13)="",10^12,OFFSET(CRONOPLE!$F$14,$M40,AT$13))))</f>
        <v>1000000000000</v>
      </c>
      <c r="AU40" s="215">
        <f ca="1">IF($D40&lt;&gt;"Serviço",0,IF(AND(AUTOEVENTO="Manual",$M40=1),0,IF(OFFSET(CRONOPLE!$F$14,$M40,AU$13)="",10^12,OFFSET(CRONOPLE!$F$14,$M40,AU$13))))</f>
        <v>1000000000000</v>
      </c>
      <c r="AV40" s="215">
        <f ca="1">IF($D40&lt;&gt;"Serviço",0,IF(AND(AUTOEVENTO="Manual",$M40=1),0,IF(OFFSET(CRONOPLE!$F$14,$M40,AV$13)="",10^12,OFFSET(CRONOPLE!$F$14,$M40,AV$13))))</f>
        <v>1000000000000</v>
      </c>
      <c r="AX40" s="216">
        <f ca="1">IF($D40&lt;&gt;"Serviço",0,IF(OR(AND(AUTOEVENTO="Manual",$M40=1),$M40&gt;(ROW(PLE.lastrow)-ROW(PLE.firstrow))),0,IF(OFFSET(PLE!$G$14,$M40,AX$13)="",10^12,OFFSET(PLE!$G$14,$M40,AX$13))))</f>
        <v>1000000000000</v>
      </c>
      <c r="AY40" s="216">
        <f ca="1">IF($D40&lt;&gt;"Serviço",0,IF(OR(AND(AUTOEVENTO="Manual",$M40=1),$M40&gt;(ROW(PLE.lastrow)-ROW(PLE.firstrow))),0,IF(OFFSET(PLE!$G$14,$M40,AY$13)="",10^12,OFFSET(PLE!$G$14,$M40,AY$13))))</f>
        <v>1000000000000</v>
      </c>
      <c r="AZ40" s="216">
        <f ca="1">IF($D40&lt;&gt;"Serviço",0,IF(OR(AND(AUTOEVENTO="Manual",$M40=1),$M40&gt;(ROW(PLE.lastrow)-ROW(PLE.firstrow))),0,IF(OFFSET(PLE!$G$14,$M40,AZ$13)="",10^12,OFFSET(PLE!$G$14,$M40,AZ$13))))</f>
        <v>1000000000000</v>
      </c>
      <c r="BA40" s="216">
        <f ca="1">IF($D40&lt;&gt;"Serviço",0,IF(OR(AND(AUTOEVENTO="Manual",$M40=1),$M40&gt;(ROW(PLE.lastrow)-ROW(PLE.firstrow))),0,IF(OFFSET(PLE!$G$14,$M40,BA$13)="",10^12,OFFSET(PLE!$G$14,$M40,BA$13))))</f>
        <v>1000000000000</v>
      </c>
      <c r="BB40" s="216">
        <f ca="1">IF($D40&lt;&gt;"Serviço",0,IF(OR(AND(AUTOEVENTO="Manual",$M40=1),$M40&gt;(ROW(PLE.lastrow)-ROW(PLE.firstrow))),0,IF(OFFSET(PLE!$G$14,$M40,BB$13)="",10^12,OFFSET(PLE!$G$14,$M40,BB$13))))</f>
        <v>1000000000000</v>
      </c>
      <c r="BC40" s="216">
        <f ca="1">IF($D40&lt;&gt;"Serviço",0,IF(OR(AND(AUTOEVENTO="Manual",$M40=1),$M40&gt;(ROW(PLE.lastrow)-ROW(PLE.firstrow))),0,IF(OFFSET(PLE!$G$14,$M40,BC$13)="",10^12,OFFSET(PLE!$G$14,$M40,BC$13))))</f>
        <v>1000000000000</v>
      </c>
      <c r="BD40" s="216">
        <f ca="1">IF($D40&lt;&gt;"Serviço",0,IF(OR(AND(AUTOEVENTO="Manual",$M40=1),$M40&gt;(ROW(PLE.lastrow)-ROW(PLE.firstrow))),0,IF(OFFSET(PLE!$G$14,$M40,BD$13)="",10^12,OFFSET(PLE!$G$14,$M40,BD$13))))</f>
        <v>1000000000000</v>
      </c>
      <c r="BE40" s="216">
        <f ca="1">IF($D40&lt;&gt;"Serviço",0,IF(OR(AND(AUTOEVENTO="Manual",$M40=1),$M40&gt;(ROW(PLE.lastrow)-ROW(PLE.firstrow))),0,IF(OFFSET(PLE!$G$14,$M40,BE$13)="",10^12,OFFSET(PLE!$G$14,$M40,BE$13))))</f>
        <v>1000000000000</v>
      </c>
      <c r="BF40" s="216">
        <f ca="1">IF($D40&lt;&gt;"Serviço",0,IF(OR(AND(AUTOEVENTO="Manual",$M40=1),$M40&gt;(ROW(PLE.lastrow)-ROW(PLE.firstrow))),0,IF(OFFSET(PLE!$G$14,$M40,BF$13)="",10^12,OFFSET(PLE!$G$14,$M40,BF$13))))</f>
        <v>1000000000000</v>
      </c>
      <c r="BG40" s="216">
        <f ca="1">IF($D40&lt;&gt;"Serviço",0,IF(OR(AND(AUTOEVENTO="Manual",$M40=1),$M40&gt;(ROW(PLE.lastrow)-ROW(PLE.firstrow))),0,IF(OFFSET(PLE!$G$14,$M40,BG$13)="",10^12,OFFSET(PLE!$G$14,$M40,BG$13))))</f>
        <v>1000000000000</v>
      </c>
    </row>
    <row r="41" spans="1:59" ht="38.25" x14ac:dyDescent="0.2">
      <c r="A41" s="9" t="str">
        <f t="shared" ca="1" si="8"/>
        <v>16</v>
      </c>
      <c r="B41" s="9" t="str">
        <f ca="1">OFFSET(ORÇAMENTO!C$15,ROW(B41)-ROW(B$15),0)</f>
        <v>S</v>
      </c>
      <c r="C41" s="9" t="str">
        <f ca="1">OFFSET(ORÇAMENTO!L$15,ROW(C41)-ROW(C$15),0)</f>
        <v/>
      </c>
      <c r="D41" s="145" t="str">
        <f ca="1">OFFSET(ORÇAMENTO!N$15,ROW(D41)-ROW(D$15),0)</f>
        <v>Serviço</v>
      </c>
      <c r="E41" s="205" t="str">
        <f ca="1">OFFSET(ORÇAMENTO!O$15,ROW(E41)-ROW(E$15),0)</f>
        <v>-</v>
      </c>
      <c r="F41" s="206" t="str">
        <f ca="1">OFFSET(ORÇAMENTO!R$15,ROW(F41)-ROW(F$15),0)</f>
        <v>ESTACA HÉLICE CONTÍNUA , DIÂMETRO DE 50 CM, INCLUSO CONCRETO FCK=30MPA E ARMADURA MÍNIMA (EXCLUSIVE BOMBEAMENTO, MOBILIZAÇÃO E DESMOBILIZAÇÃO). AF_12/2019_PA</v>
      </c>
      <c r="G41" s="207" t="str">
        <f ca="1">IF($D41&lt;&gt;"Serviço","",OFFSET(ORÇAMENTO!S$15,ROW(G41)-ROW(G$15),0))</f>
        <v>M</v>
      </c>
      <c r="H41" s="151">
        <f ca="1">IF($D41&lt;&gt;"Serviço",0,IF(ACOMPANHAMENTO="BM",ROUND(OFFSET(ORÇAMENTO!AJ$15,ROW(H41)-ROW(H$15),0),15-13*ORÇAMENTO!$AF$7),SUMPRODUCT(($Q$12:$AA$12&lt;&gt;"")*ROUND($Q41:$AA41,15-13*ORÇAMENTO!$AF$7))))</f>
        <v>200</v>
      </c>
      <c r="I41" s="649"/>
      <c r="K41" s="208"/>
      <c r="L41" s="209" t="s">
        <v>255</v>
      </c>
      <c r="M41" s="210">
        <f ca="1">IF($D41&lt;&gt;"Serviço","",IF(AUTOEVENTO="manual",$A41,IF(ISERROR(MATCH($A41,$A$15:OFFSET($A41,-1,0),0)),MAX($M$15:OFFSET(M41,-1,0))+1,INDEX($M$15:OFFSET(M41,-1,0),MATCH($A41,$A$15:OFFSET($A41,-1,0),0)))))</f>
        <v>5</v>
      </c>
      <c r="N41" s="211" t="str">
        <f ca="1">IF($D41&lt;&gt;"Serviço","",IF(AUTOEVENTO="Manual",IF($A41=0,"&lt;-- defina o número do agrupador",OFFSET(EVENTOS!$D$14,$A41,0)),OFFSET($F$15,$A41,0)))</f>
        <v>FUNDAÇÃO (estaca e blocos)</v>
      </c>
      <c r="O41" s="212"/>
      <c r="Q41" s="212"/>
      <c r="R41" s="213"/>
      <c r="S41" s="213"/>
      <c r="T41" s="213"/>
      <c r="U41" s="213"/>
      <c r="V41" s="213"/>
      <c r="W41" s="213"/>
      <c r="X41" s="213"/>
      <c r="Y41" s="213"/>
      <c r="Z41" s="214"/>
      <c r="AB41" s="630">
        <f ca="1">IF(AND($D41="Serviço",AB$12&lt;&gt;0,$H41&gt;0,OR(AUTOEVENTO&lt;&gt;"manual",$M41&lt;&gt;1)),
IF(Import.TipoArredondamento&lt;&gt;"TransfereGOV",
ROUND(OFFSET($P41,0,AB$13),15-13*ORÇAMENTO!$AF$7)/$H41*OFFSET(ORÇAMENTO!$X$15,ROW(AB41)-ROW(AB$15),0),
ROUND(ROUND(OFFSET($P41,0,AB$13),15-13*ORÇAMENTO!$AF$7)*OFFSET(ORÇAMENTO!$W$15,ROW(AB41)-ROW(AB$15),0),15-13*ORÇAMENTO!$AF$11)),0)</f>
        <v>0</v>
      </c>
      <c r="AC41" s="631">
        <f ca="1">IF(AND($D41="Serviço",AC$12&lt;&gt;0,$H41&gt;0,OR(AUTOEVENTO&lt;&gt;"manual",$M41&lt;&gt;1)),
IF(Import.TipoArredondamento&lt;&gt;"TransfereGOV",
ROUND(OFFSET($P41,0,AC$13),15-13*ORÇAMENTO!$AF$7)/$H41*OFFSET(ORÇAMENTO!$X$15,ROW(AC41)-ROW(AC$15),0),
ROUND(ROUND(OFFSET($P41,0,AC$13),15-13*ORÇAMENTO!$AF$7)*OFFSET(ORÇAMENTO!$W$15,ROW(AC41)-ROW(AC$15),0),15-13*ORÇAMENTO!$AF$11)),0)</f>
        <v>0</v>
      </c>
      <c r="AD41" s="631">
        <f ca="1">IF(AND($D41="Serviço",AD$12&lt;&gt;0,$H41&gt;0,OR(AUTOEVENTO&lt;&gt;"manual",$M41&lt;&gt;1)),
IF(Import.TipoArredondamento&lt;&gt;"TransfereGOV",
ROUND(OFFSET($P41,0,AD$13),15-13*ORÇAMENTO!$AF$7)/$H41*OFFSET(ORÇAMENTO!$X$15,ROW(AD41)-ROW(AD$15),0),
ROUND(ROUND(OFFSET($P41,0,AD$13),15-13*ORÇAMENTO!$AF$7)*OFFSET(ORÇAMENTO!$W$15,ROW(AD41)-ROW(AD$15),0),15-13*ORÇAMENTO!$AF$11)),0)</f>
        <v>0</v>
      </c>
      <c r="AE41" s="631">
        <f ca="1">IF(AND($D41="Serviço",AE$12&lt;&gt;0,$H41&gt;0,OR(AUTOEVENTO&lt;&gt;"manual",$M41&lt;&gt;1)),
IF(Import.TipoArredondamento&lt;&gt;"TransfereGOV",
ROUND(OFFSET($P41,0,AE$13),15-13*ORÇAMENTO!$AF$7)/$H41*OFFSET(ORÇAMENTO!$X$15,ROW(AE41)-ROW(AE$15),0),
ROUND(ROUND(OFFSET($P41,0,AE$13),15-13*ORÇAMENTO!$AF$7)*OFFSET(ORÇAMENTO!$W$15,ROW(AE41)-ROW(AE$15),0),15-13*ORÇAMENTO!$AF$11)),0)</f>
        <v>0</v>
      </c>
      <c r="AF41" s="631">
        <f ca="1">IF(AND($D41="Serviço",AF$12&lt;&gt;0,$H41&gt;0,OR(AUTOEVENTO&lt;&gt;"manual",$M41&lt;&gt;1)),
IF(Import.TipoArredondamento&lt;&gt;"TransfereGOV",
ROUND(OFFSET($P41,0,AF$13),15-13*ORÇAMENTO!$AF$7)/$H41*OFFSET(ORÇAMENTO!$X$15,ROW(AF41)-ROW(AF$15),0),
ROUND(ROUND(OFFSET($P41,0,AF$13),15-13*ORÇAMENTO!$AF$7)*OFFSET(ORÇAMENTO!$W$15,ROW(AF41)-ROW(AF$15),0),15-13*ORÇAMENTO!$AF$11)),0)</f>
        <v>0</v>
      </c>
      <c r="AG41" s="631">
        <f ca="1">IF(AND($D41="Serviço",AG$12&lt;&gt;0,$H41&gt;0,OR(AUTOEVENTO&lt;&gt;"manual",$M41&lt;&gt;1)),
IF(Import.TipoArredondamento&lt;&gt;"TransfereGOV",
ROUND(OFFSET($P41,0,AG$13),15-13*ORÇAMENTO!$AF$7)/$H41*OFFSET(ORÇAMENTO!$X$15,ROW(AG41)-ROW(AG$15),0),
ROUND(ROUND(OFFSET($P41,0,AG$13),15-13*ORÇAMENTO!$AF$7)*OFFSET(ORÇAMENTO!$W$15,ROW(AG41)-ROW(AG$15),0),15-13*ORÇAMENTO!$AF$11)),0)</f>
        <v>0</v>
      </c>
      <c r="AH41" s="631">
        <f ca="1">IF(AND($D41="Serviço",AH$12&lt;&gt;0,$H41&gt;0,OR(AUTOEVENTO&lt;&gt;"manual",$M41&lt;&gt;1)),
IF(Import.TipoArredondamento&lt;&gt;"TransfereGOV",
ROUND(OFFSET($P41,0,AH$13),15-13*ORÇAMENTO!$AF$7)/$H41*OFFSET(ORÇAMENTO!$X$15,ROW(AH41)-ROW(AH$15),0),
ROUND(ROUND(OFFSET($P41,0,AH$13),15-13*ORÇAMENTO!$AF$7)*OFFSET(ORÇAMENTO!$W$15,ROW(AH41)-ROW(AH$15),0),15-13*ORÇAMENTO!$AF$11)),0)</f>
        <v>0</v>
      </c>
      <c r="AI41" s="631">
        <f ca="1">IF(AND($D41="Serviço",AI$12&lt;&gt;0,$H41&gt;0,OR(AUTOEVENTO&lt;&gt;"manual",$M41&lt;&gt;1)),
IF(Import.TipoArredondamento&lt;&gt;"TransfereGOV",
ROUND(OFFSET($P41,0,AI$13),15-13*ORÇAMENTO!$AF$7)/$H41*OFFSET(ORÇAMENTO!$X$15,ROW(AI41)-ROW(AI$15),0),
ROUND(ROUND(OFFSET($P41,0,AI$13),15-13*ORÇAMENTO!$AF$7)*OFFSET(ORÇAMENTO!$W$15,ROW(AI41)-ROW(AI$15),0),15-13*ORÇAMENTO!$AF$11)),0)</f>
        <v>0</v>
      </c>
      <c r="AJ41" s="631">
        <f ca="1">IF(AND($D41="Serviço",AJ$12&lt;&gt;0,$H41&gt;0,OR(AUTOEVENTO&lt;&gt;"manual",$M41&lt;&gt;1)),
IF(Import.TipoArredondamento&lt;&gt;"TransfereGOV",
ROUND(OFFSET($P41,0,AJ$13),15-13*ORÇAMENTO!$AF$7)/$H41*OFFSET(ORÇAMENTO!$X$15,ROW(AJ41)-ROW(AJ$15),0),
ROUND(ROUND(OFFSET($P41,0,AJ$13),15-13*ORÇAMENTO!$AF$7)*OFFSET(ORÇAMENTO!$W$15,ROW(AJ41)-ROW(AJ$15),0),15-13*ORÇAMENTO!$AF$11)),0)</f>
        <v>0</v>
      </c>
      <c r="AK41" s="632">
        <f ca="1">IF(AND($D41="Serviço",AK$12&lt;&gt;0,$H41&gt;0,OR(AUTOEVENTO&lt;&gt;"manual",$M41&lt;&gt;1)),
IF(Import.TipoArredondamento&lt;&gt;"TransfereGOV",
ROUND(OFFSET($P41,0,AK$13),15-13*ORÇAMENTO!$AF$7)/$H41*OFFSET(ORÇAMENTO!$X$15,ROW(AK41)-ROW(AK$15),0),
ROUND(ROUND(OFFSET($P41,0,AK$13),15-13*ORÇAMENTO!$AF$7)*OFFSET(ORÇAMENTO!$W$15,ROW(AK41)-ROW(AK$15),0),15-13*ORÇAMENTO!$AF$11)),0)</f>
        <v>0</v>
      </c>
      <c r="AM41" s="215">
        <f ca="1">IF($D41&lt;&gt;"Serviço",0,IF(AND(AUTOEVENTO="Manual",$M41=1),0,IF(OFFSET(CRONOPLE!$F$14,$M41,AM$13)="",10^12,OFFSET(CRONOPLE!$F$14,$M41,AM$13))))</f>
        <v>1000000000000</v>
      </c>
      <c r="AN41" s="215">
        <f ca="1">IF($D41&lt;&gt;"Serviço",0,IF(AND(AUTOEVENTO="Manual",$M41=1),0,IF(OFFSET(CRONOPLE!$F$14,$M41,AN$13)="",10^12,OFFSET(CRONOPLE!$F$14,$M41,AN$13))))</f>
        <v>1000000000000</v>
      </c>
      <c r="AO41" s="215">
        <f ca="1">IF($D41&lt;&gt;"Serviço",0,IF(AND(AUTOEVENTO="Manual",$M41=1),0,IF(OFFSET(CRONOPLE!$F$14,$M41,AO$13)="",10^12,OFFSET(CRONOPLE!$F$14,$M41,AO$13))))</f>
        <v>1000000000000</v>
      </c>
      <c r="AP41" s="215">
        <f ca="1">IF($D41&lt;&gt;"Serviço",0,IF(AND(AUTOEVENTO="Manual",$M41=1),0,IF(OFFSET(CRONOPLE!$F$14,$M41,AP$13)="",10^12,OFFSET(CRONOPLE!$F$14,$M41,AP$13))))</f>
        <v>1000000000000</v>
      </c>
      <c r="AQ41" s="215">
        <f ca="1">IF($D41&lt;&gt;"Serviço",0,IF(AND(AUTOEVENTO="Manual",$M41=1),0,IF(OFFSET(CRONOPLE!$F$14,$M41,AQ$13)="",10^12,OFFSET(CRONOPLE!$F$14,$M41,AQ$13))))</f>
        <v>1000000000000</v>
      </c>
      <c r="AR41" s="215">
        <f ca="1">IF($D41&lt;&gt;"Serviço",0,IF(AND(AUTOEVENTO="Manual",$M41=1),0,IF(OFFSET(CRONOPLE!$F$14,$M41,AR$13)="",10^12,OFFSET(CRONOPLE!$F$14,$M41,AR$13))))</f>
        <v>1000000000000</v>
      </c>
      <c r="AS41" s="215">
        <f ca="1">IF($D41&lt;&gt;"Serviço",0,IF(AND(AUTOEVENTO="Manual",$M41=1),0,IF(OFFSET(CRONOPLE!$F$14,$M41,AS$13)="",10^12,OFFSET(CRONOPLE!$F$14,$M41,AS$13))))</f>
        <v>1000000000000</v>
      </c>
      <c r="AT41" s="215">
        <f ca="1">IF($D41&lt;&gt;"Serviço",0,IF(AND(AUTOEVENTO="Manual",$M41=1),0,IF(OFFSET(CRONOPLE!$F$14,$M41,AT$13)="",10^12,OFFSET(CRONOPLE!$F$14,$M41,AT$13))))</f>
        <v>1000000000000</v>
      </c>
      <c r="AU41" s="215">
        <f ca="1">IF($D41&lt;&gt;"Serviço",0,IF(AND(AUTOEVENTO="Manual",$M41=1),0,IF(OFFSET(CRONOPLE!$F$14,$M41,AU$13)="",10^12,OFFSET(CRONOPLE!$F$14,$M41,AU$13))))</f>
        <v>1000000000000</v>
      </c>
      <c r="AV41" s="215">
        <f ca="1">IF($D41&lt;&gt;"Serviço",0,IF(AND(AUTOEVENTO="Manual",$M41=1),0,IF(OFFSET(CRONOPLE!$F$14,$M41,AV$13)="",10^12,OFFSET(CRONOPLE!$F$14,$M41,AV$13))))</f>
        <v>1000000000000</v>
      </c>
      <c r="AX41" s="216">
        <f ca="1">IF($D41&lt;&gt;"Serviço",0,IF(OR(AND(AUTOEVENTO="Manual",$M41=1),$M41&gt;(ROW(PLE.lastrow)-ROW(PLE.firstrow))),0,IF(OFFSET(PLE!$G$14,$M41,AX$13)="",10^12,OFFSET(PLE!$G$14,$M41,AX$13))))</f>
        <v>1000000000000</v>
      </c>
      <c r="AY41" s="216">
        <f ca="1">IF($D41&lt;&gt;"Serviço",0,IF(OR(AND(AUTOEVENTO="Manual",$M41=1),$M41&gt;(ROW(PLE.lastrow)-ROW(PLE.firstrow))),0,IF(OFFSET(PLE!$G$14,$M41,AY$13)="",10^12,OFFSET(PLE!$G$14,$M41,AY$13))))</f>
        <v>1000000000000</v>
      </c>
      <c r="AZ41" s="216">
        <f ca="1">IF($D41&lt;&gt;"Serviço",0,IF(OR(AND(AUTOEVENTO="Manual",$M41=1),$M41&gt;(ROW(PLE.lastrow)-ROW(PLE.firstrow))),0,IF(OFFSET(PLE!$G$14,$M41,AZ$13)="",10^12,OFFSET(PLE!$G$14,$M41,AZ$13))))</f>
        <v>1000000000000</v>
      </c>
      <c r="BA41" s="216">
        <f ca="1">IF($D41&lt;&gt;"Serviço",0,IF(OR(AND(AUTOEVENTO="Manual",$M41=1),$M41&gt;(ROW(PLE.lastrow)-ROW(PLE.firstrow))),0,IF(OFFSET(PLE!$G$14,$M41,BA$13)="",10^12,OFFSET(PLE!$G$14,$M41,BA$13))))</f>
        <v>1000000000000</v>
      </c>
      <c r="BB41" s="216">
        <f ca="1">IF($D41&lt;&gt;"Serviço",0,IF(OR(AND(AUTOEVENTO="Manual",$M41=1),$M41&gt;(ROW(PLE.lastrow)-ROW(PLE.firstrow))),0,IF(OFFSET(PLE!$G$14,$M41,BB$13)="",10^12,OFFSET(PLE!$G$14,$M41,BB$13))))</f>
        <v>1000000000000</v>
      </c>
      <c r="BC41" s="216">
        <f ca="1">IF($D41&lt;&gt;"Serviço",0,IF(OR(AND(AUTOEVENTO="Manual",$M41=1),$M41&gt;(ROW(PLE.lastrow)-ROW(PLE.firstrow))),0,IF(OFFSET(PLE!$G$14,$M41,BC$13)="",10^12,OFFSET(PLE!$G$14,$M41,BC$13))))</f>
        <v>1000000000000</v>
      </c>
      <c r="BD41" s="216">
        <f ca="1">IF($D41&lt;&gt;"Serviço",0,IF(OR(AND(AUTOEVENTO="Manual",$M41=1),$M41&gt;(ROW(PLE.lastrow)-ROW(PLE.firstrow))),0,IF(OFFSET(PLE!$G$14,$M41,BD$13)="",10^12,OFFSET(PLE!$G$14,$M41,BD$13))))</f>
        <v>1000000000000</v>
      </c>
      <c r="BE41" s="216">
        <f ca="1">IF($D41&lt;&gt;"Serviço",0,IF(OR(AND(AUTOEVENTO="Manual",$M41=1),$M41&gt;(ROW(PLE.lastrow)-ROW(PLE.firstrow))),0,IF(OFFSET(PLE!$G$14,$M41,BE$13)="",10^12,OFFSET(PLE!$G$14,$M41,BE$13))))</f>
        <v>1000000000000</v>
      </c>
      <c r="BF41" s="216">
        <f ca="1">IF($D41&lt;&gt;"Serviço",0,IF(OR(AND(AUTOEVENTO="Manual",$M41=1),$M41&gt;(ROW(PLE.lastrow)-ROW(PLE.firstrow))),0,IF(OFFSET(PLE!$G$14,$M41,BF$13)="",10^12,OFFSET(PLE!$G$14,$M41,BF$13))))</f>
        <v>1000000000000</v>
      </c>
      <c r="BG41" s="216">
        <f ca="1">IF($D41&lt;&gt;"Serviço",0,IF(OR(AND(AUTOEVENTO="Manual",$M41=1),$M41&gt;(ROW(PLE.lastrow)-ROW(PLE.firstrow))),0,IF(OFFSET(PLE!$G$14,$M41,BG$13)="",10^12,OFFSET(PLE!$G$14,$M41,BG$13))))</f>
        <v>1000000000000</v>
      </c>
    </row>
    <row r="42" spans="1:59" ht="12.75" x14ac:dyDescent="0.2">
      <c r="A42" s="9" t="str">
        <f t="shared" ca="1" si="8"/>
        <v>27.</v>
      </c>
      <c r="B42" s="9">
        <f ca="1">OFFSET(ORÇAMENTO!C$15,ROW(B42)-ROW(B$15),0)</f>
        <v>2</v>
      </c>
      <c r="C42" s="9" t="str">
        <f ca="1">OFFSET(ORÇAMENTO!L$15,ROW(C42)-ROW(C$15),0)</f>
        <v>F</v>
      </c>
      <c r="D42" s="145" t="str">
        <f ca="1">OFFSET(ORÇAMENTO!N$15,ROW(D42)-ROW(D$15),0)</f>
        <v>Nível 2</v>
      </c>
      <c r="E42" s="205" t="str">
        <f ca="1">OFFSET(ORÇAMENTO!O$15,ROW(E42)-ROW(E$15),0)</f>
        <v>1.5.</v>
      </c>
      <c r="F42" s="206" t="str">
        <f ca="1">OFFSET(ORÇAMENTO!R$15,ROW(F42)-ROW(F$15),0)</f>
        <v xml:space="preserve">ESCAVAÇÃO BALDRAME </v>
      </c>
      <c r="G42" s="207" t="str">
        <f ca="1">IF($D42&lt;&gt;"Serviço","",OFFSET(ORÇAMENTO!S$15,ROW(G42)-ROW(G$15),0))</f>
        <v/>
      </c>
      <c r="H42" s="151">
        <f ca="1">IF($D42&lt;&gt;"Serviço",0,IF(ACOMPANHAMENTO="BM",ROUND(OFFSET(ORÇAMENTO!AJ$15,ROW(H42)-ROW(H$15),0),15-13*ORÇAMENTO!$AF$7),SUMPRODUCT(($Q$12:$AA$12&lt;&gt;"")*ROUND($Q42:$AA42,15-13*ORÇAMENTO!$AF$7))))</f>
        <v>0</v>
      </c>
      <c r="I42" s="649"/>
      <c r="K42" s="208"/>
      <c r="L42" s="209" t="s">
        <v>255</v>
      </c>
      <c r="M42" s="210" t="str">
        <f ca="1">IF($D42&lt;&gt;"Serviço","",IF(AUTOEVENTO="manual",$A42,IF(ISERROR(MATCH($A42,$A$15:OFFSET($A42,-1,0),0)),MAX($M$15:OFFSET(M42,-1,0))+1,INDEX($M$15:OFFSET(M42,-1,0),MATCH($A42,$A$15:OFFSET($A42,-1,0),0)))))</f>
        <v/>
      </c>
      <c r="N42" s="211" t="str">
        <f ca="1">IF($D42&lt;&gt;"Serviço","",IF(AUTOEVENTO="Manual",IF($A42=0,"&lt;-- defina o número do agrupador",OFFSET(EVENTOS!$D$14,$A42,0)),OFFSET($F$15,$A42,0)))</f>
        <v/>
      </c>
      <c r="O42" s="212"/>
      <c r="Q42" s="212"/>
      <c r="R42" s="213"/>
      <c r="S42" s="213"/>
      <c r="T42" s="213"/>
      <c r="U42" s="213"/>
      <c r="V42" s="213"/>
      <c r="W42" s="213"/>
      <c r="X42" s="213"/>
      <c r="Y42" s="213"/>
      <c r="Z42" s="214"/>
      <c r="AB42" s="630">
        <f ca="1">IF(AND($D42="Serviço",AB$12&lt;&gt;0,$H42&gt;0,OR(AUTOEVENTO&lt;&gt;"manual",$M42&lt;&gt;1)),
IF(Import.TipoArredondamento&lt;&gt;"TransfereGOV",
ROUND(OFFSET($P42,0,AB$13),15-13*ORÇAMENTO!$AF$7)/$H42*OFFSET(ORÇAMENTO!$X$15,ROW(AB42)-ROW(AB$15),0),
ROUND(ROUND(OFFSET($P42,0,AB$13),15-13*ORÇAMENTO!$AF$7)*OFFSET(ORÇAMENTO!$W$15,ROW(AB42)-ROW(AB$15),0),15-13*ORÇAMENTO!$AF$11)),0)</f>
        <v>0</v>
      </c>
      <c r="AC42" s="631">
        <f ca="1">IF(AND($D42="Serviço",AC$12&lt;&gt;0,$H42&gt;0,OR(AUTOEVENTO&lt;&gt;"manual",$M42&lt;&gt;1)),
IF(Import.TipoArredondamento&lt;&gt;"TransfereGOV",
ROUND(OFFSET($P42,0,AC$13),15-13*ORÇAMENTO!$AF$7)/$H42*OFFSET(ORÇAMENTO!$X$15,ROW(AC42)-ROW(AC$15),0),
ROUND(ROUND(OFFSET($P42,0,AC$13),15-13*ORÇAMENTO!$AF$7)*OFFSET(ORÇAMENTO!$W$15,ROW(AC42)-ROW(AC$15),0),15-13*ORÇAMENTO!$AF$11)),0)</f>
        <v>0</v>
      </c>
      <c r="AD42" s="631">
        <f ca="1">IF(AND($D42="Serviço",AD$12&lt;&gt;0,$H42&gt;0,OR(AUTOEVENTO&lt;&gt;"manual",$M42&lt;&gt;1)),
IF(Import.TipoArredondamento&lt;&gt;"TransfereGOV",
ROUND(OFFSET($P42,0,AD$13),15-13*ORÇAMENTO!$AF$7)/$H42*OFFSET(ORÇAMENTO!$X$15,ROW(AD42)-ROW(AD$15),0),
ROUND(ROUND(OFFSET($P42,0,AD$13),15-13*ORÇAMENTO!$AF$7)*OFFSET(ORÇAMENTO!$W$15,ROW(AD42)-ROW(AD$15),0),15-13*ORÇAMENTO!$AF$11)),0)</f>
        <v>0</v>
      </c>
      <c r="AE42" s="631">
        <f ca="1">IF(AND($D42="Serviço",AE$12&lt;&gt;0,$H42&gt;0,OR(AUTOEVENTO&lt;&gt;"manual",$M42&lt;&gt;1)),
IF(Import.TipoArredondamento&lt;&gt;"TransfereGOV",
ROUND(OFFSET($P42,0,AE$13),15-13*ORÇAMENTO!$AF$7)/$H42*OFFSET(ORÇAMENTO!$X$15,ROW(AE42)-ROW(AE$15),0),
ROUND(ROUND(OFFSET($P42,0,AE$13),15-13*ORÇAMENTO!$AF$7)*OFFSET(ORÇAMENTO!$W$15,ROW(AE42)-ROW(AE$15),0),15-13*ORÇAMENTO!$AF$11)),0)</f>
        <v>0</v>
      </c>
      <c r="AF42" s="631">
        <f ca="1">IF(AND($D42="Serviço",AF$12&lt;&gt;0,$H42&gt;0,OR(AUTOEVENTO&lt;&gt;"manual",$M42&lt;&gt;1)),
IF(Import.TipoArredondamento&lt;&gt;"TransfereGOV",
ROUND(OFFSET($P42,0,AF$13),15-13*ORÇAMENTO!$AF$7)/$H42*OFFSET(ORÇAMENTO!$X$15,ROW(AF42)-ROW(AF$15),0),
ROUND(ROUND(OFFSET($P42,0,AF$13),15-13*ORÇAMENTO!$AF$7)*OFFSET(ORÇAMENTO!$W$15,ROW(AF42)-ROW(AF$15),0),15-13*ORÇAMENTO!$AF$11)),0)</f>
        <v>0</v>
      </c>
      <c r="AG42" s="631">
        <f ca="1">IF(AND($D42="Serviço",AG$12&lt;&gt;0,$H42&gt;0,OR(AUTOEVENTO&lt;&gt;"manual",$M42&lt;&gt;1)),
IF(Import.TipoArredondamento&lt;&gt;"TransfereGOV",
ROUND(OFFSET($P42,0,AG$13),15-13*ORÇAMENTO!$AF$7)/$H42*OFFSET(ORÇAMENTO!$X$15,ROW(AG42)-ROW(AG$15),0),
ROUND(ROUND(OFFSET($P42,0,AG$13),15-13*ORÇAMENTO!$AF$7)*OFFSET(ORÇAMENTO!$W$15,ROW(AG42)-ROW(AG$15),0),15-13*ORÇAMENTO!$AF$11)),0)</f>
        <v>0</v>
      </c>
      <c r="AH42" s="631">
        <f ca="1">IF(AND($D42="Serviço",AH$12&lt;&gt;0,$H42&gt;0,OR(AUTOEVENTO&lt;&gt;"manual",$M42&lt;&gt;1)),
IF(Import.TipoArredondamento&lt;&gt;"TransfereGOV",
ROUND(OFFSET($P42,0,AH$13),15-13*ORÇAMENTO!$AF$7)/$H42*OFFSET(ORÇAMENTO!$X$15,ROW(AH42)-ROW(AH$15),0),
ROUND(ROUND(OFFSET($P42,0,AH$13),15-13*ORÇAMENTO!$AF$7)*OFFSET(ORÇAMENTO!$W$15,ROW(AH42)-ROW(AH$15),0),15-13*ORÇAMENTO!$AF$11)),0)</f>
        <v>0</v>
      </c>
      <c r="AI42" s="631">
        <f ca="1">IF(AND($D42="Serviço",AI$12&lt;&gt;0,$H42&gt;0,OR(AUTOEVENTO&lt;&gt;"manual",$M42&lt;&gt;1)),
IF(Import.TipoArredondamento&lt;&gt;"TransfereGOV",
ROUND(OFFSET($P42,0,AI$13),15-13*ORÇAMENTO!$AF$7)/$H42*OFFSET(ORÇAMENTO!$X$15,ROW(AI42)-ROW(AI$15),0),
ROUND(ROUND(OFFSET($P42,0,AI$13),15-13*ORÇAMENTO!$AF$7)*OFFSET(ORÇAMENTO!$W$15,ROW(AI42)-ROW(AI$15),0),15-13*ORÇAMENTO!$AF$11)),0)</f>
        <v>0</v>
      </c>
      <c r="AJ42" s="631">
        <f ca="1">IF(AND($D42="Serviço",AJ$12&lt;&gt;0,$H42&gt;0,OR(AUTOEVENTO&lt;&gt;"manual",$M42&lt;&gt;1)),
IF(Import.TipoArredondamento&lt;&gt;"TransfereGOV",
ROUND(OFFSET($P42,0,AJ$13),15-13*ORÇAMENTO!$AF$7)/$H42*OFFSET(ORÇAMENTO!$X$15,ROW(AJ42)-ROW(AJ$15),0),
ROUND(ROUND(OFFSET($P42,0,AJ$13),15-13*ORÇAMENTO!$AF$7)*OFFSET(ORÇAMENTO!$W$15,ROW(AJ42)-ROW(AJ$15),0),15-13*ORÇAMENTO!$AF$11)),0)</f>
        <v>0</v>
      </c>
      <c r="AK42" s="632">
        <f ca="1">IF(AND($D42="Serviço",AK$12&lt;&gt;0,$H42&gt;0,OR(AUTOEVENTO&lt;&gt;"manual",$M42&lt;&gt;1)),
IF(Import.TipoArredondamento&lt;&gt;"TransfereGOV",
ROUND(OFFSET($P42,0,AK$13),15-13*ORÇAMENTO!$AF$7)/$H42*OFFSET(ORÇAMENTO!$X$15,ROW(AK42)-ROW(AK$15),0),
ROUND(ROUND(OFFSET($P42,0,AK$13),15-13*ORÇAMENTO!$AF$7)*OFFSET(ORÇAMENTO!$W$15,ROW(AK42)-ROW(AK$15),0),15-13*ORÇAMENTO!$AF$11)),0)</f>
        <v>0</v>
      </c>
      <c r="AM42" s="215">
        <f ca="1">IF($D42&lt;&gt;"Serviço",0,IF(AND(AUTOEVENTO="Manual",$M42=1),0,IF(OFFSET(CRONOPLE!$F$14,$M42,AM$13)="",10^12,OFFSET(CRONOPLE!$F$14,$M42,AM$13))))</f>
        <v>0</v>
      </c>
      <c r="AN42" s="215">
        <f ca="1">IF($D42&lt;&gt;"Serviço",0,IF(AND(AUTOEVENTO="Manual",$M42=1),0,IF(OFFSET(CRONOPLE!$F$14,$M42,AN$13)="",10^12,OFFSET(CRONOPLE!$F$14,$M42,AN$13))))</f>
        <v>0</v>
      </c>
      <c r="AO42" s="215">
        <f ca="1">IF($D42&lt;&gt;"Serviço",0,IF(AND(AUTOEVENTO="Manual",$M42=1),0,IF(OFFSET(CRONOPLE!$F$14,$M42,AO$13)="",10^12,OFFSET(CRONOPLE!$F$14,$M42,AO$13))))</f>
        <v>0</v>
      </c>
      <c r="AP42" s="215">
        <f ca="1">IF($D42&lt;&gt;"Serviço",0,IF(AND(AUTOEVENTO="Manual",$M42=1),0,IF(OFFSET(CRONOPLE!$F$14,$M42,AP$13)="",10^12,OFFSET(CRONOPLE!$F$14,$M42,AP$13))))</f>
        <v>0</v>
      </c>
      <c r="AQ42" s="215">
        <f ca="1">IF($D42&lt;&gt;"Serviço",0,IF(AND(AUTOEVENTO="Manual",$M42=1),0,IF(OFFSET(CRONOPLE!$F$14,$M42,AQ$13)="",10^12,OFFSET(CRONOPLE!$F$14,$M42,AQ$13))))</f>
        <v>0</v>
      </c>
      <c r="AR42" s="215">
        <f ca="1">IF($D42&lt;&gt;"Serviço",0,IF(AND(AUTOEVENTO="Manual",$M42=1),0,IF(OFFSET(CRONOPLE!$F$14,$M42,AR$13)="",10^12,OFFSET(CRONOPLE!$F$14,$M42,AR$13))))</f>
        <v>0</v>
      </c>
      <c r="AS42" s="215">
        <f ca="1">IF($D42&lt;&gt;"Serviço",0,IF(AND(AUTOEVENTO="Manual",$M42=1),0,IF(OFFSET(CRONOPLE!$F$14,$M42,AS$13)="",10^12,OFFSET(CRONOPLE!$F$14,$M42,AS$13))))</f>
        <v>0</v>
      </c>
      <c r="AT42" s="215">
        <f ca="1">IF($D42&lt;&gt;"Serviço",0,IF(AND(AUTOEVENTO="Manual",$M42=1),0,IF(OFFSET(CRONOPLE!$F$14,$M42,AT$13)="",10^12,OFFSET(CRONOPLE!$F$14,$M42,AT$13))))</f>
        <v>0</v>
      </c>
      <c r="AU42" s="215">
        <f ca="1">IF($D42&lt;&gt;"Serviço",0,IF(AND(AUTOEVENTO="Manual",$M42=1),0,IF(OFFSET(CRONOPLE!$F$14,$M42,AU$13)="",10^12,OFFSET(CRONOPLE!$F$14,$M42,AU$13))))</f>
        <v>0</v>
      </c>
      <c r="AV42" s="215">
        <f ca="1">IF($D42&lt;&gt;"Serviço",0,IF(AND(AUTOEVENTO="Manual",$M42=1),0,IF(OFFSET(CRONOPLE!$F$14,$M42,AV$13)="",10^12,OFFSET(CRONOPLE!$F$14,$M42,AV$13))))</f>
        <v>0</v>
      </c>
      <c r="AX42" s="216">
        <f ca="1">IF($D42&lt;&gt;"Serviço",0,IF(OR(AND(AUTOEVENTO="Manual",$M42=1),$M42&gt;(ROW(PLE.lastrow)-ROW(PLE.firstrow))),0,IF(OFFSET(PLE!$G$14,$M42,AX$13)="",10^12,OFFSET(PLE!$G$14,$M42,AX$13))))</f>
        <v>0</v>
      </c>
      <c r="AY42" s="216">
        <f ca="1">IF($D42&lt;&gt;"Serviço",0,IF(OR(AND(AUTOEVENTO="Manual",$M42=1),$M42&gt;(ROW(PLE.lastrow)-ROW(PLE.firstrow))),0,IF(OFFSET(PLE!$G$14,$M42,AY$13)="",10^12,OFFSET(PLE!$G$14,$M42,AY$13))))</f>
        <v>0</v>
      </c>
      <c r="AZ42" s="216">
        <f ca="1">IF($D42&lt;&gt;"Serviço",0,IF(OR(AND(AUTOEVENTO="Manual",$M42=1),$M42&gt;(ROW(PLE.lastrow)-ROW(PLE.firstrow))),0,IF(OFFSET(PLE!$G$14,$M42,AZ$13)="",10^12,OFFSET(PLE!$G$14,$M42,AZ$13))))</f>
        <v>0</v>
      </c>
      <c r="BA42" s="216">
        <f ca="1">IF($D42&lt;&gt;"Serviço",0,IF(OR(AND(AUTOEVENTO="Manual",$M42=1),$M42&gt;(ROW(PLE.lastrow)-ROW(PLE.firstrow))),0,IF(OFFSET(PLE!$G$14,$M42,BA$13)="",10^12,OFFSET(PLE!$G$14,$M42,BA$13))))</f>
        <v>0</v>
      </c>
      <c r="BB42" s="216">
        <f ca="1">IF($D42&lt;&gt;"Serviço",0,IF(OR(AND(AUTOEVENTO="Manual",$M42=1),$M42&gt;(ROW(PLE.lastrow)-ROW(PLE.firstrow))),0,IF(OFFSET(PLE!$G$14,$M42,BB$13)="",10^12,OFFSET(PLE!$G$14,$M42,BB$13))))</f>
        <v>0</v>
      </c>
      <c r="BC42" s="216">
        <f ca="1">IF($D42&lt;&gt;"Serviço",0,IF(OR(AND(AUTOEVENTO="Manual",$M42=1),$M42&gt;(ROW(PLE.lastrow)-ROW(PLE.firstrow))),0,IF(OFFSET(PLE!$G$14,$M42,BC$13)="",10^12,OFFSET(PLE!$G$14,$M42,BC$13))))</f>
        <v>0</v>
      </c>
      <c r="BD42" s="216">
        <f ca="1">IF($D42&lt;&gt;"Serviço",0,IF(OR(AND(AUTOEVENTO="Manual",$M42=1),$M42&gt;(ROW(PLE.lastrow)-ROW(PLE.firstrow))),0,IF(OFFSET(PLE!$G$14,$M42,BD$13)="",10^12,OFFSET(PLE!$G$14,$M42,BD$13))))</f>
        <v>0</v>
      </c>
      <c r="BE42" s="216">
        <f ca="1">IF($D42&lt;&gt;"Serviço",0,IF(OR(AND(AUTOEVENTO="Manual",$M42=1),$M42&gt;(ROW(PLE.lastrow)-ROW(PLE.firstrow))),0,IF(OFFSET(PLE!$G$14,$M42,BE$13)="",10^12,OFFSET(PLE!$G$14,$M42,BE$13))))</f>
        <v>0</v>
      </c>
      <c r="BF42" s="216">
        <f ca="1">IF($D42&lt;&gt;"Serviço",0,IF(OR(AND(AUTOEVENTO="Manual",$M42=1),$M42&gt;(ROW(PLE.lastrow)-ROW(PLE.firstrow))),0,IF(OFFSET(PLE!$G$14,$M42,BF$13)="",10^12,OFFSET(PLE!$G$14,$M42,BF$13))))</f>
        <v>0</v>
      </c>
      <c r="BG42" s="216">
        <f ca="1">IF($D42&lt;&gt;"Serviço",0,IF(OR(AND(AUTOEVENTO="Manual",$M42=1),$M42&gt;(ROW(PLE.lastrow)-ROW(PLE.firstrow))),0,IF(OFFSET(PLE!$G$14,$M42,BG$13)="",10^12,OFFSET(PLE!$G$14,$M42,BG$13))))</f>
        <v>0</v>
      </c>
    </row>
    <row r="43" spans="1:59" ht="38.25" x14ac:dyDescent="0.2">
      <c r="A43" s="9" t="str">
        <f t="shared" ca="1" si="8"/>
        <v>27</v>
      </c>
      <c r="B43" s="9" t="str">
        <f ca="1">OFFSET(ORÇAMENTO!C$15,ROW(B43)-ROW(B$15),0)</f>
        <v>S</v>
      </c>
      <c r="C43" s="9" t="str">
        <f ca="1">OFFSET(ORÇAMENTO!L$15,ROW(C43)-ROW(C$15),0)</f>
        <v/>
      </c>
      <c r="D43" s="145" t="str">
        <f ca="1">OFFSET(ORÇAMENTO!N$15,ROW(D43)-ROW(D$15),0)</f>
        <v>Serviço</v>
      </c>
      <c r="E43" s="205" t="str">
        <f ca="1">OFFSET(ORÇAMENTO!O$15,ROW(E43)-ROW(E$15),0)</f>
        <v>-</v>
      </c>
      <c r="F43" s="206" t="str">
        <f ca="1">OFFSET(ORÇAMENTO!R$15,ROW(F43)-ROW(F$15),0)</f>
        <v>ESCAVAÇÃO MANUAL PARA VIGA BALDRAME OU SAPATA CORRIDA (INCLUINDO ESCAVAÇÃO PARA COLOCAÇÃO DE FÔRMAS). AF_01/2024</v>
      </c>
      <c r="G43" s="207" t="str">
        <f ca="1">IF($D43&lt;&gt;"Serviço","",OFFSET(ORÇAMENTO!S$15,ROW(G43)-ROW(G$15),0))</f>
        <v>M3</v>
      </c>
      <c r="H43" s="151">
        <f ca="1">IF($D43&lt;&gt;"Serviço",0,IF(ACOMPANHAMENTO="BM",ROUND(OFFSET(ORÇAMENTO!AJ$15,ROW(H43)-ROW(H$15),0),15-13*ORÇAMENTO!$AF$7),SUMPRODUCT(($Q$12:$AA$12&lt;&gt;"")*ROUND($Q43:$AA43,15-13*ORÇAMENTO!$AF$7))))</f>
        <v>83.5</v>
      </c>
      <c r="I43" s="649"/>
      <c r="K43" s="208"/>
      <c r="L43" s="209" t="s">
        <v>255</v>
      </c>
      <c r="M43" s="210">
        <f ca="1">IF($D43&lt;&gt;"Serviço","",IF(AUTOEVENTO="manual",$A43,IF(ISERROR(MATCH($A43,$A$15:OFFSET($A43,-1,0),0)),MAX($M$15:OFFSET(M43,-1,0))+1,INDEX($M$15:OFFSET(M43,-1,0),MATCH($A43,$A$15:OFFSET($A43,-1,0),0)))))</f>
        <v>6</v>
      </c>
      <c r="N43" s="211" t="str">
        <f ca="1">IF($D43&lt;&gt;"Serviço","",IF(AUTOEVENTO="Manual",IF($A43=0,"&lt;-- defina o número do agrupador",OFFSET(EVENTOS!$D$14,$A43,0)),OFFSET($F$15,$A43,0)))</f>
        <v xml:space="preserve">ESCAVAÇÃO BALDRAME </v>
      </c>
      <c r="O43" s="212"/>
      <c r="Q43" s="212"/>
      <c r="R43" s="213"/>
      <c r="S43" s="213"/>
      <c r="T43" s="213"/>
      <c r="U43" s="213"/>
      <c r="V43" s="213"/>
      <c r="W43" s="213"/>
      <c r="X43" s="213"/>
      <c r="Y43" s="213"/>
      <c r="Z43" s="214"/>
      <c r="AB43" s="630">
        <f ca="1">IF(AND($D43="Serviço",AB$12&lt;&gt;0,$H43&gt;0,OR(AUTOEVENTO&lt;&gt;"manual",$M43&lt;&gt;1)),
IF(Import.TipoArredondamento&lt;&gt;"TransfereGOV",
ROUND(OFFSET($P43,0,AB$13),15-13*ORÇAMENTO!$AF$7)/$H43*OFFSET(ORÇAMENTO!$X$15,ROW(AB43)-ROW(AB$15),0),
ROUND(ROUND(OFFSET($P43,0,AB$13),15-13*ORÇAMENTO!$AF$7)*OFFSET(ORÇAMENTO!$W$15,ROW(AB43)-ROW(AB$15),0),15-13*ORÇAMENTO!$AF$11)),0)</f>
        <v>0</v>
      </c>
      <c r="AC43" s="631">
        <f ca="1">IF(AND($D43="Serviço",AC$12&lt;&gt;0,$H43&gt;0,OR(AUTOEVENTO&lt;&gt;"manual",$M43&lt;&gt;1)),
IF(Import.TipoArredondamento&lt;&gt;"TransfereGOV",
ROUND(OFFSET($P43,0,AC$13),15-13*ORÇAMENTO!$AF$7)/$H43*OFFSET(ORÇAMENTO!$X$15,ROW(AC43)-ROW(AC$15),0),
ROUND(ROUND(OFFSET($P43,0,AC$13),15-13*ORÇAMENTO!$AF$7)*OFFSET(ORÇAMENTO!$W$15,ROW(AC43)-ROW(AC$15),0),15-13*ORÇAMENTO!$AF$11)),0)</f>
        <v>0</v>
      </c>
      <c r="AD43" s="631">
        <f ca="1">IF(AND($D43="Serviço",AD$12&lt;&gt;0,$H43&gt;0,OR(AUTOEVENTO&lt;&gt;"manual",$M43&lt;&gt;1)),
IF(Import.TipoArredondamento&lt;&gt;"TransfereGOV",
ROUND(OFFSET($P43,0,AD$13),15-13*ORÇAMENTO!$AF$7)/$H43*OFFSET(ORÇAMENTO!$X$15,ROW(AD43)-ROW(AD$15),0),
ROUND(ROUND(OFFSET($P43,0,AD$13),15-13*ORÇAMENTO!$AF$7)*OFFSET(ORÇAMENTO!$W$15,ROW(AD43)-ROW(AD$15),0),15-13*ORÇAMENTO!$AF$11)),0)</f>
        <v>0</v>
      </c>
      <c r="AE43" s="631">
        <f ca="1">IF(AND($D43="Serviço",AE$12&lt;&gt;0,$H43&gt;0,OR(AUTOEVENTO&lt;&gt;"manual",$M43&lt;&gt;1)),
IF(Import.TipoArredondamento&lt;&gt;"TransfereGOV",
ROUND(OFFSET($P43,0,AE$13),15-13*ORÇAMENTO!$AF$7)/$H43*OFFSET(ORÇAMENTO!$X$15,ROW(AE43)-ROW(AE$15),0),
ROUND(ROUND(OFFSET($P43,0,AE$13),15-13*ORÇAMENTO!$AF$7)*OFFSET(ORÇAMENTO!$W$15,ROW(AE43)-ROW(AE$15),0),15-13*ORÇAMENTO!$AF$11)),0)</f>
        <v>0</v>
      </c>
      <c r="AF43" s="631">
        <f ca="1">IF(AND($D43="Serviço",AF$12&lt;&gt;0,$H43&gt;0,OR(AUTOEVENTO&lt;&gt;"manual",$M43&lt;&gt;1)),
IF(Import.TipoArredondamento&lt;&gt;"TransfereGOV",
ROUND(OFFSET($P43,0,AF$13),15-13*ORÇAMENTO!$AF$7)/$H43*OFFSET(ORÇAMENTO!$X$15,ROW(AF43)-ROW(AF$15),0),
ROUND(ROUND(OFFSET($P43,0,AF$13),15-13*ORÇAMENTO!$AF$7)*OFFSET(ORÇAMENTO!$W$15,ROW(AF43)-ROW(AF$15),0),15-13*ORÇAMENTO!$AF$11)),0)</f>
        <v>0</v>
      </c>
      <c r="AG43" s="631">
        <f ca="1">IF(AND($D43="Serviço",AG$12&lt;&gt;0,$H43&gt;0,OR(AUTOEVENTO&lt;&gt;"manual",$M43&lt;&gt;1)),
IF(Import.TipoArredondamento&lt;&gt;"TransfereGOV",
ROUND(OFFSET($P43,0,AG$13),15-13*ORÇAMENTO!$AF$7)/$H43*OFFSET(ORÇAMENTO!$X$15,ROW(AG43)-ROW(AG$15),0),
ROUND(ROUND(OFFSET($P43,0,AG$13),15-13*ORÇAMENTO!$AF$7)*OFFSET(ORÇAMENTO!$W$15,ROW(AG43)-ROW(AG$15),0),15-13*ORÇAMENTO!$AF$11)),0)</f>
        <v>0</v>
      </c>
      <c r="AH43" s="631">
        <f ca="1">IF(AND($D43="Serviço",AH$12&lt;&gt;0,$H43&gt;0,OR(AUTOEVENTO&lt;&gt;"manual",$M43&lt;&gt;1)),
IF(Import.TipoArredondamento&lt;&gt;"TransfereGOV",
ROUND(OFFSET($P43,0,AH$13),15-13*ORÇAMENTO!$AF$7)/$H43*OFFSET(ORÇAMENTO!$X$15,ROW(AH43)-ROW(AH$15),0),
ROUND(ROUND(OFFSET($P43,0,AH$13),15-13*ORÇAMENTO!$AF$7)*OFFSET(ORÇAMENTO!$W$15,ROW(AH43)-ROW(AH$15),0),15-13*ORÇAMENTO!$AF$11)),0)</f>
        <v>0</v>
      </c>
      <c r="AI43" s="631">
        <f ca="1">IF(AND($D43="Serviço",AI$12&lt;&gt;0,$H43&gt;0,OR(AUTOEVENTO&lt;&gt;"manual",$M43&lt;&gt;1)),
IF(Import.TipoArredondamento&lt;&gt;"TransfereGOV",
ROUND(OFFSET($P43,0,AI$13),15-13*ORÇAMENTO!$AF$7)/$H43*OFFSET(ORÇAMENTO!$X$15,ROW(AI43)-ROW(AI$15),0),
ROUND(ROUND(OFFSET($P43,0,AI$13),15-13*ORÇAMENTO!$AF$7)*OFFSET(ORÇAMENTO!$W$15,ROW(AI43)-ROW(AI$15),0),15-13*ORÇAMENTO!$AF$11)),0)</f>
        <v>0</v>
      </c>
      <c r="AJ43" s="631">
        <f ca="1">IF(AND($D43="Serviço",AJ$12&lt;&gt;0,$H43&gt;0,OR(AUTOEVENTO&lt;&gt;"manual",$M43&lt;&gt;1)),
IF(Import.TipoArredondamento&lt;&gt;"TransfereGOV",
ROUND(OFFSET($P43,0,AJ$13),15-13*ORÇAMENTO!$AF$7)/$H43*OFFSET(ORÇAMENTO!$X$15,ROW(AJ43)-ROW(AJ$15),0),
ROUND(ROUND(OFFSET($P43,0,AJ$13),15-13*ORÇAMENTO!$AF$7)*OFFSET(ORÇAMENTO!$W$15,ROW(AJ43)-ROW(AJ$15),0),15-13*ORÇAMENTO!$AF$11)),0)</f>
        <v>0</v>
      </c>
      <c r="AK43" s="632">
        <f ca="1">IF(AND($D43="Serviço",AK$12&lt;&gt;0,$H43&gt;0,OR(AUTOEVENTO&lt;&gt;"manual",$M43&lt;&gt;1)),
IF(Import.TipoArredondamento&lt;&gt;"TransfereGOV",
ROUND(OFFSET($P43,0,AK$13),15-13*ORÇAMENTO!$AF$7)/$H43*OFFSET(ORÇAMENTO!$X$15,ROW(AK43)-ROW(AK$15),0),
ROUND(ROUND(OFFSET($P43,0,AK$13),15-13*ORÇAMENTO!$AF$7)*OFFSET(ORÇAMENTO!$W$15,ROW(AK43)-ROW(AK$15),0),15-13*ORÇAMENTO!$AF$11)),0)</f>
        <v>0</v>
      </c>
      <c r="AM43" s="215">
        <f ca="1">IF($D43&lt;&gt;"Serviço",0,IF(AND(AUTOEVENTO="Manual",$M43=1),0,IF(OFFSET(CRONOPLE!$F$14,$M43,AM$13)="",10^12,OFFSET(CRONOPLE!$F$14,$M43,AM$13))))</f>
        <v>1000000000000</v>
      </c>
      <c r="AN43" s="215">
        <f ca="1">IF($D43&lt;&gt;"Serviço",0,IF(AND(AUTOEVENTO="Manual",$M43=1),0,IF(OFFSET(CRONOPLE!$F$14,$M43,AN$13)="",10^12,OFFSET(CRONOPLE!$F$14,$M43,AN$13))))</f>
        <v>1000000000000</v>
      </c>
      <c r="AO43" s="215">
        <f ca="1">IF($D43&lt;&gt;"Serviço",0,IF(AND(AUTOEVENTO="Manual",$M43=1),0,IF(OFFSET(CRONOPLE!$F$14,$M43,AO$13)="",10^12,OFFSET(CRONOPLE!$F$14,$M43,AO$13))))</f>
        <v>1000000000000</v>
      </c>
      <c r="AP43" s="215">
        <f ca="1">IF($D43&lt;&gt;"Serviço",0,IF(AND(AUTOEVENTO="Manual",$M43=1),0,IF(OFFSET(CRONOPLE!$F$14,$M43,AP$13)="",10^12,OFFSET(CRONOPLE!$F$14,$M43,AP$13))))</f>
        <v>1000000000000</v>
      </c>
      <c r="AQ43" s="215">
        <f ca="1">IF($D43&lt;&gt;"Serviço",0,IF(AND(AUTOEVENTO="Manual",$M43=1),0,IF(OFFSET(CRONOPLE!$F$14,$M43,AQ$13)="",10^12,OFFSET(CRONOPLE!$F$14,$M43,AQ$13))))</f>
        <v>1000000000000</v>
      </c>
      <c r="AR43" s="215">
        <f ca="1">IF($D43&lt;&gt;"Serviço",0,IF(AND(AUTOEVENTO="Manual",$M43=1),0,IF(OFFSET(CRONOPLE!$F$14,$M43,AR$13)="",10^12,OFFSET(CRONOPLE!$F$14,$M43,AR$13))))</f>
        <v>1000000000000</v>
      </c>
      <c r="AS43" s="215">
        <f ca="1">IF($D43&lt;&gt;"Serviço",0,IF(AND(AUTOEVENTO="Manual",$M43=1),0,IF(OFFSET(CRONOPLE!$F$14,$M43,AS$13)="",10^12,OFFSET(CRONOPLE!$F$14,$M43,AS$13))))</f>
        <v>1000000000000</v>
      </c>
      <c r="AT43" s="215">
        <f ca="1">IF($D43&lt;&gt;"Serviço",0,IF(AND(AUTOEVENTO="Manual",$M43=1),0,IF(OFFSET(CRONOPLE!$F$14,$M43,AT$13)="",10^12,OFFSET(CRONOPLE!$F$14,$M43,AT$13))))</f>
        <v>1000000000000</v>
      </c>
      <c r="AU43" s="215">
        <f ca="1">IF($D43&lt;&gt;"Serviço",0,IF(AND(AUTOEVENTO="Manual",$M43=1),0,IF(OFFSET(CRONOPLE!$F$14,$M43,AU$13)="",10^12,OFFSET(CRONOPLE!$F$14,$M43,AU$13))))</f>
        <v>1000000000000</v>
      </c>
      <c r="AV43" s="215">
        <f ca="1">IF($D43&lt;&gt;"Serviço",0,IF(AND(AUTOEVENTO="Manual",$M43=1),0,IF(OFFSET(CRONOPLE!$F$14,$M43,AV$13)="",10^12,OFFSET(CRONOPLE!$F$14,$M43,AV$13))))</f>
        <v>1000000000000</v>
      </c>
      <c r="AX43" s="216">
        <f ca="1">IF($D43&lt;&gt;"Serviço",0,IF(OR(AND(AUTOEVENTO="Manual",$M43=1),$M43&gt;(ROW(PLE.lastrow)-ROW(PLE.firstrow))),0,IF(OFFSET(PLE!$G$14,$M43,AX$13)="",10^12,OFFSET(PLE!$G$14,$M43,AX$13))))</f>
        <v>1000000000000</v>
      </c>
      <c r="AY43" s="216">
        <f ca="1">IF($D43&lt;&gt;"Serviço",0,IF(OR(AND(AUTOEVENTO="Manual",$M43=1),$M43&gt;(ROW(PLE.lastrow)-ROW(PLE.firstrow))),0,IF(OFFSET(PLE!$G$14,$M43,AY$13)="",10^12,OFFSET(PLE!$G$14,$M43,AY$13))))</f>
        <v>1000000000000</v>
      </c>
      <c r="AZ43" s="216">
        <f ca="1">IF($D43&lt;&gt;"Serviço",0,IF(OR(AND(AUTOEVENTO="Manual",$M43=1),$M43&gt;(ROW(PLE.lastrow)-ROW(PLE.firstrow))),0,IF(OFFSET(PLE!$G$14,$M43,AZ$13)="",10^12,OFFSET(PLE!$G$14,$M43,AZ$13))))</f>
        <v>1000000000000</v>
      </c>
      <c r="BA43" s="216">
        <f ca="1">IF($D43&lt;&gt;"Serviço",0,IF(OR(AND(AUTOEVENTO="Manual",$M43=1),$M43&gt;(ROW(PLE.lastrow)-ROW(PLE.firstrow))),0,IF(OFFSET(PLE!$G$14,$M43,BA$13)="",10^12,OFFSET(PLE!$G$14,$M43,BA$13))))</f>
        <v>1000000000000</v>
      </c>
      <c r="BB43" s="216">
        <f ca="1">IF($D43&lt;&gt;"Serviço",0,IF(OR(AND(AUTOEVENTO="Manual",$M43=1),$M43&gt;(ROW(PLE.lastrow)-ROW(PLE.firstrow))),0,IF(OFFSET(PLE!$G$14,$M43,BB$13)="",10^12,OFFSET(PLE!$G$14,$M43,BB$13))))</f>
        <v>1000000000000</v>
      </c>
      <c r="BC43" s="216">
        <f ca="1">IF($D43&lt;&gt;"Serviço",0,IF(OR(AND(AUTOEVENTO="Manual",$M43=1),$M43&gt;(ROW(PLE.lastrow)-ROW(PLE.firstrow))),0,IF(OFFSET(PLE!$G$14,$M43,BC$13)="",10^12,OFFSET(PLE!$G$14,$M43,BC$13))))</f>
        <v>1000000000000</v>
      </c>
      <c r="BD43" s="216">
        <f ca="1">IF($D43&lt;&gt;"Serviço",0,IF(OR(AND(AUTOEVENTO="Manual",$M43=1),$M43&gt;(ROW(PLE.lastrow)-ROW(PLE.firstrow))),0,IF(OFFSET(PLE!$G$14,$M43,BD$13)="",10^12,OFFSET(PLE!$G$14,$M43,BD$13))))</f>
        <v>1000000000000</v>
      </c>
      <c r="BE43" s="216">
        <f ca="1">IF($D43&lt;&gt;"Serviço",0,IF(OR(AND(AUTOEVENTO="Manual",$M43=1),$M43&gt;(ROW(PLE.lastrow)-ROW(PLE.firstrow))),0,IF(OFFSET(PLE!$G$14,$M43,BE$13)="",10^12,OFFSET(PLE!$G$14,$M43,BE$13))))</f>
        <v>1000000000000</v>
      </c>
      <c r="BF43" s="216">
        <f ca="1">IF($D43&lt;&gt;"Serviço",0,IF(OR(AND(AUTOEVENTO="Manual",$M43=1),$M43&gt;(ROW(PLE.lastrow)-ROW(PLE.firstrow))),0,IF(OFFSET(PLE!$G$14,$M43,BF$13)="",10^12,OFFSET(PLE!$G$14,$M43,BF$13))))</f>
        <v>1000000000000</v>
      </c>
      <c r="BG43" s="216">
        <f ca="1">IF($D43&lt;&gt;"Serviço",0,IF(OR(AND(AUTOEVENTO="Manual",$M43=1),$M43&gt;(ROW(PLE.lastrow)-ROW(PLE.firstrow))),0,IF(OFFSET(PLE!$G$14,$M43,BG$13)="",10^12,OFFSET(PLE!$G$14,$M43,BG$13))))</f>
        <v>1000000000000</v>
      </c>
    </row>
    <row r="44" spans="1:59" ht="25.5" x14ac:dyDescent="0.2">
      <c r="A44" s="9" t="str">
        <f t="shared" ca="1" si="8"/>
        <v>27</v>
      </c>
      <c r="B44" s="9" t="str">
        <f ca="1">OFFSET(ORÇAMENTO!C$15,ROW(B44)-ROW(B$15),0)</f>
        <v>S</v>
      </c>
      <c r="C44" s="9" t="str">
        <f ca="1">OFFSET(ORÇAMENTO!L$15,ROW(C44)-ROW(C$15),0)</f>
        <v/>
      </c>
      <c r="D44" s="145" t="str">
        <f ca="1">OFFSET(ORÇAMENTO!N$15,ROW(D44)-ROW(D$15),0)</f>
        <v>Serviço</v>
      </c>
      <c r="E44" s="205" t="str">
        <f ca="1">OFFSET(ORÇAMENTO!O$15,ROW(E44)-ROW(E$15),0)</f>
        <v>-</v>
      </c>
      <c r="F44" s="206" t="str">
        <f ca="1">OFFSET(ORÇAMENTO!R$15,ROW(F44)-ROW(F$15),0)</f>
        <v>REATERRO MANUAL DE VALAS, COM COMPACTADOR DE SOLOS DE PERCUSSÃO. AF_08/2023</v>
      </c>
      <c r="G44" s="207" t="str">
        <f ca="1">IF($D44&lt;&gt;"Serviço","",OFFSET(ORÇAMENTO!S$15,ROW(G44)-ROW(G$15),0))</f>
        <v>M3</v>
      </c>
      <c r="H44" s="151">
        <f ca="1">IF($D44&lt;&gt;"Serviço",0,IF(ACOMPANHAMENTO="BM",ROUND(OFFSET(ORÇAMENTO!AJ$15,ROW(H44)-ROW(H$15),0),15-13*ORÇAMENTO!$AF$7),SUMPRODUCT(($Q$12:$AA$12&lt;&gt;"")*ROUND($Q44:$AA44,15-13*ORÇAMENTO!$AF$7))))</f>
        <v>83.5</v>
      </c>
      <c r="I44" s="649"/>
      <c r="K44" s="208"/>
      <c r="L44" s="209" t="s">
        <v>255</v>
      </c>
      <c r="M44" s="210">
        <f ca="1">IF($D44&lt;&gt;"Serviço","",IF(AUTOEVENTO="manual",$A44,IF(ISERROR(MATCH($A44,$A$15:OFFSET($A44,-1,0),0)),MAX($M$15:OFFSET(M44,-1,0))+1,INDEX($M$15:OFFSET(M44,-1,0),MATCH($A44,$A$15:OFFSET($A44,-1,0),0)))))</f>
        <v>6</v>
      </c>
      <c r="N44" s="211" t="str">
        <f ca="1">IF($D44&lt;&gt;"Serviço","",IF(AUTOEVENTO="Manual",IF($A44=0,"&lt;-- defina o número do agrupador",OFFSET(EVENTOS!$D$14,$A44,0)),OFFSET($F$15,$A44,0)))</f>
        <v xml:space="preserve">ESCAVAÇÃO BALDRAME </v>
      </c>
      <c r="O44" s="212"/>
      <c r="Q44" s="212"/>
      <c r="R44" s="213"/>
      <c r="S44" s="213"/>
      <c r="T44" s="213"/>
      <c r="U44" s="213"/>
      <c r="V44" s="213"/>
      <c r="W44" s="213"/>
      <c r="X44" s="213"/>
      <c r="Y44" s="213"/>
      <c r="Z44" s="214"/>
      <c r="AB44" s="630">
        <f ca="1">IF(AND($D44="Serviço",AB$12&lt;&gt;0,$H44&gt;0,OR(AUTOEVENTO&lt;&gt;"manual",$M44&lt;&gt;1)),
IF(Import.TipoArredondamento&lt;&gt;"TransfereGOV",
ROUND(OFFSET($P44,0,AB$13),15-13*ORÇAMENTO!$AF$7)/$H44*OFFSET(ORÇAMENTO!$X$15,ROW(AB44)-ROW(AB$15),0),
ROUND(ROUND(OFFSET($P44,0,AB$13),15-13*ORÇAMENTO!$AF$7)*OFFSET(ORÇAMENTO!$W$15,ROW(AB44)-ROW(AB$15),0),15-13*ORÇAMENTO!$AF$11)),0)</f>
        <v>0</v>
      </c>
      <c r="AC44" s="631">
        <f ca="1">IF(AND($D44="Serviço",AC$12&lt;&gt;0,$H44&gt;0,OR(AUTOEVENTO&lt;&gt;"manual",$M44&lt;&gt;1)),
IF(Import.TipoArredondamento&lt;&gt;"TransfereGOV",
ROUND(OFFSET($P44,0,AC$13),15-13*ORÇAMENTO!$AF$7)/$H44*OFFSET(ORÇAMENTO!$X$15,ROW(AC44)-ROW(AC$15),0),
ROUND(ROUND(OFFSET($P44,0,AC$13),15-13*ORÇAMENTO!$AF$7)*OFFSET(ORÇAMENTO!$W$15,ROW(AC44)-ROW(AC$15),0),15-13*ORÇAMENTO!$AF$11)),0)</f>
        <v>0</v>
      </c>
      <c r="AD44" s="631">
        <f ca="1">IF(AND($D44="Serviço",AD$12&lt;&gt;0,$H44&gt;0,OR(AUTOEVENTO&lt;&gt;"manual",$M44&lt;&gt;1)),
IF(Import.TipoArredondamento&lt;&gt;"TransfereGOV",
ROUND(OFFSET($P44,0,AD$13),15-13*ORÇAMENTO!$AF$7)/$H44*OFFSET(ORÇAMENTO!$X$15,ROW(AD44)-ROW(AD$15),0),
ROUND(ROUND(OFFSET($P44,0,AD$13),15-13*ORÇAMENTO!$AF$7)*OFFSET(ORÇAMENTO!$W$15,ROW(AD44)-ROW(AD$15),0),15-13*ORÇAMENTO!$AF$11)),0)</f>
        <v>0</v>
      </c>
      <c r="AE44" s="631">
        <f ca="1">IF(AND($D44="Serviço",AE$12&lt;&gt;0,$H44&gt;0,OR(AUTOEVENTO&lt;&gt;"manual",$M44&lt;&gt;1)),
IF(Import.TipoArredondamento&lt;&gt;"TransfereGOV",
ROUND(OFFSET($P44,0,AE$13),15-13*ORÇAMENTO!$AF$7)/$H44*OFFSET(ORÇAMENTO!$X$15,ROW(AE44)-ROW(AE$15),0),
ROUND(ROUND(OFFSET($P44,0,AE$13),15-13*ORÇAMENTO!$AF$7)*OFFSET(ORÇAMENTO!$W$15,ROW(AE44)-ROW(AE$15),0),15-13*ORÇAMENTO!$AF$11)),0)</f>
        <v>0</v>
      </c>
      <c r="AF44" s="631">
        <f ca="1">IF(AND($D44="Serviço",AF$12&lt;&gt;0,$H44&gt;0,OR(AUTOEVENTO&lt;&gt;"manual",$M44&lt;&gt;1)),
IF(Import.TipoArredondamento&lt;&gt;"TransfereGOV",
ROUND(OFFSET($P44,0,AF$13),15-13*ORÇAMENTO!$AF$7)/$H44*OFFSET(ORÇAMENTO!$X$15,ROW(AF44)-ROW(AF$15),0),
ROUND(ROUND(OFFSET($P44,0,AF$13),15-13*ORÇAMENTO!$AF$7)*OFFSET(ORÇAMENTO!$W$15,ROW(AF44)-ROW(AF$15),0),15-13*ORÇAMENTO!$AF$11)),0)</f>
        <v>0</v>
      </c>
      <c r="AG44" s="631">
        <f ca="1">IF(AND($D44="Serviço",AG$12&lt;&gt;0,$H44&gt;0,OR(AUTOEVENTO&lt;&gt;"manual",$M44&lt;&gt;1)),
IF(Import.TipoArredondamento&lt;&gt;"TransfereGOV",
ROUND(OFFSET($P44,0,AG$13),15-13*ORÇAMENTO!$AF$7)/$H44*OFFSET(ORÇAMENTO!$X$15,ROW(AG44)-ROW(AG$15),0),
ROUND(ROUND(OFFSET($P44,0,AG$13),15-13*ORÇAMENTO!$AF$7)*OFFSET(ORÇAMENTO!$W$15,ROW(AG44)-ROW(AG$15),0),15-13*ORÇAMENTO!$AF$11)),0)</f>
        <v>0</v>
      </c>
      <c r="AH44" s="631">
        <f ca="1">IF(AND($D44="Serviço",AH$12&lt;&gt;0,$H44&gt;0,OR(AUTOEVENTO&lt;&gt;"manual",$M44&lt;&gt;1)),
IF(Import.TipoArredondamento&lt;&gt;"TransfereGOV",
ROUND(OFFSET($P44,0,AH$13),15-13*ORÇAMENTO!$AF$7)/$H44*OFFSET(ORÇAMENTO!$X$15,ROW(AH44)-ROW(AH$15),0),
ROUND(ROUND(OFFSET($P44,0,AH$13),15-13*ORÇAMENTO!$AF$7)*OFFSET(ORÇAMENTO!$W$15,ROW(AH44)-ROW(AH$15),0),15-13*ORÇAMENTO!$AF$11)),0)</f>
        <v>0</v>
      </c>
      <c r="AI44" s="631">
        <f ca="1">IF(AND($D44="Serviço",AI$12&lt;&gt;0,$H44&gt;0,OR(AUTOEVENTO&lt;&gt;"manual",$M44&lt;&gt;1)),
IF(Import.TipoArredondamento&lt;&gt;"TransfereGOV",
ROUND(OFFSET($P44,0,AI$13),15-13*ORÇAMENTO!$AF$7)/$H44*OFFSET(ORÇAMENTO!$X$15,ROW(AI44)-ROW(AI$15),0),
ROUND(ROUND(OFFSET($P44,0,AI$13),15-13*ORÇAMENTO!$AF$7)*OFFSET(ORÇAMENTO!$W$15,ROW(AI44)-ROW(AI$15),0),15-13*ORÇAMENTO!$AF$11)),0)</f>
        <v>0</v>
      </c>
      <c r="AJ44" s="631">
        <f ca="1">IF(AND($D44="Serviço",AJ$12&lt;&gt;0,$H44&gt;0,OR(AUTOEVENTO&lt;&gt;"manual",$M44&lt;&gt;1)),
IF(Import.TipoArredondamento&lt;&gt;"TransfereGOV",
ROUND(OFFSET($P44,0,AJ$13),15-13*ORÇAMENTO!$AF$7)/$H44*OFFSET(ORÇAMENTO!$X$15,ROW(AJ44)-ROW(AJ$15),0),
ROUND(ROUND(OFFSET($P44,0,AJ$13),15-13*ORÇAMENTO!$AF$7)*OFFSET(ORÇAMENTO!$W$15,ROW(AJ44)-ROW(AJ$15),0),15-13*ORÇAMENTO!$AF$11)),0)</f>
        <v>0</v>
      </c>
      <c r="AK44" s="632">
        <f ca="1">IF(AND($D44="Serviço",AK$12&lt;&gt;0,$H44&gt;0,OR(AUTOEVENTO&lt;&gt;"manual",$M44&lt;&gt;1)),
IF(Import.TipoArredondamento&lt;&gt;"TransfereGOV",
ROUND(OFFSET($P44,0,AK$13),15-13*ORÇAMENTO!$AF$7)/$H44*OFFSET(ORÇAMENTO!$X$15,ROW(AK44)-ROW(AK$15),0),
ROUND(ROUND(OFFSET($P44,0,AK$13),15-13*ORÇAMENTO!$AF$7)*OFFSET(ORÇAMENTO!$W$15,ROW(AK44)-ROW(AK$15),0),15-13*ORÇAMENTO!$AF$11)),0)</f>
        <v>0</v>
      </c>
      <c r="AM44" s="215">
        <f ca="1">IF($D44&lt;&gt;"Serviço",0,IF(AND(AUTOEVENTO="Manual",$M44=1),0,IF(OFFSET(CRONOPLE!$F$14,$M44,AM$13)="",10^12,OFFSET(CRONOPLE!$F$14,$M44,AM$13))))</f>
        <v>1000000000000</v>
      </c>
      <c r="AN44" s="215">
        <f ca="1">IF($D44&lt;&gt;"Serviço",0,IF(AND(AUTOEVENTO="Manual",$M44=1),0,IF(OFFSET(CRONOPLE!$F$14,$M44,AN$13)="",10^12,OFFSET(CRONOPLE!$F$14,$M44,AN$13))))</f>
        <v>1000000000000</v>
      </c>
      <c r="AO44" s="215">
        <f ca="1">IF($D44&lt;&gt;"Serviço",0,IF(AND(AUTOEVENTO="Manual",$M44=1),0,IF(OFFSET(CRONOPLE!$F$14,$M44,AO$13)="",10^12,OFFSET(CRONOPLE!$F$14,$M44,AO$13))))</f>
        <v>1000000000000</v>
      </c>
      <c r="AP44" s="215">
        <f ca="1">IF($D44&lt;&gt;"Serviço",0,IF(AND(AUTOEVENTO="Manual",$M44=1),0,IF(OFFSET(CRONOPLE!$F$14,$M44,AP$13)="",10^12,OFFSET(CRONOPLE!$F$14,$M44,AP$13))))</f>
        <v>1000000000000</v>
      </c>
      <c r="AQ44" s="215">
        <f ca="1">IF($D44&lt;&gt;"Serviço",0,IF(AND(AUTOEVENTO="Manual",$M44=1),0,IF(OFFSET(CRONOPLE!$F$14,$M44,AQ$13)="",10^12,OFFSET(CRONOPLE!$F$14,$M44,AQ$13))))</f>
        <v>1000000000000</v>
      </c>
      <c r="AR44" s="215">
        <f ca="1">IF($D44&lt;&gt;"Serviço",0,IF(AND(AUTOEVENTO="Manual",$M44=1),0,IF(OFFSET(CRONOPLE!$F$14,$M44,AR$13)="",10^12,OFFSET(CRONOPLE!$F$14,$M44,AR$13))))</f>
        <v>1000000000000</v>
      </c>
      <c r="AS44" s="215">
        <f ca="1">IF($D44&lt;&gt;"Serviço",0,IF(AND(AUTOEVENTO="Manual",$M44=1),0,IF(OFFSET(CRONOPLE!$F$14,$M44,AS$13)="",10^12,OFFSET(CRONOPLE!$F$14,$M44,AS$13))))</f>
        <v>1000000000000</v>
      </c>
      <c r="AT44" s="215">
        <f ca="1">IF($D44&lt;&gt;"Serviço",0,IF(AND(AUTOEVENTO="Manual",$M44=1),0,IF(OFFSET(CRONOPLE!$F$14,$M44,AT$13)="",10^12,OFFSET(CRONOPLE!$F$14,$M44,AT$13))))</f>
        <v>1000000000000</v>
      </c>
      <c r="AU44" s="215">
        <f ca="1">IF($D44&lt;&gt;"Serviço",0,IF(AND(AUTOEVENTO="Manual",$M44=1),0,IF(OFFSET(CRONOPLE!$F$14,$M44,AU$13)="",10^12,OFFSET(CRONOPLE!$F$14,$M44,AU$13))))</f>
        <v>1000000000000</v>
      </c>
      <c r="AV44" s="215">
        <f ca="1">IF($D44&lt;&gt;"Serviço",0,IF(AND(AUTOEVENTO="Manual",$M44=1),0,IF(OFFSET(CRONOPLE!$F$14,$M44,AV$13)="",10^12,OFFSET(CRONOPLE!$F$14,$M44,AV$13))))</f>
        <v>1000000000000</v>
      </c>
      <c r="AX44" s="216">
        <f ca="1">IF($D44&lt;&gt;"Serviço",0,IF(OR(AND(AUTOEVENTO="Manual",$M44=1),$M44&gt;(ROW(PLE.lastrow)-ROW(PLE.firstrow))),0,IF(OFFSET(PLE!$G$14,$M44,AX$13)="",10^12,OFFSET(PLE!$G$14,$M44,AX$13))))</f>
        <v>1000000000000</v>
      </c>
      <c r="AY44" s="216">
        <f ca="1">IF($D44&lt;&gt;"Serviço",0,IF(OR(AND(AUTOEVENTO="Manual",$M44=1),$M44&gt;(ROW(PLE.lastrow)-ROW(PLE.firstrow))),0,IF(OFFSET(PLE!$G$14,$M44,AY$13)="",10^12,OFFSET(PLE!$G$14,$M44,AY$13))))</f>
        <v>1000000000000</v>
      </c>
      <c r="AZ44" s="216">
        <f ca="1">IF($D44&lt;&gt;"Serviço",0,IF(OR(AND(AUTOEVENTO="Manual",$M44=1),$M44&gt;(ROW(PLE.lastrow)-ROW(PLE.firstrow))),0,IF(OFFSET(PLE!$G$14,$M44,AZ$13)="",10^12,OFFSET(PLE!$G$14,$M44,AZ$13))))</f>
        <v>1000000000000</v>
      </c>
      <c r="BA44" s="216">
        <f ca="1">IF($D44&lt;&gt;"Serviço",0,IF(OR(AND(AUTOEVENTO="Manual",$M44=1),$M44&gt;(ROW(PLE.lastrow)-ROW(PLE.firstrow))),0,IF(OFFSET(PLE!$G$14,$M44,BA$13)="",10^12,OFFSET(PLE!$G$14,$M44,BA$13))))</f>
        <v>1000000000000</v>
      </c>
      <c r="BB44" s="216">
        <f ca="1">IF($D44&lt;&gt;"Serviço",0,IF(OR(AND(AUTOEVENTO="Manual",$M44=1),$M44&gt;(ROW(PLE.lastrow)-ROW(PLE.firstrow))),0,IF(OFFSET(PLE!$G$14,$M44,BB$13)="",10^12,OFFSET(PLE!$G$14,$M44,BB$13))))</f>
        <v>1000000000000</v>
      </c>
      <c r="BC44" s="216">
        <f ca="1">IF($D44&lt;&gt;"Serviço",0,IF(OR(AND(AUTOEVENTO="Manual",$M44=1),$M44&gt;(ROW(PLE.lastrow)-ROW(PLE.firstrow))),0,IF(OFFSET(PLE!$G$14,$M44,BC$13)="",10^12,OFFSET(PLE!$G$14,$M44,BC$13))))</f>
        <v>1000000000000</v>
      </c>
      <c r="BD44" s="216">
        <f ca="1">IF($D44&lt;&gt;"Serviço",0,IF(OR(AND(AUTOEVENTO="Manual",$M44=1),$M44&gt;(ROW(PLE.lastrow)-ROW(PLE.firstrow))),0,IF(OFFSET(PLE!$G$14,$M44,BD$13)="",10^12,OFFSET(PLE!$G$14,$M44,BD$13))))</f>
        <v>1000000000000</v>
      </c>
      <c r="BE44" s="216">
        <f ca="1">IF($D44&lt;&gt;"Serviço",0,IF(OR(AND(AUTOEVENTO="Manual",$M44=1),$M44&gt;(ROW(PLE.lastrow)-ROW(PLE.firstrow))),0,IF(OFFSET(PLE!$G$14,$M44,BE$13)="",10^12,OFFSET(PLE!$G$14,$M44,BE$13))))</f>
        <v>1000000000000</v>
      </c>
      <c r="BF44" s="216">
        <f ca="1">IF($D44&lt;&gt;"Serviço",0,IF(OR(AND(AUTOEVENTO="Manual",$M44=1),$M44&gt;(ROW(PLE.lastrow)-ROW(PLE.firstrow))),0,IF(OFFSET(PLE!$G$14,$M44,BF$13)="",10^12,OFFSET(PLE!$G$14,$M44,BF$13))))</f>
        <v>1000000000000</v>
      </c>
      <c r="BG44" s="216">
        <f ca="1">IF($D44&lt;&gt;"Serviço",0,IF(OR(AND(AUTOEVENTO="Manual",$M44=1),$M44&gt;(ROW(PLE.lastrow)-ROW(PLE.firstrow))),0,IF(OFFSET(PLE!$G$14,$M44,BG$13)="",10^12,OFFSET(PLE!$G$14,$M44,BG$13))))</f>
        <v>1000000000000</v>
      </c>
    </row>
    <row r="45" spans="1:59" ht="12.75" x14ac:dyDescent="0.2">
      <c r="A45" s="9" t="str">
        <f t="shared" ca="1" si="8"/>
        <v>30.</v>
      </c>
      <c r="B45" s="9">
        <f ca="1">OFFSET(ORÇAMENTO!C$15,ROW(B45)-ROW(B$15),0)</f>
        <v>2</v>
      </c>
      <c r="C45" s="9" t="str">
        <f ca="1">OFFSET(ORÇAMENTO!L$15,ROW(C45)-ROW(C$15),0)</f>
        <v>F</v>
      </c>
      <c r="D45" s="145" t="str">
        <f ca="1">OFFSET(ORÇAMENTO!N$15,ROW(D45)-ROW(D$15),0)</f>
        <v>Nível 2</v>
      </c>
      <c r="E45" s="205" t="str">
        <f ca="1">OFFSET(ORÇAMENTO!O$15,ROW(E45)-ROW(E$15),0)</f>
        <v>1.6.</v>
      </c>
      <c r="F45" s="206" t="str">
        <f ca="1">OFFSET(ORÇAMENTO!R$15,ROW(F45)-ROW(F$15),0)</f>
        <v>PILARES (INCLUSO COLARINHO)</v>
      </c>
      <c r="G45" s="207" t="str">
        <f ca="1">IF($D45&lt;&gt;"Serviço","",OFFSET(ORÇAMENTO!S$15,ROW(G45)-ROW(G$15),0))</f>
        <v/>
      </c>
      <c r="H45" s="151">
        <f ca="1">IF($D45&lt;&gt;"Serviço",0,IF(ACOMPANHAMENTO="BM",ROUND(OFFSET(ORÇAMENTO!AJ$15,ROW(H45)-ROW(H$15),0),15-13*ORÇAMENTO!$AF$7),SUMPRODUCT(($Q$12:$AA$12&lt;&gt;"")*ROUND($Q45:$AA45,15-13*ORÇAMENTO!$AF$7))))</f>
        <v>0</v>
      </c>
      <c r="I45" s="649"/>
      <c r="K45" s="208"/>
      <c r="L45" s="209" t="s">
        <v>255</v>
      </c>
      <c r="M45" s="210" t="str">
        <f ca="1">IF($D45&lt;&gt;"Serviço","",IF(AUTOEVENTO="manual",$A45,IF(ISERROR(MATCH($A45,$A$15:OFFSET($A45,-1,0),0)),MAX($M$15:OFFSET(M45,-1,0))+1,INDEX($M$15:OFFSET(M45,-1,0),MATCH($A45,$A$15:OFFSET($A45,-1,0),0)))))</f>
        <v/>
      </c>
      <c r="N45" s="211" t="str">
        <f ca="1">IF($D45&lt;&gt;"Serviço","",IF(AUTOEVENTO="Manual",IF($A45=0,"&lt;-- defina o número do agrupador",OFFSET(EVENTOS!$D$14,$A45,0)),OFFSET($F$15,$A45,0)))</f>
        <v/>
      </c>
      <c r="O45" s="212"/>
      <c r="Q45" s="212"/>
      <c r="R45" s="213"/>
      <c r="S45" s="213"/>
      <c r="T45" s="213"/>
      <c r="U45" s="213"/>
      <c r="V45" s="213"/>
      <c r="W45" s="213"/>
      <c r="X45" s="213"/>
      <c r="Y45" s="213"/>
      <c r="Z45" s="214"/>
      <c r="AB45" s="630">
        <f ca="1">IF(AND($D45="Serviço",AB$12&lt;&gt;0,$H45&gt;0,OR(AUTOEVENTO&lt;&gt;"manual",$M45&lt;&gt;1)),
IF(Import.TipoArredondamento&lt;&gt;"TransfereGOV",
ROUND(OFFSET($P45,0,AB$13),15-13*ORÇAMENTO!$AF$7)/$H45*OFFSET(ORÇAMENTO!$X$15,ROW(AB45)-ROW(AB$15),0),
ROUND(ROUND(OFFSET($P45,0,AB$13),15-13*ORÇAMENTO!$AF$7)*OFFSET(ORÇAMENTO!$W$15,ROW(AB45)-ROW(AB$15),0),15-13*ORÇAMENTO!$AF$11)),0)</f>
        <v>0</v>
      </c>
      <c r="AC45" s="631">
        <f ca="1">IF(AND($D45="Serviço",AC$12&lt;&gt;0,$H45&gt;0,OR(AUTOEVENTO&lt;&gt;"manual",$M45&lt;&gt;1)),
IF(Import.TipoArredondamento&lt;&gt;"TransfereGOV",
ROUND(OFFSET($P45,0,AC$13),15-13*ORÇAMENTO!$AF$7)/$H45*OFFSET(ORÇAMENTO!$X$15,ROW(AC45)-ROW(AC$15),0),
ROUND(ROUND(OFFSET($P45,0,AC$13),15-13*ORÇAMENTO!$AF$7)*OFFSET(ORÇAMENTO!$W$15,ROW(AC45)-ROW(AC$15),0),15-13*ORÇAMENTO!$AF$11)),0)</f>
        <v>0</v>
      </c>
      <c r="AD45" s="631">
        <f ca="1">IF(AND($D45="Serviço",AD$12&lt;&gt;0,$H45&gt;0,OR(AUTOEVENTO&lt;&gt;"manual",$M45&lt;&gt;1)),
IF(Import.TipoArredondamento&lt;&gt;"TransfereGOV",
ROUND(OFFSET($P45,0,AD$13),15-13*ORÇAMENTO!$AF$7)/$H45*OFFSET(ORÇAMENTO!$X$15,ROW(AD45)-ROW(AD$15),0),
ROUND(ROUND(OFFSET($P45,0,AD$13),15-13*ORÇAMENTO!$AF$7)*OFFSET(ORÇAMENTO!$W$15,ROW(AD45)-ROW(AD$15),0),15-13*ORÇAMENTO!$AF$11)),0)</f>
        <v>0</v>
      </c>
      <c r="AE45" s="631">
        <f ca="1">IF(AND($D45="Serviço",AE$12&lt;&gt;0,$H45&gt;0,OR(AUTOEVENTO&lt;&gt;"manual",$M45&lt;&gt;1)),
IF(Import.TipoArredondamento&lt;&gt;"TransfereGOV",
ROUND(OFFSET($P45,0,AE$13),15-13*ORÇAMENTO!$AF$7)/$H45*OFFSET(ORÇAMENTO!$X$15,ROW(AE45)-ROW(AE$15),0),
ROUND(ROUND(OFFSET($P45,0,AE$13),15-13*ORÇAMENTO!$AF$7)*OFFSET(ORÇAMENTO!$W$15,ROW(AE45)-ROW(AE$15),0),15-13*ORÇAMENTO!$AF$11)),0)</f>
        <v>0</v>
      </c>
      <c r="AF45" s="631">
        <f ca="1">IF(AND($D45="Serviço",AF$12&lt;&gt;0,$H45&gt;0,OR(AUTOEVENTO&lt;&gt;"manual",$M45&lt;&gt;1)),
IF(Import.TipoArredondamento&lt;&gt;"TransfereGOV",
ROUND(OFFSET($P45,0,AF$13),15-13*ORÇAMENTO!$AF$7)/$H45*OFFSET(ORÇAMENTO!$X$15,ROW(AF45)-ROW(AF$15),0),
ROUND(ROUND(OFFSET($P45,0,AF$13),15-13*ORÇAMENTO!$AF$7)*OFFSET(ORÇAMENTO!$W$15,ROW(AF45)-ROW(AF$15),0),15-13*ORÇAMENTO!$AF$11)),0)</f>
        <v>0</v>
      </c>
      <c r="AG45" s="631">
        <f ca="1">IF(AND($D45="Serviço",AG$12&lt;&gt;0,$H45&gt;0,OR(AUTOEVENTO&lt;&gt;"manual",$M45&lt;&gt;1)),
IF(Import.TipoArredondamento&lt;&gt;"TransfereGOV",
ROUND(OFFSET($P45,0,AG$13),15-13*ORÇAMENTO!$AF$7)/$H45*OFFSET(ORÇAMENTO!$X$15,ROW(AG45)-ROW(AG$15),0),
ROUND(ROUND(OFFSET($P45,0,AG$13),15-13*ORÇAMENTO!$AF$7)*OFFSET(ORÇAMENTO!$W$15,ROW(AG45)-ROW(AG$15),0),15-13*ORÇAMENTO!$AF$11)),0)</f>
        <v>0</v>
      </c>
      <c r="AH45" s="631">
        <f ca="1">IF(AND($D45="Serviço",AH$12&lt;&gt;0,$H45&gt;0,OR(AUTOEVENTO&lt;&gt;"manual",$M45&lt;&gt;1)),
IF(Import.TipoArredondamento&lt;&gt;"TransfereGOV",
ROUND(OFFSET($P45,0,AH$13),15-13*ORÇAMENTO!$AF$7)/$H45*OFFSET(ORÇAMENTO!$X$15,ROW(AH45)-ROW(AH$15),0),
ROUND(ROUND(OFFSET($P45,0,AH$13),15-13*ORÇAMENTO!$AF$7)*OFFSET(ORÇAMENTO!$W$15,ROW(AH45)-ROW(AH$15),0),15-13*ORÇAMENTO!$AF$11)),0)</f>
        <v>0</v>
      </c>
      <c r="AI45" s="631">
        <f ca="1">IF(AND($D45="Serviço",AI$12&lt;&gt;0,$H45&gt;0,OR(AUTOEVENTO&lt;&gt;"manual",$M45&lt;&gt;1)),
IF(Import.TipoArredondamento&lt;&gt;"TransfereGOV",
ROUND(OFFSET($P45,0,AI$13),15-13*ORÇAMENTO!$AF$7)/$H45*OFFSET(ORÇAMENTO!$X$15,ROW(AI45)-ROW(AI$15),0),
ROUND(ROUND(OFFSET($P45,0,AI$13),15-13*ORÇAMENTO!$AF$7)*OFFSET(ORÇAMENTO!$W$15,ROW(AI45)-ROW(AI$15),0),15-13*ORÇAMENTO!$AF$11)),0)</f>
        <v>0</v>
      </c>
      <c r="AJ45" s="631">
        <f ca="1">IF(AND($D45="Serviço",AJ$12&lt;&gt;0,$H45&gt;0,OR(AUTOEVENTO&lt;&gt;"manual",$M45&lt;&gt;1)),
IF(Import.TipoArredondamento&lt;&gt;"TransfereGOV",
ROUND(OFFSET($P45,0,AJ$13),15-13*ORÇAMENTO!$AF$7)/$H45*OFFSET(ORÇAMENTO!$X$15,ROW(AJ45)-ROW(AJ$15),0),
ROUND(ROUND(OFFSET($P45,0,AJ$13),15-13*ORÇAMENTO!$AF$7)*OFFSET(ORÇAMENTO!$W$15,ROW(AJ45)-ROW(AJ$15),0),15-13*ORÇAMENTO!$AF$11)),0)</f>
        <v>0</v>
      </c>
      <c r="AK45" s="632">
        <f ca="1">IF(AND($D45="Serviço",AK$12&lt;&gt;0,$H45&gt;0,OR(AUTOEVENTO&lt;&gt;"manual",$M45&lt;&gt;1)),
IF(Import.TipoArredondamento&lt;&gt;"TransfereGOV",
ROUND(OFFSET($P45,0,AK$13),15-13*ORÇAMENTO!$AF$7)/$H45*OFFSET(ORÇAMENTO!$X$15,ROW(AK45)-ROW(AK$15),0),
ROUND(ROUND(OFFSET($P45,0,AK$13),15-13*ORÇAMENTO!$AF$7)*OFFSET(ORÇAMENTO!$W$15,ROW(AK45)-ROW(AK$15),0),15-13*ORÇAMENTO!$AF$11)),0)</f>
        <v>0</v>
      </c>
      <c r="AM45" s="215">
        <f ca="1">IF($D45&lt;&gt;"Serviço",0,IF(AND(AUTOEVENTO="Manual",$M45=1),0,IF(OFFSET(CRONOPLE!$F$14,$M45,AM$13)="",10^12,OFFSET(CRONOPLE!$F$14,$M45,AM$13))))</f>
        <v>0</v>
      </c>
      <c r="AN45" s="215">
        <f ca="1">IF($D45&lt;&gt;"Serviço",0,IF(AND(AUTOEVENTO="Manual",$M45=1),0,IF(OFFSET(CRONOPLE!$F$14,$M45,AN$13)="",10^12,OFFSET(CRONOPLE!$F$14,$M45,AN$13))))</f>
        <v>0</v>
      </c>
      <c r="AO45" s="215">
        <f ca="1">IF($D45&lt;&gt;"Serviço",0,IF(AND(AUTOEVENTO="Manual",$M45=1),0,IF(OFFSET(CRONOPLE!$F$14,$M45,AO$13)="",10^12,OFFSET(CRONOPLE!$F$14,$M45,AO$13))))</f>
        <v>0</v>
      </c>
      <c r="AP45" s="215">
        <f ca="1">IF($D45&lt;&gt;"Serviço",0,IF(AND(AUTOEVENTO="Manual",$M45=1),0,IF(OFFSET(CRONOPLE!$F$14,$M45,AP$13)="",10^12,OFFSET(CRONOPLE!$F$14,$M45,AP$13))))</f>
        <v>0</v>
      </c>
      <c r="AQ45" s="215">
        <f ca="1">IF($D45&lt;&gt;"Serviço",0,IF(AND(AUTOEVENTO="Manual",$M45=1),0,IF(OFFSET(CRONOPLE!$F$14,$M45,AQ$13)="",10^12,OFFSET(CRONOPLE!$F$14,$M45,AQ$13))))</f>
        <v>0</v>
      </c>
      <c r="AR45" s="215">
        <f ca="1">IF($D45&lt;&gt;"Serviço",0,IF(AND(AUTOEVENTO="Manual",$M45=1),0,IF(OFFSET(CRONOPLE!$F$14,$M45,AR$13)="",10^12,OFFSET(CRONOPLE!$F$14,$M45,AR$13))))</f>
        <v>0</v>
      </c>
      <c r="AS45" s="215">
        <f ca="1">IF($D45&lt;&gt;"Serviço",0,IF(AND(AUTOEVENTO="Manual",$M45=1),0,IF(OFFSET(CRONOPLE!$F$14,$M45,AS$13)="",10^12,OFFSET(CRONOPLE!$F$14,$M45,AS$13))))</f>
        <v>0</v>
      </c>
      <c r="AT45" s="215">
        <f ca="1">IF($D45&lt;&gt;"Serviço",0,IF(AND(AUTOEVENTO="Manual",$M45=1),0,IF(OFFSET(CRONOPLE!$F$14,$M45,AT$13)="",10^12,OFFSET(CRONOPLE!$F$14,$M45,AT$13))))</f>
        <v>0</v>
      </c>
      <c r="AU45" s="215">
        <f ca="1">IF($D45&lt;&gt;"Serviço",0,IF(AND(AUTOEVENTO="Manual",$M45=1),0,IF(OFFSET(CRONOPLE!$F$14,$M45,AU$13)="",10^12,OFFSET(CRONOPLE!$F$14,$M45,AU$13))))</f>
        <v>0</v>
      </c>
      <c r="AV45" s="215">
        <f ca="1">IF($D45&lt;&gt;"Serviço",0,IF(AND(AUTOEVENTO="Manual",$M45=1),0,IF(OFFSET(CRONOPLE!$F$14,$M45,AV$13)="",10^12,OFFSET(CRONOPLE!$F$14,$M45,AV$13))))</f>
        <v>0</v>
      </c>
      <c r="AX45" s="216">
        <f ca="1">IF($D45&lt;&gt;"Serviço",0,IF(OR(AND(AUTOEVENTO="Manual",$M45=1),$M45&gt;(ROW(PLE.lastrow)-ROW(PLE.firstrow))),0,IF(OFFSET(PLE!$G$14,$M45,AX$13)="",10^12,OFFSET(PLE!$G$14,$M45,AX$13))))</f>
        <v>0</v>
      </c>
      <c r="AY45" s="216">
        <f ca="1">IF($D45&lt;&gt;"Serviço",0,IF(OR(AND(AUTOEVENTO="Manual",$M45=1),$M45&gt;(ROW(PLE.lastrow)-ROW(PLE.firstrow))),0,IF(OFFSET(PLE!$G$14,$M45,AY$13)="",10^12,OFFSET(PLE!$G$14,$M45,AY$13))))</f>
        <v>0</v>
      </c>
      <c r="AZ45" s="216">
        <f ca="1">IF($D45&lt;&gt;"Serviço",0,IF(OR(AND(AUTOEVENTO="Manual",$M45=1),$M45&gt;(ROW(PLE.lastrow)-ROW(PLE.firstrow))),0,IF(OFFSET(PLE!$G$14,$M45,AZ$13)="",10^12,OFFSET(PLE!$G$14,$M45,AZ$13))))</f>
        <v>0</v>
      </c>
      <c r="BA45" s="216">
        <f ca="1">IF($D45&lt;&gt;"Serviço",0,IF(OR(AND(AUTOEVENTO="Manual",$M45=1),$M45&gt;(ROW(PLE.lastrow)-ROW(PLE.firstrow))),0,IF(OFFSET(PLE!$G$14,$M45,BA$13)="",10^12,OFFSET(PLE!$G$14,$M45,BA$13))))</f>
        <v>0</v>
      </c>
      <c r="BB45" s="216">
        <f ca="1">IF($D45&lt;&gt;"Serviço",0,IF(OR(AND(AUTOEVENTO="Manual",$M45=1),$M45&gt;(ROW(PLE.lastrow)-ROW(PLE.firstrow))),0,IF(OFFSET(PLE!$G$14,$M45,BB$13)="",10^12,OFFSET(PLE!$G$14,$M45,BB$13))))</f>
        <v>0</v>
      </c>
      <c r="BC45" s="216">
        <f ca="1">IF($D45&lt;&gt;"Serviço",0,IF(OR(AND(AUTOEVENTO="Manual",$M45=1),$M45&gt;(ROW(PLE.lastrow)-ROW(PLE.firstrow))),0,IF(OFFSET(PLE!$G$14,$M45,BC$13)="",10^12,OFFSET(PLE!$G$14,$M45,BC$13))))</f>
        <v>0</v>
      </c>
      <c r="BD45" s="216">
        <f ca="1">IF($D45&lt;&gt;"Serviço",0,IF(OR(AND(AUTOEVENTO="Manual",$M45=1),$M45&gt;(ROW(PLE.lastrow)-ROW(PLE.firstrow))),0,IF(OFFSET(PLE!$G$14,$M45,BD$13)="",10^12,OFFSET(PLE!$G$14,$M45,BD$13))))</f>
        <v>0</v>
      </c>
      <c r="BE45" s="216">
        <f ca="1">IF($D45&lt;&gt;"Serviço",0,IF(OR(AND(AUTOEVENTO="Manual",$M45=1),$M45&gt;(ROW(PLE.lastrow)-ROW(PLE.firstrow))),0,IF(OFFSET(PLE!$G$14,$M45,BE$13)="",10^12,OFFSET(PLE!$G$14,$M45,BE$13))))</f>
        <v>0</v>
      </c>
      <c r="BF45" s="216">
        <f ca="1">IF($D45&lt;&gt;"Serviço",0,IF(OR(AND(AUTOEVENTO="Manual",$M45=1),$M45&gt;(ROW(PLE.lastrow)-ROW(PLE.firstrow))),0,IF(OFFSET(PLE!$G$14,$M45,BF$13)="",10^12,OFFSET(PLE!$G$14,$M45,BF$13))))</f>
        <v>0</v>
      </c>
      <c r="BG45" s="216">
        <f ca="1">IF($D45&lt;&gt;"Serviço",0,IF(OR(AND(AUTOEVENTO="Manual",$M45=1),$M45&gt;(ROW(PLE.lastrow)-ROW(PLE.firstrow))),0,IF(OFFSET(PLE!$G$14,$M45,BG$13)="",10^12,OFFSET(PLE!$G$14,$M45,BG$13))))</f>
        <v>0</v>
      </c>
    </row>
    <row r="46" spans="1:59" ht="51" x14ac:dyDescent="0.2">
      <c r="A46" s="9" t="str">
        <f t="shared" ca="1" si="8"/>
        <v>30</v>
      </c>
      <c r="B46" s="9" t="str">
        <f ca="1">OFFSET(ORÇAMENTO!C$15,ROW(B46)-ROW(B$15),0)</f>
        <v>S</v>
      </c>
      <c r="C46" s="9" t="str">
        <f ca="1">OFFSET(ORÇAMENTO!L$15,ROW(C46)-ROW(C$15),0)</f>
        <v/>
      </c>
      <c r="D46" s="145" t="str">
        <f ca="1">OFFSET(ORÇAMENTO!N$15,ROW(D46)-ROW(D$15),0)</f>
        <v>Serviço</v>
      </c>
      <c r="E46" s="205" t="str">
        <f ca="1">OFFSET(ORÇAMENTO!O$15,ROW(E46)-ROW(E$15),0)</f>
        <v>-</v>
      </c>
      <c r="F46" s="206" t="str">
        <f ca="1">OFFSET(ORÇAMENTO!R$15,ROW(F46)-ROW(F$15),0)</f>
        <v>MONTAGEM E DESMONTAGEM DE FÔRMA DE PILARES RETANGULARES E ESTRUTURAS SIMILARES, PÉ-DIREITO SIMPLES, EM CHAPA DE MADEIRA COMPENSADA PLASTIFICADA, 18 UTILIZAÇÕES. AF_09/2020</v>
      </c>
      <c r="G46" s="207" t="str">
        <f ca="1">IF($D46&lt;&gt;"Serviço","",OFFSET(ORÇAMENTO!S$15,ROW(G46)-ROW(G$15),0))</f>
        <v>M2</v>
      </c>
      <c r="H46" s="151">
        <f ca="1">IF($D46&lt;&gt;"Serviço",0,IF(ACOMPANHAMENTO="BM",ROUND(OFFSET(ORÇAMENTO!AJ$15,ROW(H46)-ROW(H$15),0),15-13*ORÇAMENTO!$AF$7),SUMPRODUCT(($Q$12:$AA$12&lt;&gt;"")*ROUND($Q46:$AA46,15-13*ORÇAMENTO!$AF$7))))</f>
        <v>487</v>
      </c>
      <c r="I46" s="649"/>
      <c r="K46" s="208"/>
      <c r="L46" s="209" t="s">
        <v>255</v>
      </c>
      <c r="M46" s="210">
        <f ca="1">IF($D46&lt;&gt;"Serviço","",IF(AUTOEVENTO="manual",$A46,IF(ISERROR(MATCH($A46,$A$15:OFFSET($A46,-1,0),0)),MAX($M$15:OFFSET(M46,-1,0))+1,INDEX($M$15:OFFSET(M46,-1,0),MATCH($A46,$A$15:OFFSET($A46,-1,0),0)))))</f>
        <v>7</v>
      </c>
      <c r="N46" s="211" t="str">
        <f ca="1">IF($D46&lt;&gt;"Serviço","",IF(AUTOEVENTO="Manual",IF($A46=0,"&lt;-- defina o número do agrupador",OFFSET(EVENTOS!$D$14,$A46,0)),OFFSET($F$15,$A46,0)))</f>
        <v>PILARES (INCLUSO COLARINHO)</v>
      </c>
      <c r="O46" s="212"/>
      <c r="Q46" s="212"/>
      <c r="R46" s="213"/>
      <c r="S46" s="213"/>
      <c r="T46" s="213"/>
      <c r="U46" s="213"/>
      <c r="V46" s="213"/>
      <c r="W46" s="213"/>
      <c r="X46" s="213"/>
      <c r="Y46" s="213"/>
      <c r="Z46" s="214"/>
      <c r="AB46" s="630">
        <f ca="1">IF(AND($D46="Serviço",AB$12&lt;&gt;0,$H46&gt;0,OR(AUTOEVENTO&lt;&gt;"manual",$M46&lt;&gt;1)),
IF(Import.TipoArredondamento&lt;&gt;"TransfereGOV",
ROUND(OFFSET($P46,0,AB$13),15-13*ORÇAMENTO!$AF$7)/$H46*OFFSET(ORÇAMENTO!$X$15,ROW(AB46)-ROW(AB$15),0),
ROUND(ROUND(OFFSET($P46,0,AB$13),15-13*ORÇAMENTO!$AF$7)*OFFSET(ORÇAMENTO!$W$15,ROW(AB46)-ROW(AB$15),0),15-13*ORÇAMENTO!$AF$11)),0)</f>
        <v>0</v>
      </c>
      <c r="AC46" s="631">
        <f ca="1">IF(AND($D46="Serviço",AC$12&lt;&gt;0,$H46&gt;0,OR(AUTOEVENTO&lt;&gt;"manual",$M46&lt;&gt;1)),
IF(Import.TipoArredondamento&lt;&gt;"TransfereGOV",
ROUND(OFFSET($P46,0,AC$13),15-13*ORÇAMENTO!$AF$7)/$H46*OFFSET(ORÇAMENTO!$X$15,ROW(AC46)-ROW(AC$15),0),
ROUND(ROUND(OFFSET($P46,0,AC$13),15-13*ORÇAMENTO!$AF$7)*OFFSET(ORÇAMENTO!$W$15,ROW(AC46)-ROW(AC$15),0),15-13*ORÇAMENTO!$AF$11)),0)</f>
        <v>0</v>
      </c>
      <c r="AD46" s="631">
        <f ca="1">IF(AND($D46="Serviço",AD$12&lt;&gt;0,$H46&gt;0,OR(AUTOEVENTO&lt;&gt;"manual",$M46&lt;&gt;1)),
IF(Import.TipoArredondamento&lt;&gt;"TransfereGOV",
ROUND(OFFSET($P46,0,AD$13),15-13*ORÇAMENTO!$AF$7)/$H46*OFFSET(ORÇAMENTO!$X$15,ROW(AD46)-ROW(AD$15),0),
ROUND(ROUND(OFFSET($P46,0,AD$13),15-13*ORÇAMENTO!$AF$7)*OFFSET(ORÇAMENTO!$W$15,ROW(AD46)-ROW(AD$15),0),15-13*ORÇAMENTO!$AF$11)),0)</f>
        <v>0</v>
      </c>
      <c r="AE46" s="631">
        <f ca="1">IF(AND($D46="Serviço",AE$12&lt;&gt;0,$H46&gt;0,OR(AUTOEVENTO&lt;&gt;"manual",$M46&lt;&gt;1)),
IF(Import.TipoArredondamento&lt;&gt;"TransfereGOV",
ROUND(OFFSET($P46,0,AE$13),15-13*ORÇAMENTO!$AF$7)/$H46*OFFSET(ORÇAMENTO!$X$15,ROW(AE46)-ROW(AE$15),0),
ROUND(ROUND(OFFSET($P46,0,AE$13),15-13*ORÇAMENTO!$AF$7)*OFFSET(ORÇAMENTO!$W$15,ROW(AE46)-ROW(AE$15),0),15-13*ORÇAMENTO!$AF$11)),0)</f>
        <v>0</v>
      </c>
      <c r="AF46" s="631">
        <f ca="1">IF(AND($D46="Serviço",AF$12&lt;&gt;0,$H46&gt;0,OR(AUTOEVENTO&lt;&gt;"manual",$M46&lt;&gt;1)),
IF(Import.TipoArredondamento&lt;&gt;"TransfereGOV",
ROUND(OFFSET($P46,0,AF$13),15-13*ORÇAMENTO!$AF$7)/$H46*OFFSET(ORÇAMENTO!$X$15,ROW(AF46)-ROW(AF$15),0),
ROUND(ROUND(OFFSET($P46,0,AF$13),15-13*ORÇAMENTO!$AF$7)*OFFSET(ORÇAMENTO!$W$15,ROW(AF46)-ROW(AF$15),0),15-13*ORÇAMENTO!$AF$11)),0)</f>
        <v>0</v>
      </c>
      <c r="AG46" s="631">
        <f ca="1">IF(AND($D46="Serviço",AG$12&lt;&gt;0,$H46&gt;0,OR(AUTOEVENTO&lt;&gt;"manual",$M46&lt;&gt;1)),
IF(Import.TipoArredondamento&lt;&gt;"TransfereGOV",
ROUND(OFFSET($P46,0,AG$13),15-13*ORÇAMENTO!$AF$7)/$H46*OFFSET(ORÇAMENTO!$X$15,ROW(AG46)-ROW(AG$15),0),
ROUND(ROUND(OFFSET($P46,0,AG$13),15-13*ORÇAMENTO!$AF$7)*OFFSET(ORÇAMENTO!$W$15,ROW(AG46)-ROW(AG$15),0),15-13*ORÇAMENTO!$AF$11)),0)</f>
        <v>0</v>
      </c>
      <c r="AH46" s="631">
        <f ca="1">IF(AND($D46="Serviço",AH$12&lt;&gt;0,$H46&gt;0,OR(AUTOEVENTO&lt;&gt;"manual",$M46&lt;&gt;1)),
IF(Import.TipoArredondamento&lt;&gt;"TransfereGOV",
ROUND(OFFSET($P46,0,AH$13),15-13*ORÇAMENTO!$AF$7)/$H46*OFFSET(ORÇAMENTO!$X$15,ROW(AH46)-ROW(AH$15),0),
ROUND(ROUND(OFFSET($P46,0,AH$13),15-13*ORÇAMENTO!$AF$7)*OFFSET(ORÇAMENTO!$W$15,ROW(AH46)-ROW(AH$15),0),15-13*ORÇAMENTO!$AF$11)),0)</f>
        <v>0</v>
      </c>
      <c r="AI46" s="631">
        <f ca="1">IF(AND($D46="Serviço",AI$12&lt;&gt;0,$H46&gt;0,OR(AUTOEVENTO&lt;&gt;"manual",$M46&lt;&gt;1)),
IF(Import.TipoArredondamento&lt;&gt;"TransfereGOV",
ROUND(OFFSET($P46,0,AI$13),15-13*ORÇAMENTO!$AF$7)/$H46*OFFSET(ORÇAMENTO!$X$15,ROW(AI46)-ROW(AI$15),0),
ROUND(ROUND(OFFSET($P46,0,AI$13),15-13*ORÇAMENTO!$AF$7)*OFFSET(ORÇAMENTO!$W$15,ROW(AI46)-ROW(AI$15),0),15-13*ORÇAMENTO!$AF$11)),0)</f>
        <v>0</v>
      </c>
      <c r="AJ46" s="631">
        <f ca="1">IF(AND($D46="Serviço",AJ$12&lt;&gt;0,$H46&gt;0,OR(AUTOEVENTO&lt;&gt;"manual",$M46&lt;&gt;1)),
IF(Import.TipoArredondamento&lt;&gt;"TransfereGOV",
ROUND(OFFSET($P46,0,AJ$13),15-13*ORÇAMENTO!$AF$7)/$H46*OFFSET(ORÇAMENTO!$X$15,ROW(AJ46)-ROW(AJ$15),0),
ROUND(ROUND(OFFSET($P46,0,AJ$13),15-13*ORÇAMENTO!$AF$7)*OFFSET(ORÇAMENTO!$W$15,ROW(AJ46)-ROW(AJ$15),0),15-13*ORÇAMENTO!$AF$11)),0)</f>
        <v>0</v>
      </c>
      <c r="AK46" s="632">
        <f ca="1">IF(AND($D46="Serviço",AK$12&lt;&gt;0,$H46&gt;0,OR(AUTOEVENTO&lt;&gt;"manual",$M46&lt;&gt;1)),
IF(Import.TipoArredondamento&lt;&gt;"TransfereGOV",
ROUND(OFFSET($P46,0,AK$13),15-13*ORÇAMENTO!$AF$7)/$H46*OFFSET(ORÇAMENTO!$X$15,ROW(AK46)-ROW(AK$15),0),
ROUND(ROUND(OFFSET($P46,0,AK$13),15-13*ORÇAMENTO!$AF$7)*OFFSET(ORÇAMENTO!$W$15,ROW(AK46)-ROW(AK$15),0),15-13*ORÇAMENTO!$AF$11)),0)</f>
        <v>0</v>
      </c>
      <c r="AM46" s="215">
        <f ca="1">IF($D46&lt;&gt;"Serviço",0,IF(AND(AUTOEVENTO="Manual",$M46=1),0,IF(OFFSET(CRONOPLE!$F$14,$M46,AM$13)="",10^12,OFFSET(CRONOPLE!$F$14,$M46,AM$13))))</f>
        <v>1000000000000</v>
      </c>
      <c r="AN46" s="215">
        <f ca="1">IF($D46&lt;&gt;"Serviço",0,IF(AND(AUTOEVENTO="Manual",$M46=1),0,IF(OFFSET(CRONOPLE!$F$14,$M46,AN$13)="",10^12,OFFSET(CRONOPLE!$F$14,$M46,AN$13))))</f>
        <v>1000000000000</v>
      </c>
      <c r="AO46" s="215">
        <f ca="1">IF($D46&lt;&gt;"Serviço",0,IF(AND(AUTOEVENTO="Manual",$M46=1),0,IF(OFFSET(CRONOPLE!$F$14,$M46,AO$13)="",10^12,OFFSET(CRONOPLE!$F$14,$M46,AO$13))))</f>
        <v>1000000000000</v>
      </c>
      <c r="AP46" s="215">
        <f ca="1">IF($D46&lt;&gt;"Serviço",0,IF(AND(AUTOEVENTO="Manual",$M46=1),0,IF(OFFSET(CRONOPLE!$F$14,$M46,AP$13)="",10^12,OFFSET(CRONOPLE!$F$14,$M46,AP$13))))</f>
        <v>1000000000000</v>
      </c>
      <c r="AQ46" s="215">
        <f ca="1">IF($D46&lt;&gt;"Serviço",0,IF(AND(AUTOEVENTO="Manual",$M46=1),0,IF(OFFSET(CRONOPLE!$F$14,$M46,AQ$13)="",10^12,OFFSET(CRONOPLE!$F$14,$M46,AQ$13))))</f>
        <v>1000000000000</v>
      </c>
      <c r="AR46" s="215">
        <f ca="1">IF($D46&lt;&gt;"Serviço",0,IF(AND(AUTOEVENTO="Manual",$M46=1),0,IF(OFFSET(CRONOPLE!$F$14,$M46,AR$13)="",10^12,OFFSET(CRONOPLE!$F$14,$M46,AR$13))))</f>
        <v>1000000000000</v>
      </c>
      <c r="AS46" s="215">
        <f ca="1">IF($D46&lt;&gt;"Serviço",0,IF(AND(AUTOEVENTO="Manual",$M46=1),0,IF(OFFSET(CRONOPLE!$F$14,$M46,AS$13)="",10^12,OFFSET(CRONOPLE!$F$14,$M46,AS$13))))</f>
        <v>1000000000000</v>
      </c>
      <c r="AT46" s="215">
        <f ca="1">IF($D46&lt;&gt;"Serviço",0,IF(AND(AUTOEVENTO="Manual",$M46=1),0,IF(OFFSET(CRONOPLE!$F$14,$M46,AT$13)="",10^12,OFFSET(CRONOPLE!$F$14,$M46,AT$13))))</f>
        <v>1000000000000</v>
      </c>
      <c r="AU46" s="215">
        <f ca="1">IF($D46&lt;&gt;"Serviço",0,IF(AND(AUTOEVENTO="Manual",$M46=1),0,IF(OFFSET(CRONOPLE!$F$14,$M46,AU$13)="",10^12,OFFSET(CRONOPLE!$F$14,$M46,AU$13))))</f>
        <v>1000000000000</v>
      </c>
      <c r="AV46" s="215">
        <f ca="1">IF($D46&lt;&gt;"Serviço",0,IF(AND(AUTOEVENTO="Manual",$M46=1),0,IF(OFFSET(CRONOPLE!$F$14,$M46,AV$13)="",10^12,OFFSET(CRONOPLE!$F$14,$M46,AV$13))))</f>
        <v>1000000000000</v>
      </c>
      <c r="AX46" s="216">
        <f ca="1">IF($D46&lt;&gt;"Serviço",0,IF(OR(AND(AUTOEVENTO="Manual",$M46=1),$M46&gt;(ROW(PLE.lastrow)-ROW(PLE.firstrow))),0,IF(OFFSET(PLE!$G$14,$M46,AX$13)="",10^12,OFFSET(PLE!$G$14,$M46,AX$13))))</f>
        <v>1000000000000</v>
      </c>
      <c r="AY46" s="216">
        <f ca="1">IF($D46&lt;&gt;"Serviço",0,IF(OR(AND(AUTOEVENTO="Manual",$M46=1),$M46&gt;(ROW(PLE.lastrow)-ROW(PLE.firstrow))),0,IF(OFFSET(PLE!$G$14,$M46,AY$13)="",10^12,OFFSET(PLE!$G$14,$M46,AY$13))))</f>
        <v>1000000000000</v>
      </c>
      <c r="AZ46" s="216">
        <f ca="1">IF($D46&lt;&gt;"Serviço",0,IF(OR(AND(AUTOEVENTO="Manual",$M46=1),$M46&gt;(ROW(PLE.lastrow)-ROW(PLE.firstrow))),0,IF(OFFSET(PLE!$G$14,$M46,AZ$13)="",10^12,OFFSET(PLE!$G$14,$M46,AZ$13))))</f>
        <v>1000000000000</v>
      </c>
      <c r="BA46" s="216">
        <f ca="1">IF($D46&lt;&gt;"Serviço",0,IF(OR(AND(AUTOEVENTO="Manual",$M46=1),$M46&gt;(ROW(PLE.lastrow)-ROW(PLE.firstrow))),0,IF(OFFSET(PLE!$G$14,$M46,BA$13)="",10^12,OFFSET(PLE!$G$14,$M46,BA$13))))</f>
        <v>1000000000000</v>
      </c>
      <c r="BB46" s="216">
        <f ca="1">IF($D46&lt;&gt;"Serviço",0,IF(OR(AND(AUTOEVENTO="Manual",$M46=1),$M46&gt;(ROW(PLE.lastrow)-ROW(PLE.firstrow))),0,IF(OFFSET(PLE!$G$14,$M46,BB$13)="",10^12,OFFSET(PLE!$G$14,$M46,BB$13))))</f>
        <v>1000000000000</v>
      </c>
      <c r="BC46" s="216">
        <f ca="1">IF($D46&lt;&gt;"Serviço",0,IF(OR(AND(AUTOEVENTO="Manual",$M46=1),$M46&gt;(ROW(PLE.lastrow)-ROW(PLE.firstrow))),0,IF(OFFSET(PLE!$G$14,$M46,BC$13)="",10^12,OFFSET(PLE!$G$14,$M46,BC$13))))</f>
        <v>1000000000000</v>
      </c>
      <c r="BD46" s="216">
        <f ca="1">IF($D46&lt;&gt;"Serviço",0,IF(OR(AND(AUTOEVENTO="Manual",$M46=1),$M46&gt;(ROW(PLE.lastrow)-ROW(PLE.firstrow))),0,IF(OFFSET(PLE!$G$14,$M46,BD$13)="",10^12,OFFSET(PLE!$G$14,$M46,BD$13))))</f>
        <v>1000000000000</v>
      </c>
      <c r="BE46" s="216">
        <f ca="1">IF($D46&lt;&gt;"Serviço",0,IF(OR(AND(AUTOEVENTO="Manual",$M46=1),$M46&gt;(ROW(PLE.lastrow)-ROW(PLE.firstrow))),0,IF(OFFSET(PLE!$G$14,$M46,BE$13)="",10^12,OFFSET(PLE!$G$14,$M46,BE$13))))</f>
        <v>1000000000000</v>
      </c>
      <c r="BF46" s="216">
        <f ca="1">IF($D46&lt;&gt;"Serviço",0,IF(OR(AND(AUTOEVENTO="Manual",$M46=1),$M46&gt;(ROW(PLE.lastrow)-ROW(PLE.firstrow))),0,IF(OFFSET(PLE!$G$14,$M46,BF$13)="",10^12,OFFSET(PLE!$G$14,$M46,BF$13))))</f>
        <v>1000000000000</v>
      </c>
      <c r="BG46" s="216">
        <f ca="1">IF($D46&lt;&gt;"Serviço",0,IF(OR(AND(AUTOEVENTO="Manual",$M46=1),$M46&gt;(ROW(PLE.lastrow)-ROW(PLE.firstrow))),0,IF(OFFSET(PLE!$G$14,$M46,BG$13)="",10^12,OFFSET(PLE!$G$14,$M46,BG$13))))</f>
        <v>1000000000000</v>
      </c>
    </row>
    <row r="47" spans="1:59" ht="25.5" x14ac:dyDescent="0.2">
      <c r="A47" s="9" t="str">
        <f t="shared" ca="1" si="8"/>
        <v>30</v>
      </c>
      <c r="B47" s="9" t="str">
        <f ca="1">OFFSET(ORÇAMENTO!C$15,ROW(B47)-ROW(B$15),0)</f>
        <v>S</v>
      </c>
      <c r="C47" s="9" t="str">
        <f ca="1">OFFSET(ORÇAMENTO!L$15,ROW(C47)-ROW(C$15),0)</f>
        <v/>
      </c>
      <c r="D47" s="145" t="str">
        <f ca="1">OFFSET(ORÇAMENTO!N$15,ROW(D47)-ROW(D$15),0)</f>
        <v>Serviço</v>
      </c>
      <c r="E47" s="205" t="str">
        <f ca="1">OFFSET(ORÇAMENTO!O$15,ROW(E47)-ROW(E$15),0)</f>
        <v>-</v>
      </c>
      <c r="F47" s="206" t="str">
        <f ca="1">OFFSET(ORÇAMENTO!R$15,ROW(F47)-ROW(F$15),0)</f>
        <v>CONCRETAGEM DE PILARES, FCK = 25 MPA, COM USO DE BOMBA - LANÇAMENTO, ADENSAMENTO E ACABAMENTO. AF_02/2022_PS</v>
      </c>
      <c r="G47" s="207" t="str">
        <f ca="1">IF($D47&lt;&gt;"Serviço","",OFFSET(ORÇAMENTO!S$15,ROW(G47)-ROW(G$15),0))</f>
        <v>M3</v>
      </c>
      <c r="H47" s="151">
        <f ca="1">IF($D47&lt;&gt;"Serviço",0,IF(ACOMPANHAMENTO="BM",ROUND(OFFSET(ORÇAMENTO!AJ$15,ROW(H47)-ROW(H$15),0),15-13*ORÇAMENTO!$AF$7),SUMPRODUCT(($Q$12:$AA$12&lt;&gt;"")*ROUND($Q47:$AA47,15-13*ORÇAMENTO!$AF$7))))</f>
        <v>34.700000000000003</v>
      </c>
      <c r="I47" s="649"/>
      <c r="K47" s="208"/>
      <c r="L47" s="209" t="s">
        <v>255</v>
      </c>
      <c r="M47" s="210">
        <f ca="1">IF($D47&lt;&gt;"Serviço","",IF(AUTOEVENTO="manual",$A47,IF(ISERROR(MATCH($A47,$A$15:OFFSET($A47,-1,0),0)),MAX($M$15:OFFSET(M47,-1,0))+1,INDEX($M$15:OFFSET(M47,-1,0),MATCH($A47,$A$15:OFFSET($A47,-1,0),0)))))</f>
        <v>7</v>
      </c>
      <c r="N47" s="211" t="str">
        <f ca="1">IF($D47&lt;&gt;"Serviço","",IF(AUTOEVENTO="Manual",IF($A47=0,"&lt;-- defina o número do agrupador",OFFSET(EVENTOS!$D$14,$A47,0)),OFFSET($F$15,$A47,0)))</f>
        <v>PILARES (INCLUSO COLARINHO)</v>
      </c>
      <c r="O47" s="212"/>
      <c r="Q47" s="212"/>
      <c r="R47" s="213"/>
      <c r="S47" s="213"/>
      <c r="T47" s="213"/>
      <c r="U47" s="213"/>
      <c r="V47" s="213"/>
      <c r="W47" s="213"/>
      <c r="X47" s="213"/>
      <c r="Y47" s="213"/>
      <c r="Z47" s="214"/>
      <c r="AB47" s="630">
        <f ca="1">IF(AND($D47="Serviço",AB$12&lt;&gt;0,$H47&gt;0,OR(AUTOEVENTO&lt;&gt;"manual",$M47&lt;&gt;1)),
IF(Import.TipoArredondamento&lt;&gt;"TransfereGOV",
ROUND(OFFSET($P47,0,AB$13),15-13*ORÇAMENTO!$AF$7)/$H47*OFFSET(ORÇAMENTO!$X$15,ROW(AB47)-ROW(AB$15),0),
ROUND(ROUND(OFFSET($P47,0,AB$13),15-13*ORÇAMENTO!$AF$7)*OFFSET(ORÇAMENTO!$W$15,ROW(AB47)-ROW(AB$15),0),15-13*ORÇAMENTO!$AF$11)),0)</f>
        <v>0</v>
      </c>
      <c r="AC47" s="631">
        <f ca="1">IF(AND($D47="Serviço",AC$12&lt;&gt;0,$H47&gt;0,OR(AUTOEVENTO&lt;&gt;"manual",$M47&lt;&gt;1)),
IF(Import.TipoArredondamento&lt;&gt;"TransfereGOV",
ROUND(OFFSET($P47,0,AC$13),15-13*ORÇAMENTO!$AF$7)/$H47*OFFSET(ORÇAMENTO!$X$15,ROW(AC47)-ROW(AC$15),0),
ROUND(ROUND(OFFSET($P47,0,AC$13),15-13*ORÇAMENTO!$AF$7)*OFFSET(ORÇAMENTO!$W$15,ROW(AC47)-ROW(AC$15),0),15-13*ORÇAMENTO!$AF$11)),0)</f>
        <v>0</v>
      </c>
      <c r="AD47" s="631">
        <f ca="1">IF(AND($D47="Serviço",AD$12&lt;&gt;0,$H47&gt;0,OR(AUTOEVENTO&lt;&gt;"manual",$M47&lt;&gt;1)),
IF(Import.TipoArredondamento&lt;&gt;"TransfereGOV",
ROUND(OFFSET($P47,0,AD$13),15-13*ORÇAMENTO!$AF$7)/$H47*OFFSET(ORÇAMENTO!$X$15,ROW(AD47)-ROW(AD$15),0),
ROUND(ROUND(OFFSET($P47,0,AD$13),15-13*ORÇAMENTO!$AF$7)*OFFSET(ORÇAMENTO!$W$15,ROW(AD47)-ROW(AD$15),0),15-13*ORÇAMENTO!$AF$11)),0)</f>
        <v>0</v>
      </c>
      <c r="AE47" s="631">
        <f ca="1">IF(AND($D47="Serviço",AE$12&lt;&gt;0,$H47&gt;0,OR(AUTOEVENTO&lt;&gt;"manual",$M47&lt;&gt;1)),
IF(Import.TipoArredondamento&lt;&gt;"TransfereGOV",
ROUND(OFFSET($P47,0,AE$13),15-13*ORÇAMENTO!$AF$7)/$H47*OFFSET(ORÇAMENTO!$X$15,ROW(AE47)-ROW(AE$15),0),
ROUND(ROUND(OFFSET($P47,0,AE$13),15-13*ORÇAMENTO!$AF$7)*OFFSET(ORÇAMENTO!$W$15,ROW(AE47)-ROW(AE$15),0),15-13*ORÇAMENTO!$AF$11)),0)</f>
        <v>0</v>
      </c>
      <c r="AF47" s="631">
        <f ca="1">IF(AND($D47="Serviço",AF$12&lt;&gt;0,$H47&gt;0,OR(AUTOEVENTO&lt;&gt;"manual",$M47&lt;&gt;1)),
IF(Import.TipoArredondamento&lt;&gt;"TransfereGOV",
ROUND(OFFSET($P47,0,AF$13),15-13*ORÇAMENTO!$AF$7)/$H47*OFFSET(ORÇAMENTO!$X$15,ROW(AF47)-ROW(AF$15),0),
ROUND(ROUND(OFFSET($P47,0,AF$13),15-13*ORÇAMENTO!$AF$7)*OFFSET(ORÇAMENTO!$W$15,ROW(AF47)-ROW(AF$15),0),15-13*ORÇAMENTO!$AF$11)),0)</f>
        <v>0</v>
      </c>
      <c r="AG47" s="631">
        <f ca="1">IF(AND($D47="Serviço",AG$12&lt;&gt;0,$H47&gt;0,OR(AUTOEVENTO&lt;&gt;"manual",$M47&lt;&gt;1)),
IF(Import.TipoArredondamento&lt;&gt;"TransfereGOV",
ROUND(OFFSET($P47,0,AG$13),15-13*ORÇAMENTO!$AF$7)/$H47*OFFSET(ORÇAMENTO!$X$15,ROW(AG47)-ROW(AG$15),0),
ROUND(ROUND(OFFSET($P47,0,AG$13),15-13*ORÇAMENTO!$AF$7)*OFFSET(ORÇAMENTO!$W$15,ROW(AG47)-ROW(AG$15),0),15-13*ORÇAMENTO!$AF$11)),0)</f>
        <v>0</v>
      </c>
      <c r="AH47" s="631">
        <f ca="1">IF(AND($D47="Serviço",AH$12&lt;&gt;0,$H47&gt;0,OR(AUTOEVENTO&lt;&gt;"manual",$M47&lt;&gt;1)),
IF(Import.TipoArredondamento&lt;&gt;"TransfereGOV",
ROUND(OFFSET($P47,0,AH$13),15-13*ORÇAMENTO!$AF$7)/$H47*OFFSET(ORÇAMENTO!$X$15,ROW(AH47)-ROW(AH$15),0),
ROUND(ROUND(OFFSET($P47,0,AH$13),15-13*ORÇAMENTO!$AF$7)*OFFSET(ORÇAMENTO!$W$15,ROW(AH47)-ROW(AH$15),0),15-13*ORÇAMENTO!$AF$11)),0)</f>
        <v>0</v>
      </c>
      <c r="AI47" s="631">
        <f ca="1">IF(AND($D47="Serviço",AI$12&lt;&gt;0,$H47&gt;0,OR(AUTOEVENTO&lt;&gt;"manual",$M47&lt;&gt;1)),
IF(Import.TipoArredondamento&lt;&gt;"TransfereGOV",
ROUND(OFFSET($P47,0,AI$13),15-13*ORÇAMENTO!$AF$7)/$H47*OFFSET(ORÇAMENTO!$X$15,ROW(AI47)-ROW(AI$15),0),
ROUND(ROUND(OFFSET($P47,0,AI$13),15-13*ORÇAMENTO!$AF$7)*OFFSET(ORÇAMENTO!$W$15,ROW(AI47)-ROW(AI$15),0),15-13*ORÇAMENTO!$AF$11)),0)</f>
        <v>0</v>
      </c>
      <c r="AJ47" s="631">
        <f ca="1">IF(AND($D47="Serviço",AJ$12&lt;&gt;0,$H47&gt;0,OR(AUTOEVENTO&lt;&gt;"manual",$M47&lt;&gt;1)),
IF(Import.TipoArredondamento&lt;&gt;"TransfereGOV",
ROUND(OFFSET($P47,0,AJ$13),15-13*ORÇAMENTO!$AF$7)/$H47*OFFSET(ORÇAMENTO!$X$15,ROW(AJ47)-ROW(AJ$15),0),
ROUND(ROUND(OFFSET($P47,0,AJ$13),15-13*ORÇAMENTO!$AF$7)*OFFSET(ORÇAMENTO!$W$15,ROW(AJ47)-ROW(AJ$15),0),15-13*ORÇAMENTO!$AF$11)),0)</f>
        <v>0</v>
      </c>
      <c r="AK47" s="632">
        <f ca="1">IF(AND($D47="Serviço",AK$12&lt;&gt;0,$H47&gt;0,OR(AUTOEVENTO&lt;&gt;"manual",$M47&lt;&gt;1)),
IF(Import.TipoArredondamento&lt;&gt;"TransfereGOV",
ROUND(OFFSET($P47,0,AK$13),15-13*ORÇAMENTO!$AF$7)/$H47*OFFSET(ORÇAMENTO!$X$15,ROW(AK47)-ROW(AK$15),0),
ROUND(ROUND(OFFSET($P47,0,AK$13),15-13*ORÇAMENTO!$AF$7)*OFFSET(ORÇAMENTO!$W$15,ROW(AK47)-ROW(AK$15),0),15-13*ORÇAMENTO!$AF$11)),0)</f>
        <v>0</v>
      </c>
      <c r="AM47" s="215">
        <f ca="1">IF($D47&lt;&gt;"Serviço",0,IF(AND(AUTOEVENTO="Manual",$M47=1),0,IF(OFFSET(CRONOPLE!$F$14,$M47,AM$13)="",10^12,OFFSET(CRONOPLE!$F$14,$M47,AM$13))))</f>
        <v>1000000000000</v>
      </c>
      <c r="AN47" s="215">
        <f ca="1">IF($D47&lt;&gt;"Serviço",0,IF(AND(AUTOEVENTO="Manual",$M47=1),0,IF(OFFSET(CRONOPLE!$F$14,$M47,AN$13)="",10^12,OFFSET(CRONOPLE!$F$14,$M47,AN$13))))</f>
        <v>1000000000000</v>
      </c>
      <c r="AO47" s="215">
        <f ca="1">IF($D47&lt;&gt;"Serviço",0,IF(AND(AUTOEVENTO="Manual",$M47=1),0,IF(OFFSET(CRONOPLE!$F$14,$M47,AO$13)="",10^12,OFFSET(CRONOPLE!$F$14,$M47,AO$13))))</f>
        <v>1000000000000</v>
      </c>
      <c r="AP47" s="215">
        <f ca="1">IF($D47&lt;&gt;"Serviço",0,IF(AND(AUTOEVENTO="Manual",$M47=1),0,IF(OFFSET(CRONOPLE!$F$14,$M47,AP$13)="",10^12,OFFSET(CRONOPLE!$F$14,$M47,AP$13))))</f>
        <v>1000000000000</v>
      </c>
      <c r="AQ47" s="215">
        <f ca="1">IF($D47&lt;&gt;"Serviço",0,IF(AND(AUTOEVENTO="Manual",$M47=1),0,IF(OFFSET(CRONOPLE!$F$14,$M47,AQ$13)="",10^12,OFFSET(CRONOPLE!$F$14,$M47,AQ$13))))</f>
        <v>1000000000000</v>
      </c>
      <c r="AR47" s="215">
        <f ca="1">IF($D47&lt;&gt;"Serviço",0,IF(AND(AUTOEVENTO="Manual",$M47=1),0,IF(OFFSET(CRONOPLE!$F$14,$M47,AR$13)="",10^12,OFFSET(CRONOPLE!$F$14,$M47,AR$13))))</f>
        <v>1000000000000</v>
      </c>
      <c r="AS47" s="215">
        <f ca="1">IF($D47&lt;&gt;"Serviço",0,IF(AND(AUTOEVENTO="Manual",$M47=1),0,IF(OFFSET(CRONOPLE!$F$14,$M47,AS$13)="",10^12,OFFSET(CRONOPLE!$F$14,$M47,AS$13))))</f>
        <v>1000000000000</v>
      </c>
      <c r="AT47" s="215">
        <f ca="1">IF($D47&lt;&gt;"Serviço",0,IF(AND(AUTOEVENTO="Manual",$M47=1),0,IF(OFFSET(CRONOPLE!$F$14,$M47,AT$13)="",10^12,OFFSET(CRONOPLE!$F$14,$M47,AT$13))))</f>
        <v>1000000000000</v>
      </c>
      <c r="AU47" s="215">
        <f ca="1">IF($D47&lt;&gt;"Serviço",0,IF(AND(AUTOEVENTO="Manual",$M47=1),0,IF(OFFSET(CRONOPLE!$F$14,$M47,AU$13)="",10^12,OFFSET(CRONOPLE!$F$14,$M47,AU$13))))</f>
        <v>1000000000000</v>
      </c>
      <c r="AV47" s="215">
        <f ca="1">IF($D47&lt;&gt;"Serviço",0,IF(AND(AUTOEVENTO="Manual",$M47=1),0,IF(OFFSET(CRONOPLE!$F$14,$M47,AV$13)="",10^12,OFFSET(CRONOPLE!$F$14,$M47,AV$13))))</f>
        <v>1000000000000</v>
      </c>
      <c r="AX47" s="216">
        <f ca="1">IF($D47&lt;&gt;"Serviço",0,IF(OR(AND(AUTOEVENTO="Manual",$M47=1),$M47&gt;(ROW(PLE.lastrow)-ROW(PLE.firstrow))),0,IF(OFFSET(PLE!$G$14,$M47,AX$13)="",10^12,OFFSET(PLE!$G$14,$M47,AX$13))))</f>
        <v>1000000000000</v>
      </c>
      <c r="AY47" s="216">
        <f ca="1">IF($D47&lt;&gt;"Serviço",0,IF(OR(AND(AUTOEVENTO="Manual",$M47=1),$M47&gt;(ROW(PLE.lastrow)-ROW(PLE.firstrow))),0,IF(OFFSET(PLE!$G$14,$M47,AY$13)="",10^12,OFFSET(PLE!$G$14,$M47,AY$13))))</f>
        <v>1000000000000</v>
      </c>
      <c r="AZ47" s="216">
        <f ca="1">IF($D47&lt;&gt;"Serviço",0,IF(OR(AND(AUTOEVENTO="Manual",$M47=1),$M47&gt;(ROW(PLE.lastrow)-ROW(PLE.firstrow))),0,IF(OFFSET(PLE!$G$14,$M47,AZ$13)="",10^12,OFFSET(PLE!$G$14,$M47,AZ$13))))</f>
        <v>1000000000000</v>
      </c>
      <c r="BA47" s="216">
        <f ca="1">IF($D47&lt;&gt;"Serviço",0,IF(OR(AND(AUTOEVENTO="Manual",$M47=1),$M47&gt;(ROW(PLE.lastrow)-ROW(PLE.firstrow))),0,IF(OFFSET(PLE!$G$14,$M47,BA$13)="",10^12,OFFSET(PLE!$G$14,$M47,BA$13))))</f>
        <v>1000000000000</v>
      </c>
      <c r="BB47" s="216">
        <f ca="1">IF($D47&lt;&gt;"Serviço",0,IF(OR(AND(AUTOEVENTO="Manual",$M47=1),$M47&gt;(ROW(PLE.lastrow)-ROW(PLE.firstrow))),0,IF(OFFSET(PLE!$G$14,$M47,BB$13)="",10^12,OFFSET(PLE!$G$14,$M47,BB$13))))</f>
        <v>1000000000000</v>
      </c>
      <c r="BC47" s="216">
        <f ca="1">IF($D47&lt;&gt;"Serviço",0,IF(OR(AND(AUTOEVENTO="Manual",$M47=1),$M47&gt;(ROW(PLE.lastrow)-ROW(PLE.firstrow))),0,IF(OFFSET(PLE!$G$14,$M47,BC$13)="",10^12,OFFSET(PLE!$G$14,$M47,BC$13))))</f>
        <v>1000000000000</v>
      </c>
      <c r="BD47" s="216">
        <f ca="1">IF($D47&lt;&gt;"Serviço",0,IF(OR(AND(AUTOEVENTO="Manual",$M47=1),$M47&gt;(ROW(PLE.lastrow)-ROW(PLE.firstrow))),0,IF(OFFSET(PLE!$G$14,$M47,BD$13)="",10^12,OFFSET(PLE!$G$14,$M47,BD$13))))</f>
        <v>1000000000000</v>
      </c>
      <c r="BE47" s="216">
        <f ca="1">IF($D47&lt;&gt;"Serviço",0,IF(OR(AND(AUTOEVENTO="Manual",$M47=1),$M47&gt;(ROW(PLE.lastrow)-ROW(PLE.firstrow))),0,IF(OFFSET(PLE!$G$14,$M47,BE$13)="",10^12,OFFSET(PLE!$G$14,$M47,BE$13))))</f>
        <v>1000000000000</v>
      </c>
      <c r="BF47" s="216">
        <f ca="1">IF($D47&lt;&gt;"Serviço",0,IF(OR(AND(AUTOEVENTO="Manual",$M47=1),$M47&gt;(ROW(PLE.lastrow)-ROW(PLE.firstrow))),0,IF(OFFSET(PLE!$G$14,$M47,BF$13)="",10^12,OFFSET(PLE!$G$14,$M47,BF$13))))</f>
        <v>1000000000000</v>
      </c>
      <c r="BG47" s="216">
        <f ca="1">IF($D47&lt;&gt;"Serviço",0,IF(OR(AND(AUTOEVENTO="Manual",$M47=1),$M47&gt;(ROW(PLE.lastrow)-ROW(PLE.firstrow))),0,IF(OFFSET(PLE!$G$14,$M47,BG$13)="",10^12,OFFSET(PLE!$G$14,$M47,BG$13))))</f>
        <v>1000000000000</v>
      </c>
    </row>
    <row r="48" spans="1:59" ht="38.25" x14ac:dyDescent="0.2">
      <c r="A48" s="9" t="str">
        <f t="shared" ca="1" si="8"/>
        <v>30</v>
      </c>
      <c r="B48" s="9" t="str">
        <f ca="1">OFFSET(ORÇAMENTO!C$15,ROW(B48)-ROW(B$15),0)</f>
        <v>S</v>
      </c>
      <c r="C48" s="9" t="str">
        <f ca="1">OFFSET(ORÇAMENTO!L$15,ROW(C48)-ROW(C$15),0)</f>
        <v/>
      </c>
      <c r="D48" s="145" t="str">
        <f ca="1">OFFSET(ORÇAMENTO!N$15,ROW(D48)-ROW(D$15),0)</f>
        <v>Serviço</v>
      </c>
      <c r="E48" s="205" t="str">
        <f ca="1">OFFSET(ORÇAMENTO!O$15,ROW(E48)-ROW(E$15),0)</f>
        <v>-</v>
      </c>
      <c r="F48" s="206" t="str">
        <f ca="1">OFFSET(ORÇAMENTO!R$15,ROW(F48)-ROW(F$15),0)</f>
        <v>ARMAÇÃO DE PILAR OU VIGA DE ESTRUTURA CONVENCIONAL DE CONCRETO ARMADO UTILIZANDO AÇO CA-50 DE 10,0 MM - MONTAGEM. AF_06/2022</v>
      </c>
      <c r="G48" s="207" t="str">
        <f ca="1">IF($D48&lt;&gt;"Serviço","",OFFSET(ORÇAMENTO!S$15,ROW(G48)-ROW(G$15),0))</f>
        <v>KG</v>
      </c>
      <c r="H48" s="151">
        <f ca="1">IF($D48&lt;&gt;"Serviço",0,IF(ACOMPANHAMENTO="BM",ROUND(OFFSET(ORÇAMENTO!AJ$15,ROW(H48)-ROW(H$15),0),15-13*ORÇAMENTO!$AF$7),SUMPRODUCT(($Q$12:$AA$12&lt;&gt;"")*ROUND($Q48:$AA48,15-13*ORÇAMENTO!$AF$7))))</f>
        <v>1343</v>
      </c>
      <c r="I48" s="649"/>
      <c r="K48" s="208"/>
      <c r="L48" s="209" t="s">
        <v>255</v>
      </c>
      <c r="M48" s="210">
        <f ca="1">IF($D48&lt;&gt;"Serviço","",IF(AUTOEVENTO="manual",$A48,IF(ISERROR(MATCH($A48,$A$15:OFFSET($A48,-1,0),0)),MAX($M$15:OFFSET(M48,-1,0))+1,INDEX($M$15:OFFSET(M48,-1,0),MATCH($A48,$A$15:OFFSET($A48,-1,0),0)))))</f>
        <v>7</v>
      </c>
      <c r="N48" s="211" t="str">
        <f ca="1">IF($D48&lt;&gt;"Serviço","",IF(AUTOEVENTO="Manual",IF($A48=0,"&lt;-- defina o número do agrupador",OFFSET(EVENTOS!$D$14,$A48,0)),OFFSET($F$15,$A48,0)))</f>
        <v>PILARES (INCLUSO COLARINHO)</v>
      </c>
      <c r="O48" s="212"/>
      <c r="Q48" s="212"/>
      <c r="R48" s="213"/>
      <c r="S48" s="213"/>
      <c r="T48" s="213"/>
      <c r="U48" s="213"/>
      <c r="V48" s="213"/>
      <c r="W48" s="213"/>
      <c r="X48" s="213"/>
      <c r="Y48" s="213"/>
      <c r="Z48" s="214"/>
      <c r="AB48" s="630">
        <f ca="1">IF(AND($D48="Serviço",AB$12&lt;&gt;0,$H48&gt;0,OR(AUTOEVENTO&lt;&gt;"manual",$M48&lt;&gt;1)),
IF(Import.TipoArredondamento&lt;&gt;"TransfereGOV",
ROUND(OFFSET($P48,0,AB$13),15-13*ORÇAMENTO!$AF$7)/$H48*OFFSET(ORÇAMENTO!$X$15,ROW(AB48)-ROW(AB$15),0),
ROUND(ROUND(OFFSET($P48,0,AB$13),15-13*ORÇAMENTO!$AF$7)*OFFSET(ORÇAMENTO!$W$15,ROW(AB48)-ROW(AB$15),0),15-13*ORÇAMENTO!$AF$11)),0)</f>
        <v>0</v>
      </c>
      <c r="AC48" s="631">
        <f ca="1">IF(AND($D48="Serviço",AC$12&lt;&gt;0,$H48&gt;0,OR(AUTOEVENTO&lt;&gt;"manual",$M48&lt;&gt;1)),
IF(Import.TipoArredondamento&lt;&gt;"TransfereGOV",
ROUND(OFFSET($P48,0,AC$13),15-13*ORÇAMENTO!$AF$7)/$H48*OFFSET(ORÇAMENTO!$X$15,ROW(AC48)-ROW(AC$15),0),
ROUND(ROUND(OFFSET($P48,0,AC$13),15-13*ORÇAMENTO!$AF$7)*OFFSET(ORÇAMENTO!$W$15,ROW(AC48)-ROW(AC$15),0),15-13*ORÇAMENTO!$AF$11)),0)</f>
        <v>0</v>
      </c>
      <c r="AD48" s="631">
        <f ca="1">IF(AND($D48="Serviço",AD$12&lt;&gt;0,$H48&gt;0,OR(AUTOEVENTO&lt;&gt;"manual",$M48&lt;&gt;1)),
IF(Import.TipoArredondamento&lt;&gt;"TransfereGOV",
ROUND(OFFSET($P48,0,AD$13),15-13*ORÇAMENTO!$AF$7)/$H48*OFFSET(ORÇAMENTO!$X$15,ROW(AD48)-ROW(AD$15),0),
ROUND(ROUND(OFFSET($P48,0,AD$13),15-13*ORÇAMENTO!$AF$7)*OFFSET(ORÇAMENTO!$W$15,ROW(AD48)-ROW(AD$15),0),15-13*ORÇAMENTO!$AF$11)),0)</f>
        <v>0</v>
      </c>
      <c r="AE48" s="631">
        <f ca="1">IF(AND($D48="Serviço",AE$12&lt;&gt;0,$H48&gt;0,OR(AUTOEVENTO&lt;&gt;"manual",$M48&lt;&gt;1)),
IF(Import.TipoArredondamento&lt;&gt;"TransfereGOV",
ROUND(OFFSET($P48,0,AE$13),15-13*ORÇAMENTO!$AF$7)/$H48*OFFSET(ORÇAMENTO!$X$15,ROW(AE48)-ROW(AE$15),0),
ROUND(ROUND(OFFSET($P48,0,AE$13),15-13*ORÇAMENTO!$AF$7)*OFFSET(ORÇAMENTO!$W$15,ROW(AE48)-ROW(AE$15),0),15-13*ORÇAMENTO!$AF$11)),0)</f>
        <v>0</v>
      </c>
      <c r="AF48" s="631">
        <f ca="1">IF(AND($D48="Serviço",AF$12&lt;&gt;0,$H48&gt;0,OR(AUTOEVENTO&lt;&gt;"manual",$M48&lt;&gt;1)),
IF(Import.TipoArredondamento&lt;&gt;"TransfereGOV",
ROUND(OFFSET($P48,0,AF$13),15-13*ORÇAMENTO!$AF$7)/$H48*OFFSET(ORÇAMENTO!$X$15,ROW(AF48)-ROW(AF$15),0),
ROUND(ROUND(OFFSET($P48,0,AF$13),15-13*ORÇAMENTO!$AF$7)*OFFSET(ORÇAMENTO!$W$15,ROW(AF48)-ROW(AF$15),0),15-13*ORÇAMENTO!$AF$11)),0)</f>
        <v>0</v>
      </c>
      <c r="AG48" s="631">
        <f ca="1">IF(AND($D48="Serviço",AG$12&lt;&gt;0,$H48&gt;0,OR(AUTOEVENTO&lt;&gt;"manual",$M48&lt;&gt;1)),
IF(Import.TipoArredondamento&lt;&gt;"TransfereGOV",
ROUND(OFFSET($P48,0,AG$13),15-13*ORÇAMENTO!$AF$7)/$H48*OFFSET(ORÇAMENTO!$X$15,ROW(AG48)-ROW(AG$15),0),
ROUND(ROUND(OFFSET($P48,0,AG$13),15-13*ORÇAMENTO!$AF$7)*OFFSET(ORÇAMENTO!$W$15,ROW(AG48)-ROW(AG$15),0),15-13*ORÇAMENTO!$AF$11)),0)</f>
        <v>0</v>
      </c>
      <c r="AH48" s="631">
        <f ca="1">IF(AND($D48="Serviço",AH$12&lt;&gt;0,$H48&gt;0,OR(AUTOEVENTO&lt;&gt;"manual",$M48&lt;&gt;1)),
IF(Import.TipoArredondamento&lt;&gt;"TransfereGOV",
ROUND(OFFSET($P48,0,AH$13),15-13*ORÇAMENTO!$AF$7)/$H48*OFFSET(ORÇAMENTO!$X$15,ROW(AH48)-ROW(AH$15),0),
ROUND(ROUND(OFFSET($P48,0,AH$13),15-13*ORÇAMENTO!$AF$7)*OFFSET(ORÇAMENTO!$W$15,ROW(AH48)-ROW(AH$15),0),15-13*ORÇAMENTO!$AF$11)),0)</f>
        <v>0</v>
      </c>
      <c r="AI48" s="631">
        <f ca="1">IF(AND($D48="Serviço",AI$12&lt;&gt;0,$H48&gt;0,OR(AUTOEVENTO&lt;&gt;"manual",$M48&lt;&gt;1)),
IF(Import.TipoArredondamento&lt;&gt;"TransfereGOV",
ROUND(OFFSET($P48,0,AI$13),15-13*ORÇAMENTO!$AF$7)/$H48*OFFSET(ORÇAMENTO!$X$15,ROW(AI48)-ROW(AI$15),0),
ROUND(ROUND(OFFSET($P48,0,AI$13),15-13*ORÇAMENTO!$AF$7)*OFFSET(ORÇAMENTO!$W$15,ROW(AI48)-ROW(AI$15),0),15-13*ORÇAMENTO!$AF$11)),0)</f>
        <v>0</v>
      </c>
      <c r="AJ48" s="631">
        <f ca="1">IF(AND($D48="Serviço",AJ$12&lt;&gt;0,$H48&gt;0,OR(AUTOEVENTO&lt;&gt;"manual",$M48&lt;&gt;1)),
IF(Import.TipoArredondamento&lt;&gt;"TransfereGOV",
ROUND(OFFSET($P48,0,AJ$13),15-13*ORÇAMENTO!$AF$7)/$H48*OFFSET(ORÇAMENTO!$X$15,ROW(AJ48)-ROW(AJ$15),0),
ROUND(ROUND(OFFSET($P48,0,AJ$13),15-13*ORÇAMENTO!$AF$7)*OFFSET(ORÇAMENTO!$W$15,ROW(AJ48)-ROW(AJ$15),0),15-13*ORÇAMENTO!$AF$11)),0)</f>
        <v>0</v>
      </c>
      <c r="AK48" s="632">
        <f ca="1">IF(AND($D48="Serviço",AK$12&lt;&gt;0,$H48&gt;0,OR(AUTOEVENTO&lt;&gt;"manual",$M48&lt;&gt;1)),
IF(Import.TipoArredondamento&lt;&gt;"TransfereGOV",
ROUND(OFFSET($P48,0,AK$13),15-13*ORÇAMENTO!$AF$7)/$H48*OFFSET(ORÇAMENTO!$X$15,ROW(AK48)-ROW(AK$15),0),
ROUND(ROUND(OFFSET($P48,0,AK$13),15-13*ORÇAMENTO!$AF$7)*OFFSET(ORÇAMENTO!$W$15,ROW(AK48)-ROW(AK$15),0),15-13*ORÇAMENTO!$AF$11)),0)</f>
        <v>0</v>
      </c>
      <c r="AM48" s="215">
        <f ca="1">IF($D48&lt;&gt;"Serviço",0,IF(AND(AUTOEVENTO="Manual",$M48=1),0,IF(OFFSET(CRONOPLE!$F$14,$M48,AM$13)="",10^12,OFFSET(CRONOPLE!$F$14,$M48,AM$13))))</f>
        <v>1000000000000</v>
      </c>
      <c r="AN48" s="215">
        <f ca="1">IF($D48&lt;&gt;"Serviço",0,IF(AND(AUTOEVENTO="Manual",$M48=1),0,IF(OFFSET(CRONOPLE!$F$14,$M48,AN$13)="",10^12,OFFSET(CRONOPLE!$F$14,$M48,AN$13))))</f>
        <v>1000000000000</v>
      </c>
      <c r="AO48" s="215">
        <f ca="1">IF($D48&lt;&gt;"Serviço",0,IF(AND(AUTOEVENTO="Manual",$M48=1),0,IF(OFFSET(CRONOPLE!$F$14,$M48,AO$13)="",10^12,OFFSET(CRONOPLE!$F$14,$M48,AO$13))))</f>
        <v>1000000000000</v>
      </c>
      <c r="AP48" s="215">
        <f ca="1">IF($D48&lt;&gt;"Serviço",0,IF(AND(AUTOEVENTO="Manual",$M48=1),0,IF(OFFSET(CRONOPLE!$F$14,$M48,AP$13)="",10^12,OFFSET(CRONOPLE!$F$14,$M48,AP$13))))</f>
        <v>1000000000000</v>
      </c>
      <c r="AQ48" s="215">
        <f ca="1">IF($D48&lt;&gt;"Serviço",0,IF(AND(AUTOEVENTO="Manual",$M48=1),0,IF(OFFSET(CRONOPLE!$F$14,$M48,AQ$13)="",10^12,OFFSET(CRONOPLE!$F$14,$M48,AQ$13))))</f>
        <v>1000000000000</v>
      </c>
      <c r="AR48" s="215">
        <f ca="1">IF($D48&lt;&gt;"Serviço",0,IF(AND(AUTOEVENTO="Manual",$M48=1),0,IF(OFFSET(CRONOPLE!$F$14,$M48,AR$13)="",10^12,OFFSET(CRONOPLE!$F$14,$M48,AR$13))))</f>
        <v>1000000000000</v>
      </c>
      <c r="AS48" s="215">
        <f ca="1">IF($D48&lt;&gt;"Serviço",0,IF(AND(AUTOEVENTO="Manual",$M48=1),0,IF(OFFSET(CRONOPLE!$F$14,$M48,AS$13)="",10^12,OFFSET(CRONOPLE!$F$14,$M48,AS$13))))</f>
        <v>1000000000000</v>
      </c>
      <c r="AT48" s="215">
        <f ca="1">IF($D48&lt;&gt;"Serviço",0,IF(AND(AUTOEVENTO="Manual",$M48=1),0,IF(OFFSET(CRONOPLE!$F$14,$M48,AT$13)="",10^12,OFFSET(CRONOPLE!$F$14,$M48,AT$13))))</f>
        <v>1000000000000</v>
      </c>
      <c r="AU48" s="215">
        <f ca="1">IF($D48&lt;&gt;"Serviço",0,IF(AND(AUTOEVENTO="Manual",$M48=1),0,IF(OFFSET(CRONOPLE!$F$14,$M48,AU$13)="",10^12,OFFSET(CRONOPLE!$F$14,$M48,AU$13))))</f>
        <v>1000000000000</v>
      </c>
      <c r="AV48" s="215">
        <f ca="1">IF($D48&lt;&gt;"Serviço",0,IF(AND(AUTOEVENTO="Manual",$M48=1),0,IF(OFFSET(CRONOPLE!$F$14,$M48,AV$13)="",10^12,OFFSET(CRONOPLE!$F$14,$M48,AV$13))))</f>
        <v>1000000000000</v>
      </c>
      <c r="AX48" s="216">
        <f ca="1">IF($D48&lt;&gt;"Serviço",0,IF(OR(AND(AUTOEVENTO="Manual",$M48=1),$M48&gt;(ROW(PLE.lastrow)-ROW(PLE.firstrow))),0,IF(OFFSET(PLE!$G$14,$M48,AX$13)="",10^12,OFFSET(PLE!$G$14,$M48,AX$13))))</f>
        <v>1000000000000</v>
      </c>
      <c r="AY48" s="216">
        <f ca="1">IF($D48&lt;&gt;"Serviço",0,IF(OR(AND(AUTOEVENTO="Manual",$M48=1),$M48&gt;(ROW(PLE.lastrow)-ROW(PLE.firstrow))),0,IF(OFFSET(PLE!$G$14,$M48,AY$13)="",10^12,OFFSET(PLE!$G$14,$M48,AY$13))))</f>
        <v>1000000000000</v>
      </c>
      <c r="AZ48" s="216">
        <f ca="1">IF($D48&lt;&gt;"Serviço",0,IF(OR(AND(AUTOEVENTO="Manual",$M48=1),$M48&gt;(ROW(PLE.lastrow)-ROW(PLE.firstrow))),0,IF(OFFSET(PLE!$G$14,$M48,AZ$13)="",10^12,OFFSET(PLE!$G$14,$M48,AZ$13))))</f>
        <v>1000000000000</v>
      </c>
      <c r="BA48" s="216">
        <f ca="1">IF($D48&lt;&gt;"Serviço",0,IF(OR(AND(AUTOEVENTO="Manual",$M48=1),$M48&gt;(ROW(PLE.lastrow)-ROW(PLE.firstrow))),0,IF(OFFSET(PLE!$G$14,$M48,BA$13)="",10^12,OFFSET(PLE!$G$14,$M48,BA$13))))</f>
        <v>1000000000000</v>
      </c>
      <c r="BB48" s="216">
        <f ca="1">IF($D48&lt;&gt;"Serviço",0,IF(OR(AND(AUTOEVENTO="Manual",$M48=1),$M48&gt;(ROW(PLE.lastrow)-ROW(PLE.firstrow))),0,IF(OFFSET(PLE!$G$14,$M48,BB$13)="",10^12,OFFSET(PLE!$G$14,$M48,BB$13))))</f>
        <v>1000000000000</v>
      </c>
      <c r="BC48" s="216">
        <f ca="1">IF($D48&lt;&gt;"Serviço",0,IF(OR(AND(AUTOEVENTO="Manual",$M48=1),$M48&gt;(ROW(PLE.lastrow)-ROW(PLE.firstrow))),0,IF(OFFSET(PLE!$G$14,$M48,BC$13)="",10^12,OFFSET(PLE!$G$14,$M48,BC$13))))</f>
        <v>1000000000000</v>
      </c>
      <c r="BD48" s="216">
        <f ca="1">IF($D48&lt;&gt;"Serviço",0,IF(OR(AND(AUTOEVENTO="Manual",$M48=1),$M48&gt;(ROW(PLE.lastrow)-ROW(PLE.firstrow))),0,IF(OFFSET(PLE!$G$14,$M48,BD$13)="",10^12,OFFSET(PLE!$G$14,$M48,BD$13))))</f>
        <v>1000000000000</v>
      </c>
      <c r="BE48" s="216">
        <f ca="1">IF($D48&lt;&gt;"Serviço",0,IF(OR(AND(AUTOEVENTO="Manual",$M48=1),$M48&gt;(ROW(PLE.lastrow)-ROW(PLE.firstrow))),0,IF(OFFSET(PLE!$G$14,$M48,BE$13)="",10^12,OFFSET(PLE!$G$14,$M48,BE$13))))</f>
        <v>1000000000000</v>
      </c>
      <c r="BF48" s="216">
        <f ca="1">IF($D48&lt;&gt;"Serviço",0,IF(OR(AND(AUTOEVENTO="Manual",$M48=1),$M48&gt;(ROW(PLE.lastrow)-ROW(PLE.firstrow))),0,IF(OFFSET(PLE!$G$14,$M48,BF$13)="",10^12,OFFSET(PLE!$G$14,$M48,BF$13))))</f>
        <v>1000000000000</v>
      </c>
      <c r="BG48" s="216">
        <f ca="1">IF($D48&lt;&gt;"Serviço",0,IF(OR(AND(AUTOEVENTO="Manual",$M48=1),$M48&gt;(ROW(PLE.lastrow)-ROW(PLE.firstrow))),0,IF(OFFSET(PLE!$G$14,$M48,BG$13)="",10^12,OFFSET(PLE!$G$14,$M48,BG$13))))</f>
        <v>1000000000000</v>
      </c>
    </row>
    <row r="49" spans="1:59" ht="38.25" x14ac:dyDescent="0.2">
      <c r="A49" s="9" t="str">
        <f t="shared" ca="1" si="8"/>
        <v>30</v>
      </c>
      <c r="B49" s="9" t="str">
        <f ca="1">OFFSET(ORÇAMENTO!C$15,ROW(B49)-ROW(B$15),0)</f>
        <v>S</v>
      </c>
      <c r="C49" s="9" t="str">
        <f ca="1">OFFSET(ORÇAMENTO!L$15,ROW(C49)-ROW(C$15),0)</f>
        <v/>
      </c>
      <c r="D49" s="145" t="str">
        <f ca="1">OFFSET(ORÇAMENTO!N$15,ROW(D49)-ROW(D$15),0)</f>
        <v>Serviço</v>
      </c>
      <c r="E49" s="205" t="str">
        <f ca="1">OFFSET(ORÇAMENTO!O$15,ROW(E49)-ROW(E$15),0)</f>
        <v>-</v>
      </c>
      <c r="F49" s="206" t="str">
        <f ca="1">OFFSET(ORÇAMENTO!R$15,ROW(F49)-ROW(F$15),0)</f>
        <v>ARMAÇÃO DE PILAR OU VIGA DE ESTRUTURA CONVENCIONAL DE CONCRETO ARMADO UTILIZANDO AÇO CA-50 DE 12,5 MM - MONTAGEM. AF_06/2022</v>
      </c>
      <c r="G49" s="207" t="str">
        <f ca="1">IF($D49&lt;&gt;"Serviço","",OFFSET(ORÇAMENTO!S$15,ROW(G49)-ROW(G$15),0))</f>
        <v>KG</v>
      </c>
      <c r="H49" s="151">
        <f ca="1">IF($D49&lt;&gt;"Serviço",0,IF(ACOMPANHAMENTO="BM",ROUND(OFFSET(ORÇAMENTO!AJ$15,ROW(H49)-ROW(H$15),0),15-13*ORÇAMENTO!$AF$7),SUMPRODUCT(($Q$12:$AA$12&lt;&gt;"")*ROUND($Q49:$AA49,15-13*ORÇAMENTO!$AF$7))))</f>
        <v>539.4</v>
      </c>
      <c r="I49" s="649"/>
      <c r="K49" s="208"/>
      <c r="L49" s="209" t="s">
        <v>255</v>
      </c>
      <c r="M49" s="210">
        <f ca="1">IF($D49&lt;&gt;"Serviço","",IF(AUTOEVENTO="manual",$A49,IF(ISERROR(MATCH($A49,$A$15:OFFSET($A49,-1,0),0)),MAX($M$15:OFFSET(M49,-1,0))+1,INDEX($M$15:OFFSET(M49,-1,0),MATCH($A49,$A$15:OFFSET($A49,-1,0),0)))))</f>
        <v>7</v>
      </c>
      <c r="N49" s="211" t="str">
        <f ca="1">IF($D49&lt;&gt;"Serviço","",IF(AUTOEVENTO="Manual",IF($A49=0,"&lt;-- defina o número do agrupador",OFFSET(EVENTOS!$D$14,$A49,0)),OFFSET($F$15,$A49,0)))</f>
        <v>PILARES (INCLUSO COLARINHO)</v>
      </c>
      <c r="O49" s="212"/>
      <c r="Q49" s="212"/>
      <c r="R49" s="213"/>
      <c r="S49" s="213"/>
      <c r="T49" s="213"/>
      <c r="U49" s="213"/>
      <c r="V49" s="213"/>
      <c r="W49" s="213"/>
      <c r="X49" s="213"/>
      <c r="Y49" s="213"/>
      <c r="Z49" s="214"/>
      <c r="AB49" s="630">
        <f ca="1">IF(AND($D49="Serviço",AB$12&lt;&gt;0,$H49&gt;0,OR(AUTOEVENTO&lt;&gt;"manual",$M49&lt;&gt;1)),
IF(Import.TipoArredondamento&lt;&gt;"TransfereGOV",
ROUND(OFFSET($P49,0,AB$13),15-13*ORÇAMENTO!$AF$7)/$H49*OFFSET(ORÇAMENTO!$X$15,ROW(AB49)-ROW(AB$15),0),
ROUND(ROUND(OFFSET($P49,0,AB$13),15-13*ORÇAMENTO!$AF$7)*OFFSET(ORÇAMENTO!$W$15,ROW(AB49)-ROW(AB$15),0),15-13*ORÇAMENTO!$AF$11)),0)</f>
        <v>0</v>
      </c>
      <c r="AC49" s="631">
        <f ca="1">IF(AND($D49="Serviço",AC$12&lt;&gt;0,$H49&gt;0,OR(AUTOEVENTO&lt;&gt;"manual",$M49&lt;&gt;1)),
IF(Import.TipoArredondamento&lt;&gt;"TransfereGOV",
ROUND(OFFSET($P49,0,AC$13),15-13*ORÇAMENTO!$AF$7)/$H49*OFFSET(ORÇAMENTO!$X$15,ROW(AC49)-ROW(AC$15),0),
ROUND(ROUND(OFFSET($P49,0,AC$13),15-13*ORÇAMENTO!$AF$7)*OFFSET(ORÇAMENTO!$W$15,ROW(AC49)-ROW(AC$15),0),15-13*ORÇAMENTO!$AF$11)),0)</f>
        <v>0</v>
      </c>
      <c r="AD49" s="631">
        <f ca="1">IF(AND($D49="Serviço",AD$12&lt;&gt;0,$H49&gt;0,OR(AUTOEVENTO&lt;&gt;"manual",$M49&lt;&gt;1)),
IF(Import.TipoArredondamento&lt;&gt;"TransfereGOV",
ROUND(OFFSET($P49,0,AD$13),15-13*ORÇAMENTO!$AF$7)/$H49*OFFSET(ORÇAMENTO!$X$15,ROW(AD49)-ROW(AD$15),0),
ROUND(ROUND(OFFSET($P49,0,AD$13),15-13*ORÇAMENTO!$AF$7)*OFFSET(ORÇAMENTO!$W$15,ROW(AD49)-ROW(AD$15),0),15-13*ORÇAMENTO!$AF$11)),0)</f>
        <v>0</v>
      </c>
      <c r="AE49" s="631">
        <f ca="1">IF(AND($D49="Serviço",AE$12&lt;&gt;0,$H49&gt;0,OR(AUTOEVENTO&lt;&gt;"manual",$M49&lt;&gt;1)),
IF(Import.TipoArredondamento&lt;&gt;"TransfereGOV",
ROUND(OFFSET($P49,0,AE$13),15-13*ORÇAMENTO!$AF$7)/$H49*OFFSET(ORÇAMENTO!$X$15,ROW(AE49)-ROW(AE$15),0),
ROUND(ROUND(OFFSET($P49,0,AE$13),15-13*ORÇAMENTO!$AF$7)*OFFSET(ORÇAMENTO!$W$15,ROW(AE49)-ROW(AE$15),0),15-13*ORÇAMENTO!$AF$11)),0)</f>
        <v>0</v>
      </c>
      <c r="AF49" s="631">
        <f ca="1">IF(AND($D49="Serviço",AF$12&lt;&gt;0,$H49&gt;0,OR(AUTOEVENTO&lt;&gt;"manual",$M49&lt;&gt;1)),
IF(Import.TipoArredondamento&lt;&gt;"TransfereGOV",
ROUND(OFFSET($P49,0,AF$13),15-13*ORÇAMENTO!$AF$7)/$H49*OFFSET(ORÇAMENTO!$X$15,ROW(AF49)-ROW(AF$15),0),
ROUND(ROUND(OFFSET($P49,0,AF$13),15-13*ORÇAMENTO!$AF$7)*OFFSET(ORÇAMENTO!$W$15,ROW(AF49)-ROW(AF$15),0),15-13*ORÇAMENTO!$AF$11)),0)</f>
        <v>0</v>
      </c>
      <c r="AG49" s="631">
        <f ca="1">IF(AND($D49="Serviço",AG$12&lt;&gt;0,$H49&gt;0,OR(AUTOEVENTO&lt;&gt;"manual",$M49&lt;&gt;1)),
IF(Import.TipoArredondamento&lt;&gt;"TransfereGOV",
ROUND(OFFSET($P49,0,AG$13),15-13*ORÇAMENTO!$AF$7)/$H49*OFFSET(ORÇAMENTO!$X$15,ROW(AG49)-ROW(AG$15),0),
ROUND(ROUND(OFFSET($P49,0,AG$13),15-13*ORÇAMENTO!$AF$7)*OFFSET(ORÇAMENTO!$W$15,ROW(AG49)-ROW(AG$15),0),15-13*ORÇAMENTO!$AF$11)),0)</f>
        <v>0</v>
      </c>
      <c r="AH49" s="631">
        <f ca="1">IF(AND($D49="Serviço",AH$12&lt;&gt;0,$H49&gt;0,OR(AUTOEVENTO&lt;&gt;"manual",$M49&lt;&gt;1)),
IF(Import.TipoArredondamento&lt;&gt;"TransfereGOV",
ROUND(OFFSET($P49,0,AH$13),15-13*ORÇAMENTO!$AF$7)/$H49*OFFSET(ORÇAMENTO!$X$15,ROW(AH49)-ROW(AH$15),0),
ROUND(ROUND(OFFSET($P49,0,AH$13),15-13*ORÇAMENTO!$AF$7)*OFFSET(ORÇAMENTO!$W$15,ROW(AH49)-ROW(AH$15),0),15-13*ORÇAMENTO!$AF$11)),0)</f>
        <v>0</v>
      </c>
      <c r="AI49" s="631">
        <f ca="1">IF(AND($D49="Serviço",AI$12&lt;&gt;0,$H49&gt;0,OR(AUTOEVENTO&lt;&gt;"manual",$M49&lt;&gt;1)),
IF(Import.TipoArredondamento&lt;&gt;"TransfereGOV",
ROUND(OFFSET($P49,0,AI$13),15-13*ORÇAMENTO!$AF$7)/$H49*OFFSET(ORÇAMENTO!$X$15,ROW(AI49)-ROW(AI$15),0),
ROUND(ROUND(OFFSET($P49,0,AI$13),15-13*ORÇAMENTO!$AF$7)*OFFSET(ORÇAMENTO!$W$15,ROW(AI49)-ROW(AI$15),0),15-13*ORÇAMENTO!$AF$11)),0)</f>
        <v>0</v>
      </c>
      <c r="AJ49" s="631">
        <f ca="1">IF(AND($D49="Serviço",AJ$12&lt;&gt;0,$H49&gt;0,OR(AUTOEVENTO&lt;&gt;"manual",$M49&lt;&gt;1)),
IF(Import.TipoArredondamento&lt;&gt;"TransfereGOV",
ROUND(OFFSET($P49,0,AJ$13),15-13*ORÇAMENTO!$AF$7)/$H49*OFFSET(ORÇAMENTO!$X$15,ROW(AJ49)-ROW(AJ$15),0),
ROUND(ROUND(OFFSET($P49,0,AJ$13),15-13*ORÇAMENTO!$AF$7)*OFFSET(ORÇAMENTO!$W$15,ROW(AJ49)-ROW(AJ$15),0),15-13*ORÇAMENTO!$AF$11)),0)</f>
        <v>0</v>
      </c>
      <c r="AK49" s="632">
        <f ca="1">IF(AND($D49="Serviço",AK$12&lt;&gt;0,$H49&gt;0,OR(AUTOEVENTO&lt;&gt;"manual",$M49&lt;&gt;1)),
IF(Import.TipoArredondamento&lt;&gt;"TransfereGOV",
ROUND(OFFSET($P49,0,AK$13),15-13*ORÇAMENTO!$AF$7)/$H49*OFFSET(ORÇAMENTO!$X$15,ROW(AK49)-ROW(AK$15),0),
ROUND(ROUND(OFFSET($P49,0,AK$13),15-13*ORÇAMENTO!$AF$7)*OFFSET(ORÇAMENTO!$W$15,ROW(AK49)-ROW(AK$15),0),15-13*ORÇAMENTO!$AF$11)),0)</f>
        <v>0</v>
      </c>
      <c r="AM49" s="215">
        <f ca="1">IF($D49&lt;&gt;"Serviço",0,IF(AND(AUTOEVENTO="Manual",$M49=1),0,IF(OFFSET(CRONOPLE!$F$14,$M49,AM$13)="",10^12,OFFSET(CRONOPLE!$F$14,$M49,AM$13))))</f>
        <v>1000000000000</v>
      </c>
      <c r="AN49" s="215">
        <f ca="1">IF($D49&lt;&gt;"Serviço",0,IF(AND(AUTOEVENTO="Manual",$M49=1),0,IF(OFFSET(CRONOPLE!$F$14,$M49,AN$13)="",10^12,OFFSET(CRONOPLE!$F$14,$M49,AN$13))))</f>
        <v>1000000000000</v>
      </c>
      <c r="AO49" s="215">
        <f ca="1">IF($D49&lt;&gt;"Serviço",0,IF(AND(AUTOEVENTO="Manual",$M49=1),0,IF(OFFSET(CRONOPLE!$F$14,$M49,AO$13)="",10^12,OFFSET(CRONOPLE!$F$14,$M49,AO$13))))</f>
        <v>1000000000000</v>
      </c>
      <c r="AP49" s="215">
        <f ca="1">IF($D49&lt;&gt;"Serviço",0,IF(AND(AUTOEVENTO="Manual",$M49=1),0,IF(OFFSET(CRONOPLE!$F$14,$M49,AP$13)="",10^12,OFFSET(CRONOPLE!$F$14,$M49,AP$13))))</f>
        <v>1000000000000</v>
      </c>
      <c r="AQ49" s="215">
        <f ca="1">IF($D49&lt;&gt;"Serviço",0,IF(AND(AUTOEVENTO="Manual",$M49=1),0,IF(OFFSET(CRONOPLE!$F$14,$M49,AQ$13)="",10^12,OFFSET(CRONOPLE!$F$14,$M49,AQ$13))))</f>
        <v>1000000000000</v>
      </c>
      <c r="AR49" s="215">
        <f ca="1">IF($D49&lt;&gt;"Serviço",0,IF(AND(AUTOEVENTO="Manual",$M49=1),0,IF(OFFSET(CRONOPLE!$F$14,$M49,AR$13)="",10^12,OFFSET(CRONOPLE!$F$14,$M49,AR$13))))</f>
        <v>1000000000000</v>
      </c>
      <c r="AS49" s="215">
        <f ca="1">IF($D49&lt;&gt;"Serviço",0,IF(AND(AUTOEVENTO="Manual",$M49=1),0,IF(OFFSET(CRONOPLE!$F$14,$M49,AS$13)="",10^12,OFFSET(CRONOPLE!$F$14,$M49,AS$13))))</f>
        <v>1000000000000</v>
      </c>
      <c r="AT49" s="215">
        <f ca="1">IF($D49&lt;&gt;"Serviço",0,IF(AND(AUTOEVENTO="Manual",$M49=1),0,IF(OFFSET(CRONOPLE!$F$14,$M49,AT$13)="",10^12,OFFSET(CRONOPLE!$F$14,$M49,AT$13))))</f>
        <v>1000000000000</v>
      </c>
      <c r="AU49" s="215">
        <f ca="1">IF($D49&lt;&gt;"Serviço",0,IF(AND(AUTOEVENTO="Manual",$M49=1),0,IF(OFFSET(CRONOPLE!$F$14,$M49,AU$13)="",10^12,OFFSET(CRONOPLE!$F$14,$M49,AU$13))))</f>
        <v>1000000000000</v>
      </c>
      <c r="AV49" s="215">
        <f ca="1">IF($D49&lt;&gt;"Serviço",0,IF(AND(AUTOEVENTO="Manual",$M49=1),0,IF(OFFSET(CRONOPLE!$F$14,$M49,AV$13)="",10^12,OFFSET(CRONOPLE!$F$14,$M49,AV$13))))</f>
        <v>1000000000000</v>
      </c>
      <c r="AX49" s="216">
        <f ca="1">IF($D49&lt;&gt;"Serviço",0,IF(OR(AND(AUTOEVENTO="Manual",$M49=1),$M49&gt;(ROW(PLE.lastrow)-ROW(PLE.firstrow))),0,IF(OFFSET(PLE!$G$14,$M49,AX$13)="",10^12,OFFSET(PLE!$G$14,$M49,AX$13))))</f>
        <v>1000000000000</v>
      </c>
      <c r="AY49" s="216">
        <f ca="1">IF($D49&lt;&gt;"Serviço",0,IF(OR(AND(AUTOEVENTO="Manual",$M49=1),$M49&gt;(ROW(PLE.lastrow)-ROW(PLE.firstrow))),0,IF(OFFSET(PLE!$G$14,$M49,AY$13)="",10^12,OFFSET(PLE!$G$14,$M49,AY$13))))</f>
        <v>1000000000000</v>
      </c>
      <c r="AZ49" s="216">
        <f ca="1">IF($D49&lt;&gt;"Serviço",0,IF(OR(AND(AUTOEVENTO="Manual",$M49=1),$M49&gt;(ROW(PLE.lastrow)-ROW(PLE.firstrow))),0,IF(OFFSET(PLE!$G$14,$M49,AZ$13)="",10^12,OFFSET(PLE!$G$14,$M49,AZ$13))))</f>
        <v>1000000000000</v>
      </c>
      <c r="BA49" s="216">
        <f ca="1">IF($D49&lt;&gt;"Serviço",0,IF(OR(AND(AUTOEVENTO="Manual",$M49=1),$M49&gt;(ROW(PLE.lastrow)-ROW(PLE.firstrow))),0,IF(OFFSET(PLE!$G$14,$M49,BA$13)="",10^12,OFFSET(PLE!$G$14,$M49,BA$13))))</f>
        <v>1000000000000</v>
      </c>
      <c r="BB49" s="216">
        <f ca="1">IF($D49&lt;&gt;"Serviço",0,IF(OR(AND(AUTOEVENTO="Manual",$M49=1),$M49&gt;(ROW(PLE.lastrow)-ROW(PLE.firstrow))),0,IF(OFFSET(PLE!$G$14,$M49,BB$13)="",10^12,OFFSET(PLE!$G$14,$M49,BB$13))))</f>
        <v>1000000000000</v>
      </c>
      <c r="BC49" s="216">
        <f ca="1">IF($D49&lt;&gt;"Serviço",0,IF(OR(AND(AUTOEVENTO="Manual",$M49=1),$M49&gt;(ROW(PLE.lastrow)-ROW(PLE.firstrow))),0,IF(OFFSET(PLE!$G$14,$M49,BC$13)="",10^12,OFFSET(PLE!$G$14,$M49,BC$13))))</f>
        <v>1000000000000</v>
      </c>
      <c r="BD49" s="216">
        <f ca="1">IF($D49&lt;&gt;"Serviço",0,IF(OR(AND(AUTOEVENTO="Manual",$M49=1),$M49&gt;(ROW(PLE.lastrow)-ROW(PLE.firstrow))),0,IF(OFFSET(PLE!$G$14,$M49,BD$13)="",10^12,OFFSET(PLE!$G$14,$M49,BD$13))))</f>
        <v>1000000000000</v>
      </c>
      <c r="BE49" s="216">
        <f ca="1">IF($D49&lt;&gt;"Serviço",0,IF(OR(AND(AUTOEVENTO="Manual",$M49=1),$M49&gt;(ROW(PLE.lastrow)-ROW(PLE.firstrow))),0,IF(OFFSET(PLE!$G$14,$M49,BE$13)="",10^12,OFFSET(PLE!$G$14,$M49,BE$13))))</f>
        <v>1000000000000</v>
      </c>
      <c r="BF49" s="216">
        <f ca="1">IF($D49&lt;&gt;"Serviço",0,IF(OR(AND(AUTOEVENTO="Manual",$M49=1),$M49&gt;(ROW(PLE.lastrow)-ROW(PLE.firstrow))),0,IF(OFFSET(PLE!$G$14,$M49,BF$13)="",10^12,OFFSET(PLE!$G$14,$M49,BF$13))))</f>
        <v>1000000000000</v>
      </c>
      <c r="BG49" s="216">
        <f ca="1">IF($D49&lt;&gt;"Serviço",0,IF(OR(AND(AUTOEVENTO="Manual",$M49=1),$M49&gt;(ROW(PLE.lastrow)-ROW(PLE.firstrow))),0,IF(OFFSET(PLE!$G$14,$M49,BG$13)="",10^12,OFFSET(PLE!$G$14,$M49,BG$13))))</f>
        <v>1000000000000</v>
      </c>
    </row>
    <row r="50" spans="1:59" ht="38.25" x14ac:dyDescent="0.2">
      <c r="A50" s="9" t="str">
        <f ca="1">IF(AUTOEVENTO="Manual",IF(K50&lt;&gt;"",MIN(VALUE(LEFT(K50,FIND(".",K50)-1)),COUNTA(EVENTOS.Lista)),0),IF(OR($B50&gt;AUTOEVENTO,$B50="S",$B50=0),SUBSTITUTE(OFFSET($A50,-1,0),IF($D50="Serviço",".",""),""),ROW(A50)-ROW($A$15)&amp;"."))</f>
        <v>30</v>
      </c>
      <c r="B50" s="9" t="str">
        <f ca="1">OFFSET(ORÇAMENTO!C$15,ROW(B50)-ROW(B$15),0)</f>
        <v>S</v>
      </c>
      <c r="C50" s="9" t="str">
        <f ca="1">OFFSET(ORÇAMENTO!L$15,ROW(C50)-ROW(C$15),0)</f>
        <v/>
      </c>
      <c r="D50" s="145" t="str">
        <f ca="1">OFFSET(ORÇAMENTO!N$15,ROW(D50)-ROW(D$15),0)</f>
        <v>Serviço</v>
      </c>
      <c r="E50" s="205" t="str">
        <f ca="1">OFFSET(ORÇAMENTO!O$15,ROW(E50)-ROW(E$15),0)</f>
        <v>-</v>
      </c>
      <c r="F50" s="206" t="str">
        <f ca="1">OFFSET(ORÇAMENTO!R$15,ROW(F50)-ROW(F$15),0)</f>
        <v>ARMAÇÃO DE PILAR OU VIGA DE ESTRUTURA CONVENCIONAL DE CONCRETO ARMADO UTILIZANDO AÇO CA-60 DE 5,0 MM - MONTAGEM. AF_06/2022</v>
      </c>
      <c r="G50" s="207" t="str">
        <f ca="1">IF($D50&lt;&gt;"Serviço","",OFFSET(ORÇAMENTO!S$15,ROW(G50)-ROW(G$15),0))</f>
        <v>KG</v>
      </c>
      <c r="H50" s="151">
        <f ca="1">IF($D50&lt;&gt;"Serviço",0,IF(ACOMPANHAMENTO="BM",ROUND(OFFSET(ORÇAMENTO!AJ$15,ROW(H50)-ROW(H$15),0),15-13*ORÇAMENTO!$AF$7),SUMPRODUCT(($Q$12:$AA$12&lt;&gt;"")*ROUND($Q50:$AA50,15-13*ORÇAMENTO!$AF$7))))</f>
        <v>831.5</v>
      </c>
      <c r="I50" s="649"/>
      <c r="K50" s="208"/>
      <c r="L50" s="209" t="s">
        <v>255</v>
      </c>
      <c r="M50" s="210">
        <f ca="1">IF($D50&lt;&gt;"Serviço","",IF(AUTOEVENTO="manual",$A50,IF(ISERROR(MATCH($A50,$A$15:OFFSET($A50,-1,0),0)),MAX($M$15:OFFSET(M50,-1,0))+1,INDEX($M$15:OFFSET(M50,-1,0),MATCH($A50,$A$15:OFFSET($A50,-1,0),0)))))</f>
        <v>7</v>
      </c>
      <c r="N50" s="211" t="str">
        <f ca="1">IF($D50&lt;&gt;"Serviço","",IF(AUTOEVENTO="Manual",IF($A50=0,"&lt;-- defina o número do agrupador",OFFSET(EVENTOS!$D$14,$A50,0)),OFFSET($F$15,$A50,0)))</f>
        <v>PILARES (INCLUSO COLARINHO)</v>
      </c>
      <c r="O50" s="212"/>
      <c r="Q50" s="212"/>
      <c r="R50" s="213"/>
      <c r="S50" s="213"/>
      <c r="T50" s="213"/>
      <c r="U50" s="213"/>
      <c r="V50" s="213"/>
      <c r="W50" s="213"/>
      <c r="X50" s="213"/>
      <c r="Y50" s="213"/>
      <c r="Z50" s="214"/>
      <c r="AB50" s="630">
        <f ca="1">IF(AND($D50="Serviço",AB$12&lt;&gt;0,$H50&gt;0,OR(AUTOEVENTO&lt;&gt;"manual",$M50&lt;&gt;1)),
IF(Import.TipoArredondamento&lt;&gt;"TransfereGOV",
ROUND(OFFSET($P50,0,AB$13),15-13*ORÇAMENTO!$AF$7)/$H50*OFFSET(ORÇAMENTO!$X$15,ROW(AB50)-ROW(AB$15),0),
ROUND(ROUND(OFFSET($P50,0,AB$13),15-13*ORÇAMENTO!$AF$7)*OFFSET(ORÇAMENTO!$W$15,ROW(AB50)-ROW(AB$15),0),15-13*ORÇAMENTO!$AF$11)),0)</f>
        <v>0</v>
      </c>
      <c r="AC50" s="631">
        <f ca="1">IF(AND($D50="Serviço",AC$12&lt;&gt;0,$H50&gt;0,OR(AUTOEVENTO&lt;&gt;"manual",$M50&lt;&gt;1)),
IF(Import.TipoArredondamento&lt;&gt;"TransfereGOV",
ROUND(OFFSET($P50,0,AC$13),15-13*ORÇAMENTO!$AF$7)/$H50*OFFSET(ORÇAMENTO!$X$15,ROW(AC50)-ROW(AC$15),0),
ROUND(ROUND(OFFSET($P50,0,AC$13),15-13*ORÇAMENTO!$AF$7)*OFFSET(ORÇAMENTO!$W$15,ROW(AC50)-ROW(AC$15),0),15-13*ORÇAMENTO!$AF$11)),0)</f>
        <v>0</v>
      </c>
      <c r="AD50" s="631">
        <f ca="1">IF(AND($D50="Serviço",AD$12&lt;&gt;0,$H50&gt;0,OR(AUTOEVENTO&lt;&gt;"manual",$M50&lt;&gt;1)),
IF(Import.TipoArredondamento&lt;&gt;"TransfereGOV",
ROUND(OFFSET($P50,0,AD$13),15-13*ORÇAMENTO!$AF$7)/$H50*OFFSET(ORÇAMENTO!$X$15,ROW(AD50)-ROW(AD$15),0),
ROUND(ROUND(OFFSET($P50,0,AD$13),15-13*ORÇAMENTO!$AF$7)*OFFSET(ORÇAMENTO!$W$15,ROW(AD50)-ROW(AD$15),0),15-13*ORÇAMENTO!$AF$11)),0)</f>
        <v>0</v>
      </c>
      <c r="AE50" s="631">
        <f ca="1">IF(AND($D50="Serviço",AE$12&lt;&gt;0,$H50&gt;0,OR(AUTOEVENTO&lt;&gt;"manual",$M50&lt;&gt;1)),
IF(Import.TipoArredondamento&lt;&gt;"TransfereGOV",
ROUND(OFFSET($P50,0,AE$13),15-13*ORÇAMENTO!$AF$7)/$H50*OFFSET(ORÇAMENTO!$X$15,ROW(AE50)-ROW(AE$15),0),
ROUND(ROUND(OFFSET($P50,0,AE$13),15-13*ORÇAMENTO!$AF$7)*OFFSET(ORÇAMENTO!$W$15,ROW(AE50)-ROW(AE$15),0),15-13*ORÇAMENTO!$AF$11)),0)</f>
        <v>0</v>
      </c>
      <c r="AF50" s="631">
        <f ca="1">IF(AND($D50="Serviço",AF$12&lt;&gt;0,$H50&gt;0,OR(AUTOEVENTO&lt;&gt;"manual",$M50&lt;&gt;1)),
IF(Import.TipoArredondamento&lt;&gt;"TransfereGOV",
ROUND(OFFSET($P50,0,AF$13),15-13*ORÇAMENTO!$AF$7)/$H50*OFFSET(ORÇAMENTO!$X$15,ROW(AF50)-ROW(AF$15),0),
ROUND(ROUND(OFFSET($P50,0,AF$13),15-13*ORÇAMENTO!$AF$7)*OFFSET(ORÇAMENTO!$W$15,ROW(AF50)-ROW(AF$15),0),15-13*ORÇAMENTO!$AF$11)),0)</f>
        <v>0</v>
      </c>
      <c r="AG50" s="631">
        <f ca="1">IF(AND($D50="Serviço",AG$12&lt;&gt;0,$H50&gt;0,OR(AUTOEVENTO&lt;&gt;"manual",$M50&lt;&gt;1)),
IF(Import.TipoArredondamento&lt;&gt;"TransfereGOV",
ROUND(OFFSET($P50,0,AG$13),15-13*ORÇAMENTO!$AF$7)/$H50*OFFSET(ORÇAMENTO!$X$15,ROW(AG50)-ROW(AG$15),0),
ROUND(ROUND(OFFSET($P50,0,AG$13),15-13*ORÇAMENTO!$AF$7)*OFFSET(ORÇAMENTO!$W$15,ROW(AG50)-ROW(AG$15),0),15-13*ORÇAMENTO!$AF$11)),0)</f>
        <v>0</v>
      </c>
      <c r="AH50" s="631">
        <f ca="1">IF(AND($D50="Serviço",AH$12&lt;&gt;0,$H50&gt;0,OR(AUTOEVENTO&lt;&gt;"manual",$M50&lt;&gt;1)),
IF(Import.TipoArredondamento&lt;&gt;"TransfereGOV",
ROUND(OFFSET($P50,0,AH$13),15-13*ORÇAMENTO!$AF$7)/$H50*OFFSET(ORÇAMENTO!$X$15,ROW(AH50)-ROW(AH$15),0),
ROUND(ROUND(OFFSET($P50,0,AH$13),15-13*ORÇAMENTO!$AF$7)*OFFSET(ORÇAMENTO!$W$15,ROW(AH50)-ROW(AH$15),0),15-13*ORÇAMENTO!$AF$11)),0)</f>
        <v>0</v>
      </c>
      <c r="AI50" s="631">
        <f ca="1">IF(AND($D50="Serviço",AI$12&lt;&gt;0,$H50&gt;0,OR(AUTOEVENTO&lt;&gt;"manual",$M50&lt;&gt;1)),
IF(Import.TipoArredondamento&lt;&gt;"TransfereGOV",
ROUND(OFFSET($P50,0,AI$13),15-13*ORÇAMENTO!$AF$7)/$H50*OFFSET(ORÇAMENTO!$X$15,ROW(AI50)-ROW(AI$15),0),
ROUND(ROUND(OFFSET($P50,0,AI$13),15-13*ORÇAMENTO!$AF$7)*OFFSET(ORÇAMENTO!$W$15,ROW(AI50)-ROW(AI$15),0),15-13*ORÇAMENTO!$AF$11)),0)</f>
        <v>0</v>
      </c>
      <c r="AJ50" s="631">
        <f ca="1">IF(AND($D50="Serviço",AJ$12&lt;&gt;0,$H50&gt;0,OR(AUTOEVENTO&lt;&gt;"manual",$M50&lt;&gt;1)),
IF(Import.TipoArredondamento&lt;&gt;"TransfereGOV",
ROUND(OFFSET($P50,0,AJ$13),15-13*ORÇAMENTO!$AF$7)/$H50*OFFSET(ORÇAMENTO!$X$15,ROW(AJ50)-ROW(AJ$15),0),
ROUND(ROUND(OFFSET($P50,0,AJ$13),15-13*ORÇAMENTO!$AF$7)*OFFSET(ORÇAMENTO!$W$15,ROW(AJ50)-ROW(AJ$15),0),15-13*ORÇAMENTO!$AF$11)),0)</f>
        <v>0</v>
      </c>
      <c r="AK50" s="632">
        <f ca="1">IF(AND($D50="Serviço",AK$12&lt;&gt;0,$H50&gt;0,OR(AUTOEVENTO&lt;&gt;"manual",$M50&lt;&gt;1)),
IF(Import.TipoArredondamento&lt;&gt;"TransfereGOV",
ROUND(OFFSET($P50,0,AK$13),15-13*ORÇAMENTO!$AF$7)/$H50*OFFSET(ORÇAMENTO!$X$15,ROW(AK50)-ROW(AK$15),0),
ROUND(ROUND(OFFSET($P50,0,AK$13),15-13*ORÇAMENTO!$AF$7)*OFFSET(ORÇAMENTO!$W$15,ROW(AK50)-ROW(AK$15),0),15-13*ORÇAMENTO!$AF$11)),0)</f>
        <v>0</v>
      </c>
      <c r="AM50" s="215">
        <f ca="1">IF($D50&lt;&gt;"Serviço",0,IF(AND(AUTOEVENTO="Manual",$M50=1),0,IF(OFFSET(CRONOPLE!$F$14,$M50,AM$13)="",10^12,OFFSET(CRONOPLE!$F$14,$M50,AM$13))))</f>
        <v>1000000000000</v>
      </c>
      <c r="AN50" s="215">
        <f ca="1">IF($D50&lt;&gt;"Serviço",0,IF(AND(AUTOEVENTO="Manual",$M50=1),0,IF(OFFSET(CRONOPLE!$F$14,$M50,AN$13)="",10^12,OFFSET(CRONOPLE!$F$14,$M50,AN$13))))</f>
        <v>1000000000000</v>
      </c>
      <c r="AO50" s="215">
        <f ca="1">IF($D50&lt;&gt;"Serviço",0,IF(AND(AUTOEVENTO="Manual",$M50=1),0,IF(OFFSET(CRONOPLE!$F$14,$M50,AO$13)="",10^12,OFFSET(CRONOPLE!$F$14,$M50,AO$13))))</f>
        <v>1000000000000</v>
      </c>
      <c r="AP50" s="215">
        <f ca="1">IF($D50&lt;&gt;"Serviço",0,IF(AND(AUTOEVENTO="Manual",$M50=1),0,IF(OFFSET(CRONOPLE!$F$14,$M50,AP$13)="",10^12,OFFSET(CRONOPLE!$F$14,$M50,AP$13))))</f>
        <v>1000000000000</v>
      </c>
      <c r="AQ50" s="215">
        <f ca="1">IF($D50&lt;&gt;"Serviço",0,IF(AND(AUTOEVENTO="Manual",$M50=1),0,IF(OFFSET(CRONOPLE!$F$14,$M50,AQ$13)="",10^12,OFFSET(CRONOPLE!$F$14,$M50,AQ$13))))</f>
        <v>1000000000000</v>
      </c>
      <c r="AR50" s="215">
        <f ca="1">IF($D50&lt;&gt;"Serviço",0,IF(AND(AUTOEVENTO="Manual",$M50=1),0,IF(OFFSET(CRONOPLE!$F$14,$M50,AR$13)="",10^12,OFFSET(CRONOPLE!$F$14,$M50,AR$13))))</f>
        <v>1000000000000</v>
      </c>
      <c r="AS50" s="215">
        <f ca="1">IF($D50&lt;&gt;"Serviço",0,IF(AND(AUTOEVENTO="Manual",$M50=1),0,IF(OFFSET(CRONOPLE!$F$14,$M50,AS$13)="",10^12,OFFSET(CRONOPLE!$F$14,$M50,AS$13))))</f>
        <v>1000000000000</v>
      </c>
      <c r="AT50" s="215">
        <f ca="1">IF($D50&lt;&gt;"Serviço",0,IF(AND(AUTOEVENTO="Manual",$M50=1),0,IF(OFFSET(CRONOPLE!$F$14,$M50,AT$13)="",10^12,OFFSET(CRONOPLE!$F$14,$M50,AT$13))))</f>
        <v>1000000000000</v>
      </c>
      <c r="AU50" s="215">
        <f ca="1">IF($D50&lt;&gt;"Serviço",0,IF(AND(AUTOEVENTO="Manual",$M50=1),0,IF(OFFSET(CRONOPLE!$F$14,$M50,AU$13)="",10^12,OFFSET(CRONOPLE!$F$14,$M50,AU$13))))</f>
        <v>1000000000000</v>
      </c>
      <c r="AV50" s="215">
        <f ca="1">IF($D50&lt;&gt;"Serviço",0,IF(AND(AUTOEVENTO="Manual",$M50=1),0,IF(OFFSET(CRONOPLE!$F$14,$M50,AV$13)="",10^12,OFFSET(CRONOPLE!$F$14,$M50,AV$13))))</f>
        <v>1000000000000</v>
      </c>
      <c r="AX50" s="216">
        <f ca="1">IF($D50&lt;&gt;"Serviço",0,IF(OR(AND(AUTOEVENTO="Manual",$M50=1),$M50&gt;(ROW(PLE.lastrow)-ROW(PLE.firstrow))),0,IF(OFFSET(PLE!$G$14,$M50,AX$13)="",10^12,OFFSET(PLE!$G$14,$M50,AX$13))))</f>
        <v>1000000000000</v>
      </c>
      <c r="AY50" s="216">
        <f ca="1">IF($D50&lt;&gt;"Serviço",0,IF(OR(AND(AUTOEVENTO="Manual",$M50=1),$M50&gt;(ROW(PLE.lastrow)-ROW(PLE.firstrow))),0,IF(OFFSET(PLE!$G$14,$M50,AY$13)="",10^12,OFFSET(PLE!$G$14,$M50,AY$13))))</f>
        <v>1000000000000</v>
      </c>
      <c r="AZ50" s="216">
        <f ca="1">IF($D50&lt;&gt;"Serviço",0,IF(OR(AND(AUTOEVENTO="Manual",$M50=1),$M50&gt;(ROW(PLE.lastrow)-ROW(PLE.firstrow))),0,IF(OFFSET(PLE!$G$14,$M50,AZ$13)="",10^12,OFFSET(PLE!$G$14,$M50,AZ$13))))</f>
        <v>1000000000000</v>
      </c>
      <c r="BA50" s="216">
        <f ca="1">IF($D50&lt;&gt;"Serviço",0,IF(OR(AND(AUTOEVENTO="Manual",$M50=1),$M50&gt;(ROW(PLE.lastrow)-ROW(PLE.firstrow))),0,IF(OFFSET(PLE!$G$14,$M50,BA$13)="",10^12,OFFSET(PLE!$G$14,$M50,BA$13))))</f>
        <v>1000000000000</v>
      </c>
      <c r="BB50" s="216">
        <f ca="1">IF($D50&lt;&gt;"Serviço",0,IF(OR(AND(AUTOEVENTO="Manual",$M50=1),$M50&gt;(ROW(PLE.lastrow)-ROW(PLE.firstrow))),0,IF(OFFSET(PLE!$G$14,$M50,BB$13)="",10^12,OFFSET(PLE!$G$14,$M50,BB$13))))</f>
        <v>1000000000000</v>
      </c>
      <c r="BC50" s="216">
        <f ca="1">IF($D50&lt;&gt;"Serviço",0,IF(OR(AND(AUTOEVENTO="Manual",$M50=1),$M50&gt;(ROW(PLE.lastrow)-ROW(PLE.firstrow))),0,IF(OFFSET(PLE!$G$14,$M50,BC$13)="",10^12,OFFSET(PLE!$G$14,$M50,BC$13))))</f>
        <v>1000000000000</v>
      </c>
      <c r="BD50" s="216">
        <f ca="1">IF($D50&lt;&gt;"Serviço",0,IF(OR(AND(AUTOEVENTO="Manual",$M50=1),$M50&gt;(ROW(PLE.lastrow)-ROW(PLE.firstrow))),0,IF(OFFSET(PLE!$G$14,$M50,BD$13)="",10^12,OFFSET(PLE!$G$14,$M50,BD$13))))</f>
        <v>1000000000000</v>
      </c>
      <c r="BE50" s="216">
        <f ca="1">IF($D50&lt;&gt;"Serviço",0,IF(OR(AND(AUTOEVENTO="Manual",$M50=1),$M50&gt;(ROW(PLE.lastrow)-ROW(PLE.firstrow))),0,IF(OFFSET(PLE!$G$14,$M50,BE$13)="",10^12,OFFSET(PLE!$G$14,$M50,BE$13))))</f>
        <v>1000000000000</v>
      </c>
      <c r="BF50" s="216">
        <f ca="1">IF($D50&lt;&gt;"Serviço",0,IF(OR(AND(AUTOEVENTO="Manual",$M50=1),$M50&gt;(ROW(PLE.lastrow)-ROW(PLE.firstrow))),0,IF(OFFSET(PLE!$G$14,$M50,BF$13)="",10^12,OFFSET(PLE!$G$14,$M50,BF$13))))</f>
        <v>1000000000000</v>
      </c>
      <c r="BG50" s="216">
        <f ca="1">IF($D50&lt;&gt;"Serviço",0,IF(OR(AND(AUTOEVENTO="Manual",$M50=1),$M50&gt;(ROW(PLE.lastrow)-ROW(PLE.firstrow))),0,IF(OFFSET(PLE!$G$14,$M50,BG$13)="",10^12,OFFSET(PLE!$G$14,$M50,BG$13))))</f>
        <v>1000000000000</v>
      </c>
    </row>
    <row r="51" spans="1:59" ht="12.75" x14ac:dyDescent="0.2">
      <c r="A51" s="9" t="str">
        <f t="shared" ca="1" si="8"/>
        <v>36.</v>
      </c>
      <c r="B51" s="9">
        <f ca="1">OFFSET(ORÇAMENTO!C$15,ROW(B51)-ROW(B$15),0)</f>
        <v>2</v>
      </c>
      <c r="C51" s="9" t="str">
        <f ca="1">OFFSET(ORÇAMENTO!L$15,ROW(C51)-ROW(C$15),0)</f>
        <v>F</v>
      </c>
      <c r="D51" s="145" t="str">
        <f ca="1">OFFSET(ORÇAMENTO!N$15,ROW(D51)-ROW(D$15),0)</f>
        <v>Nível 2</v>
      </c>
      <c r="E51" s="205" t="str">
        <f ca="1">OFFSET(ORÇAMENTO!O$15,ROW(E51)-ROW(E$15),0)</f>
        <v>1.7.</v>
      </c>
      <c r="F51" s="206" t="str">
        <f ca="1">OFFSET(ORÇAMENTO!R$15,ROW(F51)-ROW(F$15),0)</f>
        <v>VIGAS (INCLUSO BALDRAME)</v>
      </c>
      <c r="G51" s="207" t="str">
        <f ca="1">IF($D51&lt;&gt;"Serviço","",OFFSET(ORÇAMENTO!S$15,ROW(G51)-ROW(G$15),0))</f>
        <v/>
      </c>
      <c r="H51" s="151">
        <f ca="1">IF($D51&lt;&gt;"Serviço",0,IF(ACOMPANHAMENTO="BM",ROUND(OFFSET(ORÇAMENTO!AJ$15,ROW(H51)-ROW(H$15),0),15-13*ORÇAMENTO!$AF$7),SUMPRODUCT(($Q$12:$AA$12&lt;&gt;"")*ROUND($Q51:$AA51,15-13*ORÇAMENTO!$AF$7))))</f>
        <v>0</v>
      </c>
      <c r="I51" s="649"/>
      <c r="K51" s="208"/>
      <c r="L51" s="209" t="s">
        <v>255</v>
      </c>
      <c r="M51" s="210" t="str">
        <f ca="1">IF($D51&lt;&gt;"Serviço","",IF(AUTOEVENTO="manual",$A51,IF(ISERROR(MATCH($A51,$A$15:OFFSET($A51,-1,0),0)),MAX($M$15:OFFSET(M51,-1,0))+1,INDEX($M$15:OFFSET(M51,-1,0),MATCH($A51,$A$15:OFFSET($A51,-1,0),0)))))</f>
        <v/>
      </c>
      <c r="N51" s="211" t="str">
        <f ca="1">IF($D51&lt;&gt;"Serviço","",IF(AUTOEVENTO="Manual",IF($A51=0,"&lt;-- defina o número do agrupador",OFFSET(EVENTOS!$D$14,$A51,0)),OFFSET($F$15,$A51,0)))</f>
        <v/>
      </c>
      <c r="O51" s="212"/>
      <c r="Q51" s="212"/>
      <c r="R51" s="213"/>
      <c r="S51" s="213"/>
      <c r="T51" s="213"/>
      <c r="U51" s="213"/>
      <c r="V51" s="213"/>
      <c r="W51" s="213"/>
      <c r="X51" s="213"/>
      <c r="Y51" s="213"/>
      <c r="Z51" s="214"/>
      <c r="AB51" s="630">
        <f ca="1">IF(AND($D51="Serviço",AB$12&lt;&gt;0,$H51&gt;0,OR(AUTOEVENTO&lt;&gt;"manual",$M51&lt;&gt;1)),
IF(Import.TipoArredondamento&lt;&gt;"TransfereGOV",
ROUND(OFFSET($P51,0,AB$13),15-13*ORÇAMENTO!$AF$7)/$H51*OFFSET(ORÇAMENTO!$X$15,ROW(AB51)-ROW(AB$15),0),
ROUND(ROUND(OFFSET($P51,0,AB$13),15-13*ORÇAMENTO!$AF$7)*OFFSET(ORÇAMENTO!$W$15,ROW(AB51)-ROW(AB$15),0),15-13*ORÇAMENTO!$AF$11)),0)</f>
        <v>0</v>
      </c>
      <c r="AC51" s="631">
        <f ca="1">IF(AND($D51="Serviço",AC$12&lt;&gt;0,$H51&gt;0,OR(AUTOEVENTO&lt;&gt;"manual",$M51&lt;&gt;1)),
IF(Import.TipoArredondamento&lt;&gt;"TransfereGOV",
ROUND(OFFSET($P51,0,AC$13),15-13*ORÇAMENTO!$AF$7)/$H51*OFFSET(ORÇAMENTO!$X$15,ROW(AC51)-ROW(AC$15),0),
ROUND(ROUND(OFFSET($P51,0,AC$13),15-13*ORÇAMENTO!$AF$7)*OFFSET(ORÇAMENTO!$W$15,ROW(AC51)-ROW(AC$15),0),15-13*ORÇAMENTO!$AF$11)),0)</f>
        <v>0</v>
      </c>
      <c r="AD51" s="631">
        <f ca="1">IF(AND($D51="Serviço",AD$12&lt;&gt;0,$H51&gt;0,OR(AUTOEVENTO&lt;&gt;"manual",$M51&lt;&gt;1)),
IF(Import.TipoArredondamento&lt;&gt;"TransfereGOV",
ROUND(OFFSET($P51,0,AD$13),15-13*ORÇAMENTO!$AF$7)/$H51*OFFSET(ORÇAMENTO!$X$15,ROW(AD51)-ROW(AD$15),0),
ROUND(ROUND(OFFSET($P51,0,AD$13),15-13*ORÇAMENTO!$AF$7)*OFFSET(ORÇAMENTO!$W$15,ROW(AD51)-ROW(AD$15),0),15-13*ORÇAMENTO!$AF$11)),0)</f>
        <v>0</v>
      </c>
      <c r="AE51" s="631">
        <f ca="1">IF(AND($D51="Serviço",AE$12&lt;&gt;0,$H51&gt;0,OR(AUTOEVENTO&lt;&gt;"manual",$M51&lt;&gt;1)),
IF(Import.TipoArredondamento&lt;&gt;"TransfereGOV",
ROUND(OFFSET($P51,0,AE$13),15-13*ORÇAMENTO!$AF$7)/$H51*OFFSET(ORÇAMENTO!$X$15,ROW(AE51)-ROW(AE$15),0),
ROUND(ROUND(OFFSET($P51,0,AE$13),15-13*ORÇAMENTO!$AF$7)*OFFSET(ORÇAMENTO!$W$15,ROW(AE51)-ROW(AE$15),0),15-13*ORÇAMENTO!$AF$11)),0)</f>
        <v>0</v>
      </c>
      <c r="AF51" s="631">
        <f ca="1">IF(AND($D51="Serviço",AF$12&lt;&gt;0,$H51&gt;0,OR(AUTOEVENTO&lt;&gt;"manual",$M51&lt;&gt;1)),
IF(Import.TipoArredondamento&lt;&gt;"TransfereGOV",
ROUND(OFFSET($P51,0,AF$13),15-13*ORÇAMENTO!$AF$7)/$H51*OFFSET(ORÇAMENTO!$X$15,ROW(AF51)-ROW(AF$15),0),
ROUND(ROUND(OFFSET($P51,0,AF$13),15-13*ORÇAMENTO!$AF$7)*OFFSET(ORÇAMENTO!$W$15,ROW(AF51)-ROW(AF$15),0),15-13*ORÇAMENTO!$AF$11)),0)</f>
        <v>0</v>
      </c>
      <c r="AG51" s="631">
        <f ca="1">IF(AND($D51="Serviço",AG$12&lt;&gt;0,$H51&gt;0,OR(AUTOEVENTO&lt;&gt;"manual",$M51&lt;&gt;1)),
IF(Import.TipoArredondamento&lt;&gt;"TransfereGOV",
ROUND(OFFSET($P51,0,AG$13),15-13*ORÇAMENTO!$AF$7)/$H51*OFFSET(ORÇAMENTO!$X$15,ROW(AG51)-ROW(AG$15),0),
ROUND(ROUND(OFFSET($P51,0,AG$13),15-13*ORÇAMENTO!$AF$7)*OFFSET(ORÇAMENTO!$W$15,ROW(AG51)-ROW(AG$15),0),15-13*ORÇAMENTO!$AF$11)),0)</f>
        <v>0</v>
      </c>
      <c r="AH51" s="631">
        <f ca="1">IF(AND($D51="Serviço",AH$12&lt;&gt;0,$H51&gt;0,OR(AUTOEVENTO&lt;&gt;"manual",$M51&lt;&gt;1)),
IF(Import.TipoArredondamento&lt;&gt;"TransfereGOV",
ROUND(OFFSET($P51,0,AH$13),15-13*ORÇAMENTO!$AF$7)/$H51*OFFSET(ORÇAMENTO!$X$15,ROW(AH51)-ROW(AH$15),0),
ROUND(ROUND(OFFSET($P51,0,AH$13),15-13*ORÇAMENTO!$AF$7)*OFFSET(ORÇAMENTO!$W$15,ROW(AH51)-ROW(AH$15),0),15-13*ORÇAMENTO!$AF$11)),0)</f>
        <v>0</v>
      </c>
      <c r="AI51" s="631">
        <f ca="1">IF(AND($D51="Serviço",AI$12&lt;&gt;0,$H51&gt;0,OR(AUTOEVENTO&lt;&gt;"manual",$M51&lt;&gt;1)),
IF(Import.TipoArredondamento&lt;&gt;"TransfereGOV",
ROUND(OFFSET($P51,0,AI$13),15-13*ORÇAMENTO!$AF$7)/$H51*OFFSET(ORÇAMENTO!$X$15,ROW(AI51)-ROW(AI$15),0),
ROUND(ROUND(OFFSET($P51,0,AI$13),15-13*ORÇAMENTO!$AF$7)*OFFSET(ORÇAMENTO!$W$15,ROW(AI51)-ROW(AI$15),0),15-13*ORÇAMENTO!$AF$11)),0)</f>
        <v>0</v>
      </c>
      <c r="AJ51" s="631">
        <f ca="1">IF(AND($D51="Serviço",AJ$12&lt;&gt;0,$H51&gt;0,OR(AUTOEVENTO&lt;&gt;"manual",$M51&lt;&gt;1)),
IF(Import.TipoArredondamento&lt;&gt;"TransfereGOV",
ROUND(OFFSET($P51,0,AJ$13),15-13*ORÇAMENTO!$AF$7)/$H51*OFFSET(ORÇAMENTO!$X$15,ROW(AJ51)-ROW(AJ$15),0),
ROUND(ROUND(OFFSET($P51,0,AJ$13),15-13*ORÇAMENTO!$AF$7)*OFFSET(ORÇAMENTO!$W$15,ROW(AJ51)-ROW(AJ$15),0),15-13*ORÇAMENTO!$AF$11)),0)</f>
        <v>0</v>
      </c>
      <c r="AK51" s="632">
        <f ca="1">IF(AND($D51="Serviço",AK$12&lt;&gt;0,$H51&gt;0,OR(AUTOEVENTO&lt;&gt;"manual",$M51&lt;&gt;1)),
IF(Import.TipoArredondamento&lt;&gt;"TransfereGOV",
ROUND(OFFSET($P51,0,AK$13),15-13*ORÇAMENTO!$AF$7)/$H51*OFFSET(ORÇAMENTO!$X$15,ROW(AK51)-ROW(AK$15),0),
ROUND(ROUND(OFFSET($P51,0,AK$13),15-13*ORÇAMENTO!$AF$7)*OFFSET(ORÇAMENTO!$W$15,ROW(AK51)-ROW(AK$15),0),15-13*ORÇAMENTO!$AF$11)),0)</f>
        <v>0</v>
      </c>
      <c r="AM51" s="215">
        <f ca="1">IF($D51&lt;&gt;"Serviço",0,IF(AND(AUTOEVENTO="Manual",$M51=1),0,IF(OFFSET(CRONOPLE!$F$14,$M51,AM$13)="",10^12,OFFSET(CRONOPLE!$F$14,$M51,AM$13))))</f>
        <v>0</v>
      </c>
      <c r="AN51" s="215">
        <f ca="1">IF($D51&lt;&gt;"Serviço",0,IF(AND(AUTOEVENTO="Manual",$M51=1),0,IF(OFFSET(CRONOPLE!$F$14,$M51,AN$13)="",10^12,OFFSET(CRONOPLE!$F$14,$M51,AN$13))))</f>
        <v>0</v>
      </c>
      <c r="AO51" s="215">
        <f ca="1">IF($D51&lt;&gt;"Serviço",0,IF(AND(AUTOEVENTO="Manual",$M51=1),0,IF(OFFSET(CRONOPLE!$F$14,$M51,AO$13)="",10^12,OFFSET(CRONOPLE!$F$14,$M51,AO$13))))</f>
        <v>0</v>
      </c>
      <c r="AP51" s="215">
        <f ca="1">IF($D51&lt;&gt;"Serviço",0,IF(AND(AUTOEVENTO="Manual",$M51=1),0,IF(OFFSET(CRONOPLE!$F$14,$M51,AP$13)="",10^12,OFFSET(CRONOPLE!$F$14,$M51,AP$13))))</f>
        <v>0</v>
      </c>
      <c r="AQ51" s="215">
        <f ca="1">IF($D51&lt;&gt;"Serviço",0,IF(AND(AUTOEVENTO="Manual",$M51=1),0,IF(OFFSET(CRONOPLE!$F$14,$M51,AQ$13)="",10^12,OFFSET(CRONOPLE!$F$14,$M51,AQ$13))))</f>
        <v>0</v>
      </c>
      <c r="AR51" s="215">
        <f ca="1">IF($D51&lt;&gt;"Serviço",0,IF(AND(AUTOEVENTO="Manual",$M51=1),0,IF(OFFSET(CRONOPLE!$F$14,$M51,AR$13)="",10^12,OFFSET(CRONOPLE!$F$14,$M51,AR$13))))</f>
        <v>0</v>
      </c>
      <c r="AS51" s="215">
        <f ca="1">IF($D51&lt;&gt;"Serviço",0,IF(AND(AUTOEVENTO="Manual",$M51=1),0,IF(OFFSET(CRONOPLE!$F$14,$M51,AS$13)="",10^12,OFFSET(CRONOPLE!$F$14,$M51,AS$13))))</f>
        <v>0</v>
      </c>
      <c r="AT51" s="215">
        <f ca="1">IF($D51&lt;&gt;"Serviço",0,IF(AND(AUTOEVENTO="Manual",$M51=1),0,IF(OFFSET(CRONOPLE!$F$14,$M51,AT$13)="",10^12,OFFSET(CRONOPLE!$F$14,$M51,AT$13))))</f>
        <v>0</v>
      </c>
      <c r="AU51" s="215">
        <f ca="1">IF($D51&lt;&gt;"Serviço",0,IF(AND(AUTOEVENTO="Manual",$M51=1),0,IF(OFFSET(CRONOPLE!$F$14,$M51,AU$13)="",10^12,OFFSET(CRONOPLE!$F$14,$M51,AU$13))))</f>
        <v>0</v>
      </c>
      <c r="AV51" s="215">
        <f ca="1">IF($D51&lt;&gt;"Serviço",0,IF(AND(AUTOEVENTO="Manual",$M51=1),0,IF(OFFSET(CRONOPLE!$F$14,$M51,AV$13)="",10^12,OFFSET(CRONOPLE!$F$14,$M51,AV$13))))</f>
        <v>0</v>
      </c>
      <c r="AX51" s="216">
        <f ca="1">IF($D51&lt;&gt;"Serviço",0,IF(OR(AND(AUTOEVENTO="Manual",$M51=1),$M51&gt;(ROW(PLE.lastrow)-ROW(PLE.firstrow))),0,IF(OFFSET(PLE!$G$14,$M51,AX$13)="",10^12,OFFSET(PLE!$G$14,$M51,AX$13))))</f>
        <v>0</v>
      </c>
      <c r="AY51" s="216">
        <f ca="1">IF($D51&lt;&gt;"Serviço",0,IF(OR(AND(AUTOEVENTO="Manual",$M51=1),$M51&gt;(ROW(PLE.lastrow)-ROW(PLE.firstrow))),0,IF(OFFSET(PLE!$G$14,$M51,AY$13)="",10^12,OFFSET(PLE!$G$14,$M51,AY$13))))</f>
        <v>0</v>
      </c>
      <c r="AZ51" s="216">
        <f ca="1">IF($D51&lt;&gt;"Serviço",0,IF(OR(AND(AUTOEVENTO="Manual",$M51=1),$M51&gt;(ROW(PLE.lastrow)-ROW(PLE.firstrow))),0,IF(OFFSET(PLE!$G$14,$M51,AZ$13)="",10^12,OFFSET(PLE!$G$14,$M51,AZ$13))))</f>
        <v>0</v>
      </c>
      <c r="BA51" s="216">
        <f ca="1">IF($D51&lt;&gt;"Serviço",0,IF(OR(AND(AUTOEVENTO="Manual",$M51=1),$M51&gt;(ROW(PLE.lastrow)-ROW(PLE.firstrow))),0,IF(OFFSET(PLE!$G$14,$M51,BA$13)="",10^12,OFFSET(PLE!$G$14,$M51,BA$13))))</f>
        <v>0</v>
      </c>
      <c r="BB51" s="216">
        <f ca="1">IF($D51&lt;&gt;"Serviço",0,IF(OR(AND(AUTOEVENTO="Manual",$M51=1),$M51&gt;(ROW(PLE.lastrow)-ROW(PLE.firstrow))),0,IF(OFFSET(PLE!$G$14,$M51,BB$13)="",10^12,OFFSET(PLE!$G$14,$M51,BB$13))))</f>
        <v>0</v>
      </c>
      <c r="BC51" s="216">
        <f ca="1">IF($D51&lt;&gt;"Serviço",0,IF(OR(AND(AUTOEVENTO="Manual",$M51=1),$M51&gt;(ROW(PLE.lastrow)-ROW(PLE.firstrow))),0,IF(OFFSET(PLE!$G$14,$M51,BC$13)="",10^12,OFFSET(PLE!$G$14,$M51,BC$13))))</f>
        <v>0</v>
      </c>
      <c r="BD51" s="216">
        <f ca="1">IF($D51&lt;&gt;"Serviço",0,IF(OR(AND(AUTOEVENTO="Manual",$M51=1),$M51&gt;(ROW(PLE.lastrow)-ROW(PLE.firstrow))),0,IF(OFFSET(PLE!$G$14,$M51,BD$13)="",10^12,OFFSET(PLE!$G$14,$M51,BD$13))))</f>
        <v>0</v>
      </c>
      <c r="BE51" s="216">
        <f ca="1">IF($D51&lt;&gt;"Serviço",0,IF(OR(AND(AUTOEVENTO="Manual",$M51=1),$M51&gt;(ROW(PLE.lastrow)-ROW(PLE.firstrow))),0,IF(OFFSET(PLE!$G$14,$M51,BE$13)="",10^12,OFFSET(PLE!$G$14,$M51,BE$13))))</f>
        <v>0</v>
      </c>
      <c r="BF51" s="216">
        <f ca="1">IF($D51&lt;&gt;"Serviço",0,IF(OR(AND(AUTOEVENTO="Manual",$M51=1),$M51&gt;(ROW(PLE.lastrow)-ROW(PLE.firstrow))),0,IF(OFFSET(PLE!$G$14,$M51,BF$13)="",10^12,OFFSET(PLE!$G$14,$M51,BF$13))))</f>
        <v>0</v>
      </c>
      <c r="BG51" s="216">
        <f ca="1">IF($D51&lt;&gt;"Serviço",0,IF(OR(AND(AUTOEVENTO="Manual",$M51=1),$M51&gt;(ROW(PLE.lastrow)-ROW(PLE.firstrow))),0,IF(OFFSET(PLE!$G$14,$M51,BG$13)="",10^12,OFFSET(PLE!$G$14,$M51,BG$13))))</f>
        <v>0</v>
      </c>
    </row>
    <row r="52" spans="1:59" ht="38.25" x14ac:dyDescent="0.2">
      <c r="A52" s="9" t="str">
        <f t="shared" ca="1" si="8"/>
        <v>36</v>
      </c>
      <c r="B52" s="9" t="str">
        <f ca="1">OFFSET(ORÇAMENTO!C$15,ROW(B52)-ROW(B$15),0)</f>
        <v>S</v>
      </c>
      <c r="C52" s="9" t="str">
        <f ca="1">OFFSET(ORÇAMENTO!L$15,ROW(C52)-ROW(C$15),0)</f>
        <v/>
      </c>
      <c r="D52" s="145" t="str">
        <f ca="1">OFFSET(ORÇAMENTO!N$15,ROW(D52)-ROW(D$15),0)</f>
        <v>Serviço</v>
      </c>
      <c r="E52" s="205" t="str">
        <f ca="1">OFFSET(ORÇAMENTO!O$15,ROW(E52)-ROW(E$15),0)</f>
        <v>-</v>
      </c>
      <c r="F52" s="206" t="str">
        <f ca="1">OFFSET(ORÇAMENTO!R$15,ROW(F52)-ROW(F$15),0)</f>
        <v>FABRICAÇÃO, MONTAGEM E DESMONTAGEM DE FÔRMA PARA VIGA BALDRAME, EM MADEIRA SERRADA, E=25 MM, 4 UTILIZAÇÕES. AF_01/2024</v>
      </c>
      <c r="G52" s="207" t="str">
        <f ca="1">IF($D52&lt;&gt;"Serviço","",OFFSET(ORÇAMENTO!S$15,ROW(G52)-ROW(G$15),0))</f>
        <v>M2</v>
      </c>
      <c r="H52" s="151">
        <f ca="1">IF($D52&lt;&gt;"Serviço",0,IF(ACOMPANHAMENTO="BM",ROUND(OFFSET(ORÇAMENTO!AJ$15,ROW(H52)-ROW(H$15),0),15-13*ORÇAMENTO!$AF$7),SUMPRODUCT(($Q$12:$AA$12&lt;&gt;"")*ROUND($Q52:$AA52,15-13*ORÇAMENTO!$AF$7))))</f>
        <v>529.9</v>
      </c>
      <c r="I52" s="649"/>
      <c r="K52" s="208"/>
      <c r="L52" s="209" t="s">
        <v>255</v>
      </c>
      <c r="M52" s="210">
        <f ca="1">IF($D52&lt;&gt;"Serviço","",IF(AUTOEVENTO="manual",$A52,IF(ISERROR(MATCH($A52,$A$15:OFFSET($A52,-1,0),0)),MAX($M$15:OFFSET(M52,-1,0))+1,INDEX($M$15:OFFSET(M52,-1,0),MATCH($A52,$A$15:OFFSET($A52,-1,0),0)))))</f>
        <v>8</v>
      </c>
      <c r="N52" s="211" t="str">
        <f ca="1">IF($D52&lt;&gt;"Serviço","",IF(AUTOEVENTO="Manual",IF($A52=0,"&lt;-- defina o número do agrupador",OFFSET(EVENTOS!$D$14,$A52,0)),OFFSET($F$15,$A52,0)))</f>
        <v>VIGAS (INCLUSO BALDRAME)</v>
      </c>
      <c r="O52" s="212"/>
      <c r="Q52" s="212"/>
      <c r="R52" s="213"/>
      <c r="S52" s="213"/>
      <c r="T52" s="213"/>
      <c r="U52" s="213"/>
      <c r="V52" s="213"/>
      <c r="W52" s="213"/>
      <c r="X52" s="213"/>
      <c r="Y52" s="213"/>
      <c r="Z52" s="214"/>
      <c r="AB52" s="630">
        <f ca="1">IF(AND($D52="Serviço",AB$12&lt;&gt;0,$H52&gt;0,OR(AUTOEVENTO&lt;&gt;"manual",$M52&lt;&gt;1)),
IF(Import.TipoArredondamento&lt;&gt;"TransfereGOV",
ROUND(OFFSET($P52,0,AB$13),15-13*ORÇAMENTO!$AF$7)/$H52*OFFSET(ORÇAMENTO!$X$15,ROW(AB52)-ROW(AB$15),0),
ROUND(ROUND(OFFSET($P52,0,AB$13),15-13*ORÇAMENTO!$AF$7)*OFFSET(ORÇAMENTO!$W$15,ROW(AB52)-ROW(AB$15),0),15-13*ORÇAMENTO!$AF$11)),0)</f>
        <v>0</v>
      </c>
      <c r="AC52" s="631">
        <f ca="1">IF(AND($D52="Serviço",AC$12&lt;&gt;0,$H52&gt;0,OR(AUTOEVENTO&lt;&gt;"manual",$M52&lt;&gt;1)),
IF(Import.TipoArredondamento&lt;&gt;"TransfereGOV",
ROUND(OFFSET($P52,0,AC$13),15-13*ORÇAMENTO!$AF$7)/$H52*OFFSET(ORÇAMENTO!$X$15,ROW(AC52)-ROW(AC$15),0),
ROUND(ROUND(OFFSET($P52,0,AC$13),15-13*ORÇAMENTO!$AF$7)*OFFSET(ORÇAMENTO!$W$15,ROW(AC52)-ROW(AC$15),0),15-13*ORÇAMENTO!$AF$11)),0)</f>
        <v>0</v>
      </c>
      <c r="AD52" s="631">
        <f ca="1">IF(AND($D52="Serviço",AD$12&lt;&gt;0,$H52&gt;0,OR(AUTOEVENTO&lt;&gt;"manual",$M52&lt;&gt;1)),
IF(Import.TipoArredondamento&lt;&gt;"TransfereGOV",
ROUND(OFFSET($P52,0,AD$13),15-13*ORÇAMENTO!$AF$7)/$H52*OFFSET(ORÇAMENTO!$X$15,ROW(AD52)-ROW(AD$15),0),
ROUND(ROUND(OFFSET($P52,0,AD$13),15-13*ORÇAMENTO!$AF$7)*OFFSET(ORÇAMENTO!$W$15,ROW(AD52)-ROW(AD$15),0),15-13*ORÇAMENTO!$AF$11)),0)</f>
        <v>0</v>
      </c>
      <c r="AE52" s="631">
        <f ca="1">IF(AND($D52="Serviço",AE$12&lt;&gt;0,$H52&gt;0,OR(AUTOEVENTO&lt;&gt;"manual",$M52&lt;&gt;1)),
IF(Import.TipoArredondamento&lt;&gt;"TransfereGOV",
ROUND(OFFSET($P52,0,AE$13),15-13*ORÇAMENTO!$AF$7)/$H52*OFFSET(ORÇAMENTO!$X$15,ROW(AE52)-ROW(AE$15),0),
ROUND(ROUND(OFFSET($P52,0,AE$13),15-13*ORÇAMENTO!$AF$7)*OFFSET(ORÇAMENTO!$W$15,ROW(AE52)-ROW(AE$15),0),15-13*ORÇAMENTO!$AF$11)),0)</f>
        <v>0</v>
      </c>
      <c r="AF52" s="631">
        <f ca="1">IF(AND($D52="Serviço",AF$12&lt;&gt;0,$H52&gt;0,OR(AUTOEVENTO&lt;&gt;"manual",$M52&lt;&gt;1)),
IF(Import.TipoArredondamento&lt;&gt;"TransfereGOV",
ROUND(OFFSET($P52,0,AF$13),15-13*ORÇAMENTO!$AF$7)/$H52*OFFSET(ORÇAMENTO!$X$15,ROW(AF52)-ROW(AF$15),0),
ROUND(ROUND(OFFSET($P52,0,AF$13),15-13*ORÇAMENTO!$AF$7)*OFFSET(ORÇAMENTO!$W$15,ROW(AF52)-ROW(AF$15),0),15-13*ORÇAMENTO!$AF$11)),0)</f>
        <v>0</v>
      </c>
      <c r="AG52" s="631">
        <f ca="1">IF(AND($D52="Serviço",AG$12&lt;&gt;0,$H52&gt;0,OR(AUTOEVENTO&lt;&gt;"manual",$M52&lt;&gt;1)),
IF(Import.TipoArredondamento&lt;&gt;"TransfereGOV",
ROUND(OFFSET($P52,0,AG$13),15-13*ORÇAMENTO!$AF$7)/$H52*OFFSET(ORÇAMENTO!$X$15,ROW(AG52)-ROW(AG$15),0),
ROUND(ROUND(OFFSET($P52,0,AG$13),15-13*ORÇAMENTO!$AF$7)*OFFSET(ORÇAMENTO!$W$15,ROW(AG52)-ROW(AG$15),0),15-13*ORÇAMENTO!$AF$11)),0)</f>
        <v>0</v>
      </c>
      <c r="AH52" s="631">
        <f ca="1">IF(AND($D52="Serviço",AH$12&lt;&gt;0,$H52&gt;0,OR(AUTOEVENTO&lt;&gt;"manual",$M52&lt;&gt;1)),
IF(Import.TipoArredondamento&lt;&gt;"TransfereGOV",
ROUND(OFFSET($P52,0,AH$13),15-13*ORÇAMENTO!$AF$7)/$H52*OFFSET(ORÇAMENTO!$X$15,ROW(AH52)-ROW(AH$15),0),
ROUND(ROUND(OFFSET($P52,0,AH$13),15-13*ORÇAMENTO!$AF$7)*OFFSET(ORÇAMENTO!$W$15,ROW(AH52)-ROW(AH$15),0),15-13*ORÇAMENTO!$AF$11)),0)</f>
        <v>0</v>
      </c>
      <c r="AI52" s="631">
        <f ca="1">IF(AND($D52="Serviço",AI$12&lt;&gt;0,$H52&gt;0,OR(AUTOEVENTO&lt;&gt;"manual",$M52&lt;&gt;1)),
IF(Import.TipoArredondamento&lt;&gt;"TransfereGOV",
ROUND(OFFSET($P52,0,AI$13),15-13*ORÇAMENTO!$AF$7)/$H52*OFFSET(ORÇAMENTO!$X$15,ROW(AI52)-ROW(AI$15),0),
ROUND(ROUND(OFFSET($P52,0,AI$13),15-13*ORÇAMENTO!$AF$7)*OFFSET(ORÇAMENTO!$W$15,ROW(AI52)-ROW(AI$15),0),15-13*ORÇAMENTO!$AF$11)),0)</f>
        <v>0</v>
      </c>
      <c r="AJ52" s="631">
        <f ca="1">IF(AND($D52="Serviço",AJ$12&lt;&gt;0,$H52&gt;0,OR(AUTOEVENTO&lt;&gt;"manual",$M52&lt;&gt;1)),
IF(Import.TipoArredondamento&lt;&gt;"TransfereGOV",
ROUND(OFFSET($P52,0,AJ$13),15-13*ORÇAMENTO!$AF$7)/$H52*OFFSET(ORÇAMENTO!$X$15,ROW(AJ52)-ROW(AJ$15),0),
ROUND(ROUND(OFFSET($P52,0,AJ$13),15-13*ORÇAMENTO!$AF$7)*OFFSET(ORÇAMENTO!$W$15,ROW(AJ52)-ROW(AJ$15),0),15-13*ORÇAMENTO!$AF$11)),0)</f>
        <v>0</v>
      </c>
      <c r="AK52" s="632">
        <f ca="1">IF(AND($D52="Serviço",AK$12&lt;&gt;0,$H52&gt;0,OR(AUTOEVENTO&lt;&gt;"manual",$M52&lt;&gt;1)),
IF(Import.TipoArredondamento&lt;&gt;"TransfereGOV",
ROUND(OFFSET($P52,0,AK$13),15-13*ORÇAMENTO!$AF$7)/$H52*OFFSET(ORÇAMENTO!$X$15,ROW(AK52)-ROW(AK$15),0),
ROUND(ROUND(OFFSET($P52,0,AK$13),15-13*ORÇAMENTO!$AF$7)*OFFSET(ORÇAMENTO!$W$15,ROW(AK52)-ROW(AK$15),0),15-13*ORÇAMENTO!$AF$11)),0)</f>
        <v>0</v>
      </c>
      <c r="AM52" s="215">
        <f ca="1">IF($D52&lt;&gt;"Serviço",0,IF(AND(AUTOEVENTO="Manual",$M52=1),0,IF(OFFSET(CRONOPLE!$F$14,$M52,AM$13)="",10^12,OFFSET(CRONOPLE!$F$14,$M52,AM$13))))</f>
        <v>1000000000000</v>
      </c>
      <c r="AN52" s="215">
        <f ca="1">IF($D52&lt;&gt;"Serviço",0,IF(AND(AUTOEVENTO="Manual",$M52=1),0,IF(OFFSET(CRONOPLE!$F$14,$M52,AN$13)="",10^12,OFFSET(CRONOPLE!$F$14,$M52,AN$13))))</f>
        <v>1000000000000</v>
      </c>
      <c r="AO52" s="215">
        <f ca="1">IF($D52&lt;&gt;"Serviço",0,IF(AND(AUTOEVENTO="Manual",$M52=1),0,IF(OFFSET(CRONOPLE!$F$14,$M52,AO$13)="",10^12,OFFSET(CRONOPLE!$F$14,$M52,AO$13))))</f>
        <v>1000000000000</v>
      </c>
      <c r="AP52" s="215">
        <f ca="1">IF($D52&lt;&gt;"Serviço",0,IF(AND(AUTOEVENTO="Manual",$M52=1),0,IF(OFFSET(CRONOPLE!$F$14,$M52,AP$13)="",10^12,OFFSET(CRONOPLE!$F$14,$M52,AP$13))))</f>
        <v>1000000000000</v>
      </c>
      <c r="AQ52" s="215">
        <f ca="1">IF($D52&lt;&gt;"Serviço",0,IF(AND(AUTOEVENTO="Manual",$M52=1),0,IF(OFFSET(CRONOPLE!$F$14,$M52,AQ$13)="",10^12,OFFSET(CRONOPLE!$F$14,$M52,AQ$13))))</f>
        <v>1000000000000</v>
      </c>
      <c r="AR52" s="215">
        <f ca="1">IF($D52&lt;&gt;"Serviço",0,IF(AND(AUTOEVENTO="Manual",$M52=1),0,IF(OFFSET(CRONOPLE!$F$14,$M52,AR$13)="",10^12,OFFSET(CRONOPLE!$F$14,$M52,AR$13))))</f>
        <v>1000000000000</v>
      </c>
      <c r="AS52" s="215">
        <f ca="1">IF($D52&lt;&gt;"Serviço",0,IF(AND(AUTOEVENTO="Manual",$M52=1),0,IF(OFFSET(CRONOPLE!$F$14,$M52,AS$13)="",10^12,OFFSET(CRONOPLE!$F$14,$M52,AS$13))))</f>
        <v>1000000000000</v>
      </c>
      <c r="AT52" s="215">
        <f ca="1">IF($D52&lt;&gt;"Serviço",0,IF(AND(AUTOEVENTO="Manual",$M52=1),0,IF(OFFSET(CRONOPLE!$F$14,$M52,AT$13)="",10^12,OFFSET(CRONOPLE!$F$14,$M52,AT$13))))</f>
        <v>1000000000000</v>
      </c>
      <c r="AU52" s="215">
        <f ca="1">IF($D52&lt;&gt;"Serviço",0,IF(AND(AUTOEVENTO="Manual",$M52=1),0,IF(OFFSET(CRONOPLE!$F$14,$M52,AU$13)="",10^12,OFFSET(CRONOPLE!$F$14,$M52,AU$13))))</f>
        <v>1000000000000</v>
      </c>
      <c r="AV52" s="215">
        <f ca="1">IF($D52&lt;&gt;"Serviço",0,IF(AND(AUTOEVENTO="Manual",$M52=1),0,IF(OFFSET(CRONOPLE!$F$14,$M52,AV$13)="",10^12,OFFSET(CRONOPLE!$F$14,$M52,AV$13))))</f>
        <v>1000000000000</v>
      </c>
      <c r="AX52" s="216">
        <f ca="1">IF($D52&lt;&gt;"Serviço",0,IF(OR(AND(AUTOEVENTO="Manual",$M52=1),$M52&gt;(ROW(PLE.lastrow)-ROW(PLE.firstrow))),0,IF(OFFSET(PLE!$G$14,$M52,AX$13)="",10^12,OFFSET(PLE!$G$14,$M52,AX$13))))</f>
        <v>1000000000000</v>
      </c>
      <c r="AY52" s="216">
        <f ca="1">IF($D52&lt;&gt;"Serviço",0,IF(OR(AND(AUTOEVENTO="Manual",$M52=1),$M52&gt;(ROW(PLE.lastrow)-ROW(PLE.firstrow))),0,IF(OFFSET(PLE!$G$14,$M52,AY$13)="",10^12,OFFSET(PLE!$G$14,$M52,AY$13))))</f>
        <v>1000000000000</v>
      </c>
      <c r="AZ52" s="216">
        <f ca="1">IF($D52&lt;&gt;"Serviço",0,IF(OR(AND(AUTOEVENTO="Manual",$M52=1),$M52&gt;(ROW(PLE.lastrow)-ROW(PLE.firstrow))),0,IF(OFFSET(PLE!$G$14,$M52,AZ$13)="",10^12,OFFSET(PLE!$G$14,$M52,AZ$13))))</f>
        <v>1000000000000</v>
      </c>
      <c r="BA52" s="216">
        <f ca="1">IF($D52&lt;&gt;"Serviço",0,IF(OR(AND(AUTOEVENTO="Manual",$M52=1),$M52&gt;(ROW(PLE.lastrow)-ROW(PLE.firstrow))),0,IF(OFFSET(PLE!$G$14,$M52,BA$13)="",10^12,OFFSET(PLE!$G$14,$M52,BA$13))))</f>
        <v>1000000000000</v>
      </c>
      <c r="BB52" s="216">
        <f ca="1">IF($D52&lt;&gt;"Serviço",0,IF(OR(AND(AUTOEVENTO="Manual",$M52=1),$M52&gt;(ROW(PLE.lastrow)-ROW(PLE.firstrow))),0,IF(OFFSET(PLE!$G$14,$M52,BB$13)="",10^12,OFFSET(PLE!$G$14,$M52,BB$13))))</f>
        <v>1000000000000</v>
      </c>
      <c r="BC52" s="216">
        <f ca="1">IF($D52&lt;&gt;"Serviço",0,IF(OR(AND(AUTOEVENTO="Manual",$M52=1),$M52&gt;(ROW(PLE.lastrow)-ROW(PLE.firstrow))),0,IF(OFFSET(PLE!$G$14,$M52,BC$13)="",10^12,OFFSET(PLE!$G$14,$M52,BC$13))))</f>
        <v>1000000000000</v>
      </c>
      <c r="BD52" s="216">
        <f ca="1">IF($D52&lt;&gt;"Serviço",0,IF(OR(AND(AUTOEVENTO="Manual",$M52=1),$M52&gt;(ROW(PLE.lastrow)-ROW(PLE.firstrow))),0,IF(OFFSET(PLE!$G$14,$M52,BD$13)="",10^12,OFFSET(PLE!$G$14,$M52,BD$13))))</f>
        <v>1000000000000</v>
      </c>
      <c r="BE52" s="216">
        <f ca="1">IF($D52&lt;&gt;"Serviço",0,IF(OR(AND(AUTOEVENTO="Manual",$M52=1),$M52&gt;(ROW(PLE.lastrow)-ROW(PLE.firstrow))),0,IF(OFFSET(PLE!$G$14,$M52,BE$13)="",10^12,OFFSET(PLE!$G$14,$M52,BE$13))))</f>
        <v>1000000000000</v>
      </c>
      <c r="BF52" s="216">
        <f ca="1">IF($D52&lt;&gt;"Serviço",0,IF(OR(AND(AUTOEVENTO="Manual",$M52=1),$M52&gt;(ROW(PLE.lastrow)-ROW(PLE.firstrow))),0,IF(OFFSET(PLE!$G$14,$M52,BF$13)="",10^12,OFFSET(PLE!$G$14,$M52,BF$13))))</f>
        <v>1000000000000</v>
      </c>
      <c r="BG52" s="216">
        <f ca="1">IF($D52&lt;&gt;"Serviço",0,IF(OR(AND(AUTOEVENTO="Manual",$M52=1),$M52&gt;(ROW(PLE.lastrow)-ROW(PLE.firstrow))),0,IF(OFFSET(PLE!$G$14,$M52,BG$13)="",10^12,OFFSET(PLE!$G$14,$M52,BG$13))))</f>
        <v>1000000000000</v>
      </c>
    </row>
    <row r="53" spans="1:59" ht="38.25" x14ac:dyDescent="0.2">
      <c r="A53" s="9" t="str">
        <f t="shared" ca="1" si="8"/>
        <v>36</v>
      </c>
      <c r="B53" s="9" t="str">
        <f ca="1">OFFSET(ORÇAMENTO!C$15,ROW(B53)-ROW(B$15),0)</f>
        <v>S</v>
      </c>
      <c r="C53" s="9" t="str">
        <f ca="1">OFFSET(ORÇAMENTO!L$15,ROW(C53)-ROW(C$15),0)</f>
        <v/>
      </c>
      <c r="D53" s="145" t="str">
        <f ca="1">OFFSET(ORÇAMENTO!N$15,ROW(D53)-ROW(D$15),0)</f>
        <v>Serviço</v>
      </c>
      <c r="E53" s="205" t="str">
        <f ca="1">OFFSET(ORÇAMENTO!O$15,ROW(E53)-ROW(E$15),0)</f>
        <v>-</v>
      </c>
      <c r="F53" s="206" t="str">
        <f ca="1">OFFSET(ORÇAMENTO!R$15,ROW(F53)-ROW(F$15),0)</f>
        <v>CONCRETAGEM DE VIGAS E LAJES, FCK=25 MPA, PARA LAJES PREMOLDADAS COM USO DE BOMBA - LANÇAMENTO, ADENSAMENTO E ACABAMENTO. AF_02/2022_PS</v>
      </c>
      <c r="G53" s="207" t="str">
        <f ca="1">IF($D53&lt;&gt;"Serviço","",OFFSET(ORÇAMENTO!S$15,ROW(G53)-ROW(G$15),0))</f>
        <v>M3</v>
      </c>
      <c r="H53" s="151">
        <f ca="1">IF($D53&lt;&gt;"Serviço",0,IF(ACOMPANHAMENTO="BM",ROUND(OFFSET(ORÇAMENTO!AJ$15,ROW(H53)-ROW(H$15),0),15-13*ORÇAMENTO!$AF$7),SUMPRODUCT(($Q$12:$AA$12&lt;&gt;"")*ROUND($Q53:$AA53,15-13*ORÇAMENTO!$AF$7))))</f>
        <v>49.8</v>
      </c>
      <c r="I53" s="649"/>
      <c r="K53" s="208"/>
      <c r="L53" s="209" t="s">
        <v>255</v>
      </c>
      <c r="M53" s="210">
        <f ca="1">IF($D53&lt;&gt;"Serviço","",IF(AUTOEVENTO="manual",$A53,IF(ISERROR(MATCH($A53,$A$15:OFFSET($A53,-1,0),0)),MAX($M$15:OFFSET(M53,-1,0))+1,INDEX($M$15:OFFSET(M53,-1,0),MATCH($A53,$A$15:OFFSET($A53,-1,0),0)))))</f>
        <v>8</v>
      </c>
      <c r="N53" s="211" t="str">
        <f ca="1">IF($D53&lt;&gt;"Serviço","",IF(AUTOEVENTO="Manual",IF($A53=0,"&lt;-- defina o número do agrupador",OFFSET(EVENTOS!$D$14,$A53,0)),OFFSET($F$15,$A53,0)))</f>
        <v>VIGAS (INCLUSO BALDRAME)</v>
      </c>
      <c r="O53" s="212"/>
      <c r="Q53" s="212"/>
      <c r="R53" s="213"/>
      <c r="S53" s="213"/>
      <c r="T53" s="213"/>
      <c r="U53" s="213"/>
      <c r="V53" s="213"/>
      <c r="W53" s="213"/>
      <c r="X53" s="213"/>
      <c r="Y53" s="213"/>
      <c r="Z53" s="214"/>
      <c r="AB53" s="630">
        <f ca="1">IF(AND($D53="Serviço",AB$12&lt;&gt;0,$H53&gt;0,OR(AUTOEVENTO&lt;&gt;"manual",$M53&lt;&gt;1)),
IF(Import.TipoArredondamento&lt;&gt;"TransfereGOV",
ROUND(OFFSET($P53,0,AB$13),15-13*ORÇAMENTO!$AF$7)/$H53*OFFSET(ORÇAMENTO!$X$15,ROW(AB53)-ROW(AB$15),0),
ROUND(ROUND(OFFSET($P53,0,AB$13),15-13*ORÇAMENTO!$AF$7)*OFFSET(ORÇAMENTO!$W$15,ROW(AB53)-ROW(AB$15),0),15-13*ORÇAMENTO!$AF$11)),0)</f>
        <v>0</v>
      </c>
      <c r="AC53" s="631">
        <f ca="1">IF(AND($D53="Serviço",AC$12&lt;&gt;0,$H53&gt;0,OR(AUTOEVENTO&lt;&gt;"manual",$M53&lt;&gt;1)),
IF(Import.TipoArredondamento&lt;&gt;"TransfereGOV",
ROUND(OFFSET($P53,0,AC$13),15-13*ORÇAMENTO!$AF$7)/$H53*OFFSET(ORÇAMENTO!$X$15,ROW(AC53)-ROW(AC$15),0),
ROUND(ROUND(OFFSET($P53,0,AC$13),15-13*ORÇAMENTO!$AF$7)*OFFSET(ORÇAMENTO!$W$15,ROW(AC53)-ROW(AC$15),0),15-13*ORÇAMENTO!$AF$11)),0)</f>
        <v>0</v>
      </c>
      <c r="AD53" s="631">
        <f ca="1">IF(AND($D53="Serviço",AD$12&lt;&gt;0,$H53&gt;0,OR(AUTOEVENTO&lt;&gt;"manual",$M53&lt;&gt;1)),
IF(Import.TipoArredondamento&lt;&gt;"TransfereGOV",
ROUND(OFFSET($P53,0,AD$13),15-13*ORÇAMENTO!$AF$7)/$H53*OFFSET(ORÇAMENTO!$X$15,ROW(AD53)-ROW(AD$15),0),
ROUND(ROUND(OFFSET($P53,0,AD$13),15-13*ORÇAMENTO!$AF$7)*OFFSET(ORÇAMENTO!$W$15,ROW(AD53)-ROW(AD$15),0),15-13*ORÇAMENTO!$AF$11)),0)</f>
        <v>0</v>
      </c>
      <c r="AE53" s="631">
        <f ca="1">IF(AND($D53="Serviço",AE$12&lt;&gt;0,$H53&gt;0,OR(AUTOEVENTO&lt;&gt;"manual",$M53&lt;&gt;1)),
IF(Import.TipoArredondamento&lt;&gt;"TransfereGOV",
ROUND(OFFSET($P53,0,AE$13),15-13*ORÇAMENTO!$AF$7)/$H53*OFFSET(ORÇAMENTO!$X$15,ROW(AE53)-ROW(AE$15),0),
ROUND(ROUND(OFFSET($P53,0,AE$13),15-13*ORÇAMENTO!$AF$7)*OFFSET(ORÇAMENTO!$W$15,ROW(AE53)-ROW(AE$15),0),15-13*ORÇAMENTO!$AF$11)),0)</f>
        <v>0</v>
      </c>
      <c r="AF53" s="631">
        <f ca="1">IF(AND($D53="Serviço",AF$12&lt;&gt;0,$H53&gt;0,OR(AUTOEVENTO&lt;&gt;"manual",$M53&lt;&gt;1)),
IF(Import.TipoArredondamento&lt;&gt;"TransfereGOV",
ROUND(OFFSET($P53,0,AF$13),15-13*ORÇAMENTO!$AF$7)/$H53*OFFSET(ORÇAMENTO!$X$15,ROW(AF53)-ROW(AF$15),0),
ROUND(ROUND(OFFSET($P53,0,AF$13),15-13*ORÇAMENTO!$AF$7)*OFFSET(ORÇAMENTO!$W$15,ROW(AF53)-ROW(AF$15),0),15-13*ORÇAMENTO!$AF$11)),0)</f>
        <v>0</v>
      </c>
      <c r="AG53" s="631">
        <f ca="1">IF(AND($D53="Serviço",AG$12&lt;&gt;0,$H53&gt;0,OR(AUTOEVENTO&lt;&gt;"manual",$M53&lt;&gt;1)),
IF(Import.TipoArredondamento&lt;&gt;"TransfereGOV",
ROUND(OFFSET($P53,0,AG$13),15-13*ORÇAMENTO!$AF$7)/$H53*OFFSET(ORÇAMENTO!$X$15,ROW(AG53)-ROW(AG$15),0),
ROUND(ROUND(OFFSET($P53,0,AG$13),15-13*ORÇAMENTO!$AF$7)*OFFSET(ORÇAMENTO!$W$15,ROW(AG53)-ROW(AG$15),0),15-13*ORÇAMENTO!$AF$11)),0)</f>
        <v>0</v>
      </c>
      <c r="AH53" s="631">
        <f ca="1">IF(AND($D53="Serviço",AH$12&lt;&gt;0,$H53&gt;0,OR(AUTOEVENTO&lt;&gt;"manual",$M53&lt;&gt;1)),
IF(Import.TipoArredondamento&lt;&gt;"TransfereGOV",
ROUND(OFFSET($P53,0,AH$13),15-13*ORÇAMENTO!$AF$7)/$H53*OFFSET(ORÇAMENTO!$X$15,ROW(AH53)-ROW(AH$15),0),
ROUND(ROUND(OFFSET($P53,0,AH$13),15-13*ORÇAMENTO!$AF$7)*OFFSET(ORÇAMENTO!$W$15,ROW(AH53)-ROW(AH$15),0),15-13*ORÇAMENTO!$AF$11)),0)</f>
        <v>0</v>
      </c>
      <c r="AI53" s="631">
        <f ca="1">IF(AND($D53="Serviço",AI$12&lt;&gt;0,$H53&gt;0,OR(AUTOEVENTO&lt;&gt;"manual",$M53&lt;&gt;1)),
IF(Import.TipoArredondamento&lt;&gt;"TransfereGOV",
ROUND(OFFSET($P53,0,AI$13),15-13*ORÇAMENTO!$AF$7)/$H53*OFFSET(ORÇAMENTO!$X$15,ROW(AI53)-ROW(AI$15),0),
ROUND(ROUND(OFFSET($P53,0,AI$13),15-13*ORÇAMENTO!$AF$7)*OFFSET(ORÇAMENTO!$W$15,ROW(AI53)-ROW(AI$15),0),15-13*ORÇAMENTO!$AF$11)),0)</f>
        <v>0</v>
      </c>
      <c r="AJ53" s="631">
        <f ca="1">IF(AND($D53="Serviço",AJ$12&lt;&gt;0,$H53&gt;0,OR(AUTOEVENTO&lt;&gt;"manual",$M53&lt;&gt;1)),
IF(Import.TipoArredondamento&lt;&gt;"TransfereGOV",
ROUND(OFFSET($P53,0,AJ$13),15-13*ORÇAMENTO!$AF$7)/$H53*OFFSET(ORÇAMENTO!$X$15,ROW(AJ53)-ROW(AJ$15),0),
ROUND(ROUND(OFFSET($P53,0,AJ$13),15-13*ORÇAMENTO!$AF$7)*OFFSET(ORÇAMENTO!$W$15,ROW(AJ53)-ROW(AJ$15),0),15-13*ORÇAMENTO!$AF$11)),0)</f>
        <v>0</v>
      </c>
      <c r="AK53" s="632">
        <f ca="1">IF(AND($D53="Serviço",AK$12&lt;&gt;0,$H53&gt;0,OR(AUTOEVENTO&lt;&gt;"manual",$M53&lt;&gt;1)),
IF(Import.TipoArredondamento&lt;&gt;"TransfereGOV",
ROUND(OFFSET($P53,0,AK$13),15-13*ORÇAMENTO!$AF$7)/$H53*OFFSET(ORÇAMENTO!$X$15,ROW(AK53)-ROW(AK$15),0),
ROUND(ROUND(OFFSET($P53,0,AK$13),15-13*ORÇAMENTO!$AF$7)*OFFSET(ORÇAMENTO!$W$15,ROW(AK53)-ROW(AK$15),0),15-13*ORÇAMENTO!$AF$11)),0)</f>
        <v>0</v>
      </c>
      <c r="AM53" s="215">
        <f ca="1">IF($D53&lt;&gt;"Serviço",0,IF(AND(AUTOEVENTO="Manual",$M53=1),0,IF(OFFSET(CRONOPLE!$F$14,$M53,AM$13)="",10^12,OFFSET(CRONOPLE!$F$14,$M53,AM$13))))</f>
        <v>1000000000000</v>
      </c>
      <c r="AN53" s="215">
        <f ca="1">IF($D53&lt;&gt;"Serviço",0,IF(AND(AUTOEVENTO="Manual",$M53=1),0,IF(OFFSET(CRONOPLE!$F$14,$M53,AN$13)="",10^12,OFFSET(CRONOPLE!$F$14,$M53,AN$13))))</f>
        <v>1000000000000</v>
      </c>
      <c r="AO53" s="215">
        <f ca="1">IF($D53&lt;&gt;"Serviço",0,IF(AND(AUTOEVENTO="Manual",$M53=1),0,IF(OFFSET(CRONOPLE!$F$14,$M53,AO$13)="",10^12,OFFSET(CRONOPLE!$F$14,$M53,AO$13))))</f>
        <v>1000000000000</v>
      </c>
      <c r="AP53" s="215">
        <f ca="1">IF($D53&lt;&gt;"Serviço",0,IF(AND(AUTOEVENTO="Manual",$M53=1),0,IF(OFFSET(CRONOPLE!$F$14,$M53,AP$13)="",10^12,OFFSET(CRONOPLE!$F$14,$M53,AP$13))))</f>
        <v>1000000000000</v>
      </c>
      <c r="AQ53" s="215">
        <f ca="1">IF($D53&lt;&gt;"Serviço",0,IF(AND(AUTOEVENTO="Manual",$M53=1),0,IF(OFFSET(CRONOPLE!$F$14,$M53,AQ$13)="",10^12,OFFSET(CRONOPLE!$F$14,$M53,AQ$13))))</f>
        <v>1000000000000</v>
      </c>
      <c r="AR53" s="215">
        <f ca="1">IF($D53&lt;&gt;"Serviço",0,IF(AND(AUTOEVENTO="Manual",$M53=1),0,IF(OFFSET(CRONOPLE!$F$14,$M53,AR$13)="",10^12,OFFSET(CRONOPLE!$F$14,$M53,AR$13))))</f>
        <v>1000000000000</v>
      </c>
      <c r="AS53" s="215">
        <f ca="1">IF($D53&lt;&gt;"Serviço",0,IF(AND(AUTOEVENTO="Manual",$M53=1),0,IF(OFFSET(CRONOPLE!$F$14,$M53,AS$13)="",10^12,OFFSET(CRONOPLE!$F$14,$M53,AS$13))))</f>
        <v>1000000000000</v>
      </c>
      <c r="AT53" s="215">
        <f ca="1">IF($D53&lt;&gt;"Serviço",0,IF(AND(AUTOEVENTO="Manual",$M53=1),0,IF(OFFSET(CRONOPLE!$F$14,$M53,AT$13)="",10^12,OFFSET(CRONOPLE!$F$14,$M53,AT$13))))</f>
        <v>1000000000000</v>
      </c>
      <c r="AU53" s="215">
        <f ca="1">IF($D53&lt;&gt;"Serviço",0,IF(AND(AUTOEVENTO="Manual",$M53=1),0,IF(OFFSET(CRONOPLE!$F$14,$M53,AU$13)="",10^12,OFFSET(CRONOPLE!$F$14,$M53,AU$13))))</f>
        <v>1000000000000</v>
      </c>
      <c r="AV53" s="215">
        <f ca="1">IF($D53&lt;&gt;"Serviço",0,IF(AND(AUTOEVENTO="Manual",$M53=1),0,IF(OFFSET(CRONOPLE!$F$14,$M53,AV$13)="",10^12,OFFSET(CRONOPLE!$F$14,$M53,AV$13))))</f>
        <v>1000000000000</v>
      </c>
      <c r="AX53" s="216">
        <f ca="1">IF($D53&lt;&gt;"Serviço",0,IF(OR(AND(AUTOEVENTO="Manual",$M53=1),$M53&gt;(ROW(PLE.lastrow)-ROW(PLE.firstrow))),0,IF(OFFSET(PLE!$G$14,$M53,AX$13)="",10^12,OFFSET(PLE!$G$14,$M53,AX$13))))</f>
        <v>1000000000000</v>
      </c>
      <c r="AY53" s="216">
        <f ca="1">IF($D53&lt;&gt;"Serviço",0,IF(OR(AND(AUTOEVENTO="Manual",$M53=1),$M53&gt;(ROW(PLE.lastrow)-ROW(PLE.firstrow))),0,IF(OFFSET(PLE!$G$14,$M53,AY$13)="",10^12,OFFSET(PLE!$G$14,$M53,AY$13))))</f>
        <v>1000000000000</v>
      </c>
      <c r="AZ53" s="216">
        <f ca="1">IF($D53&lt;&gt;"Serviço",0,IF(OR(AND(AUTOEVENTO="Manual",$M53=1),$M53&gt;(ROW(PLE.lastrow)-ROW(PLE.firstrow))),0,IF(OFFSET(PLE!$G$14,$M53,AZ$13)="",10^12,OFFSET(PLE!$G$14,$M53,AZ$13))))</f>
        <v>1000000000000</v>
      </c>
      <c r="BA53" s="216">
        <f ca="1">IF($D53&lt;&gt;"Serviço",0,IF(OR(AND(AUTOEVENTO="Manual",$M53=1),$M53&gt;(ROW(PLE.lastrow)-ROW(PLE.firstrow))),0,IF(OFFSET(PLE!$G$14,$M53,BA$13)="",10^12,OFFSET(PLE!$G$14,$M53,BA$13))))</f>
        <v>1000000000000</v>
      </c>
      <c r="BB53" s="216">
        <f ca="1">IF($D53&lt;&gt;"Serviço",0,IF(OR(AND(AUTOEVENTO="Manual",$M53=1),$M53&gt;(ROW(PLE.lastrow)-ROW(PLE.firstrow))),0,IF(OFFSET(PLE!$G$14,$M53,BB$13)="",10^12,OFFSET(PLE!$G$14,$M53,BB$13))))</f>
        <v>1000000000000</v>
      </c>
      <c r="BC53" s="216">
        <f ca="1">IF($D53&lt;&gt;"Serviço",0,IF(OR(AND(AUTOEVENTO="Manual",$M53=1),$M53&gt;(ROW(PLE.lastrow)-ROW(PLE.firstrow))),0,IF(OFFSET(PLE!$G$14,$M53,BC$13)="",10^12,OFFSET(PLE!$G$14,$M53,BC$13))))</f>
        <v>1000000000000</v>
      </c>
      <c r="BD53" s="216">
        <f ca="1">IF($D53&lt;&gt;"Serviço",0,IF(OR(AND(AUTOEVENTO="Manual",$M53=1),$M53&gt;(ROW(PLE.lastrow)-ROW(PLE.firstrow))),0,IF(OFFSET(PLE!$G$14,$M53,BD$13)="",10^12,OFFSET(PLE!$G$14,$M53,BD$13))))</f>
        <v>1000000000000</v>
      </c>
      <c r="BE53" s="216">
        <f ca="1">IF($D53&lt;&gt;"Serviço",0,IF(OR(AND(AUTOEVENTO="Manual",$M53=1),$M53&gt;(ROW(PLE.lastrow)-ROW(PLE.firstrow))),0,IF(OFFSET(PLE!$G$14,$M53,BE$13)="",10^12,OFFSET(PLE!$G$14,$M53,BE$13))))</f>
        <v>1000000000000</v>
      </c>
      <c r="BF53" s="216">
        <f ca="1">IF($D53&lt;&gt;"Serviço",0,IF(OR(AND(AUTOEVENTO="Manual",$M53=1),$M53&gt;(ROW(PLE.lastrow)-ROW(PLE.firstrow))),0,IF(OFFSET(PLE!$G$14,$M53,BF$13)="",10^12,OFFSET(PLE!$G$14,$M53,BF$13))))</f>
        <v>1000000000000</v>
      </c>
      <c r="BG53" s="216">
        <f ca="1">IF($D53&lt;&gt;"Serviço",0,IF(OR(AND(AUTOEVENTO="Manual",$M53=1),$M53&gt;(ROW(PLE.lastrow)-ROW(PLE.firstrow))),0,IF(OFFSET(PLE!$G$14,$M53,BG$13)="",10^12,OFFSET(PLE!$G$14,$M53,BG$13))))</f>
        <v>1000000000000</v>
      </c>
    </row>
    <row r="54" spans="1:59" ht="38.25" x14ac:dyDescent="0.2">
      <c r="A54" s="9" t="str">
        <f t="shared" ca="1" si="8"/>
        <v>36</v>
      </c>
      <c r="B54" s="9" t="str">
        <f ca="1">OFFSET(ORÇAMENTO!C$15,ROW(B54)-ROW(B$15),0)</f>
        <v>S</v>
      </c>
      <c r="C54" s="9" t="str">
        <f ca="1">OFFSET(ORÇAMENTO!L$15,ROW(C54)-ROW(C$15),0)</f>
        <v/>
      </c>
      <c r="D54" s="145" t="str">
        <f ca="1">OFFSET(ORÇAMENTO!N$15,ROW(D54)-ROW(D$15),0)</f>
        <v>Serviço</v>
      </c>
      <c r="E54" s="205" t="str">
        <f ca="1">OFFSET(ORÇAMENTO!O$15,ROW(E54)-ROW(E$15),0)</f>
        <v>-</v>
      </c>
      <c r="F54" s="206" t="str">
        <f ca="1">OFFSET(ORÇAMENTO!R$15,ROW(F54)-ROW(F$15),0)</f>
        <v>ARMAÇÃO DE PILAR OU VIGA DE ESTRUTURA CONVENCIONAL DE CONCRETO ARMADO UTILIZANDO AÇO CA-50 DE 10,0 MM - MONTAGEM. AF_06/2022</v>
      </c>
      <c r="G54" s="207" t="str">
        <f ca="1">IF($D54&lt;&gt;"Serviço","",OFFSET(ORÇAMENTO!S$15,ROW(G54)-ROW(G$15),0))</f>
        <v>KG</v>
      </c>
      <c r="H54" s="151">
        <f ca="1">IF($D54&lt;&gt;"Serviço",0,IF(ACOMPANHAMENTO="BM",ROUND(OFFSET(ORÇAMENTO!AJ$15,ROW(H54)-ROW(H$15),0),15-13*ORÇAMENTO!$AF$7),SUMPRODUCT(($Q$12:$AA$12&lt;&gt;"")*ROUND($Q54:$AA54,15-13*ORÇAMENTO!$AF$7))))</f>
        <v>465.2</v>
      </c>
      <c r="I54" s="649"/>
      <c r="K54" s="208"/>
      <c r="L54" s="209" t="s">
        <v>255</v>
      </c>
      <c r="M54" s="210">
        <f ca="1">IF($D54&lt;&gt;"Serviço","",IF(AUTOEVENTO="manual",$A54,IF(ISERROR(MATCH($A54,$A$15:OFFSET($A54,-1,0),0)),MAX($M$15:OFFSET(M54,-1,0))+1,INDEX($M$15:OFFSET(M54,-1,0),MATCH($A54,$A$15:OFFSET($A54,-1,0),0)))))</f>
        <v>8</v>
      </c>
      <c r="N54" s="211" t="str">
        <f ca="1">IF($D54&lt;&gt;"Serviço","",IF(AUTOEVENTO="Manual",IF($A54=0,"&lt;-- defina o número do agrupador",OFFSET(EVENTOS!$D$14,$A54,0)),OFFSET($F$15,$A54,0)))</f>
        <v>VIGAS (INCLUSO BALDRAME)</v>
      </c>
      <c r="O54" s="212"/>
      <c r="Q54" s="212"/>
      <c r="R54" s="213"/>
      <c r="S54" s="213"/>
      <c r="T54" s="213"/>
      <c r="U54" s="213"/>
      <c r="V54" s="213"/>
      <c r="W54" s="213"/>
      <c r="X54" s="213"/>
      <c r="Y54" s="213"/>
      <c r="Z54" s="214"/>
      <c r="AB54" s="630">
        <f ca="1">IF(AND($D54="Serviço",AB$12&lt;&gt;0,$H54&gt;0,OR(AUTOEVENTO&lt;&gt;"manual",$M54&lt;&gt;1)),
IF(Import.TipoArredondamento&lt;&gt;"TransfereGOV",
ROUND(OFFSET($P54,0,AB$13),15-13*ORÇAMENTO!$AF$7)/$H54*OFFSET(ORÇAMENTO!$X$15,ROW(AB54)-ROW(AB$15),0),
ROUND(ROUND(OFFSET($P54,0,AB$13),15-13*ORÇAMENTO!$AF$7)*OFFSET(ORÇAMENTO!$W$15,ROW(AB54)-ROW(AB$15),0),15-13*ORÇAMENTO!$AF$11)),0)</f>
        <v>0</v>
      </c>
      <c r="AC54" s="631">
        <f ca="1">IF(AND($D54="Serviço",AC$12&lt;&gt;0,$H54&gt;0,OR(AUTOEVENTO&lt;&gt;"manual",$M54&lt;&gt;1)),
IF(Import.TipoArredondamento&lt;&gt;"TransfereGOV",
ROUND(OFFSET($P54,0,AC$13),15-13*ORÇAMENTO!$AF$7)/$H54*OFFSET(ORÇAMENTO!$X$15,ROW(AC54)-ROW(AC$15),0),
ROUND(ROUND(OFFSET($P54,0,AC$13),15-13*ORÇAMENTO!$AF$7)*OFFSET(ORÇAMENTO!$W$15,ROW(AC54)-ROW(AC$15),0),15-13*ORÇAMENTO!$AF$11)),0)</f>
        <v>0</v>
      </c>
      <c r="AD54" s="631">
        <f ca="1">IF(AND($D54="Serviço",AD$12&lt;&gt;0,$H54&gt;0,OR(AUTOEVENTO&lt;&gt;"manual",$M54&lt;&gt;1)),
IF(Import.TipoArredondamento&lt;&gt;"TransfereGOV",
ROUND(OFFSET($P54,0,AD$13),15-13*ORÇAMENTO!$AF$7)/$H54*OFFSET(ORÇAMENTO!$X$15,ROW(AD54)-ROW(AD$15),0),
ROUND(ROUND(OFFSET($P54,0,AD$13),15-13*ORÇAMENTO!$AF$7)*OFFSET(ORÇAMENTO!$W$15,ROW(AD54)-ROW(AD$15),0),15-13*ORÇAMENTO!$AF$11)),0)</f>
        <v>0</v>
      </c>
      <c r="AE54" s="631">
        <f ca="1">IF(AND($D54="Serviço",AE$12&lt;&gt;0,$H54&gt;0,OR(AUTOEVENTO&lt;&gt;"manual",$M54&lt;&gt;1)),
IF(Import.TipoArredondamento&lt;&gt;"TransfereGOV",
ROUND(OFFSET($P54,0,AE$13),15-13*ORÇAMENTO!$AF$7)/$H54*OFFSET(ORÇAMENTO!$X$15,ROW(AE54)-ROW(AE$15),0),
ROUND(ROUND(OFFSET($P54,0,AE$13),15-13*ORÇAMENTO!$AF$7)*OFFSET(ORÇAMENTO!$W$15,ROW(AE54)-ROW(AE$15),0),15-13*ORÇAMENTO!$AF$11)),0)</f>
        <v>0</v>
      </c>
      <c r="AF54" s="631">
        <f ca="1">IF(AND($D54="Serviço",AF$12&lt;&gt;0,$H54&gt;0,OR(AUTOEVENTO&lt;&gt;"manual",$M54&lt;&gt;1)),
IF(Import.TipoArredondamento&lt;&gt;"TransfereGOV",
ROUND(OFFSET($P54,0,AF$13),15-13*ORÇAMENTO!$AF$7)/$H54*OFFSET(ORÇAMENTO!$X$15,ROW(AF54)-ROW(AF$15),0),
ROUND(ROUND(OFFSET($P54,0,AF$13),15-13*ORÇAMENTO!$AF$7)*OFFSET(ORÇAMENTO!$W$15,ROW(AF54)-ROW(AF$15),0),15-13*ORÇAMENTO!$AF$11)),0)</f>
        <v>0</v>
      </c>
      <c r="AG54" s="631">
        <f ca="1">IF(AND($D54="Serviço",AG$12&lt;&gt;0,$H54&gt;0,OR(AUTOEVENTO&lt;&gt;"manual",$M54&lt;&gt;1)),
IF(Import.TipoArredondamento&lt;&gt;"TransfereGOV",
ROUND(OFFSET($P54,0,AG$13),15-13*ORÇAMENTO!$AF$7)/$H54*OFFSET(ORÇAMENTO!$X$15,ROW(AG54)-ROW(AG$15),0),
ROUND(ROUND(OFFSET($P54,0,AG$13),15-13*ORÇAMENTO!$AF$7)*OFFSET(ORÇAMENTO!$W$15,ROW(AG54)-ROW(AG$15),0),15-13*ORÇAMENTO!$AF$11)),0)</f>
        <v>0</v>
      </c>
      <c r="AH54" s="631">
        <f ca="1">IF(AND($D54="Serviço",AH$12&lt;&gt;0,$H54&gt;0,OR(AUTOEVENTO&lt;&gt;"manual",$M54&lt;&gt;1)),
IF(Import.TipoArredondamento&lt;&gt;"TransfereGOV",
ROUND(OFFSET($P54,0,AH$13),15-13*ORÇAMENTO!$AF$7)/$H54*OFFSET(ORÇAMENTO!$X$15,ROW(AH54)-ROW(AH$15),0),
ROUND(ROUND(OFFSET($P54,0,AH$13),15-13*ORÇAMENTO!$AF$7)*OFFSET(ORÇAMENTO!$W$15,ROW(AH54)-ROW(AH$15),0),15-13*ORÇAMENTO!$AF$11)),0)</f>
        <v>0</v>
      </c>
      <c r="AI54" s="631">
        <f ca="1">IF(AND($D54="Serviço",AI$12&lt;&gt;0,$H54&gt;0,OR(AUTOEVENTO&lt;&gt;"manual",$M54&lt;&gt;1)),
IF(Import.TipoArredondamento&lt;&gt;"TransfereGOV",
ROUND(OFFSET($P54,0,AI$13),15-13*ORÇAMENTO!$AF$7)/$H54*OFFSET(ORÇAMENTO!$X$15,ROW(AI54)-ROW(AI$15),0),
ROUND(ROUND(OFFSET($P54,0,AI$13),15-13*ORÇAMENTO!$AF$7)*OFFSET(ORÇAMENTO!$W$15,ROW(AI54)-ROW(AI$15),0),15-13*ORÇAMENTO!$AF$11)),0)</f>
        <v>0</v>
      </c>
      <c r="AJ54" s="631">
        <f ca="1">IF(AND($D54="Serviço",AJ$12&lt;&gt;0,$H54&gt;0,OR(AUTOEVENTO&lt;&gt;"manual",$M54&lt;&gt;1)),
IF(Import.TipoArredondamento&lt;&gt;"TransfereGOV",
ROUND(OFFSET($P54,0,AJ$13),15-13*ORÇAMENTO!$AF$7)/$H54*OFFSET(ORÇAMENTO!$X$15,ROW(AJ54)-ROW(AJ$15),0),
ROUND(ROUND(OFFSET($P54,0,AJ$13),15-13*ORÇAMENTO!$AF$7)*OFFSET(ORÇAMENTO!$W$15,ROW(AJ54)-ROW(AJ$15),0),15-13*ORÇAMENTO!$AF$11)),0)</f>
        <v>0</v>
      </c>
      <c r="AK54" s="632">
        <f ca="1">IF(AND($D54="Serviço",AK$12&lt;&gt;0,$H54&gt;0,OR(AUTOEVENTO&lt;&gt;"manual",$M54&lt;&gt;1)),
IF(Import.TipoArredondamento&lt;&gt;"TransfereGOV",
ROUND(OFFSET($P54,0,AK$13),15-13*ORÇAMENTO!$AF$7)/$H54*OFFSET(ORÇAMENTO!$X$15,ROW(AK54)-ROW(AK$15),0),
ROUND(ROUND(OFFSET($P54,0,AK$13),15-13*ORÇAMENTO!$AF$7)*OFFSET(ORÇAMENTO!$W$15,ROW(AK54)-ROW(AK$15),0),15-13*ORÇAMENTO!$AF$11)),0)</f>
        <v>0</v>
      </c>
      <c r="AM54" s="215">
        <f ca="1">IF($D54&lt;&gt;"Serviço",0,IF(AND(AUTOEVENTO="Manual",$M54=1),0,IF(OFFSET(CRONOPLE!$F$14,$M54,AM$13)="",10^12,OFFSET(CRONOPLE!$F$14,$M54,AM$13))))</f>
        <v>1000000000000</v>
      </c>
      <c r="AN54" s="215">
        <f ca="1">IF($D54&lt;&gt;"Serviço",0,IF(AND(AUTOEVENTO="Manual",$M54=1),0,IF(OFFSET(CRONOPLE!$F$14,$M54,AN$13)="",10^12,OFFSET(CRONOPLE!$F$14,$M54,AN$13))))</f>
        <v>1000000000000</v>
      </c>
      <c r="AO54" s="215">
        <f ca="1">IF($D54&lt;&gt;"Serviço",0,IF(AND(AUTOEVENTO="Manual",$M54=1),0,IF(OFFSET(CRONOPLE!$F$14,$M54,AO$13)="",10^12,OFFSET(CRONOPLE!$F$14,$M54,AO$13))))</f>
        <v>1000000000000</v>
      </c>
      <c r="AP54" s="215">
        <f ca="1">IF($D54&lt;&gt;"Serviço",0,IF(AND(AUTOEVENTO="Manual",$M54=1),0,IF(OFFSET(CRONOPLE!$F$14,$M54,AP$13)="",10^12,OFFSET(CRONOPLE!$F$14,$M54,AP$13))))</f>
        <v>1000000000000</v>
      </c>
      <c r="AQ54" s="215">
        <f ca="1">IF($D54&lt;&gt;"Serviço",0,IF(AND(AUTOEVENTO="Manual",$M54=1),0,IF(OFFSET(CRONOPLE!$F$14,$M54,AQ$13)="",10^12,OFFSET(CRONOPLE!$F$14,$M54,AQ$13))))</f>
        <v>1000000000000</v>
      </c>
      <c r="AR54" s="215">
        <f ca="1">IF($D54&lt;&gt;"Serviço",0,IF(AND(AUTOEVENTO="Manual",$M54=1),0,IF(OFFSET(CRONOPLE!$F$14,$M54,AR$13)="",10^12,OFFSET(CRONOPLE!$F$14,$M54,AR$13))))</f>
        <v>1000000000000</v>
      </c>
      <c r="AS54" s="215">
        <f ca="1">IF($D54&lt;&gt;"Serviço",0,IF(AND(AUTOEVENTO="Manual",$M54=1),0,IF(OFFSET(CRONOPLE!$F$14,$M54,AS$13)="",10^12,OFFSET(CRONOPLE!$F$14,$M54,AS$13))))</f>
        <v>1000000000000</v>
      </c>
      <c r="AT54" s="215">
        <f ca="1">IF($D54&lt;&gt;"Serviço",0,IF(AND(AUTOEVENTO="Manual",$M54=1),0,IF(OFFSET(CRONOPLE!$F$14,$M54,AT$13)="",10^12,OFFSET(CRONOPLE!$F$14,$M54,AT$13))))</f>
        <v>1000000000000</v>
      </c>
      <c r="AU54" s="215">
        <f ca="1">IF($D54&lt;&gt;"Serviço",0,IF(AND(AUTOEVENTO="Manual",$M54=1),0,IF(OFFSET(CRONOPLE!$F$14,$M54,AU$13)="",10^12,OFFSET(CRONOPLE!$F$14,$M54,AU$13))))</f>
        <v>1000000000000</v>
      </c>
      <c r="AV54" s="215">
        <f ca="1">IF($D54&lt;&gt;"Serviço",0,IF(AND(AUTOEVENTO="Manual",$M54=1),0,IF(OFFSET(CRONOPLE!$F$14,$M54,AV$13)="",10^12,OFFSET(CRONOPLE!$F$14,$M54,AV$13))))</f>
        <v>1000000000000</v>
      </c>
      <c r="AX54" s="216">
        <f ca="1">IF($D54&lt;&gt;"Serviço",0,IF(OR(AND(AUTOEVENTO="Manual",$M54=1),$M54&gt;(ROW(PLE.lastrow)-ROW(PLE.firstrow))),0,IF(OFFSET(PLE!$G$14,$M54,AX$13)="",10^12,OFFSET(PLE!$G$14,$M54,AX$13))))</f>
        <v>1000000000000</v>
      </c>
      <c r="AY54" s="216">
        <f ca="1">IF($D54&lt;&gt;"Serviço",0,IF(OR(AND(AUTOEVENTO="Manual",$M54=1),$M54&gt;(ROW(PLE.lastrow)-ROW(PLE.firstrow))),0,IF(OFFSET(PLE!$G$14,$M54,AY$13)="",10^12,OFFSET(PLE!$G$14,$M54,AY$13))))</f>
        <v>1000000000000</v>
      </c>
      <c r="AZ54" s="216">
        <f ca="1">IF($D54&lt;&gt;"Serviço",0,IF(OR(AND(AUTOEVENTO="Manual",$M54=1),$M54&gt;(ROW(PLE.lastrow)-ROW(PLE.firstrow))),0,IF(OFFSET(PLE!$G$14,$M54,AZ$13)="",10^12,OFFSET(PLE!$G$14,$M54,AZ$13))))</f>
        <v>1000000000000</v>
      </c>
      <c r="BA54" s="216">
        <f ca="1">IF($D54&lt;&gt;"Serviço",0,IF(OR(AND(AUTOEVENTO="Manual",$M54=1),$M54&gt;(ROW(PLE.lastrow)-ROW(PLE.firstrow))),0,IF(OFFSET(PLE!$G$14,$M54,BA$13)="",10^12,OFFSET(PLE!$G$14,$M54,BA$13))))</f>
        <v>1000000000000</v>
      </c>
      <c r="BB54" s="216">
        <f ca="1">IF($D54&lt;&gt;"Serviço",0,IF(OR(AND(AUTOEVENTO="Manual",$M54=1),$M54&gt;(ROW(PLE.lastrow)-ROW(PLE.firstrow))),0,IF(OFFSET(PLE!$G$14,$M54,BB$13)="",10^12,OFFSET(PLE!$G$14,$M54,BB$13))))</f>
        <v>1000000000000</v>
      </c>
      <c r="BC54" s="216">
        <f ca="1">IF($D54&lt;&gt;"Serviço",0,IF(OR(AND(AUTOEVENTO="Manual",$M54=1),$M54&gt;(ROW(PLE.lastrow)-ROW(PLE.firstrow))),0,IF(OFFSET(PLE!$G$14,$M54,BC$13)="",10^12,OFFSET(PLE!$G$14,$M54,BC$13))))</f>
        <v>1000000000000</v>
      </c>
      <c r="BD54" s="216">
        <f ca="1">IF($D54&lt;&gt;"Serviço",0,IF(OR(AND(AUTOEVENTO="Manual",$M54=1),$M54&gt;(ROW(PLE.lastrow)-ROW(PLE.firstrow))),0,IF(OFFSET(PLE!$G$14,$M54,BD$13)="",10^12,OFFSET(PLE!$G$14,$M54,BD$13))))</f>
        <v>1000000000000</v>
      </c>
      <c r="BE54" s="216">
        <f ca="1">IF($D54&lt;&gt;"Serviço",0,IF(OR(AND(AUTOEVENTO="Manual",$M54=1),$M54&gt;(ROW(PLE.lastrow)-ROW(PLE.firstrow))),0,IF(OFFSET(PLE!$G$14,$M54,BE$13)="",10^12,OFFSET(PLE!$G$14,$M54,BE$13))))</f>
        <v>1000000000000</v>
      </c>
      <c r="BF54" s="216">
        <f ca="1">IF($D54&lt;&gt;"Serviço",0,IF(OR(AND(AUTOEVENTO="Manual",$M54=1),$M54&gt;(ROW(PLE.lastrow)-ROW(PLE.firstrow))),0,IF(OFFSET(PLE!$G$14,$M54,BF$13)="",10^12,OFFSET(PLE!$G$14,$M54,BF$13))))</f>
        <v>1000000000000</v>
      </c>
      <c r="BG54" s="216">
        <f ca="1">IF($D54&lt;&gt;"Serviço",0,IF(OR(AND(AUTOEVENTO="Manual",$M54=1),$M54&gt;(ROW(PLE.lastrow)-ROW(PLE.firstrow))),0,IF(OFFSET(PLE!$G$14,$M54,BG$13)="",10^12,OFFSET(PLE!$G$14,$M54,BG$13))))</f>
        <v>1000000000000</v>
      </c>
    </row>
    <row r="55" spans="1:59" ht="38.25" x14ac:dyDescent="0.2">
      <c r="A55" s="9" t="str">
        <f ca="1">IF(AUTOEVENTO="Manual",IF(K55&lt;&gt;"",MIN(VALUE(LEFT(K55,FIND(".",K55)-1)),COUNTA(EVENTOS.Lista)),0),IF(OR($B55&gt;AUTOEVENTO,$B55="S",$B55=0),SUBSTITUTE(OFFSET($A55,-1,0),IF($D55="Serviço",".",""),""),ROW(A55)-ROW($A$15)&amp;"."))</f>
        <v>36</v>
      </c>
      <c r="B55" s="9" t="str">
        <f ca="1">OFFSET(ORÇAMENTO!C$15,ROW(B55)-ROW(B$15),0)</f>
        <v>S</v>
      </c>
      <c r="C55" s="9" t="str">
        <f ca="1">OFFSET(ORÇAMENTO!L$15,ROW(C55)-ROW(C$15),0)</f>
        <v/>
      </c>
      <c r="D55" s="145" t="str">
        <f ca="1">OFFSET(ORÇAMENTO!N$15,ROW(D55)-ROW(D$15),0)</f>
        <v>Serviço</v>
      </c>
      <c r="E55" s="205" t="str">
        <f ca="1">OFFSET(ORÇAMENTO!O$15,ROW(E55)-ROW(E$15),0)</f>
        <v>-</v>
      </c>
      <c r="F55" s="206" t="str">
        <f ca="1">OFFSET(ORÇAMENTO!R$15,ROW(F55)-ROW(F$15),0)</f>
        <v>ARMAÇÃO DE PILAR OU VIGA DE ESTRUTURA CONVENCIONAL DE CONCRETO ARMADO UTILIZANDO AÇO CA-50 DE 12,5 MM - MONTAGEM. AF_06/2022</v>
      </c>
      <c r="G55" s="207" t="str">
        <f ca="1">IF($D55&lt;&gt;"Serviço","",OFFSET(ORÇAMENTO!S$15,ROW(G55)-ROW(G$15),0))</f>
        <v>KG</v>
      </c>
      <c r="H55" s="151">
        <f ca="1">IF($D55&lt;&gt;"Serviço",0,IF(ACOMPANHAMENTO="BM",ROUND(OFFSET(ORÇAMENTO!AJ$15,ROW(H55)-ROW(H$15),0),15-13*ORÇAMENTO!$AF$7),SUMPRODUCT(($Q$12:$AA$12&lt;&gt;"")*ROUND($Q55:$AA55,15-13*ORÇAMENTO!$AF$7))))</f>
        <v>47.9</v>
      </c>
      <c r="I55" s="649"/>
      <c r="K55" s="208"/>
      <c r="L55" s="209" t="s">
        <v>255</v>
      </c>
      <c r="M55" s="210">
        <f ca="1">IF($D55&lt;&gt;"Serviço","",IF(AUTOEVENTO="manual",$A55,IF(ISERROR(MATCH($A55,$A$15:OFFSET($A55,-1,0),0)),MAX($M$15:OFFSET(M55,-1,0))+1,INDEX($M$15:OFFSET(M55,-1,0),MATCH($A55,$A$15:OFFSET($A55,-1,0),0)))))</f>
        <v>8</v>
      </c>
      <c r="N55" s="211" t="str">
        <f ca="1">IF($D55&lt;&gt;"Serviço","",IF(AUTOEVENTO="Manual",IF($A55=0,"&lt;-- defina o número do agrupador",OFFSET(EVENTOS!$D$14,$A55,0)),OFFSET($F$15,$A55,0)))</f>
        <v>VIGAS (INCLUSO BALDRAME)</v>
      </c>
      <c r="O55" s="212"/>
      <c r="Q55" s="212"/>
      <c r="R55" s="213"/>
      <c r="S55" s="213"/>
      <c r="T55" s="213"/>
      <c r="U55" s="213"/>
      <c r="V55" s="213"/>
      <c r="W55" s="213"/>
      <c r="X55" s="213"/>
      <c r="Y55" s="213"/>
      <c r="Z55" s="214"/>
      <c r="AB55" s="630">
        <f ca="1">IF(AND($D55="Serviço",AB$12&lt;&gt;0,$H55&gt;0,OR(AUTOEVENTO&lt;&gt;"manual",$M55&lt;&gt;1)),
IF(Import.TipoArredondamento&lt;&gt;"TransfereGOV",
ROUND(OFFSET($P55,0,AB$13),15-13*ORÇAMENTO!$AF$7)/$H55*OFFSET(ORÇAMENTO!$X$15,ROW(AB55)-ROW(AB$15),0),
ROUND(ROUND(OFFSET($P55,0,AB$13),15-13*ORÇAMENTO!$AF$7)*OFFSET(ORÇAMENTO!$W$15,ROW(AB55)-ROW(AB$15),0),15-13*ORÇAMENTO!$AF$11)),0)</f>
        <v>0</v>
      </c>
      <c r="AC55" s="631">
        <f ca="1">IF(AND($D55="Serviço",AC$12&lt;&gt;0,$H55&gt;0,OR(AUTOEVENTO&lt;&gt;"manual",$M55&lt;&gt;1)),
IF(Import.TipoArredondamento&lt;&gt;"TransfereGOV",
ROUND(OFFSET($P55,0,AC$13),15-13*ORÇAMENTO!$AF$7)/$H55*OFFSET(ORÇAMENTO!$X$15,ROW(AC55)-ROW(AC$15),0),
ROUND(ROUND(OFFSET($P55,0,AC$13),15-13*ORÇAMENTO!$AF$7)*OFFSET(ORÇAMENTO!$W$15,ROW(AC55)-ROW(AC$15),0),15-13*ORÇAMENTO!$AF$11)),0)</f>
        <v>0</v>
      </c>
      <c r="AD55" s="631">
        <f ca="1">IF(AND($D55="Serviço",AD$12&lt;&gt;0,$H55&gt;0,OR(AUTOEVENTO&lt;&gt;"manual",$M55&lt;&gt;1)),
IF(Import.TipoArredondamento&lt;&gt;"TransfereGOV",
ROUND(OFFSET($P55,0,AD$13),15-13*ORÇAMENTO!$AF$7)/$H55*OFFSET(ORÇAMENTO!$X$15,ROW(AD55)-ROW(AD$15),0),
ROUND(ROUND(OFFSET($P55,0,AD$13),15-13*ORÇAMENTO!$AF$7)*OFFSET(ORÇAMENTO!$W$15,ROW(AD55)-ROW(AD$15),0),15-13*ORÇAMENTO!$AF$11)),0)</f>
        <v>0</v>
      </c>
      <c r="AE55" s="631">
        <f ca="1">IF(AND($D55="Serviço",AE$12&lt;&gt;0,$H55&gt;0,OR(AUTOEVENTO&lt;&gt;"manual",$M55&lt;&gt;1)),
IF(Import.TipoArredondamento&lt;&gt;"TransfereGOV",
ROUND(OFFSET($P55,0,AE$13),15-13*ORÇAMENTO!$AF$7)/$H55*OFFSET(ORÇAMENTO!$X$15,ROW(AE55)-ROW(AE$15),0),
ROUND(ROUND(OFFSET($P55,0,AE$13),15-13*ORÇAMENTO!$AF$7)*OFFSET(ORÇAMENTO!$W$15,ROW(AE55)-ROW(AE$15),0),15-13*ORÇAMENTO!$AF$11)),0)</f>
        <v>0</v>
      </c>
      <c r="AF55" s="631">
        <f ca="1">IF(AND($D55="Serviço",AF$12&lt;&gt;0,$H55&gt;0,OR(AUTOEVENTO&lt;&gt;"manual",$M55&lt;&gt;1)),
IF(Import.TipoArredondamento&lt;&gt;"TransfereGOV",
ROUND(OFFSET($P55,0,AF$13),15-13*ORÇAMENTO!$AF$7)/$H55*OFFSET(ORÇAMENTO!$X$15,ROW(AF55)-ROW(AF$15),0),
ROUND(ROUND(OFFSET($P55,0,AF$13),15-13*ORÇAMENTO!$AF$7)*OFFSET(ORÇAMENTO!$W$15,ROW(AF55)-ROW(AF$15),0),15-13*ORÇAMENTO!$AF$11)),0)</f>
        <v>0</v>
      </c>
      <c r="AG55" s="631">
        <f ca="1">IF(AND($D55="Serviço",AG$12&lt;&gt;0,$H55&gt;0,OR(AUTOEVENTO&lt;&gt;"manual",$M55&lt;&gt;1)),
IF(Import.TipoArredondamento&lt;&gt;"TransfereGOV",
ROUND(OFFSET($P55,0,AG$13),15-13*ORÇAMENTO!$AF$7)/$H55*OFFSET(ORÇAMENTO!$X$15,ROW(AG55)-ROW(AG$15),0),
ROUND(ROUND(OFFSET($P55,0,AG$13),15-13*ORÇAMENTO!$AF$7)*OFFSET(ORÇAMENTO!$W$15,ROW(AG55)-ROW(AG$15),0),15-13*ORÇAMENTO!$AF$11)),0)</f>
        <v>0</v>
      </c>
      <c r="AH55" s="631">
        <f ca="1">IF(AND($D55="Serviço",AH$12&lt;&gt;0,$H55&gt;0,OR(AUTOEVENTO&lt;&gt;"manual",$M55&lt;&gt;1)),
IF(Import.TipoArredondamento&lt;&gt;"TransfereGOV",
ROUND(OFFSET($P55,0,AH$13),15-13*ORÇAMENTO!$AF$7)/$H55*OFFSET(ORÇAMENTO!$X$15,ROW(AH55)-ROW(AH$15),0),
ROUND(ROUND(OFFSET($P55,0,AH$13),15-13*ORÇAMENTO!$AF$7)*OFFSET(ORÇAMENTO!$W$15,ROW(AH55)-ROW(AH$15),0),15-13*ORÇAMENTO!$AF$11)),0)</f>
        <v>0</v>
      </c>
      <c r="AI55" s="631">
        <f ca="1">IF(AND($D55="Serviço",AI$12&lt;&gt;0,$H55&gt;0,OR(AUTOEVENTO&lt;&gt;"manual",$M55&lt;&gt;1)),
IF(Import.TipoArredondamento&lt;&gt;"TransfereGOV",
ROUND(OFFSET($P55,0,AI$13),15-13*ORÇAMENTO!$AF$7)/$H55*OFFSET(ORÇAMENTO!$X$15,ROW(AI55)-ROW(AI$15),0),
ROUND(ROUND(OFFSET($P55,0,AI$13),15-13*ORÇAMENTO!$AF$7)*OFFSET(ORÇAMENTO!$W$15,ROW(AI55)-ROW(AI$15),0),15-13*ORÇAMENTO!$AF$11)),0)</f>
        <v>0</v>
      </c>
      <c r="AJ55" s="631">
        <f ca="1">IF(AND($D55="Serviço",AJ$12&lt;&gt;0,$H55&gt;0,OR(AUTOEVENTO&lt;&gt;"manual",$M55&lt;&gt;1)),
IF(Import.TipoArredondamento&lt;&gt;"TransfereGOV",
ROUND(OFFSET($P55,0,AJ$13),15-13*ORÇAMENTO!$AF$7)/$H55*OFFSET(ORÇAMENTO!$X$15,ROW(AJ55)-ROW(AJ$15),0),
ROUND(ROUND(OFFSET($P55,0,AJ$13),15-13*ORÇAMENTO!$AF$7)*OFFSET(ORÇAMENTO!$W$15,ROW(AJ55)-ROW(AJ$15),0),15-13*ORÇAMENTO!$AF$11)),0)</f>
        <v>0</v>
      </c>
      <c r="AK55" s="632">
        <f ca="1">IF(AND($D55="Serviço",AK$12&lt;&gt;0,$H55&gt;0,OR(AUTOEVENTO&lt;&gt;"manual",$M55&lt;&gt;1)),
IF(Import.TipoArredondamento&lt;&gt;"TransfereGOV",
ROUND(OFFSET($P55,0,AK$13),15-13*ORÇAMENTO!$AF$7)/$H55*OFFSET(ORÇAMENTO!$X$15,ROW(AK55)-ROW(AK$15),0),
ROUND(ROUND(OFFSET($P55,0,AK$13),15-13*ORÇAMENTO!$AF$7)*OFFSET(ORÇAMENTO!$W$15,ROW(AK55)-ROW(AK$15),0),15-13*ORÇAMENTO!$AF$11)),0)</f>
        <v>0</v>
      </c>
      <c r="AM55" s="215">
        <f ca="1">IF($D55&lt;&gt;"Serviço",0,IF(AND(AUTOEVENTO="Manual",$M55=1),0,IF(OFFSET(CRONOPLE!$F$14,$M55,AM$13)="",10^12,OFFSET(CRONOPLE!$F$14,$M55,AM$13))))</f>
        <v>1000000000000</v>
      </c>
      <c r="AN55" s="215">
        <f ca="1">IF($D55&lt;&gt;"Serviço",0,IF(AND(AUTOEVENTO="Manual",$M55=1),0,IF(OFFSET(CRONOPLE!$F$14,$M55,AN$13)="",10^12,OFFSET(CRONOPLE!$F$14,$M55,AN$13))))</f>
        <v>1000000000000</v>
      </c>
      <c r="AO55" s="215">
        <f ca="1">IF($D55&lt;&gt;"Serviço",0,IF(AND(AUTOEVENTO="Manual",$M55=1),0,IF(OFFSET(CRONOPLE!$F$14,$M55,AO$13)="",10^12,OFFSET(CRONOPLE!$F$14,$M55,AO$13))))</f>
        <v>1000000000000</v>
      </c>
      <c r="AP55" s="215">
        <f ca="1">IF($D55&lt;&gt;"Serviço",0,IF(AND(AUTOEVENTO="Manual",$M55=1),0,IF(OFFSET(CRONOPLE!$F$14,$M55,AP$13)="",10^12,OFFSET(CRONOPLE!$F$14,$M55,AP$13))))</f>
        <v>1000000000000</v>
      </c>
      <c r="AQ55" s="215">
        <f ca="1">IF($D55&lt;&gt;"Serviço",0,IF(AND(AUTOEVENTO="Manual",$M55=1),0,IF(OFFSET(CRONOPLE!$F$14,$M55,AQ$13)="",10^12,OFFSET(CRONOPLE!$F$14,$M55,AQ$13))))</f>
        <v>1000000000000</v>
      </c>
      <c r="AR55" s="215">
        <f ca="1">IF($D55&lt;&gt;"Serviço",0,IF(AND(AUTOEVENTO="Manual",$M55=1),0,IF(OFFSET(CRONOPLE!$F$14,$M55,AR$13)="",10^12,OFFSET(CRONOPLE!$F$14,$M55,AR$13))))</f>
        <v>1000000000000</v>
      </c>
      <c r="AS55" s="215">
        <f ca="1">IF($D55&lt;&gt;"Serviço",0,IF(AND(AUTOEVENTO="Manual",$M55=1),0,IF(OFFSET(CRONOPLE!$F$14,$M55,AS$13)="",10^12,OFFSET(CRONOPLE!$F$14,$M55,AS$13))))</f>
        <v>1000000000000</v>
      </c>
      <c r="AT55" s="215">
        <f ca="1">IF($D55&lt;&gt;"Serviço",0,IF(AND(AUTOEVENTO="Manual",$M55=1),0,IF(OFFSET(CRONOPLE!$F$14,$M55,AT$13)="",10^12,OFFSET(CRONOPLE!$F$14,$M55,AT$13))))</f>
        <v>1000000000000</v>
      </c>
      <c r="AU55" s="215">
        <f ca="1">IF($D55&lt;&gt;"Serviço",0,IF(AND(AUTOEVENTO="Manual",$M55=1),0,IF(OFFSET(CRONOPLE!$F$14,$M55,AU$13)="",10^12,OFFSET(CRONOPLE!$F$14,$M55,AU$13))))</f>
        <v>1000000000000</v>
      </c>
      <c r="AV55" s="215">
        <f ca="1">IF($D55&lt;&gt;"Serviço",0,IF(AND(AUTOEVENTO="Manual",$M55=1),0,IF(OFFSET(CRONOPLE!$F$14,$M55,AV$13)="",10^12,OFFSET(CRONOPLE!$F$14,$M55,AV$13))))</f>
        <v>1000000000000</v>
      </c>
      <c r="AX55" s="216">
        <f ca="1">IF($D55&lt;&gt;"Serviço",0,IF(OR(AND(AUTOEVENTO="Manual",$M55=1),$M55&gt;(ROW(PLE.lastrow)-ROW(PLE.firstrow))),0,IF(OFFSET(PLE!$G$14,$M55,AX$13)="",10^12,OFFSET(PLE!$G$14,$M55,AX$13))))</f>
        <v>1000000000000</v>
      </c>
      <c r="AY55" s="216">
        <f ca="1">IF($D55&lt;&gt;"Serviço",0,IF(OR(AND(AUTOEVENTO="Manual",$M55=1),$M55&gt;(ROW(PLE.lastrow)-ROW(PLE.firstrow))),0,IF(OFFSET(PLE!$G$14,$M55,AY$13)="",10^12,OFFSET(PLE!$G$14,$M55,AY$13))))</f>
        <v>1000000000000</v>
      </c>
      <c r="AZ55" s="216">
        <f ca="1">IF($D55&lt;&gt;"Serviço",0,IF(OR(AND(AUTOEVENTO="Manual",$M55=1),$M55&gt;(ROW(PLE.lastrow)-ROW(PLE.firstrow))),0,IF(OFFSET(PLE!$G$14,$M55,AZ$13)="",10^12,OFFSET(PLE!$G$14,$M55,AZ$13))))</f>
        <v>1000000000000</v>
      </c>
      <c r="BA55" s="216">
        <f ca="1">IF($D55&lt;&gt;"Serviço",0,IF(OR(AND(AUTOEVENTO="Manual",$M55=1),$M55&gt;(ROW(PLE.lastrow)-ROW(PLE.firstrow))),0,IF(OFFSET(PLE!$G$14,$M55,BA$13)="",10^12,OFFSET(PLE!$G$14,$M55,BA$13))))</f>
        <v>1000000000000</v>
      </c>
      <c r="BB55" s="216">
        <f ca="1">IF($D55&lt;&gt;"Serviço",0,IF(OR(AND(AUTOEVENTO="Manual",$M55=1),$M55&gt;(ROW(PLE.lastrow)-ROW(PLE.firstrow))),0,IF(OFFSET(PLE!$G$14,$M55,BB$13)="",10^12,OFFSET(PLE!$G$14,$M55,BB$13))))</f>
        <v>1000000000000</v>
      </c>
      <c r="BC55" s="216">
        <f ca="1">IF($D55&lt;&gt;"Serviço",0,IF(OR(AND(AUTOEVENTO="Manual",$M55=1),$M55&gt;(ROW(PLE.lastrow)-ROW(PLE.firstrow))),0,IF(OFFSET(PLE!$G$14,$M55,BC$13)="",10^12,OFFSET(PLE!$G$14,$M55,BC$13))))</f>
        <v>1000000000000</v>
      </c>
      <c r="BD55" s="216">
        <f ca="1">IF($D55&lt;&gt;"Serviço",0,IF(OR(AND(AUTOEVENTO="Manual",$M55=1),$M55&gt;(ROW(PLE.lastrow)-ROW(PLE.firstrow))),0,IF(OFFSET(PLE!$G$14,$M55,BD$13)="",10^12,OFFSET(PLE!$G$14,$M55,BD$13))))</f>
        <v>1000000000000</v>
      </c>
      <c r="BE55" s="216">
        <f ca="1">IF($D55&lt;&gt;"Serviço",0,IF(OR(AND(AUTOEVENTO="Manual",$M55=1),$M55&gt;(ROW(PLE.lastrow)-ROW(PLE.firstrow))),0,IF(OFFSET(PLE!$G$14,$M55,BE$13)="",10^12,OFFSET(PLE!$G$14,$M55,BE$13))))</f>
        <v>1000000000000</v>
      </c>
      <c r="BF55" s="216">
        <f ca="1">IF($D55&lt;&gt;"Serviço",0,IF(OR(AND(AUTOEVENTO="Manual",$M55=1),$M55&gt;(ROW(PLE.lastrow)-ROW(PLE.firstrow))),0,IF(OFFSET(PLE!$G$14,$M55,BF$13)="",10^12,OFFSET(PLE!$G$14,$M55,BF$13))))</f>
        <v>1000000000000</v>
      </c>
      <c r="BG55" s="216">
        <f ca="1">IF($D55&lt;&gt;"Serviço",0,IF(OR(AND(AUTOEVENTO="Manual",$M55=1),$M55&gt;(ROW(PLE.lastrow)-ROW(PLE.firstrow))),0,IF(OFFSET(PLE!$G$14,$M55,BG$13)="",10^12,OFFSET(PLE!$G$14,$M55,BG$13))))</f>
        <v>1000000000000</v>
      </c>
    </row>
    <row r="56" spans="1:59" ht="38.25" x14ac:dyDescent="0.2">
      <c r="A56" s="9" t="str">
        <f t="shared" ca="1" si="8"/>
        <v>36</v>
      </c>
      <c r="B56" s="9" t="str">
        <f ca="1">OFFSET(ORÇAMENTO!C$15,ROW(B56)-ROW(B$15),0)</f>
        <v>S</v>
      </c>
      <c r="C56" s="9" t="str">
        <f ca="1">OFFSET(ORÇAMENTO!L$15,ROW(C56)-ROW(C$15),0)</f>
        <v/>
      </c>
      <c r="D56" s="145" t="str">
        <f ca="1">OFFSET(ORÇAMENTO!N$15,ROW(D56)-ROW(D$15),0)</f>
        <v>Serviço</v>
      </c>
      <c r="E56" s="205" t="str">
        <f ca="1">OFFSET(ORÇAMENTO!O$15,ROW(E56)-ROW(E$15),0)</f>
        <v>-</v>
      </c>
      <c r="F56" s="206" t="str">
        <f ca="1">OFFSET(ORÇAMENTO!R$15,ROW(F56)-ROW(F$15),0)</f>
        <v>ARMAÇÃO DE PILAR OU VIGA DE ESTRUTURA CONVENCIONAL DE CONCRETO ARMADO UTILIZANDO AÇO CA-50 DE 8,0 MM - MONTAGEM. AF_06/2022</v>
      </c>
      <c r="G56" s="207" t="str">
        <f ca="1">IF($D56&lt;&gt;"Serviço","",OFFSET(ORÇAMENTO!S$15,ROW(G56)-ROW(G$15),0))</f>
        <v>KG</v>
      </c>
      <c r="H56" s="151">
        <f ca="1">IF($D56&lt;&gt;"Serviço",0,IF(ACOMPANHAMENTO="BM",ROUND(OFFSET(ORÇAMENTO!AJ$15,ROW(H56)-ROW(H$15),0),15-13*ORÇAMENTO!$AF$7),SUMPRODUCT(($Q$12:$AA$12&lt;&gt;"")*ROUND($Q56:$AA56,15-13*ORÇAMENTO!$AF$7))))</f>
        <v>1370.5</v>
      </c>
      <c r="I56" s="649"/>
      <c r="K56" s="208"/>
      <c r="L56" s="209" t="s">
        <v>255</v>
      </c>
      <c r="M56" s="210">
        <f ca="1">IF($D56&lt;&gt;"Serviço","",IF(AUTOEVENTO="manual",$A56,IF(ISERROR(MATCH($A56,$A$15:OFFSET($A56,-1,0),0)),MAX($M$15:OFFSET(M56,-1,0))+1,INDEX($M$15:OFFSET(M56,-1,0),MATCH($A56,$A$15:OFFSET($A56,-1,0),0)))))</f>
        <v>8</v>
      </c>
      <c r="N56" s="211" t="str">
        <f ca="1">IF($D56&lt;&gt;"Serviço","",IF(AUTOEVENTO="Manual",IF($A56=0,"&lt;-- defina o número do agrupador",OFFSET(EVENTOS!$D$14,$A56,0)),OFFSET($F$15,$A56,0)))</f>
        <v>VIGAS (INCLUSO BALDRAME)</v>
      </c>
      <c r="O56" s="212"/>
      <c r="Q56" s="212"/>
      <c r="R56" s="213"/>
      <c r="S56" s="213"/>
      <c r="T56" s="213"/>
      <c r="U56" s="213"/>
      <c r="V56" s="213"/>
      <c r="W56" s="213"/>
      <c r="X56" s="213"/>
      <c r="Y56" s="213"/>
      <c r="Z56" s="214"/>
      <c r="AB56" s="630">
        <f ca="1">IF(AND($D56="Serviço",AB$12&lt;&gt;0,$H56&gt;0,OR(AUTOEVENTO&lt;&gt;"manual",$M56&lt;&gt;1)),
IF(Import.TipoArredondamento&lt;&gt;"TransfereGOV",
ROUND(OFFSET($P56,0,AB$13),15-13*ORÇAMENTO!$AF$7)/$H56*OFFSET(ORÇAMENTO!$X$15,ROW(AB56)-ROW(AB$15),0),
ROUND(ROUND(OFFSET($P56,0,AB$13),15-13*ORÇAMENTO!$AF$7)*OFFSET(ORÇAMENTO!$W$15,ROW(AB56)-ROW(AB$15),0),15-13*ORÇAMENTO!$AF$11)),0)</f>
        <v>0</v>
      </c>
      <c r="AC56" s="631">
        <f ca="1">IF(AND($D56="Serviço",AC$12&lt;&gt;0,$H56&gt;0,OR(AUTOEVENTO&lt;&gt;"manual",$M56&lt;&gt;1)),
IF(Import.TipoArredondamento&lt;&gt;"TransfereGOV",
ROUND(OFFSET($P56,0,AC$13),15-13*ORÇAMENTO!$AF$7)/$H56*OFFSET(ORÇAMENTO!$X$15,ROW(AC56)-ROW(AC$15),0),
ROUND(ROUND(OFFSET($P56,0,AC$13),15-13*ORÇAMENTO!$AF$7)*OFFSET(ORÇAMENTO!$W$15,ROW(AC56)-ROW(AC$15),0),15-13*ORÇAMENTO!$AF$11)),0)</f>
        <v>0</v>
      </c>
      <c r="AD56" s="631">
        <f ca="1">IF(AND($D56="Serviço",AD$12&lt;&gt;0,$H56&gt;0,OR(AUTOEVENTO&lt;&gt;"manual",$M56&lt;&gt;1)),
IF(Import.TipoArredondamento&lt;&gt;"TransfereGOV",
ROUND(OFFSET($P56,0,AD$13),15-13*ORÇAMENTO!$AF$7)/$H56*OFFSET(ORÇAMENTO!$X$15,ROW(AD56)-ROW(AD$15),0),
ROUND(ROUND(OFFSET($P56,0,AD$13),15-13*ORÇAMENTO!$AF$7)*OFFSET(ORÇAMENTO!$W$15,ROW(AD56)-ROW(AD$15),0),15-13*ORÇAMENTO!$AF$11)),0)</f>
        <v>0</v>
      </c>
      <c r="AE56" s="631">
        <f ca="1">IF(AND($D56="Serviço",AE$12&lt;&gt;0,$H56&gt;0,OR(AUTOEVENTO&lt;&gt;"manual",$M56&lt;&gt;1)),
IF(Import.TipoArredondamento&lt;&gt;"TransfereGOV",
ROUND(OFFSET($P56,0,AE$13),15-13*ORÇAMENTO!$AF$7)/$H56*OFFSET(ORÇAMENTO!$X$15,ROW(AE56)-ROW(AE$15),0),
ROUND(ROUND(OFFSET($P56,0,AE$13),15-13*ORÇAMENTO!$AF$7)*OFFSET(ORÇAMENTO!$W$15,ROW(AE56)-ROW(AE$15),0),15-13*ORÇAMENTO!$AF$11)),0)</f>
        <v>0</v>
      </c>
      <c r="AF56" s="631">
        <f ca="1">IF(AND($D56="Serviço",AF$12&lt;&gt;0,$H56&gt;0,OR(AUTOEVENTO&lt;&gt;"manual",$M56&lt;&gt;1)),
IF(Import.TipoArredondamento&lt;&gt;"TransfereGOV",
ROUND(OFFSET($P56,0,AF$13),15-13*ORÇAMENTO!$AF$7)/$H56*OFFSET(ORÇAMENTO!$X$15,ROW(AF56)-ROW(AF$15),0),
ROUND(ROUND(OFFSET($P56,0,AF$13),15-13*ORÇAMENTO!$AF$7)*OFFSET(ORÇAMENTO!$W$15,ROW(AF56)-ROW(AF$15),0),15-13*ORÇAMENTO!$AF$11)),0)</f>
        <v>0</v>
      </c>
      <c r="AG56" s="631">
        <f ca="1">IF(AND($D56="Serviço",AG$12&lt;&gt;0,$H56&gt;0,OR(AUTOEVENTO&lt;&gt;"manual",$M56&lt;&gt;1)),
IF(Import.TipoArredondamento&lt;&gt;"TransfereGOV",
ROUND(OFFSET($P56,0,AG$13),15-13*ORÇAMENTO!$AF$7)/$H56*OFFSET(ORÇAMENTO!$X$15,ROW(AG56)-ROW(AG$15),0),
ROUND(ROUND(OFFSET($P56,0,AG$13),15-13*ORÇAMENTO!$AF$7)*OFFSET(ORÇAMENTO!$W$15,ROW(AG56)-ROW(AG$15),0),15-13*ORÇAMENTO!$AF$11)),0)</f>
        <v>0</v>
      </c>
      <c r="AH56" s="631">
        <f ca="1">IF(AND($D56="Serviço",AH$12&lt;&gt;0,$H56&gt;0,OR(AUTOEVENTO&lt;&gt;"manual",$M56&lt;&gt;1)),
IF(Import.TipoArredondamento&lt;&gt;"TransfereGOV",
ROUND(OFFSET($P56,0,AH$13),15-13*ORÇAMENTO!$AF$7)/$H56*OFFSET(ORÇAMENTO!$X$15,ROW(AH56)-ROW(AH$15),0),
ROUND(ROUND(OFFSET($P56,0,AH$13),15-13*ORÇAMENTO!$AF$7)*OFFSET(ORÇAMENTO!$W$15,ROW(AH56)-ROW(AH$15),0),15-13*ORÇAMENTO!$AF$11)),0)</f>
        <v>0</v>
      </c>
      <c r="AI56" s="631">
        <f ca="1">IF(AND($D56="Serviço",AI$12&lt;&gt;0,$H56&gt;0,OR(AUTOEVENTO&lt;&gt;"manual",$M56&lt;&gt;1)),
IF(Import.TipoArredondamento&lt;&gt;"TransfereGOV",
ROUND(OFFSET($P56,0,AI$13),15-13*ORÇAMENTO!$AF$7)/$H56*OFFSET(ORÇAMENTO!$X$15,ROW(AI56)-ROW(AI$15),0),
ROUND(ROUND(OFFSET($P56,0,AI$13),15-13*ORÇAMENTO!$AF$7)*OFFSET(ORÇAMENTO!$W$15,ROW(AI56)-ROW(AI$15),0),15-13*ORÇAMENTO!$AF$11)),0)</f>
        <v>0</v>
      </c>
      <c r="AJ56" s="631">
        <f ca="1">IF(AND($D56="Serviço",AJ$12&lt;&gt;0,$H56&gt;0,OR(AUTOEVENTO&lt;&gt;"manual",$M56&lt;&gt;1)),
IF(Import.TipoArredondamento&lt;&gt;"TransfereGOV",
ROUND(OFFSET($P56,0,AJ$13),15-13*ORÇAMENTO!$AF$7)/$H56*OFFSET(ORÇAMENTO!$X$15,ROW(AJ56)-ROW(AJ$15),0),
ROUND(ROUND(OFFSET($P56,0,AJ$13),15-13*ORÇAMENTO!$AF$7)*OFFSET(ORÇAMENTO!$W$15,ROW(AJ56)-ROW(AJ$15),0),15-13*ORÇAMENTO!$AF$11)),0)</f>
        <v>0</v>
      </c>
      <c r="AK56" s="632">
        <f ca="1">IF(AND($D56="Serviço",AK$12&lt;&gt;0,$H56&gt;0,OR(AUTOEVENTO&lt;&gt;"manual",$M56&lt;&gt;1)),
IF(Import.TipoArredondamento&lt;&gt;"TransfereGOV",
ROUND(OFFSET($P56,0,AK$13),15-13*ORÇAMENTO!$AF$7)/$H56*OFFSET(ORÇAMENTO!$X$15,ROW(AK56)-ROW(AK$15),0),
ROUND(ROUND(OFFSET($P56,0,AK$13),15-13*ORÇAMENTO!$AF$7)*OFFSET(ORÇAMENTO!$W$15,ROW(AK56)-ROW(AK$15),0),15-13*ORÇAMENTO!$AF$11)),0)</f>
        <v>0</v>
      </c>
      <c r="AM56" s="215">
        <f ca="1">IF($D56&lt;&gt;"Serviço",0,IF(AND(AUTOEVENTO="Manual",$M56=1),0,IF(OFFSET(CRONOPLE!$F$14,$M56,AM$13)="",10^12,OFFSET(CRONOPLE!$F$14,$M56,AM$13))))</f>
        <v>1000000000000</v>
      </c>
      <c r="AN56" s="215">
        <f ca="1">IF($D56&lt;&gt;"Serviço",0,IF(AND(AUTOEVENTO="Manual",$M56=1),0,IF(OFFSET(CRONOPLE!$F$14,$M56,AN$13)="",10^12,OFFSET(CRONOPLE!$F$14,$M56,AN$13))))</f>
        <v>1000000000000</v>
      </c>
      <c r="AO56" s="215">
        <f ca="1">IF($D56&lt;&gt;"Serviço",0,IF(AND(AUTOEVENTO="Manual",$M56=1),0,IF(OFFSET(CRONOPLE!$F$14,$M56,AO$13)="",10^12,OFFSET(CRONOPLE!$F$14,$M56,AO$13))))</f>
        <v>1000000000000</v>
      </c>
      <c r="AP56" s="215">
        <f ca="1">IF($D56&lt;&gt;"Serviço",0,IF(AND(AUTOEVENTO="Manual",$M56=1),0,IF(OFFSET(CRONOPLE!$F$14,$M56,AP$13)="",10^12,OFFSET(CRONOPLE!$F$14,$M56,AP$13))))</f>
        <v>1000000000000</v>
      </c>
      <c r="AQ56" s="215">
        <f ca="1">IF($D56&lt;&gt;"Serviço",0,IF(AND(AUTOEVENTO="Manual",$M56=1),0,IF(OFFSET(CRONOPLE!$F$14,$M56,AQ$13)="",10^12,OFFSET(CRONOPLE!$F$14,$M56,AQ$13))))</f>
        <v>1000000000000</v>
      </c>
      <c r="AR56" s="215">
        <f ca="1">IF($D56&lt;&gt;"Serviço",0,IF(AND(AUTOEVENTO="Manual",$M56=1),0,IF(OFFSET(CRONOPLE!$F$14,$M56,AR$13)="",10^12,OFFSET(CRONOPLE!$F$14,$M56,AR$13))))</f>
        <v>1000000000000</v>
      </c>
      <c r="AS56" s="215">
        <f ca="1">IF($D56&lt;&gt;"Serviço",0,IF(AND(AUTOEVENTO="Manual",$M56=1),0,IF(OFFSET(CRONOPLE!$F$14,$M56,AS$13)="",10^12,OFFSET(CRONOPLE!$F$14,$M56,AS$13))))</f>
        <v>1000000000000</v>
      </c>
      <c r="AT56" s="215">
        <f ca="1">IF($D56&lt;&gt;"Serviço",0,IF(AND(AUTOEVENTO="Manual",$M56=1),0,IF(OFFSET(CRONOPLE!$F$14,$M56,AT$13)="",10^12,OFFSET(CRONOPLE!$F$14,$M56,AT$13))))</f>
        <v>1000000000000</v>
      </c>
      <c r="AU56" s="215">
        <f ca="1">IF($D56&lt;&gt;"Serviço",0,IF(AND(AUTOEVENTO="Manual",$M56=1),0,IF(OFFSET(CRONOPLE!$F$14,$M56,AU$13)="",10^12,OFFSET(CRONOPLE!$F$14,$M56,AU$13))))</f>
        <v>1000000000000</v>
      </c>
      <c r="AV56" s="215">
        <f ca="1">IF($D56&lt;&gt;"Serviço",0,IF(AND(AUTOEVENTO="Manual",$M56=1),0,IF(OFFSET(CRONOPLE!$F$14,$M56,AV$13)="",10^12,OFFSET(CRONOPLE!$F$14,$M56,AV$13))))</f>
        <v>1000000000000</v>
      </c>
      <c r="AX56" s="216">
        <f ca="1">IF($D56&lt;&gt;"Serviço",0,IF(OR(AND(AUTOEVENTO="Manual",$M56=1),$M56&gt;(ROW(PLE.lastrow)-ROW(PLE.firstrow))),0,IF(OFFSET(PLE!$G$14,$M56,AX$13)="",10^12,OFFSET(PLE!$G$14,$M56,AX$13))))</f>
        <v>1000000000000</v>
      </c>
      <c r="AY56" s="216">
        <f ca="1">IF($D56&lt;&gt;"Serviço",0,IF(OR(AND(AUTOEVENTO="Manual",$M56=1),$M56&gt;(ROW(PLE.lastrow)-ROW(PLE.firstrow))),0,IF(OFFSET(PLE!$G$14,$M56,AY$13)="",10^12,OFFSET(PLE!$G$14,$M56,AY$13))))</f>
        <v>1000000000000</v>
      </c>
      <c r="AZ56" s="216">
        <f ca="1">IF($D56&lt;&gt;"Serviço",0,IF(OR(AND(AUTOEVENTO="Manual",$M56=1),$M56&gt;(ROW(PLE.lastrow)-ROW(PLE.firstrow))),0,IF(OFFSET(PLE!$G$14,$M56,AZ$13)="",10^12,OFFSET(PLE!$G$14,$M56,AZ$13))))</f>
        <v>1000000000000</v>
      </c>
      <c r="BA56" s="216">
        <f ca="1">IF($D56&lt;&gt;"Serviço",0,IF(OR(AND(AUTOEVENTO="Manual",$M56=1),$M56&gt;(ROW(PLE.lastrow)-ROW(PLE.firstrow))),0,IF(OFFSET(PLE!$G$14,$M56,BA$13)="",10^12,OFFSET(PLE!$G$14,$M56,BA$13))))</f>
        <v>1000000000000</v>
      </c>
      <c r="BB56" s="216">
        <f ca="1">IF($D56&lt;&gt;"Serviço",0,IF(OR(AND(AUTOEVENTO="Manual",$M56=1),$M56&gt;(ROW(PLE.lastrow)-ROW(PLE.firstrow))),0,IF(OFFSET(PLE!$G$14,$M56,BB$13)="",10^12,OFFSET(PLE!$G$14,$M56,BB$13))))</f>
        <v>1000000000000</v>
      </c>
      <c r="BC56" s="216">
        <f ca="1">IF($D56&lt;&gt;"Serviço",0,IF(OR(AND(AUTOEVENTO="Manual",$M56=1),$M56&gt;(ROW(PLE.lastrow)-ROW(PLE.firstrow))),0,IF(OFFSET(PLE!$G$14,$M56,BC$13)="",10^12,OFFSET(PLE!$G$14,$M56,BC$13))))</f>
        <v>1000000000000</v>
      </c>
      <c r="BD56" s="216">
        <f ca="1">IF($D56&lt;&gt;"Serviço",0,IF(OR(AND(AUTOEVENTO="Manual",$M56=1),$M56&gt;(ROW(PLE.lastrow)-ROW(PLE.firstrow))),0,IF(OFFSET(PLE!$G$14,$M56,BD$13)="",10^12,OFFSET(PLE!$G$14,$M56,BD$13))))</f>
        <v>1000000000000</v>
      </c>
      <c r="BE56" s="216">
        <f ca="1">IF($D56&lt;&gt;"Serviço",0,IF(OR(AND(AUTOEVENTO="Manual",$M56=1),$M56&gt;(ROW(PLE.lastrow)-ROW(PLE.firstrow))),0,IF(OFFSET(PLE!$G$14,$M56,BE$13)="",10^12,OFFSET(PLE!$G$14,$M56,BE$13))))</f>
        <v>1000000000000</v>
      </c>
      <c r="BF56" s="216">
        <f ca="1">IF($D56&lt;&gt;"Serviço",0,IF(OR(AND(AUTOEVENTO="Manual",$M56=1),$M56&gt;(ROW(PLE.lastrow)-ROW(PLE.firstrow))),0,IF(OFFSET(PLE!$G$14,$M56,BF$13)="",10^12,OFFSET(PLE!$G$14,$M56,BF$13))))</f>
        <v>1000000000000</v>
      </c>
      <c r="BG56" s="216">
        <f ca="1">IF($D56&lt;&gt;"Serviço",0,IF(OR(AND(AUTOEVENTO="Manual",$M56=1),$M56&gt;(ROW(PLE.lastrow)-ROW(PLE.firstrow))),0,IF(OFFSET(PLE!$G$14,$M56,BG$13)="",10^12,OFFSET(PLE!$G$14,$M56,BG$13))))</f>
        <v>1000000000000</v>
      </c>
    </row>
    <row r="57" spans="1:59" ht="38.25" x14ac:dyDescent="0.2">
      <c r="A57" s="9" t="str">
        <f t="shared" ca="1" si="8"/>
        <v>36</v>
      </c>
      <c r="B57" s="9" t="str">
        <f ca="1">OFFSET(ORÇAMENTO!C$15,ROW(B57)-ROW(B$15),0)</f>
        <v>S</v>
      </c>
      <c r="C57" s="9" t="str">
        <f ca="1">OFFSET(ORÇAMENTO!L$15,ROW(C57)-ROW(C$15),0)</f>
        <v/>
      </c>
      <c r="D57" s="145" t="str">
        <f ca="1">OFFSET(ORÇAMENTO!N$15,ROW(D57)-ROW(D$15),0)</f>
        <v>Serviço</v>
      </c>
      <c r="E57" s="205" t="str">
        <f ca="1">OFFSET(ORÇAMENTO!O$15,ROW(E57)-ROW(E$15),0)</f>
        <v>-</v>
      </c>
      <c r="F57" s="206" t="str">
        <f ca="1">OFFSET(ORÇAMENTO!R$15,ROW(F57)-ROW(F$15),0)</f>
        <v>ARMAÇÃO DE PILAR OU VIGA DE ESTRUTURA CONVENCIONAL DE CONCRETO ARMADO UTILIZANDO AÇO CA-60 DE 5,0 MM - MONTAGEM. AF_06/2022</v>
      </c>
      <c r="G57" s="207" t="str">
        <f ca="1">IF($D57&lt;&gt;"Serviço","",OFFSET(ORÇAMENTO!S$15,ROW(G57)-ROW(G$15),0))</f>
        <v>KG</v>
      </c>
      <c r="H57" s="151">
        <f ca="1">IF($D57&lt;&gt;"Serviço",0,IF(ACOMPANHAMENTO="BM",ROUND(OFFSET(ORÇAMENTO!AJ$15,ROW(H57)-ROW(H$15),0),15-13*ORÇAMENTO!$AF$7),SUMPRODUCT(($Q$12:$AA$12&lt;&gt;"")*ROUND($Q57:$AA57,15-13*ORÇAMENTO!$AF$7))))</f>
        <v>591.20000000000005</v>
      </c>
      <c r="I57" s="649"/>
      <c r="K57" s="208"/>
      <c r="L57" s="209" t="s">
        <v>255</v>
      </c>
      <c r="M57" s="210">
        <f ca="1">IF($D57&lt;&gt;"Serviço","",IF(AUTOEVENTO="manual",$A57,IF(ISERROR(MATCH($A57,$A$15:OFFSET($A57,-1,0),0)),MAX($M$15:OFFSET(M57,-1,0))+1,INDEX($M$15:OFFSET(M57,-1,0),MATCH($A57,$A$15:OFFSET($A57,-1,0),0)))))</f>
        <v>8</v>
      </c>
      <c r="N57" s="211" t="str">
        <f ca="1">IF($D57&lt;&gt;"Serviço","",IF(AUTOEVENTO="Manual",IF($A57=0,"&lt;-- defina o número do agrupador",OFFSET(EVENTOS!$D$14,$A57,0)),OFFSET($F$15,$A57,0)))</f>
        <v>VIGAS (INCLUSO BALDRAME)</v>
      </c>
      <c r="O57" s="212"/>
      <c r="Q57" s="212"/>
      <c r="R57" s="213"/>
      <c r="S57" s="213"/>
      <c r="T57" s="213"/>
      <c r="U57" s="213"/>
      <c r="V57" s="213"/>
      <c r="W57" s="213"/>
      <c r="X57" s="213"/>
      <c r="Y57" s="213"/>
      <c r="Z57" s="214"/>
      <c r="AB57" s="630">
        <f ca="1">IF(AND($D57="Serviço",AB$12&lt;&gt;0,$H57&gt;0,OR(AUTOEVENTO&lt;&gt;"manual",$M57&lt;&gt;1)),
IF(Import.TipoArredondamento&lt;&gt;"TransfereGOV",
ROUND(OFFSET($P57,0,AB$13),15-13*ORÇAMENTO!$AF$7)/$H57*OFFSET(ORÇAMENTO!$X$15,ROW(AB57)-ROW(AB$15),0),
ROUND(ROUND(OFFSET($P57,0,AB$13),15-13*ORÇAMENTO!$AF$7)*OFFSET(ORÇAMENTO!$W$15,ROW(AB57)-ROW(AB$15),0),15-13*ORÇAMENTO!$AF$11)),0)</f>
        <v>0</v>
      </c>
      <c r="AC57" s="631">
        <f ca="1">IF(AND($D57="Serviço",AC$12&lt;&gt;0,$H57&gt;0,OR(AUTOEVENTO&lt;&gt;"manual",$M57&lt;&gt;1)),
IF(Import.TipoArredondamento&lt;&gt;"TransfereGOV",
ROUND(OFFSET($P57,0,AC$13),15-13*ORÇAMENTO!$AF$7)/$H57*OFFSET(ORÇAMENTO!$X$15,ROW(AC57)-ROW(AC$15),0),
ROUND(ROUND(OFFSET($P57,0,AC$13),15-13*ORÇAMENTO!$AF$7)*OFFSET(ORÇAMENTO!$W$15,ROW(AC57)-ROW(AC$15),0),15-13*ORÇAMENTO!$AF$11)),0)</f>
        <v>0</v>
      </c>
      <c r="AD57" s="631">
        <f ca="1">IF(AND($D57="Serviço",AD$12&lt;&gt;0,$H57&gt;0,OR(AUTOEVENTO&lt;&gt;"manual",$M57&lt;&gt;1)),
IF(Import.TipoArredondamento&lt;&gt;"TransfereGOV",
ROUND(OFFSET($P57,0,AD$13),15-13*ORÇAMENTO!$AF$7)/$H57*OFFSET(ORÇAMENTO!$X$15,ROW(AD57)-ROW(AD$15),0),
ROUND(ROUND(OFFSET($P57,0,AD$13),15-13*ORÇAMENTO!$AF$7)*OFFSET(ORÇAMENTO!$W$15,ROW(AD57)-ROW(AD$15),0),15-13*ORÇAMENTO!$AF$11)),0)</f>
        <v>0</v>
      </c>
      <c r="AE57" s="631">
        <f ca="1">IF(AND($D57="Serviço",AE$12&lt;&gt;0,$H57&gt;0,OR(AUTOEVENTO&lt;&gt;"manual",$M57&lt;&gt;1)),
IF(Import.TipoArredondamento&lt;&gt;"TransfereGOV",
ROUND(OFFSET($P57,0,AE$13),15-13*ORÇAMENTO!$AF$7)/$H57*OFFSET(ORÇAMENTO!$X$15,ROW(AE57)-ROW(AE$15),0),
ROUND(ROUND(OFFSET($P57,0,AE$13),15-13*ORÇAMENTO!$AF$7)*OFFSET(ORÇAMENTO!$W$15,ROW(AE57)-ROW(AE$15),0),15-13*ORÇAMENTO!$AF$11)),0)</f>
        <v>0</v>
      </c>
      <c r="AF57" s="631">
        <f ca="1">IF(AND($D57="Serviço",AF$12&lt;&gt;0,$H57&gt;0,OR(AUTOEVENTO&lt;&gt;"manual",$M57&lt;&gt;1)),
IF(Import.TipoArredondamento&lt;&gt;"TransfereGOV",
ROUND(OFFSET($P57,0,AF$13),15-13*ORÇAMENTO!$AF$7)/$H57*OFFSET(ORÇAMENTO!$X$15,ROW(AF57)-ROW(AF$15),0),
ROUND(ROUND(OFFSET($P57,0,AF$13),15-13*ORÇAMENTO!$AF$7)*OFFSET(ORÇAMENTO!$W$15,ROW(AF57)-ROW(AF$15),0),15-13*ORÇAMENTO!$AF$11)),0)</f>
        <v>0</v>
      </c>
      <c r="AG57" s="631">
        <f ca="1">IF(AND($D57="Serviço",AG$12&lt;&gt;0,$H57&gt;0,OR(AUTOEVENTO&lt;&gt;"manual",$M57&lt;&gt;1)),
IF(Import.TipoArredondamento&lt;&gt;"TransfereGOV",
ROUND(OFFSET($P57,0,AG$13),15-13*ORÇAMENTO!$AF$7)/$H57*OFFSET(ORÇAMENTO!$X$15,ROW(AG57)-ROW(AG$15),0),
ROUND(ROUND(OFFSET($P57,0,AG$13),15-13*ORÇAMENTO!$AF$7)*OFFSET(ORÇAMENTO!$W$15,ROW(AG57)-ROW(AG$15),0),15-13*ORÇAMENTO!$AF$11)),0)</f>
        <v>0</v>
      </c>
      <c r="AH57" s="631">
        <f ca="1">IF(AND($D57="Serviço",AH$12&lt;&gt;0,$H57&gt;0,OR(AUTOEVENTO&lt;&gt;"manual",$M57&lt;&gt;1)),
IF(Import.TipoArredondamento&lt;&gt;"TransfereGOV",
ROUND(OFFSET($P57,0,AH$13),15-13*ORÇAMENTO!$AF$7)/$H57*OFFSET(ORÇAMENTO!$X$15,ROW(AH57)-ROW(AH$15),0),
ROUND(ROUND(OFFSET($P57,0,AH$13),15-13*ORÇAMENTO!$AF$7)*OFFSET(ORÇAMENTO!$W$15,ROW(AH57)-ROW(AH$15),0),15-13*ORÇAMENTO!$AF$11)),0)</f>
        <v>0</v>
      </c>
      <c r="AI57" s="631">
        <f ca="1">IF(AND($D57="Serviço",AI$12&lt;&gt;0,$H57&gt;0,OR(AUTOEVENTO&lt;&gt;"manual",$M57&lt;&gt;1)),
IF(Import.TipoArredondamento&lt;&gt;"TransfereGOV",
ROUND(OFFSET($P57,0,AI$13),15-13*ORÇAMENTO!$AF$7)/$H57*OFFSET(ORÇAMENTO!$X$15,ROW(AI57)-ROW(AI$15),0),
ROUND(ROUND(OFFSET($P57,0,AI$13),15-13*ORÇAMENTO!$AF$7)*OFFSET(ORÇAMENTO!$W$15,ROW(AI57)-ROW(AI$15),0),15-13*ORÇAMENTO!$AF$11)),0)</f>
        <v>0</v>
      </c>
      <c r="AJ57" s="631">
        <f ca="1">IF(AND($D57="Serviço",AJ$12&lt;&gt;0,$H57&gt;0,OR(AUTOEVENTO&lt;&gt;"manual",$M57&lt;&gt;1)),
IF(Import.TipoArredondamento&lt;&gt;"TransfereGOV",
ROUND(OFFSET($P57,0,AJ$13),15-13*ORÇAMENTO!$AF$7)/$H57*OFFSET(ORÇAMENTO!$X$15,ROW(AJ57)-ROW(AJ$15),0),
ROUND(ROUND(OFFSET($P57,0,AJ$13),15-13*ORÇAMENTO!$AF$7)*OFFSET(ORÇAMENTO!$W$15,ROW(AJ57)-ROW(AJ$15),0),15-13*ORÇAMENTO!$AF$11)),0)</f>
        <v>0</v>
      </c>
      <c r="AK57" s="632">
        <f ca="1">IF(AND($D57="Serviço",AK$12&lt;&gt;0,$H57&gt;0,OR(AUTOEVENTO&lt;&gt;"manual",$M57&lt;&gt;1)),
IF(Import.TipoArredondamento&lt;&gt;"TransfereGOV",
ROUND(OFFSET($P57,0,AK$13),15-13*ORÇAMENTO!$AF$7)/$H57*OFFSET(ORÇAMENTO!$X$15,ROW(AK57)-ROW(AK$15),0),
ROUND(ROUND(OFFSET($P57,0,AK$13),15-13*ORÇAMENTO!$AF$7)*OFFSET(ORÇAMENTO!$W$15,ROW(AK57)-ROW(AK$15),0),15-13*ORÇAMENTO!$AF$11)),0)</f>
        <v>0</v>
      </c>
      <c r="AM57" s="215">
        <f ca="1">IF($D57&lt;&gt;"Serviço",0,IF(AND(AUTOEVENTO="Manual",$M57=1),0,IF(OFFSET(CRONOPLE!$F$14,$M57,AM$13)="",10^12,OFFSET(CRONOPLE!$F$14,$M57,AM$13))))</f>
        <v>1000000000000</v>
      </c>
      <c r="AN57" s="215">
        <f ca="1">IF($D57&lt;&gt;"Serviço",0,IF(AND(AUTOEVENTO="Manual",$M57=1),0,IF(OFFSET(CRONOPLE!$F$14,$M57,AN$13)="",10^12,OFFSET(CRONOPLE!$F$14,$M57,AN$13))))</f>
        <v>1000000000000</v>
      </c>
      <c r="AO57" s="215">
        <f ca="1">IF($D57&lt;&gt;"Serviço",0,IF(AND(AUTOEVENTO="Manual",$M57=1),0,IF(OFFSET(CRONOPLE!$F$14,$M57,AO$13)="",10^12,OFFSET(CRONOPLE!$F$14,$M57,AO$13))))</f>
        <v>1000000000000</v>
      </c>
      <c r="AP57" s="215">
        <f ca="1">IF($D57&lt;&gt;"Serviço",0,IF(AND(AUTOEVENTO="Manual",$M57=1),0,IF(OFFSET(CRONOPLE!$F$14,$M57,AP$13)="",10^12,OFFSET(CRONOPLE!$F$14,$M57,AP$13))))</f>
        <v>1000000000000</v>
      </c>
      <c r="AQ57" s="215">
        <f ca="1">IF($D57&lt;&gt;"Serviço",0,IF(AND(AUTOEVENTO="Manual",$M57=1),0,IF(OFFSET(CRONOPLE!$F$14,$M57,AQ$13)="",10^12,OFFSET(CRONOPLE!$F$14,$M57,AQ$13))))</f>
        <v>1000000000000</v>
      </c>
      <c r="AR57" s="215">
        <f ca="1">IF($D57&lt;&gt;"Serviço",0,IF(AND(AUTOEVENTO="Manual",$M57=1),0,IF(OFFSET(CRONOPLE!$F$14,$M57,AR$13)="",10^12,OFFSET(CRONOPLE!$F$14,$M57,AR$13))))</f>
        <v>1000000000000</v>
      </c>
      <c r="AS57" s="215">
        <f ca="1">IF($D57&lt;&gt;"Serviço",0,IF(AND(AUTOEVENTO="Manual",$M57=1),0,IF(OFFSET(CRONOPLE!$F$14,$M57,AS$13)="",10^12,OFFSET(CRONOPLE!$F$14,$M57,AS$13))))</f>
        <v>1000000000000</v>
      </c>
      <c r="AT57" s="215">
        <f ca="1">IF($D57&lt;&gt;"Serviço",0,IF(AND(AUTOEVENTO="Manual",$M57=1),0,IF(OFFSET(CRONOPLE!$F$14,$M57,AT$13)="",10^12,OFFSET(CRONOPLE!$F$14,$M57,AT$13))))</f>
        <v>1000000000000</v>
      </c>
      <c r="AU57" s="215">
        <f ca="1">IF($D57&lt;&gt;"Serviço",0,IF(AND(AUTOEVENTO="Manual",$M57=1),0,IF(OFFSET(CRONOPLE!$F$14,$M57,AU$13)="",10^12,OFFSET(CRONOPLE!$F$14,$M57,AU$13))))</f>
        <v>1000000000000</v>
      </c>
      <c r="AV57" s="215">
        <f ca="1">IF($D57&lt;&gt;"Serviço",0,IF(AND(AUTOEVENTO="Manual",$M57=1),0,IF(OFFSET(CRONOPLE!$F$14,$M57,AV$13)="",10^12,OFFSET(CRONOPLE!$F$14,$M57,AV$13))))</f>
        <v>1000000000000</v>
      </c>
      <c r="AX57" s="216">
        <f ca="1">IF($D57&lt;&gt;"Serviço",0,IF(OR(AND(AUTOEVENTO="Manual",$M57=1),$M57&gt;(ROW(PLE.lastrow)-ROW(PLE.firstrow))),0,IF(OFFSET(PLE!$G$14,$M57,AX$13)="",10^12,OFFSET(PLE!$G$14,$M57,AX$13))))</f>
        <v>1000000000000</v>
      </c>
      <c r="AY57" s="216">
        <f ca="1">IF($D57&lt;&gt;"Serviço",0,IF(OR(AND(AUTOEVENTO="Manual",$M57=1),$M57&gt;(ROW(PLE.lastrow)-ROW(PLE.firstrow))),0,IF(OFFSET(PLE!$G$14,$M57,AY$13)="",10^12,OFFSET(PLE!$G$14,$M57,AY$13))))</f>
        <v>1000000000000</v>
      </c>
      <c r="AZ57" s="216">
        <f ca="1">IF($D57&lt;&gt;"Serviço",0,IF(OR(AND(AUTOEVENTO="Manual",$M57=1),$M57&gt;(ROW(PLE.lastrow)-ROW(PLE.firstrow))),0,IF(OFFSET(PLE!$G$14,$M57,AZ$13)="",10^12,OFFSET(PLE!$G$14,$M57,AZ$13))))</f>
        <v>1000000000000</v>
      </c>
      <c r="BA57" s="216">
        <f ca="1">IF($D57&lt;&gt;"Serviço",0,IF(OR(AND(AUTOEVENTO="Manual",$M57=1),$M57&gt;(ROW(PLE.lastrow)-ROW(PLE.firstrow))),0,IF(OFFSET(PLE!$G$14,$M57,BA$13)="",10^12,OFFSET(PLE!$G$14,$M57,BA$13))))</f>
        <v>1000000000000</v>
      </c>
      <c r="BB57" s="216">
        <f ca="1">IF($D57&lt;&gt;"Serviço",0,IF(OR(AND(AUTOEVENTO="Manual",$M57=1),$M57&gt;(ROW(PLE.lastrow)-ROW(PLE.firstrow))),0,IF(OFFSET(PLE!$G$14,$M57,BB$13)="",10^12,OFFSET(PLE!$G$14,$M57,BB$13))))</f>
        <v>1000000000000</v>
      </c>
      <c r="BC57" s="216">
        <f ca="1">IF($D57&lt;&gt;"Serviço",0,IF(OR(AND(AUTOEVENTO="Manual",$M57=1),$M57&gt;(ROW(PLE.lastrow)-ROW(PLE.firstrow))),0,IF(OFFSET(PLE!$G$14,$M57,BC$13)="",10^12,OFFSET(PLE!$G$14,$M57,BC$13))))</f>
        <v>1000000000000</v>
      </c>
      <c r="BD57" s="216">
        <f ca="1">IF($D57&lt;&gt;"Serviço",0,IF(OR(AND(AUTOEVENTO="Manual",$M57=1),$M57&gt;(ROW(PLE.lastrow)-ROW(PLE.firstrow))),0,IF(OFFSET(PLE!$G$14,$M57,BD$13)="",10^12,OFFSET(PLE!$G$14,$M57,BD$13))))</f>
        <v>1000000000000</v>
      </c>
      <c r="BE57" s="216">
        <f ca="1">IF($D57&lt;&gt;"Serviço",0,IF(OR(AND(AUTOEVENTO="Manual",$M57=1),$M57&gt;(ROW(PLE.lastrow)-ROW(PLE.firstrow))),0,IF(OFFSET(PLE!$G$14,$M57,BE$13)="",10^12,OFFSET(PLE!$G$14,$M57,BE$13))))</f>
        <v>1000000000000</v>
      </c>
      <c r="BF57" s="216">
        <f ca="1">IF($D57&lt;&gt;"Serviço",0,IF(OR(AND(AUTOEVENTO="Manual",$M57=1),$M57&gt;(ROW(PLE.lastrow)-ROW(PLE.firstrow))),0,IF(OFFSET(PLE!$G$14,$M57,BF$13)="",10^12,OFFSET(PLE!$G$14,$M57,BF$13))))</f>
        <v>1000000000000</v>
      </c>
      <c r="BG57" s="216">
        <f ca="1">IF($D57&lt;&gt;"Serviço",0,IF(OR(AND(AUTOEVENTO="Manual",$M57=1),$M57&gt;(ROW(PLE.lastrow)-ROW(PLE.firstrow))),0,IF(OFFSET(PLE!$G$14,$M57,BG$13)="",10^12,OFFSET(PLE!$G$14,$M57,BG$13))))</f>
        <v>1000000000000</v>
      </c>
    </row>
    <row r="58" spans="1:59" ht="12.75" x14ac:dyDescent="0.2">
      <c r="A58" s="9" t="str">
        <f t="shared" ca="1" si="8"/>
        <v>43.</v>
      </c>
      <c r="B58" s="9">
        <f ca="1">OFFSET(ORÇAMENTO!C$15,ROW(B58)-ROW(B$15),0)</f>
        <v>2</v>
      </c>
      <c r="C58" s="9" t="str">
        <f ca="1">OFFSET(ORÇAMENTO!L$15,ROW(C58)-ROW(C$15),0)</f>
        <v>F</v>
      </c>
      <c r="D58" s="145" t="str">
        <f ca="1">OFFSET(ORÇAMENTO!N$15,ROW(D58)-ROW(D$15),0)</f>
        <v>Nível 2</v>
      </c>
      <c r="E58" s="205" t="str">
        <f ca="1">OFFSET(ORÇAMENTO!O$15,ROW(E58)-ROW(E$15),0)</f>
        <v>1.8.</v>
      </c>
      <c r="F58" s="206" t="str">
        <f ca="1">OFFSET(ORÇAMENTO!R$15,ROW(F58)-ROW(F$15),0)</f>
        <v xml:space="preserve">IMPERMEABILIZAÇÃO BALDRAME </v>
      </c>
      <c r="G58" s="207" t="str">
        <f ca="1">IF($D58&lt;&gt;"Serviço","",OFFSET(ORÇAMENTO!S$15,ROW(G58)-ROW(G$15),0))</f>
        <v/>
      </c>
      <c r="H58" s="151">
        <f ca="1">IF($D58&lt;&gt;"Serviço",0,IF(ACOMPANHAMENTO="BM",ROUND(OFFSET(ORÇAMENTO!AJ$15,ROW(H58)-ROW(H$15),0),15-13*ORÇAMENTO!$AF$7),SUMPRODUCT(($Q$12:$AA$12&lt;&gt;"")*ROUND($Q58:$AA58,15-13*ORÇAMENTO!$AF$7))))</f>
        <v>0</v>
      </c>
      <c r="I58" s="649"/>
      <c r="K58" s="208"/>
      <c r="L58" s="209" t="s">
        <v>255</v>
      </c>
      <c r="M58" s="210" t="str">
        <f ca="1">IF($D58&lt;&gt;"Serviço","",IF(AUTOEVENTO="manual",$A58,IF(ISERROR(MATCH($A58,$A$15:OFFSET($A58,-1,0),0)),MAX($M$15:OFFSET(M58,-1,0))+1,INDEX($M$15:OFFSET(M58,-1,0),MATCH($A58,$A$15:OFFSET($A58,-1,0),0)))))</f>
        <v/>
      </c>
      <c r="N58" s="211" t="str">
        <f ca="1">IF($D58&lt;&gt;"Serviço","",IF(AUTOEVENTO="Manual",IF($A58=0,"&lt;-- defina o número do agrupador",OFFSET(EVENTOS!$D$14,$A58,0)),OFFSET($F$15,$A58,0)))</f>
        <v/>
      </c>
      <c r="O58" s="212"/>
      <c r="Q58" s="212"/>
      <c r="R58" s="213"/>
      <c r="S58" s="213"/>
      <c r="T58" s="213"/>
      <c r="U58" s="213"/>
      <c r="V58" s="213"/>
      <c r="W58" s="213"/>
      <c r="X58" s="213"/>
      <c r="Y58" s="213"/>
      <c r="Z58" s="214"/>
      <c r="AB58" s="630">
        <f ca="1">IF(AND($D58="Serviço",AB$12&lt;&gt;0,$H58&gt;0,OR(AUTOEVENTO&lt;&gt;"manual",$M58&lt;&gt;1)),
IF(Import.TipoArredondamento&lt;&gt;"TransfereGOV",
ROUND(OFFSET($P58,0,AB$13),15-13*ORÇAMENTO!$AF$7)/$H58*OFFSET(ORÇAMENTO!$X$15,ROW(AB58)-ROW(AB$15),0),
ROUND(ROUND(OFFSET($P58,0,AB$13),15-13*ORÇAMENTO!$AF$7)*OFFSET(ORÇAMENTO!$W$15,ROW(AB58)-ROW(AB$15),0),15-13*ORÇAMENTO!$AF$11)),0)</f>
        <v>0</v>
      </c>
      <c r="AC58" s="631">
        <f ca="1">IF(AND($D58="Serviço",AC$12&lt;&gt;0,$H58&gt;0,OR(AUTOEVENTO&lt;&gt;"manual",$M58&lt;&gt;1)),
IF(Import.TipoArredondamento&lt;&gt;"TransfereGOV",
ROUND(OFFSET($P58,0,AC$13),15-13*ORÇAMENTO!$AF$7)/$H58*OFFSET(ORÇAMENTO!$X$15,ROW(AC58)-ROW(AC$15),0),
ROUND(ROUND(OFFSET($P58,0,AC$13),15-13*ORÇAMENTO!$AF$7)*OFFSET(ORÇAMENTO!$W$15,ROW(AC58)-ROW(AC$15),0),15-13*ORÇAMENTO!$AF$11)),0)</f>
        <v>0</v>
      </c>
      <c r="AD58" s="631">
        <f ca="1">IF(AND($D58="Serviço",AD$12&lt;&gt;0,$H58&gt;0,OR(AUTOEVENTO&lt;&gt;"manual",$M58&lt;&gt;1)),
IF(Import.TipoArredondamento&lt;&gt;"TransfereGOV",
ROUND(OFFSET($P58,0,AD$13),15-13*ORÇAMENTO!$AF$7)/$H58*OFFSET(ORÇAMENTO!$X$15,ROW(AD58)-ROW(AD$15),0),
ROUND(ROUND(OFFSET($P58,0,AD$13),15-13*ORÇAMENTO!$AF$7)*OFFSET(ORÇAMENTO!$W$15,ROW(AD58)-ROW(AD$15),0),15-13*ORÇAMENTO!$AF$11)),0)</f>
        <v>0</v>
      </c>
      <c r="AE58" s="631">
        <f ca="1">IF(AND($D58="Serviço",AE$12&lt;&gt;0,$H58&gt;0,OR(AUTOEVENTO&lt;&gt;"manual",$M58&lt;&gt;1)),
IF(Import.TipoArredondamento&lt;&gt;"TransfereGOV",
ROUND(OFFSET($P58,0,AE$13),15-13*ORÇAMENTO!$AF$7)/$H58*OFFSET(ORÇAMENTO!$X$15,ROW(AE58)-ROW(AE$15),0),
ROUND(ROUND(OFFSET($P58,0,AE$13),15-13*ORÇAMENTO!$AF$7)*OFFSET(ORÇAMENTO!$W$15,ROW(AE58)-ROW(AE$15),0),15-13*ORÇAMENTO!$AF$11)),0)</f>
        <v>0</v>
      </c>
      <c r="AF58" s="631">
        <f ca="1">IF(AND($D58="Serviço",AF$12&lt;&gt;0,$H58&gt;0,OR(AUTOEVENTO&lt;&gt;"manual",$M58&lt;&gt;1)),
IF(Import.TipoArredondamento&lt;&gt;"TransfereGOV",
ROUND(OFFSET($P58,0,AF$13),15-13*ORÇAMENTO!$AF$7)/$H58*OFFSET(ORÇAMENTO!$X$15,ROW(AF58)-ROW(AF$15),0),
ROUND(ROUND(OFFSET($P58,0,AF$13),15-13*ORÇAMENTO!$AF$7)*OFFSET(ORÇAMENTO!$W$15,ROW(AF58)-ROW(AF$15),0),15-13*ORÇAMENTO!$AF$11)),0)</f>
        <v>0</v>
      </c>
      <c r="AG58" s="631">
        <f ca="1">IF(AND($D58="Serviço",AG$12&lt;&gt;0,$H58&gt;0,OR(AUTOEVENTO&lt;&gt;"manual",$M58&lt;&gt;1)),
IF(Import.TipoArredondamento&lt;&gt;"TransfereGOV",
ROUND(OFFSET($P58,0,AG$13),15-13*ORÇAMENTO!$AF$7)/$H58*OFFSET(ORÇAMENTO!$X$15,ROW(AG58)-ROW(AG$15),0),
ROUND(ROUND(OFFSET($P58,0,AG$13),15-13*ORÇAMENTO!$AF$7)*OFFSET(ORÇAMENTO!$W$15,ROW(AG58)-ROW(AG$15),0),15-13*ORÇAMENTO!$AF$11)),0)</f>
        <v>0</v>
      </c>
      <c r="AH58" s="631">
        <f ca="1">IF(AND($D58="Serviço",AH$12&lt;&gt;0,$H58&gt;0,OR(AUTOEVENTO&lt;&gt;"manual",$M58&lt;&gt;1)),
IF(Import.TipoArredondamento&lt;&gt;"TransfereGOV",
ROUND(OFFSET($P58,0,AH$13),15-13*ORÇAMENTO!$AF$7)/$H58*OFFSET(ORÇAMENTO!$X$15,ROW(AH58)-ROW(AH$15),0),
ROUND(ROUND(OFFSET($P58,0,AH$13),15-13*ORÇAMENTO!$AF$7)*OFFSET(ORÇAMENTO!$W$15,ROW(AH58)-ROW(AH$15),0),15-13*ORÇAMENTO!$AF$11)),0)</f>
        <v>0</v>
      </c>
      <c r="AI58" s="631">
        <f ca="1">IF(AND($D58="Serviço",AI$12&lt;&gt;0,$H58&gt;0,OR(AUTOEVENTO&lt;&gt;"manual",$M58&lt;&gt;1)),
IF(Import.TipoArredondamento&lt;&gt;"TransfereGOV",
ROUND(OFFSET($P58,0,AI$13),15-13*ORÇAMENTO!$AF$7)/$H58*OFFSET(ORÇAMENTO!$X$15,ROW(AI58)-ROW(AI$15),0),
ROUND(ROUND(OFFSET($P58,0,AI$13),15-13*ORÇAMENTO!$AF$7)*OFFSET(ORÇAMENTO!$W$15,ROW(AI58)-ROW(AI$15),0),15-13*ORÇAMENTO!$AF$11)),0)</f>
        <v>0</v>
      </c>
      <c r="AJ58" s="631">
        <f ca="1">IF(AND($D58="Serviço",AJ$12&lt;&gt;0,$H58&gt;0,OR(AUTOEVENTO&lt;&gt;"manual",$M58&lt;&gt;1)),
IF(Import.TipoArredondamento&lt;&gt;"TransfereGOV",
ROUND(OFFSET($P58,0,AJ$13),15-13*ORÇAMENTO!$AF$7)/$H58*OFFSET(ORÇAMENTO!$X$15,ROW(AJ58)-ROW(AJ$15),0),
ROUND(ROUND(OFFSET($P58,0,AJ$13),15-13*ORÇAMENTO!$AF$7)*OFFSET(ORÇAMENTO!$W$15,ROW(AJ58)-ROW(AJ$15),0),15-13*ORÇAMENTO!$AF$11)),0)</f>
        <v>0</v>
      </c>
      <c r="AK58" s="632">
        <f ca="1">IF(AND($D58="Serviço",AK$12&lt;&gt;0,$H58&gt;0,OR(AUTOEVENTO&lt;&gt;"manual",$M58&lt;&gt;1)),
IF(Import.TipoArredondamento&lt;&gt;"TransfereGOV",
ROUND(OFFSET($P58,0,AK$13),15-13*ORÇAMENTO!$AF$7)/$H58*OFFSET(ORÇAMENTO!$X$15,ROW(AK58)-ROW(AK$15),0),
ROUND(ROUND(OFFSET($P58,0,AK$13),15-13*ORÇAMENTO!$AF$7)*OFFSET(ORÇAMENTO!$W$15,ROW(AK58)-ROW(AK$15),0),15-13*ORÇAMENTO!$AF$11)),0)</f>
        <v>0</v>
      </c>
      <c r="AM58" s="215">
        <f ca="1">IF($D58&lt;&gt;"Serviço",0,IF(AND(AUTOEVENTO="Manual",$M58=1),0,IF(OFFSET(CRONOPLE!$F$14,$M58,AM$13)="",10^12,OFFSET(CRONOPLE!$F$14,$M58,AM$13))))</f>
        <v>0</v>
      </c>
      <c r="AN58" s="215">
        <f ca="1">IF($D58&lt;&gt;"Serviço",0,IF(AND(AUTOEVENTO="Manual",$M58=1),0,IF(OFFSET(CRONOPLE!$F$14,$M58,AN$13)="",10^12,OFFSET(CRONOPLE!$F$14,$M58,AN$13))))</f>
        <v>0</v>
      </c>
      <c r="AO58" s="215">
        <f ca="1">IF($D58&lt;&gt;"Serviço",0,IF(AND(AUTOEVENTO="Manual",$M58=1),0,IF(OFFSET(CRONOPLE!$F$14,$M58,AO$13)="",10^12,OFFSET(CRONOPLE!$F$14,$M58,AO$13))))</f>
        <v>0</v>
      </c>
      <c r="AP58" s="215">
        <f ca="1">IF($D58&lt;&gt;"Serviço",0,IF(AND(AUTOEVENTO="Manual",$M58=1),0,IF(OFFSET(CRONOPLE!$F$14,$M58,AP$13)="",10^12,OFFSET(CRONOPLE!$F$14,$M58,AP$13))))</f>
        <v>0</v>
      </c>
      <c r="AQ58" s="215">
        <f ca="1">IF($D58&lt;&gt;"Serviço",0,IF(AND(AUTOEVENTO="Manual",$M58=1),0,IF(OFFSET(CRONOPLE!$F$14,$M58,AQ$13)="",10^12,OFFSET(CRONOPLE!$F$14,$M58,AQ$13))))</f>
        <v>0</v>
      </c>
      <c r="AR58" s="215">
        <f ca="1">IF($D58&lt;&gt;"Serviço",0,IF(AND(AUTOEVENTO="Manual",$M58=1),0,IF(OFFSET(CRONOPLE!$F$14,$M58,AR$13)="",10^12,OFFSET(CRONOPLE!$F$14,$M58,AR$13))))</f>
        <v>0</v>
      </c>
      <c r="AS58" s="215">
        <f ca="1">IF($D58&lt;&gt;"Serviço",0,IF(AND(AUTOEVENTO="Manual",$M58=1),0,IF(OFFSET(CRONOPLE!$F$14,$M58,AS$13)="",10^12,OFFSET(CRONOPLE!$F$14,$M58,AS$13))))</f>
        <v>0</v>
      </c>
      <c r="AT58" s="215">
        <f ca="1">IF($D58&lt;&gt;"Serviço",0,IF(AND(AUTOEVENTO="Manual",$M58=1),0,IF(OFFSET(CRONOPLE!$F$14,$M58,AT$13)="",10^12,OFFSET(CRONOPLE!$F$14,$M58,AT$13))))</f>
        <v>0</v>
      </c>
      <c r="AU58" s="215">
        <f ca="1">IF($D58&lt;&gt;"Serviço",0,IF(AND(AUTOEVENTO="Manual",$M58=1),0,IF(OFFSET(CRONOPLE!$F$14,$M58,AU$13)="",10^12,OFFSET(CRONOPLE!$F$14,$M58,AU$13))))</f>
        <v>0</v>
      </c>
      <c r="AV58" s="215">
        <f ca="1">IF($D58&lt;&gt;"Serviço",0,IF(AND(AUTOEVENTO="Manual",$M58=1),0,IF(OFFSET(CRONOPLE!$F$14,$M58,AV$13)="",10^12,OFFSET(CRONOPLE!$F$14,$M58,AV$13))))</f>
        <v>0</v>
      </c>
      <c r="AX58" s="216">
        <f ca="1">IF($D58&lt;&gt;"Serviço",0,IF(OR(AND(AUTOEVENTO="Manual",$M58=1),$M58&gt;(ROW(PLE.lastrow)-ROW(PLE.firstrow))),0,IF(OFFSET(PLE!$G$14,$M58,AX$13)="",10^12,OFFSET(PLE!$G$14,$M58,AX$13))))</f>
        <v>0</v>
      </c>
      <c r="AY58" s="216">
        <f ca="1">IF($D58&lt;&gt;"Serviço",0,IF(OR(AND(AUTOEVENTO="Manual",$M58=1),$M58&gt;(ROW(PLE.lastrow)-ROW(PLE.firstrow))),0,IF(OFFSET(PLE!$G$14,$M58,AY$13)="",10^12,OFFSET(PLE!$G$14,$M58,AY$13))))</f>
        <v>0</v>
      </c>
      <c r="AZ58" s="216">
        <f ca="1">IF($D58&lt;&gt;"Serviço",0,IF(OR(AND(AUTOEVENTO="Manual",$M58=1),$M58&gt;(ROW(PLE.lastrow)-ROW(PLE.firstrow))),0,IF(OFFSET(PLE!$G$14,$M58,AZ$13)="",10^12,OFFSET(PLE!$G$14,$M58,AZ$13))))</f>
        <v>0</v>
      </c>
      <c r="BA58" s="216">
        <f ca="1">IF($D58&lt;&gt;"Serviço",0,IF(OR(AND(AUTOEVENTO="Manual",$M58=1),$M58&gt;(ROW(PLE.lastrow)-ROW(PLE.firstrow))),0,IF(OFFSET(PLE!$G$14,$M58,BA$13)="",10^12,OFFSET(PLE!$G$14,$M58,BA$13))))</f>
        <v>0</v>
      </c>
      <c r="BB58" s="216">
        <f ca="1">IF($D58&lt;&gt;"Serviço",0,IF(OR(AND(AUTOEVENTO="Manual",$M58=1),$M58&gt;(ROW(PLE.lastrow)-ROW(PLE.firstrow))),0,IF(OFFSET(PLE!$G$14,$M58,BB$13)="",10^12,OFFSET(PLE!$G$14,$M58,BB$13))))</f>
        <v>0</v>
      </c>
      <c r="BC58" s="216">
        <f ca="1">IF($D58&lt;&gt;"Serviço",0,IF(OR(AND(AUTOEVENTO="Manual",$M58=1),$M58&gt;(ROW(PLE.lastrow)-ROW(PLE.firstrow))),0,IF(OFFSET(PLE!$G$14,$M58,BC$13)="",10^12,OFFSET(PLE!$G$14,$M58,BC$13))))</f>
        <v>0</v>
      </c>
      <c r="BD58" s="216">
        <f ca="1">IF($D58&lt;&gt;"Serviço",0,IF(OR(AND(AUTOEVENTO="Manual",$M58=1),$M58&gt;(ROW(PLE.lastrow)-ROW(PLE.firstrow))),0,IF(OFFSET(PLE!$G$14,$M58,BD$13)="",10^12,OFFSET(PLE!$G$14,$M58,BD$13))))</f>
        <v>0</v>
      </c>
      <c r="BE58" s="216">
        <f ca="1">IF($D58&lt;&gt;"Serviço",0,IF(OR(AND(AUTOEVENTO="Manual",$M58=1),$M58&gt;(ROW(PLE.lastrow)-ROW(PLE.firstrow))),0,IF(OFFSET(PLE!$G$14,$M58,BE$13)="",10^12,OFFSET(PLE!$G$14,$M58,BE$13))))</f>
        <v>0</v>
      </c>
      <c r="BF58" s="216">
        <f ca="1">IF($D58&lt;&gt;"Serviço",0,IF(OR(AND(AUTOEVENTO="Manual",$M58=1),$M58&gt;(ROW(PLE.lastrow)-ROW(PLE.firstrow))),0,IF(OFFSET(PLE!$G$14,$M58,BF$13)="",10^12,OFFSET(PLE!$G$14,$M58,BF$13))))</f>
        <v>0</v>
      </c>
      <c r="BG58" s="216">
        <f ca="1">IF($D58&lt;&gt;"Serviço",0,IF(OR(AND(AUTOEVENTO="Manual",$M58=1),$M58&gt;(ROW(PLE.lastrow)-ROW(PLE.firstrow))),0,IF(OFFSET(PLE!$G$14,$M58,BG$13)="",10^12,OFFSET(PLE!$G$14,$M58,BG$13))))</f>
        <v>0</v>
      </c>
    </row>
    <row r="59" spans="1:59" ht="25.5" x14ac:dyDescent="0.2">
      <c r="A59" s="9" t="str">
        <f t="shared" ca="1" si="8"/>
        <v>43</v>
      </c>
      <c r="B59" s="9" t="str">
        <f ca="1">OFFSET(ORÇAMENTO!C$15,ROW(B59)-ROW(B$15),0)</f>
        <v>S</v>
      </c>
      <c r="C59" s="9" t="str">
        <f ca="1">OFFSET(ORÇAMENTO!L$15,ROW(C59)-ROW(C$15),0)</f>
        <v/>
      </c>
      <c r="D59" s="145" t="str">
        <f ca="1">OFFSET(ORÇAMENTO!N$15,ROW(D59)-ROW(D$15),0)</f>
        <v>Serviço</v>
      </c>
      <c r="E59" s="205" t="str">
        <f ca="1">OFFSET(ORÇAMENTO!O$15,ROW(E59)-ROW(E$15),0)</f>
        <v>-</v>
      </c>
      <c r="F59" s="206" t="str">
        <f ca="1">OFFSET(ORÇAMENTO!R$15,ROW(F59)-ROW(F$15),0)</f>
        <v>IMPERMEABILIZAÇÃO DE SUPERFÍCIE COM EMULSÃO ASFÁLTICA, 2 DEMÃOS. AF_09/2023</v>
      </c>
      <c r="G59" s="207" t="str">
        <f ca="1">IF($D59&lt;&gt;"Serviço","",OFFSET(ORÇAMENTO!S$15,ROW(G59)-ROW(G$15),0))</f>
        <v>M2</v>
      </c>
      <c r="H59" s="151">
        <f ca="1">IF($D59&lt;&gt;"Serviço",0,IF(ACOMPANHAMENTO="BM",ROUND(OFFSET(ORÇAMENTO!AJ$15,ROW(H59)-ROW(H$15),0),15-13*ORÇAMENTO!$AF$7),SUMPRODUCT(($Q$12:$AA$12&lt;&gt;"")*ROUND($Q59:$AA59,15-13*ORÇAMENTO!$AF$7))))</f>
        <v>170</v>
      </c>
      <c r="I59" s="649"/>
      <c r="K59" s="208"/>
      <c r="L59" s="209" t="s">
        <v>255</v>
      </c>
      <c r="M59" s="210">
        <f ca="1">IF($D59&lt;&gt;"Serviço","",IF(AUTOEVENTO="manual",$A59,IF(ISERROR(MATCH($A59,$A$15:OFFSET($A59,-1,0),0)),MAX($M$15:OFFSET(M59,-1,0))+1,INDEX($M$15:OFFSET(M59,-1,0),MATCH($A59,$A$15:OFFSET($A59,-1,0),0)))))</f>
        <v>9</v>
      </c>
      <c r="N59" s="211" t="str">
        <f ca="1">IF($D59&lt;&gt;"Serviço","",IF(AUTOEVENTO="Manual",IF($A59=0,"&lt;-- defina o número do agrupador",OFFSET(EVENTOS!$D$14,$A59,0)),OFFSET($F$15,$A59,0)))</f>
        <v xml:space="preserve">IMPERMEABILIZAÇÃO BALDRAME </v>
      </c>
      <c r="O59" s="212"/>
      <c r="Q59" s="212"/>
      <c r="R59" s="213"/>
      <c r="S59" s="213"/>
      <c r="T59" s="213"/>
      <c r="U59" s="213"/>
      <c r="V59" s="213"/>
      <c r="W59" s="213"/>
      <c r="X59" s="213"/>
      <c r="Y59" s="213"/>
      <c r="Z59" s="214"/>
      <c r="AB59" s="630">
        <f ca="1">IF(AND($D59="Serviço",AB$12&lt;&gt;0,$H59&gt;0,OR(AUTOEVENTO&lt;&gt;"manual",$M59&lt;&gt;1)),
IF(Import.TipoArredondamento&lt;&gt;"TransfereGOV",
ROUND(OFFSET($P59,0,AB$13),15-13*ORÇAMENTO!$AF$7)/$H59*OFFSET(ORÇAMENTO!$X$15,ROW(AB59)-ROW(AB$15),0),
ROUND(ROUND(OFFSET($P59,0,AB$13),15-13*ORÇAMENTO!$AF$7)*OFFSET(ORÇAMENTO!$W$15,ROW(AB59)-ROW(AB$15),0),15-13*ORÇAMENTO!$AF$11)),0)</f>
        <v>0</v>
      </c>
      <c r="AC59" s="631">
        <f ca="1">IF(AND($D59="Serviço",AC$12&lt;&gt;0,$H59&gt;0,OR(AUTOEVENTO&lt;&gt;"manual",$M59&lt;&gt;1)),
IF(Import.TipoArredondamento&lt;&gt;"TransfereGOV",
ROUND(OFFSET($P59,0,AC$13),15-13*ORÇAMENTO!$AF$7)/$H59*OFFSET(ORÇAMENTO!$X$15,ROW(AC59)-ROW(AC$15),0),
ROUND(ROUND(OFFSET($P59,0,AC$13),15-13*ORÇAMENTO!$AF$7)*OFFSET(ORÇAMENTO!$W$15,ROW(AC59)-ROW(AC$15),0),15-13*ORÇAMENTO!$AF$11)),0)</f>
        <v>0</v>
      </c>
      <c r="AD59" s="631">
        <f ca="1">IF(AND($D59="Serviço",AD$12&lt;&gt;0,$H59&gt;0,OR(AUTOEVENTO&lt;&gt;"manual",$M59&lt;&gt;1)),
IF(Import.TipoArredondamento&lt;&gt;"TransfereGOV",
ROUND(OFFSET($P59,0,AD$13),15-13*ORÇAMENTO!$AF$7)/$H59*OFFSET(ORÇAMENTO!$X$15,ROW(AD59)-ROW(AD$15),0),
ROUND(ROUND(OFFSET($P59,0,AD$13),15-13*ORÇAMENTO!$AF$7)*OFFSET(ORÇAMENTO!$W$15,ROW(AD59)-ROW(AD$15),0),15-13*ORÇAMENTO!$AF$11)),0)</f>
        <v>0</v>
      </c>
      <c r="AE59" s="631">
        <f ca="1">IF(AND($D59="Serviço",AE$12&lt;&gt;0,$H59&gt;0,OR(AUTOEVENTO&lt;&gt;"manual",$M59&lt;&gt;1)),
IF(Import.TipoArredondamento&lt;&gt;"TransfereGOV",
ROUND(OFFSET($P59,0,AE$13),15-13*ORÇAMENTO!$AF$7)/$H59*OFFSET(ORÇAMENTO!$X$15,ROW(AE59)-ROW(AE$15),0),
ROUND(ROUND(OFFSET($P59,0,AE$13),15-13*ORÇAMENTO!$AF$7)*OFFSET(ORÇAMENTO!$W$15,ROW(AE59)-ROW(AE$15),0),15-13*ORÇAMENTO!$AF$11)),0)</f>
        <v>0</v>
      </c>
      <c r="AF59" s="631">
        <f ca="1">IF(AND($D59="Serviço",AF$12&lt;&gt;0,$H59&gt;0,OR(AUTOEVENTO&lt;&gt;"manual",$M59&lt;&gt;1)),
IF(Import.TipoArredondamento&lt;&gt;"TransfereGOV",
ROUND(OFFSET($P59,0,AF$13),15-13*ORÇAMENTO!$AF$7)/$H59*OFFSET(ORÇAMENTO!$X$15,ROW(AF59)-ROW(AF$15),0),
ROUND(ROUND(OFFSET($P59,0,AF$13),15-13*ORÇAMENTO!$AF$7)*OFFSET(ORÇAMENTO!$W$15,ROW(AF59)-ROW(AF$15),0),15-13*ORÇAMENTO!$AF$11)),0)</f>
        <v>0</v>
      </c>
      <c r="AG59" s="631">
        <f ca="1">IF(AND($D59="Serviço",AG$12&lt;&gt;0,$H59&gt;0,OR(AUTOEVENTO&lt;&gt;"manual",$M59&lt;&gt;1)),
IF(Import.TipoArredondamento&lt;&gt;"TransfereGOV",
ROUND(OFFSET($P59,0,AG$13),15-13*ORÇAMENTO!$AF$7)/$H59*OFFSET(ORÇAMENTO!$X$15,ROW(AG59)-ROW(AG$15),0),
ROUND(ROUND(OFFSET($P59,0,AG$13),15-13*ORÇAMENTO!$AF$7)*OFFSET(ORÇAMENTO!$W$15,ROW(AG59)-ROW(AG$15),0),15-13*ORÇAMENTO!$AF$11)),0)</f>
        <v>0</v>
      </c>
      <c r="AH59" s="631">
        <f ca="1">IF(AND($D59="Serviço",AH$12&lt;&gt;0,$H59&gt;0,OR(AUTOEVENTO&lt;&gt;"manual",$M59&lt;&gt;1)),
IF(Import.TipoArredondamento&lt;&gt;"TransfereGOV",
ROUND(OFFSET($P59,0,AH$13),15-13*ORÇAMENTO!$AF$7)/$H59*OFFSET(ORÇAMENTO!$X$15,ROW(AH59)-ROW(AH$15),0),
ROUND(ROUND(OFFSET($P59,0,AH$13),15-13*ORÇAMENTO!$AF$7)*OFFSET(ORÇAMENTO!$W$15,ROW(AH59)-ROW(AH$15),0),15-13*ORÇAMENTO!$AF$11)),0)</f>
        <v>0</v>
      </c>
      <c r="AI59" s="631">
        <f ca="1">IF(AND($D59="Serviço",AI$12&lt;&gt;0,$H59&gt;0,OR(AUTOEVENTO&lt;&gt;"manual",$M59&lt;&gt;1)),
IF(Import.TipoArredondamento&lt;&gt;"TransfereGOV",
ROUND(OFFSET($P59,0,AI$13),15-13*ORÇAMENTO!$AF$7)/$H59*OFFSET(ORÇAMENTO!$X$15,ROW(AI59)-ROW(AI$15),0),
ROUND(ROUND(OFFSET($P59,0,AI$13),15-13*ORÇAMENTO!$AF$7)*OFFSET(ORÇAMENTO!$W$15,ROW(AI59)-ROW(AI$15),0),15-13*ORÇAMENTO!$AF$11)),0)</f>
        <v>0</v>
      </c>
      <c r="AJ59" s="631">
        <f ca="1">IF(AND($D59="Serviço",AJ$12&lt;&gt;0,$H59&gt;0,OR(AUTOEVENTO&lt;&gt;"manual",$M59&lt;&gt;1)),
IF(Import.TipoArredondamento&lt;&gt;"TransfereGOV",
ROUND(OFFSET($P59,0,AJ$13),15-13*ORÇAMENTO!$AF$7)/$H59*OFFSET(ORÇAMENTO!$X$15,ROW(AJ59)-ROW(AJ$15),0),
ROUND(ROUND(OFFSET($P59,0,AJ$13),15-13*ORÇAMENTO!$AF$7)*OFFSET(ORÇAMENTO!$W$15,ROW(AJ59)-ROW(AJ$15),0),15-13*ORÇAMENTO!$AF$11)),0)</f>
        <v>0</v>
      </c>
      <c r="AK59" s="632">
        <f ca="1">IF(AND($D59="Serviço",AK$12&lt;&gt;0,$H59&gt;0,OR(AUTOEVENTO&lt;&gt;"manual",$M59&lt;&gt;1)),
IF(Import.TipoArredondamento&lt;&gt;"TransfereGOV",
ROUND(OFFSET($P59,0,AK$13),15-13*ORÇAMENTO!$AF$7)/$H59*OFFSET(ORÇAMENTO!$X$15,ROW(AK59)-ROW(AK$15),0),
ROUND(ROUND(OFFSET($P59,0,AK$13),15-13*ORÇAMENTO!$AF$7)*OFFSET(ORÇAMENTO!$W$15,ROW(AK59)-ROW(AK$15),0),15-13*ORÇAMENTO!$AF$11)),0)</f>
        <v>0</v>
      </c>
      <c r="AM59" s="215">
        <f ca="1">IF($D59&lt;&gt;"Serviço",0,IF(AND(AUTOEVENTO="Manual",$M59=1),0,IF(OFFSET(CRONOPLE!$F$14,$M59,AM$13)="",10^12,OFFSET(CRONOPLE!$F$14,$M59,AM$13))))</f>
        <v>1000000000000</v>
      </c>
      <c r="AN59" s="215">
        <f ca="1">IF($D59&lt;&gt;"Serviço",0,IF(AND(AUTOEVENTO="Manual",$M59=1),0,IF(OFFSET(CRONOPLE!$F$14,$M59,AN$13)="",10^12,OFFSET(CRONOPLE!$F$14,$M59,AN$13))))</f>
        <v>1000000000000</v>
      </c>
      <c r="AO59" s="215">
        <f ca="1">IF($D59&lt;&gt;"Serviço",0,IF(AND(AUTOEVENTO="Manual",$M59=1),0,IF(OFFSET(CRONOPLE!$F$14,$M59,AO$13)="",10^12,OFFSET(CRONOPLE!$F$14,$M59,AO$13))))</f>
        <v>1000000000000</v>
      </c>
      <c r="AP59" s="215">
        <f ca="1">IF($D59&lt;&gt;"Serviço",0,IF(AND(AUTOEVENTO="Manual",$M59=1),0,IF(OFFSET(CRONOPLE!$F$14,$M59,AP$13)="",10^12,OFFSET(CRONOPLE!$F$14,$M59,AP$13))))</f>
        <v>1000000000000</v>
      </c>
      <c r="AQ59" s="215">
        <f ca="1">IF($D59&lt;&gt;"Serviço",0,IF(AND(AUTOEVENTO="Manual",$M59=1),0,IF(OFFSET(CRONOPLE!$F$14,$M59,AQ$13)="",10^12,OFFSET(CRONOPLE!$F$14,$M59,AQ$13))))</f>
        <v>1000000000000</v>
      </c>
      <c r="AR59" s="215">
        <f ca="1">IF($D59&lt;&gt;"Serviço",0,IF(AND(AUTOEVENTO="Manual",$M59=1),0,IF(OFFSET(CRONOPLE!$F$14,$M59,AR$13)="",10^12,OFFSET(CRONOPLE!$F$14,$M59,AR$13))))</f>
        <v>1000000000000</v>
      </c>
      <c r="AS59" s="215">
        <f ca="1">IF($D59&lt;&gt;"Serviço",0,IF(AND(AUTOEVENTO="Manual",$M59=1),0,IF(OFFSET(CRONOPLE!$F$14,$M59,AS$13)="",10^12,OFFSET(CRONOPLE!$F$14,$M59,AS$13))))</f>
        <v>1000000000000</v>
      </c>
      <c r="AT59" s="215">
        <f ca="1">IF($D59&lt;&gt;"Serviço",0,IF(AND(AUTOEVENTO="Manual",$M59=1),0,IF(OFFSET(CRONOPLE!$F$14,$M59,AT$13)="",10^12,OFFSET(CRONOPLE!$F$14,$M59,AT$13))))</f>
        <v>1000000000000</v>
      </c>
      <c r="AU59" s="215">
        <f ca="1">IF($D59&lt;&gt;"Serviço",0,IF(AND(AUTOEVENTO="Manual",$M59=1),0,IF(OFFSET(CRONOPLE!$F$14,$M59,AU$13)="",10^12,OFFSET(CRONOPLE!$F$14,$M59,AU$13))))</f>
        <v>1000000000000</v>
      </c>
      <c r="AV59" s="215">
        <f ca="1">IF($D59&lt;&gt;"Serviço",0,IF(AND(AUTOEVENTO="Manual",$M59=1),0,IF(OFFSET(CRONOPLE!$F$14,$M59,AV$13)="",10^12,OFFSET(CRONOPLE!$F$14,$M59,AV$13))))</f>
        <v>1000000000000</v>
      </c>
      <c r="AX59" s="216">
        <f ca="1">IF($D59&lt;&gt;"Serviço",0,IF(OR(AND(AUTOEVENTO="Manual",$M59=1),$M59&gt;(ROW(PLE.lastrow)-ROW(PLE.firstrow))),0,IF(OFFSET(PLE!$G$14,$M59,AX$13)="",10^12,OFFSET(PLE!$G$14,$M59,AX$13))))</f>
        <v>1000000000000</v>
      </c>
      <c r="AY59" s="216">
        <f ca="1">IF($D59&lt;&gt;"Serviço",0,IF(OR(AND(AUTOEVENTO="Manual",$M59=1),$M59&gt;(ROW(PLE.lastrow)-ROW(PLE.firstrow))),0,IF(OFFSET(PLE!$G$14,$M59,AY$13)="",10^12,OFFSET(PLE!$G$14,$M59,AY$13))))</f>
        <v>1000000000000</v>
      </c>
      <c r="AZ59" s="216">
        <f ca="1">IF($D59&lt;&gt;"Serviço",0,IF(OR(AND(AUTOEVENTO="Manual",$M59=1),$M59&gt;(ROW(PLE.lastrow)-ROW(PLE.firstrow))),0,IF(OFFSET(PLE!$G$14,$M59,AZ$13)="",10^12,OFFSET(PLE!$G$14,$M59,AZ$13))))</f>
        <v>1000000000000</v>
      </c>
      <c r="BA59" s="216">
        <f ca="1">IF($D59&lt;&gt;"Serviço",0,IF(OR(AND(AUTOEVENTO="Manual",$M59=1),$M59&gt;(ROW(PLE.lastrow)-ROW(PLE.firstrow))),0,IF(OFFSET(PLE!$G$14,$M59,BA$13)="",10^12,OFFSET(PLE!$G$14,$M59,BA$13))))</f>
        <v>1000000000000</v>
      </c>
      <c r="BB59" s="216">
        <f ca="1">IF($D59&lt;&gt;"Serviço",0,IF(OR(AND(AUTOEVENTO="Manual",$M59=1),$M59&gt;(ROW(PLE.lastrow)-ROW(PLE.firstrow))),0,IF(OFFSET(PLE!$G$14,$M59,BB$13)="",10^12,OFFSET(PLE!$G$14,$M59,BB$13))))</f>
        <v>1000000000000</v>
      </c>
      <c r="BC59" s="216">
        <f ca="1">IF($D59&lt;&gt;"Serviço",0,IF(OR(AND(AUTOEVENTO="Manual",$M59=1),$M59&gt;(ROW(PLE.lastrow)-ROW(PLE.firstrow))),0,IF(OFFSET(PLE!$G$14,$M59,BC$13)="",10^12,OFFSET(PLE!$G$14,$M59,BC$13))))</f>
        <v>1000000000000</v>
      </c>
      <c r="BD59" s="216">
        <f ca="1">IF($D59&lt;&gt;"Serviço",0,IF(OR(AND(AUTOEVENTO="Manual",$M59=1),$M59&gt;(ROW(PLE.lastrow)-ROW(PLE.firstrow))),0,IF(OFFSET(PLE!$G$14,$M59,BD$13)="",10^12,OFFSET(PLE!$G$14,$M59,BD$13))))</f>
        <v>1000000000000</v>
      </c>
      <c r="BE59" s="216">
        <f ca="1">IF($D59&lt;&gt;"Serviço",0,IF(OR(AND(AUTOEVENTO="Manual",$M59=1),$M59&gt;(ROW(PLE.lastrow)-ROW(PLE.firstrow))),0,IF(OFFSET(PLE!$G$14,$M59,BE$13)="",10^12,OFFSET(PLE!$G$14,$M59,BE$13))))</f>
        <v>1000000000000</v>
      </c>
      <c r="BF59" s="216">
        <f ca="1">IF($D59&lt;&gt;"Serviço",0,IF(OR(AND(AUTOEVENTO="Manual",$M59=1),$M59&gt;(ROW(PLE.lastrow)-ROW(PLE.firstrow))),0,IF(OFFSET(PLE!$G$14,$M59,BF$13)="",10^12,OFFSET(PLE!$G$14,$M59,BF$13))))</f>
        <v>1000000000000</v>
      </c>
      <c r="BG59" s="216">
        <f ca="1">IF($D59&lt;&gt;"Serviço",0,IF(OR(AND(AUTOEVENTO="Manual",$M59=1),$M59&gt;(ROW(PLE.lastrow)-ROW(PLE.firstrow))),0,IF(OFFSET(PLE!$G$14,$M59,BG$13)="",10^12,OFFSET(PLE!$G$14,$M59,BG$13))))</f>
        <v>1000000000000</v>
      </c>
    </row>
    <row r="60" spans="1:59" ht="12.75" x14ac:dyDescent="0.2">
      <c r="A60" s="9" t="str">
        <f t="shared" ca="1" si="8"/>
        <v>45.</v>
      </c>
      <c r="B60" s="9">
        <f ca="1">OFFSET(ORÇAMENTO!C$15,ROW(B60)-ROW(B$15),0)</f>
        <v>2</v>
      </c>
      <c r="C60" s="9" t="str">
        <f ca="1">OFFSET(ORÇAMENTO!L$15,ROW(C60)-ROW(C$15),0)</f>
        <v>F</v>
      </c>
      <c r="D60" s="145" t="str">
        <f ca="1">OFFSET(ORÇAMENTO!N$15,ROW(D60)-ROW(D$15),0)</f>
        <v>Nível 2</v>
      </c>
      <c r="E60" s="205" t="str">
        <f ca="1">OFFSET(ORÇAMENTO!O$15,ROW(E60)-ROW(E$15),0)</f>
        <v>1.9.</v>
      </c>
      <c r="F60" s="206" t="str">
        <f ca="1">OFFSET(ORÇAMENTO!R$15,ROW(F60)-ROW(F$15),0)</f>
        <v xml:space="preserve">ALVENARIAS </v>
      </c>
      <c r="G60" s="207" t="str">
        <f ca="1">IF($D60&lt;&gt;"Serviço","",OFFSET(ORÇAMENTO!S$15,ROW(G60)-ROW(G$15),0))</f>
        <v/>
      </c>
      <c r="H60" s="151">
        <f ca="1">IF($D60&lt;&gt;"Serviço",0,IF(ACOMPANHAMENTO="BM",ROUND(OFFSET(ORÇAMENTO!AJ$15,ROW(H60)-ROW(H$15),0),15-13*ORÇAMENTO!$AF$7),SUMPRODUCT(($Q$12:$AA$12&lt;&gt;"")*ROUND($Q60:$AA60,15-13*ORÇAMENTO!$AF$7))))</f>
        <v>0</v>
      </c>
      <c r="I60" s="649" t="s">
        <v>456</v>
      </c>
      <c r="K60" s="208"/>
      <c r="L60" s="209" t="s">
        <v>255</v>
      </c>
      <c r="M60" s="210" t="str">
        <f ca="1">IF($D60&lt;&gt;"Serviço","",IF(AUTOEVENTO="manual",$A60,IF(ISERROR(MATCH($A60,$A$15:OFFSET($A60,-1,0),0)),MAX($M$15:OFFSET(M60,-1,0))+1,INDEX($M$15:OFFSET(M60,-1,0),MATCH($A60,$A$15:OFFSET($A60,-1,0),0)))))</f>
        <v/>
      </c>
      <c r="N60" s="211" t="str">
        <f ca="1">IF($D60&lt;&gt;"Serviço","",IF(AUTOEVENTO="Manual",IF($A60=0,"&lt;-- defina o número do agrupador",OFFSET(EVENTOS!$D$14,$A60,0)),OFFSET($F$15,$A60,0)))</f>
        <v/>
      </c>
      <c r="O60" s="212"/>
      <c r="Q60" s="212">
        <v>6</v>
      </c>
      <c r="R60" s="213"/>
      <c r="S60" s="213"/>
      <c r="T60" s="213"/>
      <c r="U60" s="213"/>
      <c r="V60" s="213"/>
      <c r="W60" s="213"/>
      <c r="X60" s="213"/>
      <c r="Y60" s="213"/>
      <c r="Z60" s="214"/>
      <c r="AB60" s="630">
        <f ca="1">IF(AND($D60="Serviço",AB$12&lt;&gt;0,$H60&gt;0,OR(AUTOEVENTO&lt;&gt;"manual",$M60&lt;&gt;1)),
IF(Import.TipoArredondamento&lt;&gt;"TransfereGOV",
ROUND(OFFSET($P60,0,AB$13),15-13*ORÇAMENTO!$AF$7)/$H60*OFFSET(ORÇAMENTO!$X$15,ROW(AB60)-ROW(AB$15),0),
ROUND(ROUND(OFFSET($P60,0,AB$13),15-13*ORÇAMENTO!$AF$7)*OFFSET(ORÇAMENTO!$W$15,ROW(AB60)-ROW(AB$15),0),15-13*ORÇAMENTO!$AF$11)),0)</f>
        <v>0</v>
      </c>
      <c r="AC60" s="631">
        <f ca="1">IF(AND($D60="Serviço",AC$12&lt;&gt;0,$H60&gt;0,OR(AUTOEVENTO&lt;&gt;"manual",$M60&lt;&gt;1)),
IF(Import.TipoArredondamento&lt;&gt;"TransfereGOV",
ROUND(OFFSET($P60,0,AC$13),15-13*ORÇAMENTO!$AF$7)/$H60*OFFSET(ORÇAMENTO!$X$15,ROW(AC60)-ROW(AC$15),0),
ROUND(ROUND(OFFSET($P60,0,AC$13),15-13*ORÇAMENTO!$AF$7)*OFFSET(ORÇAMENTO!$W$15,ROW(AC60)-ROW(AC$15),0),15-13*ORÇAMENTO!$AF$11)),0)</f>
        <v>0</v>
      </c>
      <c r="AD60" s="631">
        <f ca="1">IF(AND($D60="Serviço",AD$12&lt;&gt;0,$H60&gt;0,OR(AUTOEVENTO&lt;&gt;"manual",$M60&lt;&gt;1)),
IF(Import.TipoArredondamento&lt;&gt;"TransfereGOV",
ROUND(OFFSET($P60,0,AD$13),15-13*ORÇAMENTO!$AF$7)/$H60*OFFSET(ORÇAMENTO!$X$15,ROW(AD60)-ROW(AD$15),0),
ROUND(ROUND(OFFSET($P60,0,AD$13),15-13*ORÇAMENTO!$AF$7)*OFFSET(ORÇAMENTO!$W$15,ROW(AD60)-ROW(AD$15),0),15-13*ORÇAMENTO!$AF$11)),0)</f>
        <v>0</v>
      </c>
      <c r="AE60" s="631">
        <f ca="1">IF(AND($D60="Serviço",AE$12&lt;&gt;0,$H60&gt;0,OR(AUTOEVENTO&lt;&gt;"manual",$M60&lt;&gt;1)),
IF(Import.TipoArredondamento&lt;&gt;"TransfereGOV",
ROUND(OFFSET($P60,0,AE$13),15-13*ORÇAMENTO!$AF$7)/$H60*OFFSET(ORÇAMENTO!$X$15,ROW(AE60)-ROW(AE$15),0),
ROUND(ROUND(OFFSET($P60,0,AE$13),15-13*ORÇAMENTO!$AF$7)*OFFSET(ORÇAMENTO!$W$15,ROW(AE60)-ROW(AE$15),0),15-13*ORÇAMENTO!$AF$11)),0)</f>
        <v>0</v>
      </c>
      <c r="AF60" s="631">
        <f ca="1">IF(AND($D60="Serviço",AF$12&lt;&gt;0,$H60&gt;0,OR(AUTOEVENTO&lt;&gt;"manual",$M60&lt;&gt;1)),
IF(Import.TipoArredondamento&lt;&gt;"TransfereGOV",
ROUND(OFFSET($P60,0,AF$13),15-13*ORÇAMENTO!$AF$7)/$H60*OFFSET(ORÇAMENTO!$X$15,ROW(AF60)-ROW(AF$15),0),
ROUND(ROUND(OFFSET($P60,0,AF$13),15-13*ORÇAMENTO!$AF$7)*OFFSET(ORÇAMENTO!$W$15,ROW(AF60)-ROW(AF$15),0),15-13*ORÇAMENTO!$AF$11)),0)</f>
        <v>0</v>
      </c>
      <c r="AG60" s="631">
        <f ca="1">IF(AND($D60="Serviço",AG$12&lt;&gt;0,$H60&gt;0,OR(AUTOEVENTO&lt;&gt;"manual",$M60&lt;&gt;1)),
IF(Import.TipoArredondamento&lt;&gt;"TransfereGOV",
ROUND(OFFSET($P60,0,AG$13),15-13*ORÇAMENTO!$AF$7)/$H60*OFFSET(ORÇAMENTO!$X$15,ROW(AG60)-ROW(AG$15),0),
ROUND(ROUND(OFFSET($P60,0,AG$13),15-13*ORÇAMENTO!$AF$7)*OFFSET(ORÇAMENTO!$W$15,ROW(AG60)-ROW(AG$15),0),15-13*ORÇAMENTO!$AF$11)),0)</f>
        <v>0</v>
      </c>
      <c r="AH60" s="631">
        <f ca="1">IF(AND($D60="Serviço",AH$12&lt;&gt;0,$H60&gt;0,OR(AUTOEVENTO&lt;&gt;"manual",$M60&lt;&gt;1)),
IF(Import.TipoArredondamento&lt;&gt;"TransfereGOV",
ROUND(OFFSET($P60,0,AH$13),15-13*ORÇAMENTO!$AF$7)/$H60*OFFSET(ORÇAMENTO!$X$15,ROW(AH60)-ROW(AH$15),0),
ROUND(ROUND(OFFSET($P60,0,AH$13),15-13*ORÇAMENTO!$AF$7)*OFFSET(ORÇAMENTO!$W$15,ROW(AH60)-ROW(AH$15),0),15-13*ORÇAMENTO!$AF$11)),0)</f>
        <v>0</v>
      </c>
      <c r="AI60" s="631">
        <f ca="1">IF(AND($D60="Serviço",AI$12&lt;&gt;0,$H60&gt;0,OR(AUTOEVENTO&lt;&gt;"manual",$M60&lt;&gt;1)),
IF(Import.TipoArredondamento&lt;&gt;"TransfereGOV",
ROUND(OFFSET($P60,0,AI$13),15-13*ORÇAMENTO!$AF$7)/$H60*OFFSET(ORÇAMENTO!$X$15,ROW(AI60)-ROW(AI$15),0),
ROUND(ROUND(OFFSET($P60,0,AI$13),15-13*ORÇAMENTO!$AF$7)*OFFSET(ORÇAMENTO!$W$15,ROW(AI60)-ROW(AI$15),0),15-13*ORÇAMENTO!$AF$11)),0)</f>
        <v>0</v>
      </c>
      <c r="AJ60" s="631">
        <f ca="1">IF(AND($D60="Serviço",AJ$12&lt;&gt;0,$H60&gt;0,OR(AUTOEVENTO&lt;&gt;"manual",$M60&lt;&gt;1)),
IF(Import.TipoArredondamento&lt;&gt;"TransfereGOV",
ROUND(OFFSET($P60,0,AJ$13),15-13*ORÇAMENTO!$AF$7)/$H60*OFFSET(ORÇAMENTO!$X$15,ROW(AJ60)-ROW(AJ$15),0),
ROUND(ROUND(OFFSET($P60,0,AJ$13),15-13*ORÇAMENTO!$AF$7)*OFFSET(ORÇAMENTO!$W$15,ROW(AJ60)-ROW(AJ$15),0),15-13*ORÇAMENTO!$AF$11)),0)</f>
        <v>0</v>
      </c>
      <c r="AK60" s="632">
        <f ca="1">IF(AND($D60="Serviço",AK$12&lt;&gt;0,$H60&gt;0,OR(AUTOEVENTO&lt;&gt;"manual",$M60&lt;&gt;1)),
IF(Import.TipoArredondamento&lt;&gt;"TransfereGOV",
ROUND(OFFSET($P60,0,AK$13),15-13*ORÇAMENTO!$AF$7)/$H60*OFFSET(ORÇAMENTO!$X$15,ROW(AK60)-ROW(AK$15),0),
ROUND(ROUND(OFFSET($P60,0,AK$13),15-13*ORÇAMENTO!$AF$7)*OFFSET(ORÇAMENTO!$W$15,ROW(AK60)-ROW(AK$15),0),15-13*ORÇAMENTO!$AF$11)),0)</f>
        <v>0</v>
      </c>
      <c r="AM60" s="215">
        <f ca="1">IF($D60&lt;&gt;"Serviço",0,IF(AND(AUTOEVENTO="Manual",$M60=1),0,IF(OFFSET(CRONOPLE!$F$14,$M60,AM$13)="",10^12,OFFSET(CRONOPLE!$F$14,$M60,AM$13))))</f>
        <v>0</v>
      </c>
      <c r="AN60" s="215">
        <f ca="1">IF($D60&lt;&gt;"Serviço",0,IF(AND(AUTOEVENTO="Manual",$M60=1),0,IF(OFFSET(CRONOPLE!$F$14,$M60,AN$13)="",10^12,OFFSET(CRONOPLE!$F$14,$M60,AN$13))))</f>
        <v>0</v>
      </c>
      <c r="AO60" s="215">
        <f ca="1">IF($D60&lt;&gt;"Serviço",0,IF(AND(AUTOEVENTO="Manual",$M60=1),0,IF(OFFSET(CRONOPLE!$F$14,$M60,AO$13)="",10^12,OFFSET(CRONOPLE!$F$14,$M60,AO$13))))</f>
        <v>0</v>
      </c>
      <c r="AP60" s="215">
        <f ca="1">IF($D60&lt;&gt;"Serviço",0,IF(AND(AUTOEVENTO="Manual",$M60=1),0,IF(OFFSET(CRONOPLE!$F$14,$M60,AP$13)="",10^12,OFFSET(CRONOPLE!$F$14,$M60,AP$13))))</f>
        <v>0</v>
      </c>
      <c r="AQ60" s="215">
        <f ca="1">IF($D60&lt;&gt;"Serviço",0,IF(AND(AUTOEVENTO="Manual",$M60=1),0,IF(OFFSET(CRONOPLE!$F$14,$M60,AQ$13)="",10^12,OFFSET(CRONOPLE!$F$14,$M60,AQ$13))))</f>
        <v>0</v>
      </c>
      <c r="AR60" s="215">
        <f ca="1">IF($D60&lt;&gt;"Serviço",0,IF(AND(AUTOEVENTO="Manual",$M60=1),0,IF(OFFSET(CRONOPLE!$F$14,$M60,AR$13)="",10^12,OFFSET(CRONOPLE!$F$14,$M60,AR$13))))</f>
        <v>0</v>
      </c>
      <c r="AS60" s="215">
        <f ca="1">IF($D60&lt;&gt;"Serviço",0,IF(AND(AUTOEVENTO="Manual",$M60=1),0,IF(OFFSET(CRONOPLE!$F$14,$M60,AS$13)="",10^12,OFFSET(CRONOPLE!$F$14,$M60,AS$13))))</f>
        <v>0</v>
      </c>
      <c r="AT60" s="215">
        <f ca="1">IF($D60&lt;&gt;"Serviço",0,IF(AND(AUTOEVENTO="Manual",$M60=1),0,IF(OFFSET(CRONOPLE!$F$14,$M60,AT$13)="",10^12,OFFSET(CRONOPLE!$F$14,$M60,AT$13))))</f>
        <v>0</v>
      </c>
      <c r="AU60" s="215">
        <f ca="1">IF($D60&lt;&gt;"Serviço",0,IF(AND(AUTOEVENTO="Manual",$M60=1),0,IF(OFFSET(CRONOPLE!$F$14,$M60,AU$13)="",10^12,OFFSET(CRONOPLE!$F$14,$M60,AU$13))))</f>
        <v>0</v>
      </c>
      <c r="AV60" s="215">
        <f ca="1">IF($D60&lt;&gt;"Serviço",0,IF(AND(AUTOEVENTO="Manual",$M60=1),0,IF(OFFSET(CRONOPLE!$F$14,$M60,AV$13)="",10^12,OFFSET(CRONOPLE!$F$14,$M60,AV$13))))</f>
        <v>0</v>
      </c>
      <c r="AX60" s="216">
        <f ca="1">IF($D60&lt;&gt;"Serviço",0,IF(OR(AND(AUTOEVENTO="Manual",$M60=1),$M60&gt;(ROW(PLE.lastrow)-ROW(PLE.firstrow))),0,IF(OFFSET(PLE!$G$14,$M60,AX$13)="",10^12,OFFSET(PLE!$G$14,$M60,AX$13))))</f>
        <v>0</v>
      </c>
      <c r="AY60" s="216">
        <f ca="1">IF($D60&lt;&gt;"Serviço",0,IF(OR(AND(AUTOEVENTO="Manual",$M60=1),$M60&gt;(ROW(PLE.lastrow)-ROW(PLE.firstrow))),0,IF(OFFSET(PLE!$G$14,$M60,AY$13)="",10^12,OFFSET(PLE!$G$14,$M60,AY$13))))</f>
        <v>0</v>
      </c>
      <c r="AZ60" s="216">
        <f ca="1">IF($D60&lt;&gt;"Serviço",0,IF(OR(AND(AUTOEVENTO="Manual",$M60=1),$M60&gt;(ROW(PLE.lastrow)-ROW(PLE.firstrow))),0,IF(OFFSET(PLE!$G$14,$M60,AZ$13)="",10^12,OFFSET(PLE!$G$14,$M60,AZ$13))))</f>
        <v>0</v>
      </c>
      <c r="BA60" s="216">
        <f ca="1">IF($D60&lt;&gt;"Serviço",0,IF(OR(AND(AUTOEVENTO="Manual",$M60=1),$M60&gt;(ROW(PLE.lastrow)-ROW(PLE.firstrow))),0,IF(OFFSET(PLE!$G$14,$M60,BA$13)="",10^12,OFFSET(PLE!$G$14,$M60,BA$13))))</f>
        <v>0</v>
      </c>
      <c r="BB60" s="216">
        <f ca="1">IF($D60&lt;&gt;"Serviço",0,IF(OR(AND(AUTOEVENTO="Manual",$M60=1),$M60&gt;(ROW(PLE.lastrow)-ROW(PLE.firstrow))),0,IF(OFFSET(PLE!$G$14,$M60,BB$13)="",10^12,OFFSET(PLE!$G$14,$M60,BB$13))))</f>
        <v>0</v>
      </c>
      <c r="BC60" s="216">
        <f ca="1">IF($D60&lt;&gt;"Serviço",0,IF(OR(AND(AUTOEVENTO="Manual",$M60=1),$M60&gt;(ROW(PLE.lastrow)-ROW(PLE.firstrow))),0,IF(OFFSET(PLE!$G$14,$M60,BC$13)="",10^12,OFFSET(PLE!$G$14,$M60,BC$13))))</f>
        <v>0</v>
      </c>
      <c r="BD60" s="216">
        <f ca="1">IF($D60&lt;&gt;"Serviço",0,IF(OR(AND(AUTOEVENTO="Manual",$M60=1),$M60&gt;(ROW(PLE.lastrow)-ROW(PLE.firstrow))),0,IF(OFFSET(PLE!$G$14,$M60,BD$13)="",10^12,OFFSET(PLE!$G$14,$M60,BD$13))))</f>
        <v>0</v>
      </c>
      <c r="BE60" s="216">
        <f ca="1">IF($D60&lt;&gt;"Serviço",0,IF(OR(AND(AUTOEVENTO="Manual",$M60=1),$M60&gt;(ROW(PLE.lastrow)-ROW(PLE.firstrow))),0,IF(OFFSET(PLE!$G$14,$M60,BE$13)="",10^12,OFFSET(PLE!$G$14,$M60,BE$13))))</f>
        <v>0</v>
      </c>
      <c r="BF60" s="216">
        <f ca="1">IF($D60&lt;&gt;"Serviço",0,IF(OR(AND(AUTOEVENTO="Manual",$M60=1),$M60&gt;(ROW(PLE.lastrow)-ROW(PLE.firstrow))),0,IF(OFFSET(PLE!$G$14,$M60,BF$13)="",10^12,OFFSET(PLE!$G$14,$M60,BF$13))))</f>
        <v>0</v>
      </c>
      <c r="BG60" s="216">
        <f ca="1">IF($D60&lt;&gt;"Serviço",0,IF(OR(AND(AUTOEVENTO="Manual",$M60=1),$M60&gt;(ROW(PLE.lastrow)-ROW(PLE.firstrow))),0,IF(OFFSET(PLE!$G$14,$M60,BG$13)="",10^12,OFFSET(PLE!$G$14,$M60,BG$13))))</f>
        <v>0</v>
      </c>
    </row>
    <row r="61" spans="1:59" ht="38.25" x14ac:dyDescent="0.2">
      <c r="A61" s="9" t="str">
        <f t="shared" ref="A61:A100" ca="1" si="9">IF(AUTOEVENTO="Manual",IF(K61&lt;&gt;"",MIN(VALUE(LEFT(K61,FIND(".",K61)-1)),COUNTA(EVENTOS.Lista)),0),IF(OR($B61&gt;AUTOEVENTO,$B61="S",$B61=0),SUBSTITUTE(OFFSET($A61,-1,0),IF($D61="Serviço",".",""),""),ROW(A61)-ROW($A$15)&amp;"."))</f>
        <v>45</v>
      </c>
      <c r="B61" s="9" t="str">
        <f ca="1">OFFSET(ORÇAMENTO!C$15,ROW(B61)-ROW(B$15),0)</f>
        <v>S</v>
      </c>
      <c r="C61" s="9" t="str">
        <f ca="1">OFFSET(ORÇAMENTO!L$15,ROW(C61)-ROW(C$15),0)</f>
        <v/>
      </c>
      <c r="D61" s="145" t="str">
        <f ca="1">OFFSET(ORÇAMENTO!N$15,ROW(D61)-ROW(D$15),0)</f>
        <v>Serviço</v>
      </c>
      <c r="E61" s="205" t="str">
        <f ca="1">OFFSET(ORÇAMENTO!O$15,ROW(E61)-ROW(E$15),0)</f>
        <v>-</v>
      </c>
      <c r="F61" s="206" t="str">
        <f ca="1">OFFSET(ORÇAMENTO!R$15,ROW(F61)-ROW(F$15),0)</f>
        <v>ALVENARIA DE VEDAÇÃO DE BLOCOS CERÂMICOS FURADOS NA VERTICAL DE 14X19X39 CM (ESPESSURA 14 CM) E ARGAMASSA DE ASSENTAMENTO COM PREPARO MANUAL. AF_12/2021</v>
      </c>
      <c r="G61" s="207" t="str">
        <f ca="1">IF($D61&lt;&gt;"Serviço","",OFFSET(ORÇAMENTO!S$15,ROW(G61)-ROW(G$15),0))</f>
        <v>M2</v>
      </c>
      <c r="H61" s="151">
        <f ca="1">IF($D61&lt;&gt;"Serviço",0,IF(ACOMPANHAMENTO="BM",ROUND(OFFSET(ORÇAMENTO!AJ$15,ROW(H61)-ROW(H$15),0),15-13*ORÇAMENTO!$AF$7),SUMPRODUCT(($Q$12:$AA$12&lt;&gt;"")*ROUND($Q61:$AA61,15-13*ORÇAMENTO!$AF$7))))</f>
        <v>784</v>
      </c>
      <c r="I61" s="649" t="s">
        <v>454</v>
      </c>
      <c r="K61" s="208"/>
      <c r="L61" s="209" t="s">
        <v>255</v>
      </c>
      <c r="M61" s="210">
        <f ca="1">IF($D61&lt;&gt;"Serviço","",IF(AUTOEVENTO="manual",$A61,IF(ISERROR(MATCH($A61,$A$15:OFFSET($A61,-1,0),0)),MAX($M$15:OFFSET(M61,-1,0))+1,INDEX($M$15:OFFSET(M61,-1,0),MATCH($A61,$A$15:OFFSET($A61,-1,0),0)))))</f>
        <v>10</v>
      </c>
      <c r="N61" s="211" t="str">
        <f ca="1">IF($D61&lt;&gt;"Serviço","",IF(AUTOEVENTO="Manual",IF($A61=0,"&lt;-- defina o número do agrupador",OFFSET(EVENTOS!$D$14,$A61,0)),OFFSET($F$15,$A61,0)))</f>
        <v xml:space="preserve">ALVENARIAS </v>
      </c>
      <c r="O61" s="212"/>
      <c r="Q61" s="212"/>
      <c r="R61" s="213"/>
      <c r="S61" s="213"/>
      <c r="T61" s="213"/>
      <c r="U61" s="213"/>
      <c r="V61" s="213"/>
      <c r="W61" s="213"/>
      <c r="X61" s="213"/>
      <c r="Y61" s="213"/>
      <c r="Z61" s="214"/>
      <c r="AB61" s="630">
        <f ca="1">IF(AND($D61="Serviço",AB$12&lt;&gt;0,$H61&gt;0,OR(AUTOEVENTO&lt;&gt;"manual",$M61&lt;&gt;1)),
IF(Import.TipoArredondamento&lt;&gt;"TransfereGOV",
ROUND(OFFSET($P61,0,AB$13),15-13*ORÇAMENTO!$AF$7)/$H61*OFFSET(ORÇAMENTO!$X$15,ROW(AB61)-ROW(AB$15),0),
ROUND(ROUND(OFFSET($P61,0,AB$13),15-13*ORÇAMENTO!$AF$7)*OFFSET(ORÇAMENTO!$W$15,ROW(AB61)-ROW(AB$15),0),15-13*ORÇAMENTO!$AF$11)),0)</f>
        <v>0</v>
      </c>
      <c r="AC61" s="631">
        <f ca="1">IF(AND($D61="Serviço",AC$12&lt;&gt;0,$H61&gt;0,OR(AUTOEVENTO&lt;&gt;"manual",$M61&lt;&gt;1)),
IF(Import.TipoArredondamento&lt;&gt;"TransfereGOV",
ROUND(OFFSET($P61,0,AC$13),15-13*ORÇAMENTO!$AF$7)/$H61*OFFSET(ORÇAMENTO!$X$15,ROW(AC61)-ROW(AC$15),0),
ROUND(ROUND(OFFSET($P61,0,AC$13),15-13*ORÇAMENTO!$AF$7)*OFFSET(ORÇAMENTO!$W$15,ROW(AC61)-ROW(AC$15),0),15-13*ORÇAMENTO!$AF$11)),0)</f>
        <v>0</v>
      </c>
      <c r="AD61" s="631">
        <f ca="1">IF(AND($D61="Serviço",AD$12&lt;&gt;0,$H61&gt;0,OR(AUTOEVENTO&lt;&gt;"manual",$M61&lt;&gt;1)),
IF(Import.TipoArredondamento&lt;&gt;"TransfereGOV",
ROUND(OFFSET($P61,0,AD$13),15-13*ORÇAMENTO!$AF$7)/$H61*OFFSET(ORÇAMENTO!$X$15,ROW(AD61)-ROW(AD$15),0),
ROUND(ROUND(OFFSET($P61,0,AD$13),15-13*ORÇAMENTO!$AF$7)*OFFSET(ORÇAMENTO!$W$15,ROW(AD61)-ROW(AD$15),0),15-13*ORÇAMENTO!$AF$11)),0)</f>
        <v>0</v>
      </c>
      <c r="AE61" s="631">
        <f ca="1">IF(AND($D61="Serviço",AE$12&lt;&gt;0,$H61&gt;0,OR(AUTOEVENTO&lt;&gt;"manual",$M61&lt;&gt;1)),
IF(Import.TipoArredondamento&lt;&gt;"TransfereGOV",
ROUND(OFFSET($P61,0,AE$13),15-13*ORÇAMENTO!$AF$7)/$H61*OFFSET(ORÇAMENTO!$X$15,ROW(AE61)-ROW(AE$15),0),
ROUND(ROUND(OFFSET($P61,0,AE$13),15-13*ORÇAMENTO!$AF$7)*OFFSET(ORÇAMENTO!$W$15,ROW(AE61)-ROW(AE$15),0),15-13*ORÇAMENTO!$AF$11)),0)</f>
        <v>0</v>
      </c>
      <c r="AF61" s="631">
        <f ca="1">IF(AND($D61="Serviço",AF$12&lt;&gt;0,$H61&gt;0,OR(AUTOEVENTO&lt;&gt;"manual",$M61&lt;&gt;1)),
IF(Import.TipoArredondamento&lt;&gt;"TransfereGOV",
ROUND(OFFSET($P61,0,AF$13),15-13*ORÇAMENTO!$AF$7)/$H61*OFFSET(ORÇAMENTO!$X$15,ROW(AF61)-ROW(AF$15),0),
ROUND(ROUND(OFFSET($P61,0,AF$13),15-13*ORÇAMENTO!$AF$7)*OFFSET(ORÇAMENTO!$W$15,ROW(AF61)-ROW(AF$15),0),15-13*ORÇAMENTO!$AF$11)),0)</f>
        <v>0</v>
      </c>
      <c r="AG61" s="631">
        <f ca="1">IF(AND($D61="Serviço",AG$12&lt;&gt;0,$H61&gt;0,OR(AUTOEVENTO&lt;&gt;"manual",$M61&lt;&gt;1)),
IF(Import.TipoArredondamento&lt;&gt;"TransfereGOV",
ROUND(OFFSET($P61,0,AG$13),15-13*ORÇAMENTO!$AF$7)/$H61*OFFSET(ORÇAMENTO!$X$15,ROW(AG61)-ROW(AG$15),0),
ROUND(ROUND(OFFSET($P61,0,AG$13),15-13*ORÇAMENTO!$AF$7)*OFFSET(ORÇAMENTO!$W$15,ROW(AG61)-ROW(AG$15),0),15-13*ORÇAMENTO!$AF$11)),0)</f>
        <v>0</v>
      </c>
      <c r="AH61" s="631">
        <f ca="1">IF(AND($D61="Serviço",AH$12&lt;&gt;0,$H61&gt;0,OR(AUTOEVENTO&lt;&gt;"manual",$M61&lt;&gt;1)),
IF(Import.TipoArredondamento&lt;&gt;"TransfereGOV",
ROUND(OFFSET($P61,0,AH$13),15-13*ORÇAMENTO!$AF$7)/$H61*OFFSET(ORÇAMENTO!$X$15,ROW(AH61)-ROW(AH$15),0),
ROUND(ROUND(OFFSET($P61,0,AH$13),15-13*ORÇAMENTO!$AF$7)*OFFSET(ORÇAMENTO!$W$15,ROW(AH61)-ROW(AH$15),0),15-13*ORÇAMENTO!$AF$11)),0)</f>
        <v>0</v>
      </c>
      <c r="AI61" s="631">
        <f ca="1">IF(AND($D61="Serviço",AI$12&lt;&gt;0,$H61&gt;0,OR(AUTOEVENTO&lt;&gt;"manual",$M61&lt;&gt;1)),
IF(Import.TipoArredondamento&lt;&gt;"TransfereGOV",
ROUND(OFFSET($P61,0,AI$13),15-13*ORÇAMENTO!$AF$7)/$H61*OFFSET(ORÇAMENTO!$X$15,ROW(AI61)-ROW(AI$15),0),
ROUND(ROUND(OFFSET($P61,0,AI$13),15-13*ORÇAMENTO!$AF$7)*OFFSET(ORÇAMENTO!$W$15,ROW(AI61)-ROW(AI$15),0),15-13*ORÇAMENTO!$AF$11)),0)</f>
        <v>0</v>
      </c>
      <c r="AJ61" s="631">
        <f ca="1">IF(AND($D61="Serviço",AJ$12&lt;&gt;0,$H61&gt;0,OR(AUTOEVENTO&lt;&gt;"manual",$M61&lt;&gt;1)),
IF(Import.TipoArredondamento&lt;&gt;"TransfereGOV",
ROUND(OFFSET($P61,0,AJ$13),15-13*ORÇAMENTO!$AF$7)/$H61*OFFSET(ORÇAMENTO!$X$15,ROW(AJ61)-ROW(AJ$15),0),
ROUND(ROUND(OFFSET($P61,0,AJ$13),15-13*ORÇAMENTO!$AF$7)*OFFSET(ORÇAMENTO!$W$15,ROW(AJ61)-ROW(AJ$15),0),15-13*ORÇAMENTO!$AF$11)),0)</f>
        <v>0</v>
      </c>
      <c r="AK61" s="632">
        <f ca="1">IF(AND($D61="Serviço",AK$12&lt;&gt;0,$H61&gt;0,OR(AUTOEVENTO&lt;&gt;"manual",$M61&lt;&gt;1)),
IF(Import.TipoArredondamento&lt;&gt;"TransfereGOV",
ROUND(OFFSET($P61,0,AK$13),15-13*ORÇAMENTO!$AF$7)/$H61*OFFSET(ORÇAMENTO!$X$15,ROW(AK61)-ROW(AK$15),0),
ROUND(ROUND(OFFSET($P61,0,AK$13),15-13*ORÇAMENTO!$AF$7)*OFFSET(ORÇAMENTO!$W$15,ROW(AK61)-ROW(AK$15),0),15-13*ORÇAMENTO!$AF$11)),0)</f>
        <v>0</v>
      </c>
      <c r="AM61" s="215">
        <f ca="1">IF($D61&lt;&gt;"Serviço",0,IF(AND(AUTOEVENTO="Manual",$M61=1),0,IF(OFFSET(CRONOPLE!$F$14,$M61,AM$13)="",10^12,OFFSET(CRONOPLE!$F$14,$M61,AM$13))))</f>
        <v>1000000000000</v>
      </c>
      <c r="AN61" s="215">
        <f ca="1">IF($D61&lt;&gt;"Serviço",0,IF(AND(AUTOEVENTO="Manual",$M61=1),0,IF(OFFSET(CRONOPLE!$F$14,$M61,AN$13)="",10^12,OFFSET(CRONOPLE!$F$14,$M61,AN$13))))</f>
        <v>1000000000000</v>
      </c>
      <c r="AO61" s="215">
        <f ca="1">IF($D61&lt;&gt;"Serviço",0,IF(AND(AUTOEVENTO="Manual",$M61=1),0,IF(OFFSET(CRONOPLE!$F$14,$M61,AO$13)="",10^12,OFFSET(CRONOPLE!$F$14,$M61,AO$13))))</f>
        <v>1000000000000</v>
      </c>
      <c r="AP61" s="215">
        <f ca="1">IF($D61&lt;&gt;"Serviço",0,IF(AND(AUTOEVENTO="Manual",$M61=1),0,IF(OFFSET(CRONOPLE!$F$14,$M61,AP$13)="",10^12,OFFSET(CRONOPLE!$F$14,$M61,AP$13))))</f>
        <v>1000000000000</v>
      </c>
      <c r="AQ61" s="215">
        <f ca="1">IF($D61&lt;&gt;"Serviço",0,IF(AND(AUTOEVENTO="Manual",$M61=1),0,IF(OFFSET(CRONOPLE!$F$14,$M61,AQ$13)="",10^12,OFFSET(CRONOPLE!$F$14,$M61,AQ$13))))</f>
        <v>1000000000000</v>
      </c>
      <c r="AR61" s="215">
        <f ca="1">IF($D61&lt;&gt;"Serviço",0,IF(AND(AUTOEVENTO="Manual",$M61=1),0,IF(OFFSET(CRONOPLE!$F$14,$M61,AR$13)="",10^12,OFFSET(CRONOPLE!$F$14,$M61,AR$13))))</f>
        <v>1000000000000</v>
      </c>
      <c r="AS61" s="215">
        <f ca="1">IF($D61&lt;&gt;"Serviço",0,IF(AND(AUTOEVENTO="Manual",$M61=1),0,IF(OFFSET(CRONOPLE!$F$14,$M61,AS$13)="",10^12,OFFSET(CRONOPLE!$F$14,$M61,AS$13))))</f>
        <v>1000000000000</v>
      </c>
      <c r="AT61" s="215">
        <f ca="1">IF($D61&lt;&gt;"Serviço",0,IF(AND(AUTOEVENTO="Manual",$M61=1),0,IF(OFFSET(CRONOPLE!$F$14,$M61,AT$13)="",10^12,OFFSET(CRONOPLE!$F$14,$M61,AT$13))))</f>
        <v>1000000000000</v>
      </c>
      <c r="AU61" s="215">
        <f ca="1">IF($D61&lt;&gt;"Serviço",0,IF(AND(AUTOEVENTO="Manual",$M61=1),0,IF(OFFSET(CRONOPLE!$F$14,$M61,AU$13)="",10^12,OFFSET(CRONOPLE!$F$14,$M61,AU$13))))</f>
        <v>1000000000000</v>
      </c>
      <c r="AV61" s="215">
        <f ca="1">IF($D61&lt;&gt;"Serviço",0,IF(AND(AUTOEVENTO="Manual",$M61=1),0,IF(OFFSET(CRONOPLE!$F$14,$M61,AV$13)="",10^12,OFFSET(CRONOPLE!$F$14,$M61,AV$13))))</f>
        <v>1000000000000</v>
      </c>
      <c r="AX61" s="216">
        <f ca="1">IF($D61&lt;&gt;"Serviço",0,IF(OR(AND(AUTOEVENTO="Manual",$M61=1),$M61&gt;(ROW(PLE.lastrow)-ROW(PLE.firstrow))),0,IF(OFFSET(PLE!$G$14,$M61,AX$13)="",10^12,OFFSET(PLE!$G$14,$M61,AX$13))))</f>
        <v>1000000000000</v>
      </c>
      <c r="AY61" s="216">
        <f ca="1">IF($D61&lt;&gt;"Serviço",0,IF(OR(AND(AUTOEVENTO="Manual",$M61=1),$M61&gt;(ROW(PLE.lastrow)-ROW(PLE.firstrow))),0,IF(OFFSET(PLE!$G$14,$M61,AY$13)="",10^12,OFFSET(PLE!$G$14,$M61,AY$13))))</f>
        <v>1000000000000</v>
      </c>
      <c r="AZ61" s="216">
        <f ca="1">IF($D61&lt;&gt;"Serviço",0,IF(OR(AND(AUTOEVENTO="Manual",$M61=1),$M61&gt;(ROW(PLE.lastrow)-ROW(PLE.firstrow))),0,IF(OFFSET(PLE!$G$14,$M61,AZ$13)="",10^12,OFFSET(PLE!$G$14,$M61,AZ$13))))</f>
        <v>1000000000000</v>
      </c>
      <c r="BA61" s="216">
        <f ca="1">IF($D61&lt;&gt;"Serviço",0,IF(OR(AND(AUTOEVENTO="Manual",$M61=1),$M61&gt;(ROW(PLE.lastrow)-ROW(PLE.firstrow))),0,IF(OFFSET(PLE!$G$14,$M61,BA$13)="",10^12,OFFSET(PLE!$G$14,$M61,BA$13))))</f>
        <v>1000000000000</v>
      </c>
      <c r="BB61" s="216">
        <f ca="1">IF($D61&lt;&gt;"Serviço",0,IF(OR(AND(AUTOEVENTO="Manual",$M61=1),$M61&gt;(ROW(PLE.lastrow)-ROW(PLE.firstrow))),0,IF(OFFSET(PLE!$G$14,$M61,BB$13)="",10^12,OFFSET(PLE!$G$14,$M61,BB$13))))</f>
        <v>1000000000000</v>
      </c>
      <c r="BC61" s="216">
        <f ca="1">IF($D61&lt;&gt;"Serviço",0,IF(OR(AND(AUTOEVENTO="Manual",$M61=1),$M61&gt;(ROW(PLE.lastrow)-ROW(PLE.firstrow))),0,IF(OFFSET(PLE!$G$14,$M61,BC$13)="",10^12,OFFSET(PLE!$G$14,$M61,BC$13))))</f>
        <v>1000000000000</v>
      </c>
      <c r="BD61" s="216">
        <f ca="1">IF($D61&lt;&gt;"Serviço",0,IF(OR(AND(AUTOEVENTO="Manual",$M61=1),$M61&gt;(ROW(PLE.lastrow)-ROW(PLE.firstrow))),0,IF(OFFSET(PLE!$G$14,$M61,BD$13)="",10^12,OFFSET(PLE!$G$14,$M61,BD$13))))</f>
        <v>1000000000000</v>
      </c>
      <c r="BE61" s="216">
        <f ca="1">IF($D61&lt;&gt;"Serviço",0,IF(OR(AND(AUTOEVENTO="Manual",$M61=1),$M61&gt;(ROW(PLE.lastrow)-ROW(PLE.firstrow))),0,IF(OFFSET(PLE!$G$14,$M61,BE$13)="",10^12,OFFSET(PLE!$G$14,$M61,BE$13))))</f>
        <v>1000000000000</v>
      </c>
      <c r="BF61" s="216">
        <f ca="1">IF($D61&lt;&gt;"Serviço",0,IF(OR(AND(AUTOEVENTO="Manual",$M61=1),$M61&gt;(ROW(PLE.lastrow)-ROW(PLE.firstrow))),0,IF(OFFSET(PLE!$G$14,$M61,BF$13)="",10^12,OFFSET(PLE!$G$14,$M61,BF$13))))</f>
        <v>1000000000000</v>
      </c>
      <c r="BG61" s="216">
        <f ca="1">IF($D61&lt;&gt;"Serviço",0,IF(OR(AND(AUTOEVENTO="Manual",$M61=1),$M61&gt;(ROW(PLE.lastrow)-ROW(PLE.firstrow))),0,IF(OFFSET(PLE!$G$14,$M61,BG$13)="",10^12,OFFSET(PLE!$G$14,$M61,BG$13))))</f>
        <v>1000000000000</v>
      </c>
    </row>
    <row r="62" spans="1:59" ht="51" x14ac:dyDescent="0.2">
      <c r="A62" s="9" t="str">
        <f t="shared" ca="1" si="9"/>
        <v>45</v>
      </c>
      <c r="B62" s="9" t="str">
        <f ca="1">OFFSET(ORÇAMENTO!C$15,ROW(B62)-ROW(B$15),0)</f>
        <v>S</v>
      </c>
      <c r="C62" s="9" t="str">
        <f ca="1">OFFSET(ORÇAMENTO!L$15,ROW(C62)-ROW(C$15),0)</f>
        <v/>
      </c>
      <c r="D62" s="145" t="str">
        <f ca="1">OFFSET(ORÇAMENTO!N$15,ROW(D62)-ROW(D$15),0)</f>
        <v>Serviço</v>
      </c>
      <c r="E62" s="205" t="str">
        <f ca="1">OFFSET(ORÇAMENTO!O$15,ROW(E62)-ROW(E$15),0)</f>
        <v>-</v>
      </c>
      <c r="F62" s="206" t="str">
        <f ca="1">OFFSET(ORÇAMENTO!R$15,ROW(F62)-ROW(F$15),0)</f>
        <v>EMBOÇO OU MASSA ÚNICA EM ARGAMASSA TRAÇO 1:2:8, PREPARO MECÂNICO COM BETONEIRA 400 L, APLICADA MANUALMENTE EM PANOS DE FACHADA COM PRESENÇA DE VÃOS, ESPESSURA DE 25 MM. AF_08/2022</v>
      </c>
      <c r="G62" s="207" t="str">
        <f ca="1">IF($D62&lt;&gt;"Serviço","",OFFSET(ORÇAMENTO!S$15,ROW(G62)-ROW(G$15),0))</f>
        <v>M2</v>
      </c>
      <c r="H62" s="151">
        <f ca="1">IF($D62&lt;&gt;"Serviço",0,IF(ACOMPANHAMENTO="BM",ROUND(OFFSET(ORÇAMENTO!AJ$15,ROW(H62)-ROW(H$15),0),15-13*ORÇAMENTO!$AF$7),SUMPRODUCT(($Q$12:$AA$12&lt;&gt;"")*ROUND($Q62:$AA62,15-13*ORÇAMENTO!$AF$7))))</f>
        <v>1568</v>
      </c>
      <c r="I62" s="649"/>
      <c r="K62" s="208"/>
      <c r="L62" s="209" t="s">
        <v>255</v>
      </c>
      <c r="M62" s="210">
        <f ca="1">IF($D62&lt;&gt;"Serviço","",IF(AUTOEVENTO="manual",$A62,IF(ISERROR(MATCH($A62,$A$15:OFFSET($A62,-1,0),0)),MAX($M$15:OFFSET(M62,-1,0))+1,INDEX($M$15:OFFSET(M62,-1,0),MATCH($A62,$A$15:OFFSET($A62,-1,0),0)))))</f>
        <v>10</v>
      </c>
      <c r="N62" s="211" t="str">
        <f ca="1">IF($D62&lt;&gt;"Serviço","",IF(AUTOEVENTO="Manual",IF($A62=0,"&lt;-- defina o número do agrupador",OFFSET(EVENTOS!$D$14,$A62,0)),OFFSET($F$15,$A62,0)))</f>
        <v xml:space="preserve">ALVENARIAS </v>
      </c>
      <c r="O62" s="212"/>
      <c r="Q62" s="212"/>
      <c r="R62" s="213"/>
      <c r="S62" s="213"/>
      <c r="T62" s="213"/>
      <c r="U62" s="213"/>
      <c r="V62" s="213"/>
      <c r="W62" s="213"/>
      <c r="X62" s="213"/>
      <c r="Y62" s="213"/>
      <c r="Z62" s="214"/>
      <c r="AB62" s="630">
        <f ca="1">IF(AND($D62="Serviço",AB$12&lt;&gt;0,$H62&gt;0,OR(AUTOEVENTO&lt;&gt;"manual",$M62&lt;&gt;1)),
IF(Import.TipoArredondamento&lt;&gt;"TransfereGOV",
ROUND(OFFSET($P62,0,AB$13),15-13*ORÇAMENTO!$AF$7)/$H62*OFFSET(ORÇAMENTO!$X$15,ROW(AB62)-ROW(AB$15),0),
ROUND(ROUND(OFFSET($P62,0,AB$13),15-13*ORÇAMENTO!$AF$7)*OFFSET(ORÇAMENTO!$W$15,ROW(AB62)-ROW(AB$15),0),15-13*ORÇAMENTO!$AF$11)),0)</f>
        <v>0</v>
      </c>
      <c r="AC62" s="631">
        <f ca="1">IF(AND($D62="Serviço",AC$12&lt;&gt;0,$H62&gt;0,OR(AUTOEVENTO&lt;&gt;"manual",$M62&lt;&gt;1)),
IF(Import.TipoArredondamento&lt;&gt;"TransfereGOV",
ROUND(OFFSET($P62,0,AC$13),15-13*ORÇAMENTO!$AF$7)/$H62*OFFSET(ORÇAMENTO!$X$15,ROW(AC62)-ROW(AC$15),0),
ROUND(ROUND(OFFSET($P62,0,AC$13),15-13*ORÇAMENTO!$AF$7)*OFFSET(ORÇAMENTO!$W$15,ROW(AC62)-ROW(AC$15),0),15-13*ORÇAMENTO!$AF$11)),0)</f>
        <v>0</v>
      </c>
      <c r="AD62" s="631">
        <f ca="1">IF(AND($D62="Serviço",AD$12&lt;&gt;0,$H62&gt;0,OR(AUTOEVENTO&lt;&gt;"manual",$M62&lt;&gt;1)),
IF(Import.TipoArredondamento&lt;&gt;"TransfereGOV",
ROUND(OFFSET($P62,0,AD$13),15-13*ORÇAMENTO!$AF$7)/$H62*OFFSET(ORÇAMENTO!$X$15,ROW(AD62)-ROW(AD$15),0),
ROUND(ROUND(OFFSET($P62,0,AD$13),15-13*ORÇAMENTO!$AF$7)*OFFSET(ORÇAMENTO!$W$15,ROW(AD62)-ROW(AD$15),0),15-13*ORÇAMENTO!$AF$11)),0)</f>
        <v>0</v>
      </c>
      <c r="AE62" s="631">
        <f ca="1">IF(AND($D62="Serviço",AE$12&lt;&gt;0,$H62&gt;0,OR(AUTOEVENTO&lt;&gt;"manual",$M62&lt;&gt;1)),
IF(Import.TipoArredondamento&lt;&gt;"TransfereGOV",
ROUND(OFFSET($P62,0,AE$13),15-13*ORÇAMENTO!$AF$7)/$H62*OFFSET(ORÇAMENTO!$X$15,ROW(AE62)-ROW(AE$15),0),
ROUND(ROUND(OFFSET($P62,0,AE$13),15-13*ORÇAMENTO!$AF$7)*OFFSET(ORÇAMENTO!$W$15,ROW(AE62)-ROW(AE$15),0),15-13*ORÇAMENTO!$AF$11)),0)</f>
        <v>0</v>
      </c>
      <c r="AF62" s="631">
        <f ca="1">IF(AND($D62="Serviço",AF$12&lt;&gt;0,$H62&gt;0,OR(AUTOEVENTO&lt;&gt;"manual",$M62&lt;&gt;1)),
IF(Import.TipoArredondamento&lt;&gt;"TransfereGOV",
ROUND(OFFSET($P62,0,AF$13),15-13*ORÇAMENTO!$AF$7)/$H62*OFFSET(ORÇAMENTO!$X$15,ROW(AF62)-ROW(AF$15),0),
ROUND(ROUND(OFFSET($P62,0,AF$13),15-13*ORÇAMENTO!$AF$7)*OFFSET(ORÇAMENTO!$W$15,ROW(AF62)-ROW(AF$15),0),15-13*ORÇAMENTO!$AF$11)),0)</f>
        <v>0</v>
      </c>
      <c r="AG62" s="631">
        <f ca="1">IF(AND($D62="Serviço",AG$12&lt;&gt;0,$H62&gt;0,OR(AUTOEVENTO&lt;&gt;"manual",$M62&lt;&gt;1)),
IF(Import.TipoArredondamento&lt;&gt;"TransfereGOV",
ROUND(OFFSET($P62,0,AG$13),15-13*ORÇAMENTO!$AF$7)/$H62*OFFSET(ORÇAMENTO!$X$15,ROW(AG62)-ROW(AG$15),0),
ROUND(ROUND(OFFSET($P62,0,AG$13),15-13*ORÇAMENTO!$AF$7)*OFFSET(ORÇAMENTO!$W$15,ROW(AG62)-ROW(AG$15),0),15-13*ORÇAMENTO!$AF$11)),0)</f>
        <v>0</v>
      </c>
      <c r="AH62" s="631">
        <f ca="1">IF(AND($D62="Serviço",AH$12&lt;&gt;0,$H62&gt;0,OR(AUTOEVENTO&lt;&gt;"manual",$M62&lt;&gt;1)),
IF(Import.TipoArredondamento&lt;&gt;"TransfereGOV",
ROUND(OFFSET($P62,0,AH$13),15-13*ORÇAMENTO!$AF$7)/$H62*OFFSET(ORÇAMENTO!$X$15,ROW(AH62)-ROW(AH$15),0),
ROUND(ROUND(OFFSET($P62,0,AH$13),15-13*ORÇAMENTO!$AF$7)*OFFSET(ORÇAMENTO!$W$15,ROW(AH62)-ROW(AH$15),0),15-13*ORÇAMENTO!$AF$11)),0)</f>
        <v>0</v>
      </c>
      <c r="AI62" s="631">
        <f ca="1">IF(AND($D62="Serviço",AI$12&lt;&gt;0,$H62&gt;0,OR(AUTOEVENTO&lt;&gt;"manual",$M62&lt;&gt;1)),
IF(Import.TipoArredondamento&lt;&gt;"TransfereGOV",
ROUND(OFFSET($P62,0,AI$13),15-13*ORÇAMENTO!$AF$7)/$H62*OFFSET(ORÇAMENTO!$X$15,ROW(AI62)-ROW(AI$15),0),
ROUND(ROUND(OFFSET($P62,0,AI$13),15-13*ORÇAMENTO!$AF$7)*OFFSET(ORÇAMENTO!$W$15,ROW(AI62)-ROW(AI$15),0),15-13*ORÇAMENTO!$AF$11)),0)</f>
        <v>0</v>
      </c>
      <c r="AJ62" s="631">
        <f ca="1">IF(AND($D62="Serviço",AJ$12&lt;&gt;0,$H62&gt;0,OR(AUTOEVENTO&lt;&gt;"manual",$M62&lt;&gt;1)),
IF(Import.TipoArredondamento&lt;&gt;"TransfereGOV",
ROUND(OFFSET($P62,0,AJ$13),15-13*ORÇAMENTO!$AF$7)/$H62*OFFSET(ORÇAMENTO!$X$15,ROW(AJ62)-ROW(AJ$15),0),
ROUND(ROUND(OFFSET($P62,0,AJ$13),15-13*ORÇAMENTO!$AF$7)*OFFSET(ORÇAMENTO!$W$15,ROW(AJ62)-ROW(AJ$15),0),15-13*ORÇAMENTO!$AF$11)),0)</f>
        <v>0</v>
      </c>
      <c r="AK62" s="632">
        <f ca="1">IF(AND($D62="Serviço",AK$12&lt;&gt;0,$H62&gt;0,OR(AUTOEVENTO&lt;&gt;"manual",$M62&lt;&gt;1)),
IF(Import.TipoArredondamento&lt;&gt;"TransfereGOV",
ROUND(OFFSET($P62,0,AK$13),15-13*ORÇAMENTO!$AF$7)/$H62*OFFSET(ORÇAMENTO!$X$15,ROW(AK62)-ROW(AK$15),0),
ROUND(ROUND(OFFSET($P62,0,AK$13),15-13*ORÇAMENTO!$AF$7)*OFFSET(ORÇAMENTO!$W$15,ROW(AK62)-ROW(AK$15),0),15-13*ORÇAMENTO!$AF$11)),0)</f>
        <v>0</v>
      </c>
      <c r="AM62" s="215">
        <f ca="1">IF($D62&lt;&gt;"Serviço",0,IF(AND(AUTOEVENTO="Manual",$M62=1),0,IF(OFFSET(CRONOPLE!$F$14,$M62,AM$13)="",10^12,OFFSET(CRONOPLE!$F$14,$M62,AM$13))))</f>
        <v>1000000000000</v>
      </c>
      <c r="AN62" s="215">
        <f ca="1">IF($D62&lt;&gt;"Serviço",0,IF(AND(AUTOEVENTO="Manual",$M62=1),0,IF(OFFSET(CRONOPLE!$F$14,$M62,AN$13)="",10^12,OFFSET(CRONOPLE!$F$14,$M62,AN$13))))</f>
        <v>1000000000000</v>
      </c>
      <c r="AO62" s="215">
        <f ca="1">IF($D62&lt;&gt;"Serviço",0,IF(AND(AUTOEVENTO="Manual",$M62=1),0,IF(OFFSET(CRONOPLE!$F$14,$M62,AO$13)="",10^12,OFFSET(CRONOPLE!$F$14,$M62,AO$13))))</f>
        <v>1000000000000</v>
      </c>
      <c r="AP62" s="215">
        <f ca="1">IF($D62&lt;&gt;"Serviço",0,IF(AND(AUTOEVENTO="Manual",$M62=1),0,IF(OFFSET(CRONOPLE!$F$14,$M62,AP$13)="",10^12,OFFSET(CRONOPLE!$F$14,$M62,AP$13))))</f>
        <v>1000000000000</v>
      </c>
      <c r="AQ62" s="215">
        <f ca="1">IF($D62&lt;&gt;"Serviço",0,IF(AND(AUTOEVENTO="Manual",$M62=1),0,IF(OFFSET(CRONOPLE!$F$14,$M62,AQ$13)="",10^12,OFFSET(CRONOPLE!$F$14,$M62,AQ$13))))</f>
        <v>1000000000000</v>
      </c>
      <c r="AR62" s="215">
        <f ca="1">IF($D62&lt;&gt;"Serviço",0,IF(AND(AUTOEVENTO="Manual",$M62=1),0,IF(OFFSET(CRONOPLE!$F$14,$M62,AR$13)="",10^12,OFFSET(CRONOPLE!$F$14,$M62,AR$13))))</f>
        <v>1000000000000</v>
      </c>
      <c r="AS62" s="215">
        <f ca="1">IF($D62&lt;&gt;"Serviço",0,IF(AND(AUTOEVENTO="Manual",$M62=1),0,IF(OFFSET(CRONOPLE!$F$14,$M62,AS$13)="",10^12,OFFSET(CRONOPLE!$F$14,$M62,AS$13))))</f>
        <v>1000000000000</v>
      </c>
      <c r="AT62" s="215">
        <f ca="1">IF($D62&lt;&gt;"Serviço",0,IF(AND(AUTOEVENTO="Manual",$M62=1),0,IF(OFFSET(CRONOPLE!$F$14,$M62,AT$13)="",10^12,OFFSET(CRONOPLE!$F$14,$M62,AT$13))))</f>
        <v>1000000000000</v>
      </c>
      <c r="AU62" s="215">
        <f ca="1">IF($D62&lt;&gt;"Serviço",0,IF(AND(AUTOEVENTO="Manual",$M62=1),0,IF(OFFSET(CRONOPLE!$F$14,$M62,AU$13)="",10^12,OFFSET(CRONOPLE!$F$14,$M62,AU$13))))</f>
        <v>1000000000000</v>
      </c>
      <c r="AV62" s="215">
        <f ca="1">IF($D62&lt;&gt;"Serviço",0,IF(AND(AUTOEVENTO="Manual",$M62=1),0,IF(OFFSET(CRONOPLE!$F$14,$M62,AV$13)="",10^12,OFFSET(CRONOPLE!$F$14,$M62,AV$13))))</f>
        <v>1000000000000</v>
      </c>
      <c r="AX62" s="216">
        <f ca="1">IF($D62&lt;&gt;"Serviço",0,IF(OR(AND(AUTOEVENTO="Manual",$M62=1),$M62&gt;(ROW(PLE.lastrow)-ROW(PLE.firstrow))),0,IF(OFFSET(PLE!$G$14,$M62,AX$13)="",10^12,OFFSET(PLE!$G$14,$M62,AX$13))))</f>
        <v>1000000000000</v>
      </c>
      <c r="AY62" s="216">
        <f ca="1">IF($D62&lt;&gt;"Serviço",0,IF(OR(AND(AUTOEVENTO="Manual",$M62=1),$M62&gt;(ROW(PLE.lastrow)-ROW(PLE.firstrow))),0,IF(OFFSET(PLE!$G$14,$M62,AY$13)="",10^12,OFFSET(PLE!$G$14,$M62,AY$13))))</f>
        <v>1000000000000</v>
      </c>
      <c r="AZ62" s="216">
        <f ca="1">IF($D62&lt;&gt;"Serviço",0,IF(OR(AND(AUTOEVENTO="Manual",$M62=1),$M62&gt;(ROW(PLE.lastrow)-ROW(PLE.firstrow))),0,IF(OFFSET(PLE!$G$14,$M62,AZ$13)="",10^12,OFFSET(PLE!$G$14,$M62,AZ$13))))</f>
        <v>1000000000000</v>
      </c>
      <c r="BA62" s="216">
        <f ca="1">IF($D62&lt;&gt;"Serviço",0,IF(OR(AND(AUTOEVENTO="Manual",$M62=1),$M62&gt;(ROW(PLE.lastrow)-ROW(PLE.firstrow))),0,IF(OFFSET(PLE!$G$14,$M62,BA$13)="",10^12,OFFSET(PLE!$G$14,$M62,BA$13))))</f>
        <v>1000000000000</v>
      </c>
      <c r="BB62" s="216">
        <f ca="1">IF($D62&lt;&gt;"Serviço",0,IF(OR(AND(AUTOEVENTO="Manual",$M62=1),$M62&gt;(ROW(PLE.lastrow)-ROW(PLE.firstrow))),0,IF(OFFSET(PLE!$G$14,$M62,BB$13)="",10^12,OFFSET(PLE!$G$14,$M62,BB$13))))</f>
        <v>1000000000000</v>
      </c>
      <c r="BC62" s="216">
        <f ca="1">IF($D62&lt;&gt;"Serviço",0,IF(OR(AND(AUTOEVENTO="Manual",$M62=1),$M62&gt;(ROW(PLE.lastrow)-ROW(PLE.firstrow))),0,IF(OFFSET(PLE!$G$14,$M62,BC$13)="",10^12,OFFSET(PLE!$G$14,$M62,BC$13))))</f>
        <v>1000000000000</v>
      </c>
      <c r="BD62" s="216">
        <f ca="1">IF($D62&lt;&gt;"Serviço",0,IF(OR(AND(AUTOEVENTO="Manual",$M62=1),$M62&gt;(ROW(PLE.lastrow)-ROW(PLE.firstrow))),0,IF(OFFSET(PLE!$G$14,$M62,BD$13)="",10^12,OFFSET(PLE!$G$14,$M62,BD$13))))</f>
        <v>1000000000000</v>
      </c>
      <c r="BE62" s="216">
        <f ca="1">IF($D62&lt;&gt;"Serviço",0,IF(OR(AND(AUTOEVENTO="Manual",$M62=1),$M62&gt;(ROW(PLE.lastrow)-ROW(PLE.firstrow))),0,IF(OFFSET(PLE!$G$14,$M62,BE$13)="",10^12,OFFSET(PLE!$G$14,$M62,BE$13))))</f>
        <v>1000000000000</v>
      </c>
      <c r="BF62" s="216">
        <f ca="1">IF($D62&lt;&gt;"Serviço",0,IF(OR(AND(AUTOEVENTO="Manual",$M62=1),$M62&gt;(ROW(PLE.lastrow)-ROW(PLE.firstrow))),0,IF(OFFSET(PLE!$G$14,$M62,BF$13)="",10^12,OFFSET(PLE!$G$14,$M62,BF$13))))</f>
        <v>1000000000000</v>
      </c>
      <c r="BG62" s="216">
        <f ca="1">IF($D62&lt;&gt;"Serviço",0,IF(OR(AND(AUTOEVENTO="Manual",$M62=1),$M62&gt;(ROW(PLE.lastrow)-ROW(PLE.firstrow))),0,IF(OFFSET(PLE!$G$14,$M62,BG$13)="",10^12,OFFSET(PLE!$G$14,$M62,BG$13))))</f>
        <v>1000000000000</v>
      </c>
    </row>
    <row r="63" spans="1:59" ht="51" x14ac:dyDescent="0.2">
      <c r="A63" s="9" t="str">
        <f t="shared" ca="1" si="9"/>
        <v>45</v>
      </c>
      <c r="B63" s="9" t="str">
        <f ca="1">OFFSET(ORÇAMENTO!C$15,ROW(B63)-ROW(B$15),0)</f>
        <v>S</v>
      </c>
      <c r="C63" s="9" t="str">
        <f ca="1">OFFSET(ORÇAMENTO!L$15,ROW(C63)-ROW(C$15),0)</f>
        <v/>
      </c>
      <c r="D63" s="145" t="str">
        <f ca="1">OFFSET(ORÇAMENTO!N$15,ROW(D63)-ROW(D$15),0)</f>
        <v>Serviço</v>
      </c>
      <c r="E63" s="205" t="str">
        <f ca="1">OFFSET(ORÇAMENTO!O$15,ROW(E63)-ROW(E$15),0)</f>
        <v>-</v>
      </c>
      <c r="F63" s="206" t="str">
        <f ca="1">OFFSET(ORÇAMENTO!R$15,ROW(F63)-ROW(F$15),0)</f>
        <v>CHAPISCO APLICADO EM ALVENARIA (COM PRESENÇA DE VÃOS) E ESTRUTURAS DE CONCRETO DE FACHADA, COM COLHER DE PEDREIRO.  ARGAMASSA TRAÇO 1:3 COM PREPARO EM BETONEIRA 400L. AF_10/2022</v>
      </c>
      <c r="G63" s="207" t="str">
        <f ca="1">IF($D63&lt;&gt;"Serviço","",OFFSET(ORÇAMENTO!S$15,ROW(G63)-ROW(G$15),0))</f>
        <v>M2</v>
      </c>
      <c r="H63" s="151">
        <f ca="1">IF($D63&lt;&gt;"Serviço",0,IF(ACOMPANHAMENTO="BM",ROUND(OFFSET(ORÇAMENTO!AJ$15,ROW(H63)-ROW(H$15),0),15-13*ORÇAMENTO!$AF$7),SUMPRODUCT(($Q$12:$AA$12&lt;&gt;"")*ROUND($Q63:$AA63,15-13*ORÇAMENTO!$AF$7))))</f>
        <v>1568</v>
      </c>
      <c r="I63" s="649"/>
      <c r="K63" s="208"/>
      <c r="L63" s="209" t="s">
        <v>255</v>
      </c>
      <c r="M63" s="210">
        <f ca="1">IF($D63&lt;&gt;"Serviço","",IF(AUTOEVENTO="manual",$A63,IF(ISERROR(MATCH($A63,$A$15:OFFSET($A63,-1,0),0)),MAX($M$15:OFFSET(M63,-1,0))+1,INDEX($M$15:OFFSET(M63,-1,0),MATCH($A63,$A$15:OFFSET($A63,-1,0),0)))))</f>
        <v>10</v>
      </c>
      <c r="N63" s="211" t="str">
        <f ca="1">IF($D63&lt;&gt;"Serviço","",IF(AUTOEVENTO="Manual",IF($A63=0,"&lt;-- defina o número do agrupador",OFFSET(EVENTOS!$D$14,$A63,0)),OFFSET($F$15,$A63,0)))</f>
        <v xml:space="preserve">ALVENARIAS </v>
      </c>
      <c r="O63" s="212"/>
      <c r="Q63" s="212"/>
      <c r="R63" s="213"/>
      <c r="S63" s="213"/>
      <c r="T63" s="213"/>
      <c r="U63" s="213"/>
      <c r="V63" s="213"/>
      <c r="W63" s="213"/>
      <c r="X63" s="213"/>
      <c r="Y63" s="213"/>
      <c r="Z63" s="214"/>
      <c r="AB63" s="630">
        <f ca="1">IF(AND($D63="Serviço",AB$12&lt;&gt;0,$H63&gt;0,OR(AUTOEVENTO&lt;&gt;"manual",$M63&lt;&gt;1)),
IF(Import.TipoArredondamento&lt;&gt;"TransfereGOV",
ROUND(OFFSET($P63,0,AB$13),15-13*ORÇAMENTO!$AF$7)/$H63*OFFSET(ORÇAMENTO!$X$15,ROW(AB63)-ROW(AB$15),0),
ROUND(ROUND(OFFSET($P63,0,AB$13),15-13*ORÇAMENTO!$AF$7)*OFFSET(ORÇAMENTO!$W$15,ROW(AB63)-ROW(AB$15),0),15-13*ORÇAMENTO!$AF$11)),0)</f>
        <v>0</v>
      </c>
      <c r="AC63" s="631">
        <f ca="1">IF(AND($D63="Serviço",AC$12&lt;&gt;0,$H63&gt;0,OR(AUTOEVENTO&lt;&gt;"manual",$M63&lt;&gt;1)),
IF(Import.TipoArredondamento&lt;&gt;"TransfereGOV",
ROUND(OFFSET($P63,0,AC$13),15-13*ORÇAMENTO!$AF$7)/$H63*OFFSET(ORÇAMENTO!$X$15,ROW(AC63)-ROW(AC$15),0),
ROUND(ROUND(OFFSET($P63,0,AC$13),15-13*ORÇAMENTO!$AF$7)*OFFSET(ORÇAMENTO!$W$15,ROW(AC63)-ROW(AC$15),0),15-13*ORÇAMENTO!$AF$11)),0)</f>
        <v>0</v>
      </c>
      <c r="AD63" s="631">
        <f ca="1">IF(AND($D63="Serviço",AD$12&lt;&gt;0,$H63&gt;0,OR(AUTOEVENTO&lt;&gt;"manual",$M63&lt;&gt;1)),
IF(Import.TipoArredondamento&lt;&gt;"TransfereGOV",
ROUND(OFFSET($P63,0,AD$13),15-13*ORÇAMENTO!$AF$7)/$H63*OFFSET(ORÇAMENTO!$X$15,ROW(AD63)-ROW(AD$15),0),
ROUND(ROUND(OFFSET($P63,0,AD$13),15-13*ORÇAMENTO!$AF$7)*OFFSET(ORÇAMENTO!$W$15,ROW(AD63)-ROW(AD$15),0),15-13*ORÇAMENTO!$AF$11)),0)</f>
        <v>0</v>
      </c>
      <c r="AE63" s="631">
        <f ca="1">IF(AND($D63="Serviço",AE$12&lt;&gt;0,$H63&gt;0,OR(AUTOEVENTO&lt;&gt;"manual",$M63&lt;&gt;1)),
IF(Import.TipoArredondamento&lt;&gt;"TransfereGOV",
ROUND(OFFSET($P63,0,AE$13),15-13*ORÇAMENTO!$AF$7)/$H63*OFFSET(ORÇAMENTO!$X$15,ROW(AE63)-ROW(AE$15),0),
ROUND(ROUND(OFFSET($P63,0,AE$13),15-13*ORÇAMENTO!$AF$7)*OFFSET(ORÇAMENTO!$W$15,ROW(AE63)-ROW(AE$15),0),15-13*ORÇAMENTO!$AF$11)),0)</f>
        <v>0</v>
      </c>
      <c r="AF63" s="631">
        <f ca="1">IF(AND($D63="Serviço",AF$12&lt;&gt;0,$H63&gt;0,OR(AUTOEVENTO&lt;&gt;"manual",$M63&lt;&gt;1)),
IF(Import.TipoArredondamento&lt;&gt;"TransfereGOV",
ROUND(OFFSET($P63,0,AF$13),15-13*ORÇAMENTO!$AF$7)/$H63*OFFSET(ORÇAMENTO!$X$15,ROW(AF63)-ROW(AF$15),0),
ROUND(ROUND(OFFSET($P63,0,AF$13),15-13*ORÇAMENTO!$AF$7)*OFFSET(ORÇAMENTO!$W$15,ROW(AF63)-ROW(AF$15),0),15-13*ORÇAMENTO!$AF$11)),0)</f>
        <v>0</v>
      </c>
      <c r="AG63" s="631">
        <f ca="1">IF(AND($D63="Serviço",AG$12&lt;&gt;0,$H63&gt;0,OR(AUTOEVENTO&lt;&gt;"manual",$M63&lt;&gt;1)),
IF(Import.TipoArredondamento&lt;&gt;"TransfereGOV",
ROUND(OFFSET($P63,0,AG$13),15-13*ORÇAMENTO!$AF$7)/$H63*OFFSET(ORÇAMENTO!$X$15,ROW(AG63)-ROW(AG$15),0),
ROUND(ROUND(OFFSET($P63,0,AG$13),15-13*ORÇAMENTO!$AF$7)*OFFSET(ORÇAMENTO!$W$15,ROW(AG63)-ROW(AG$15),0),15-13*ORÇAMENTO!$AF$11)),0)</f>
        <v>0</v>
      </c>
      <c r="AH63" s="631">
        <f ca="1">IF(AND($D63="Serviço",AH$12&lt;&gt;0,$H63&gt;0,OR(AUTOEVENTO&lt;&gt;"manual",$M63&lt;&gt;1)),
IF(Import.TipoArredondamento&lt;&gt;"TransfereGOV",
ROUND(OFFSET($P63,0,AH$13),15-13*ORÇAMENTO!$AF$7)/$H63*OFFSET(ORÇAMENTO!$X$15,ROW(AH63)-ROW(AH$15),0),
ROUND(ROUND(OFFSET($P63,0,AH$13),15-13*ORÇAMENTO!$AF$7)*OFFSET(ORÇAMENTO!$W$15,ROW(AH63)-ROW(AH$15),0),15-13*ORÇAMENTO!$AF$11)),0)</f>
        <v>0</v>
      </c>
      <c r="AI63" s="631">
        <f ca="1">IF(AND($D63="Serviço",AI$12&lt;&gt;0,$H63&gt;0,OR(AUTOEVENTO&lt;&gt;"manual",$M63&lt;&gt;1)),
IF(Import.TipoArredondamento&lt;&gt;"TransfereGOV",
ROUND(OFFSET($P63,0,AI$13),15-13*ORÇAMENTO!$AF$7)/$H63*OFFSET(ORÇAMENTO!$X$15,ROW(AI63)-ROW(AI$15),0),
ROUND(ROUND(OFFSET($P63,0,AI$13),15-13*ORÇAMENTO!$AF$7)*OFFSET(ORÇAMENTO!$W$15,ROW(AI63)-ROW(AI$15),0),15-13*ORÇAMENTO!$AF$11)),0)</f>
        <v>0</v>
      </c>
      <c r="AJ63" s="631">
        <f ca="1">IF(AND($D63="Serviço",AJ$12&lt;&gt;0,$H63&gt;0,OR(AUTOEVENTO&lt;&gt;"manual",$M63&lt;&gt;1)),
IF(Import.TipoArredondamento&lt;&gt;"TransfereGOV",
ROUND(OFFSET($P63,0,AJ$13),15-13*ORÇAMENTO!$AF$7)/$H63*OFFSET(ORÇAMENTO!$X$15,ROW(AJ63)-ROW(AJ$15),0),
ROUND(ROUND(OFFSET($P63,0,AJ$13),15-13*ORÇAMENTO!$AF$7)*OFFSET(ORÇAMENTO!$W$15,ROW(AJ63)-ROW(AJ$15),0),15-13*ORÇAMENTO!$AF$11)),0)</f>
        <v>0</v>
      </c>
      <c r="AK63" s="632">
        <f ca="1">IF(AND($D63="Serviço",AK$12&lt;&gt;0,$H63&gt;0,OR(AUTOEVENTO&lt;&gt;"manual",$M63&lt;&gt;1)),
IF(Import.TipoArredondamento&lt;&gt;"TransfereGOV",
ROUND(OFFSET($P63,0,AK$13),15-13*ORÇAMENTO!$AF$7)/$H63*OFFSET(ORÇAMENTO!$X$15,ROW(AK63)-ROW(AK$15),0),
ROUND(ROUND(OFFSET($P63,0,AK$13),15-13*ORÇAMENTO!$AF$7)*OFFSET(ORÇAMENTO!$W$15,ROW(AK63)-ROW(AK$15),0),15-13*ORÇAMENTO!$AF$11)),0)</f>
        <v>0</v>
      </c>
      <c r="AM63" s="215">
        <f ca="1">IF($D63&lt;&gt;"Serviço",0,IF(AND(AUTOEVENTO="Manual",$M63=1),0,IF(OFFSET(CRONOPLE!$F$14,$M63,AM$13)="",10^12,OFFSET(CRONOPLE!$F$14,$M63,AM$13))))</f>
        <v>1000000000000</v>
      </c>
      <c r="AN63" s="215">
        <f ca="1">IF($D63&lt;&gt;"Serviço",0,IF(AND(AUTOEVENTO="Manual",$M63=1),0,IF(OFFSET(CRONOPLE!$F$14,$M63,AN$13)="",10^12,OFFSET(CRONOPLE!$F$14,$M63,AN$13))))</f>
        <v>1000000000000</v>
      </c>
      <c r="AO63" s="215">
        <f ca="1">IF($D63&lt;&gt;"Serviço",0,IF(AND(AUTOEVENTO="Manual",$M63=1),0,IF(OFFSET(CRONOPLE!$F$14,$M63,AO$13)="",10^12,OFFSET(CRONOPLE!$F$14,$M63,AO$13))))</f>
        <v>1000000000000</v>
      </c>
      <c r="AP63" s="215">
        <f ca="1">IF($D63&lt;&gt;"Serviço",0,IF(AND(AUTOEVENTO="Manual",$M63=1),0,IF(OFFSET(CRONOPLE!$F$14,$M63,AP$13)="",10^12,OFFSET(CRONOPLE!$F$14,$M63,AP$13))))</f>
        <v>1000000000000</v>
      </c>
      <c r="AQ63" s="215">
        <f ca="1">IF($D63&lt;&gt;"Serviço",0,IF(AND(AUTOEVENTO="Manual",$M63=1),0,IF(OFFSET(CRONOPLE!$F$14,$M63,AQ$13)="",10^12,OFFSET(CRONOPLE!$F$14,$M63,AQ$13))))</f>
        <v>1000000000000</v>
      </c>
      <c r="AR63" s="215">
        <f ca="1">IF($D63&lt;&gt;"Serviço",0,IF(AND(AUTOEVENTO="Manual",$M63=1),0,IF(OFFSET(CRONOPLE!$F$14,$M63,AR$13)="",10^12,OFFSET(CRONOPLE!$F$14,$M63,AR$13))))</f>
        <v>1000000000000</v>
      </c>
      <c r="AS63" s="215">
        <f ca="1">IF($D63&lt;&gt;"Serviço",0,IF(AND(AUTOEVENTO="Manual",$M63=1),0,IF(OFFSET(CRONOPLE!$F$14,$M63,AS$13)="",10^12,OFFSET(CRONOPLE!$F$14,$M63,AS$13))))</f>
        <v>1000000000000</v>
      </c>
      <c r="AT63" s="215">
        <f ca="1">IF($D63&lt;&gt;"Serviço",0,IF(AND(AUTOEVENTO="Manual",$M63=1),0,IF(OFFSET(CRONOPLE!$F$14,$M63,AT$13)="",10^12,OFFSET(CRONOPLE!$F$14,$M63,AT$13))))</f>
        <v>1000000000000</v>
      </c>
      <c r="AU63" s="215">
        <f ca="1">IF($D63&lt;&gt;"Serviço",0,IF(AND(AUTOEVENTO="Manual",$M63=1),0,IF(OFFSET(CRONOPLE!$F$14,$M63,AU$13)="",10^12,OFFSET(CRONOPLE!$F$14,$M63,AU$13))))</f>
        <v>1000000000000</v>
      </c>
      <c r="AV63" s="215">
        <f ca="1">IF($D63&lt;&gt;"Serviço",0,IF(AND(AUTOEVENTO="Manual",$M63=1),0,IF(OFFSET(CRONOPLE!$F$14,$M63,AV$13)="",10^12,OFFSET(CRONOPLE!$F$14,$M63,AV$13))))</f>
        <v>1000000000000</v>
      </c>
      <c r="AX63" s="216">
        <f ca="1">IF($D63&lt;&gt;"Serviço",0,IF(OR(AND(AUTOEVENTO="Manual",$M63=1),$M63&gt;(ROW(PLE.lastrow)-ROW(PLE.firstrow))),0,IF(OFFSET(PLE!$G$14,$M63,AX$13)="",10^12,OFFSET(PLE!$G$14,$M63,AX$13))))</f>
        <v>1000000000000</v>
      </c>
      <c r="AY63" s="216">
        <f ca="1">IF($D63&lt;&gt;"Serviço",0,IF(OR(AND(AUTOEVENTO="Manual",$M63=1),$M63&gt;(ROW(PLE.lastrow)-ROW(PLE.firstrow))),0,IF(OFFSET(PLE!$G$14,$M63,AY$13)="",10^12,OFFSET(PLE!$G$14,$M63,AY$13))))</f>
        <v>1000000000000</v>
      </c>
      <c r="AZ63" s="216">
        <f ca="1">IF($D63&lt;&gt;"Serviço",0,IF(OR(AND(AUTOEVENTO="Manual",$M63=1),$M63&gt;(ROW(PLE.lastrow)-ROW(PLE.firstrow))),0,IF(OFFSET(PLE!$G$14,$M63,AZ$13)="",10^12,OFFSET(PLE!$G$14,$M63,AZ$13))))</f>
        <v>1000000000000</v>
      </c>
      <c r="BA63" s="216">
        <f ca="1">IF($D63&lt;&gt;"Serviço",0,IF(OR(AND(AUTOEVENTO="Manual",$M63=1),$M63&gt;(ROW(PLE.lastrow)-ROW(PLE.firstrow))),0,IF(OFFSET(PLE!$G$14,$M63,BA$13)="",10^12,OFFSET(PLE!$G$14,$M63,BA$13))))</f>
        <v>1000000000000</v>
      </c>
      <c r="BB63" s="216">
        <f ca="1">IF($D63&lt;&gt;"Serviço",0,IF(OR(AND(AUTOEVENTO="Manual",$M63=1),$M63&gt;(ROW(PLE.lastrow)-ROW(PLE.firstrow))),0,IF(OFFSET(PLE!$G$14,$M63,BB$13)="",10^12,OFFSET(PLE!$G$14,$M63,BB$13))))</f>
        <v>1000000000000</v>
      </c>
      <c r="BC63" s="216">
        <f ca="1">IF($D63&lt;&gt;"Serviço",0,IF(OR(AND(AUTOEVENTO="Manual",$M63=1),$M63&gt;(ROW(PLE.lastrow)-ROW(PLE.firstrow))),0,IF(OFFSET(PLE!$G$14,$M63,BC$13)="",10^12,OFFSET(PLE!$G$14,$M63,BC$13))))</f>
        <v>1000000000000</v>
      </c>
      <c r="BD63" s="216">
        <f ca="1">IF($D63&lt;&gt;"Serviço",0,IF(OR(AND(AUTOEVENTO="Manual",$M63=1),$M63&gt;(ROW(PLE.lastrow)-ROW(PLE.firstrow))),0,IF(OFFSET(PLE!$G$14,$M63,BD$13)="",10^12,OFFSET(PLE!$G$14,$M63,BD$13))))</f>
        <v>1000000000000</v>
      </c>
      <c r="BE63" s="216">
        <f ca="1">IF($D63&lt;&gt;"Serviço",0,IF(OR(AND(AUTOEVENTO="Manual",$M63=1),$M63&gt;(ROW(PLE.lastrow)-ROW(PLE.firstrow))),0,IF(OFFSET(PLE!$G$14,$M63,BE$13)="",10^12,OFFSET(PLE!$G$14,$M63,BE$13))))</f>
        <v>1000000000000</v>
      </c>
      <c r="BF63" s="216">
        <f ca="1">IF($D63&lt;&gt;"Serviço",0,IF(OR(AND(AUTOEVENTO="Manual",$M63=1),$M63&gt;(ROW(PLE.lastrow)-ROW(PLE.firstrow))),0,IF(OFFSET(PLE!$G$14,$M63,BF$13)="",10^12,OFFSET(PLE!$G$14,$M63,BF$13))))</f>
        <v>1000000000000</v>
      </c>
      <c r="BG63" s="216">
        <f ca="1">IF($D63&lt;&gt;"Serviço",0,IF(OR(AND(AUTOEVENTO="Manual",$M63=1),$M63&gt;(ROW(PLE.lastrow)-ROW(PLE.firstrow))),0,IF(OFFSET(PLE!$G$14,$M63,BG$13)="",10^12,OFFSET(PLE!$G$14,$M63,BG$13))))</f>
        <v>1000000000000</v>
      </c>
    </row>
    <row r="64" spans="1:59" ht="25.5" x14ac:dyDescent="0.2">
      <c r="A64" s="9" t="str">
        <f t="shared" ca="1" si="9"/>
        <v>45</v>
      </c>
      <c r="B64" s="9" t="str">
        <f ca="1">OFFSET(ORÇAMENTO!C$15,ROW(B64)-ROW(B$15),0)</f>
        <v>S</v>
      </c>
      <c r="C64" s="9" t="str">
        <f ca="1">OFFSET(ORÇAMENTO!L$15,ROW(C64)-ROW(C$15),0)</f>
        <v/>
      </c>
      <c r="D64" s="145" t="str">
        <f ca="1">OFFSET(ORÇAMENTO!N$15,ROW(D64)-ROW(D$15),0)</f>
        <v>Serviço</v>
      </c>
      <c r="E64" s="205" t="str">
        <f ca="1">OFFSET(ORÇAMENTO!O$15,ROW(E64)-ROW(E$15),0)</f>
        <v>-</v>
      </c>
      <c r="F64" s="206" t="str">
        <f ca="1">OFFSET(ORÇAMENTO!R$15,ROW(F64)-ROW(F$15),0)</f>
        <v>PAREDE INTERNA DE DIVISÓRIA  EM PLACA CIMENTÍCIA 10MM, DUPLA COM ESTRUTURA METALICA TIPO DRYWALL</v>
      </c>
      <c r="G64" s="207" t="str">
        <f ca="1">IF($D64&lt;&gt;"Serviço","",OFFSET(ORÇAMENTO!S$15,ROW(G64)-ROW(G$15),0))</f>
        <v>M²</v>
      </c>
      <c r="H64" s="151">
        <f ca="1">IF($D64&lt;&gt;"Serviço",0,IF(ACOMPANHAMENTO="BM",ROUND(OFFSET(ORÇAMENTO!AJ$15,ROW(H64)-ROW(H$15),0),15-13*ORÇAMENTO!$AF$7),SUMPRODUCT(($Q$12:$AA$12&lt;&gt;"")*ROUND($Q64:$AA64,15-13*ORÇAMENTO!$AF$7))))</f>
        <v>84</v>
      </c>
      <c r="I64" s="649"/>
      <c r="K64" s="208"/>
      <c r="L64" s="209" t="s">
        <v>255</v>
      </c>
      <c r="M64" s="210">
        <f ca="1">IF($D64&lt;&gt;"Serviço","",IF(AUTOEVENTO="manual",$A64,IF(ISERROR(MATCH($A64,$A$15:OFFSET($A64,-1,0),0)),MAX($M$15:OFFSET(M64,-1,0))+1,INDEX($M$15:OFFSET(M64,-1,0),MATCH($A64,$A$15:OFFSET($A64,-1,0),0)))))</f>
        <v>10</v>
      </c>
      <c r="N64" s="211" t="str">
        <f ca="1">IF($D64&lt;&gt;"Serviço","",IF(AUTOEVENTO="Manual",IF($A64=0,"&lt;-- defina o número do agrupador",OFFSET(EVENTOS!$D$14,$A64,0)),OFFSET($F$15,$A64,0)))</f>
        <v xml:space="preserve">ALVENARIAS </v>
      </c>
      <c r="O64" s="212"/>
      <c r="Q64" s="212"/>
      <c r="R64" s="213"/>
      <c r="S64" s="213"/>
      <c r="T64" s="213"/>
      <c r="U64" s="213"/>
      <c r="V64" s="213"/>
      <c r="W64" s="213"/>
      <c r="X64" s="213"/>
      <c r="Y64" s="213"/>
      <c r="Z64" s="214"/>
      <c r="AB64" s="630">
        <f ca="1">IF(AND($D64="Serviço",AB$12&lt;&gt;0,$H64&gt;0,OR(AUTOEVENTO&lt;&gt;"manual",$M64&lt;&gt;1)),
IF(Import.TipoArredondamento&lt;&gt;"TransfereGOV",
ROUND(OFFSET($P64,0,AB$13),15-13*ORÇAMENTO!$AF$7)/$H64*OFFSET(ORÇAMENTO!$X$15,ROW(AB64)-ROW(AB$15),0),
ROUND(ROUND(OFFSET($P64,0,AB$13),15-13*ORÇAMENTO!$AF$7)*OFFSET(ORÇAMENTO!$W$15,ROW(AB64)-ROW(AB$15),0),15-13*ORÇAMENTO!$AF$11)),0)</f>
        <v>0</v>
      </c>
      <c r="AC64" s="631">
        <f ca="1">IF(AND($D64="Serviço",AC$12&lt;&gt;0,$H64&gt;0,OR(AUTOEVENTO&lt;&gt;"manual",$M64&lt;&gt;1)),
IF(Import.TipoArredondamento&lt;&gt;"TransfereGOV",
ROUND(OFFSET($P64,0,AC$13),15-13*ORÇAMENTO!$AF$7)/$H64*OFFSET(ORÇAMENTO!$X$15,ROW(AC64)-ROW(AC$15),0),
ROUND(ROUND(OFFSET($P64,0,AC$13),15-13*ORÇAMENTO!$AF$7)*OFFSET(ORÇAMENTO!$W$15,ROW(AC64)-ROW(AC$15),0),15-13*ORÇAMENTO!$AF$11)),0)</f>
        <v>0</v>
      </c>
      <c r="AD64" s="631">
        <f ca="1">IF(AND($D64="Serviço",AD$12&lt;&gt;0,$H64&gt;0,OR(AUTOEVENTO&lt;&gt;"manual",$M64&lt;&gt;1)),
IF(Import.TipoArredondamento&lt;&gt;"TransfereGOV",
ROUND(OFFSET($P64,0,AD$13),15-13*ORÇAMENTO!$AF$7)/$H64*OFFSET(ORÇAMENTO!$X$15,ROW(AD64)-ROW(AD$15),0),
ROUND(ROUND(OFFSET($P64,0,AD$13),15-13*ORÇAMENTO!$AF$7)*OFFSET(ORÇAMENTO!$W$15,ROW(AD64)-ROW(AD$15),0),15-13*ORÇAMENTO!$AF$11)),0)</f>
        <v>0</v>
      </c>
      <c r="AE64" s="631">
        <f ca="1">IF(AND($D64="Serviço",AE$12&lt;&gt;0,$H64&gt;0,OR(AUTOEVENTO&lt;&gt;"manual",$M64&lt;&gt;1)),
IF(Import.TipoArredondamento&lt;&gt;"TransfereGOV",
ROUND(OFFSET($P64,0,AE$13),15-13*ORÇAMENTO!$AF$7)/$H64*OFFSET(ORÇAMENTO!$X$15,ROW(AE64)-ROW(AE$15),0),
ROUND(ROUND(OFFSET($P64,0,AE$13),15-13*ORÇAMENTO!$AF$7)*OFFSET(ORÇAMENTO!$W$15,ROW(AE64)-ROW(AE$15),0),15-13*ORÇAMENTO!$AF$11)),0)</f>
        <v>0</v>
      </c>
      <c r="AF64" s="631">
        <f ca="1">IF(AND($D64="Serviço",AF$12&lt;&gt;0,$H64&gt;0,OR(AUTOEVENTO&lt;&gt;"manual",$M64&lt;&gt;1)),
IF(Import.TipoArredondamento&lt;&gt;"TransfereGOV",
ROUND(OFFSET($P64,0,AF$13),15-13*ORÇAMENTO!$AF$7)/$H64*OFFSET(ORÇAMENTO!$X$15,ROW(AF64)-ROW(AF$15),0),
ROUND(ROUND(OFFSET($P64,0,AF$13),15-13*ORÇAMENTO!$AF$7)*OFFSET(ORÇAMENTO!$W$15,ROW(AF64)-ROW(AF$15),0),15-13*ORÇAMENTO!$AF$11)),0)</f>
        <v>0</v>
      </c>
      <c r="AG64" s="631">
        <f ca="1">IF(AND($D64="Serviço",AG$12&lt;&gt;0,$H64&gt;0,OR(AUTOEVENTO&lt;&gt;"manual",$M64&lt;&gt;1)),
IF(Import.TipoArredondamento&lt;&gt;"TransfereGOV",
ROUND(OFFSET($P64,0,AG$13),15-13*ORÇAMENTO!$AF$7)/$H64*OFFSET(ORÇAMENTO!$X$15,ROW(AG64)-ROW(AG$15),0),
ROUND(ROUND(OFFSET($P64,0,AG$13),15-13*ORÇAMENTO!$AF$7)*OFFSET(ORÇAMENTO!$W$15,ROW(AG64)-ROW(AG$15),0),15-13*ORÇAMENTO!$AF$11)),0)</f>
        <v>0</v>
      </c>
      <c r="AH64" s="631">
        <f ca="1">IF(AND($D64="Serviço",AH$12&lt;&gt;0,$H64&gt;0,OR(AUTOEVENTO&lt;&gt;"manual",$M64&lt;&gt;1)),
IF(Import.TipoArredondamento&lt;&gt;"TransfereGOV",
ROUND(OFFSET($P64,0,AH$13),15-13*ORÇAMENTO!$AF$7)/$H64*OFFSET(ORÇAMENTO!$X$15,ROW(AH64)-ROW(AH$15),0),
ROUND(ROUND(OFFSET($P64,0,AH$13),15-13*ORÇAMENTO!$AF$7)*OFFSET(ORÇAMENTO!$W$15,ROW(AH64)-ROW(AH$15),0),15-13*ORÇAMENTO!$AF$11)),0)</f>
        <v>0</v>
      </c>
      <c r="AI64" s="631">
        <f ca="1">IF(AND($D64="Serviço",AI$12&lt;&gt;0,$H64&gt;0,OR(AUTOEVENTO&lt;&gt;"manual",$M64&lt;&gt;1)),
IF(Import.TipoArredondamento&lt;&gt;"TransfereGOV",
ROUND(OFFSET($P64,0,AI$13),15-13*ORÇAMENTO!$AF$7)/$H64*OFFSET(ORÇAMENTO!$X$15,ROW(AI64)-ROW(AI$15),0),
ROUND(ROUND(OFFSET($P64,0,AI$13),15-13*ORÇAMENTO!$AF$7)*OFFSET(ORÇAMENTO!$W$15,ROW(AI64)-ROW(AI$15),0),15-13*ORÇAMENTO!$AF$11)),0)</f>
        <v>0</v>
      </c>
      <c r="AJ64" s="631">
        <f ca="1">IF(AND($D64="Serviço",AJ$12&lt;&gt;0,$H64&gt;0,OR(AUTOEVENTO&lt;&gt;"manual",$M64&lt;&gt;1)),
IF(Import.TipoArredondamento&lt;&gt;"TransfereGOV",
ROUND(OFFSET($P64,0,AJ$13),15-13*ORÇAMENTO!$AF$7)/$H64*OFFSET(ORÇAMENTO!$X$15,ROW(AJ64)-ROW(AJ$15),0),
ROUND(ROUND(OFFSET($P64,0,AJ$13),15-13*ORÇAMENTO!$AF$7)*OFFSET(ORÇAMENTO!$W$15,ROW(AJ64)-ROW(AJ$15),0),15-13*ORÇAMENTO!$AF$11)),0)</f>
        <v>0</v>
      </c>
      <c r="AK64" s="632">
        <f ca="1">IF(AND($D64="Serviço",AK$12&lt;&gt;0,$H64&gt;0,OR(AUTOEVENTO&lt;&gt;"manual",$M64&lt;&gt;1)),
IF(Import.TipoArredondamento&lt;&gt;"TransfereGOV",
ROUND(OFFSET($P64,0,AK$13),15-13*ORÇAMENTO!$AF$7)/$H64*OFFSET(ORÇAMENTO!$X$15,ROW(AK64)-ROW(AK$15),0),
ROUND(ROUND(OFFSET($P64,0,AK$13),15-13*ORÇAMENTO!$AF$7)*OFFSET(ORÇAMENTO!$W$15,ROW(AK64)-ROW(AK$15),0),15-13*ORÇAMENTO!$AF$11)),0)</f>
        <v>0</v>
      </c>
      <c r="AM64" s="215">
        <f ca="1">IF($D64&lt;&gt;"Serviço",0,IF(AND(AUTOEVENTO="Manual",$M64=1),0,IF(OFFSET(CRONOPLE!$F$14,$M64,AM$13)="",10^12,OFFSET(CRONOPLE!$F$14,$M64,AM$13))))</f>
        <v>1000000000000</v>
      </c>
      <c r="AN64" s="215">
        <f ca="1">IF($D64&lt;&gt;"Serviço",0,IF(AND(AUTOEVENTO="Manual",$M64=1),0,IF(OFFSET(CRONOPLE!$F$14,$M64,AN$13)="",10^12,OFFSET(CRONOPLE!$F$14,$M64,AN$13))))</f>
        <v>1000000000000</v>
      </c>
      <c r="AO64" s="215">
        <f ca="1">IF($D64&lt;&gt;"Serviço",0,IF(AND(AUTOEVENTO="Manual",$M64=1),0,IF(OFFSET(CRONOPLE!$F$14,$M64,AO$13)="",10^12,OFFSET(CRONOPLE!$F$14,$M64,AO$13))))</f>
        <v>1000000000000</v>
      </c>
      <c r="AP64" s="215">
        <f ca="1">IF($D64&lt;&gt;"Serviço",0,IF(AND(AUTOEVENTO="Manual",$M64=1),0,IF(OFFSET(CRONOPLE!$F$14,$M64,AP$13)="",10^12,OFFSET(CRONOPLE!$F$14,$M64,AP$13))))</f>
        <v>1000000000000</v>
      </c>
      <c r="AQ64" s="215">
        <f ca="1">IF($D64&lt;&gt;"Serviço",0,IF(AND(AUTOEVENTO="Manual",$M64=1),0,IF(OFFSET(CRONOPLE!$F$14,$M64,AQ$13)="",10^12,OFFSET(CRONOPLE!$F$14,$M64,AQ$13))))</f>
        <v>1000000000000</v>
      </c>
      <c r="AR64" s="215">
        <f ca="1">IF($D64&lt;&gt;"Serviço",0,IF(AND(AUTOEVENTO="Manual",$M64=1),0,IF(OFFSET(CRONOPLE!$F$14,$M64,AR$13)="",10^12,OFFSET(CRONOPLE!$F$14,$M64,AR$13))))</f>
        <v>1000000000000</v>
      </c>
      <c r="AS64" s="215">
        <f ca="1">IF($D64&lt;&gt;"Serviço",0,IF(AND(AUTOEVENTO="Manual",$M64=1),0,IF(OFFSET(CRONOPLE!$F$14,$M64,AS$13)="",10^12,OFFSET(CRONOPLE!$F$14,$M64,AS$13))))</f>
        <v>1000000000000</v>
      </c>
      <c r="AT64" s="215">
        <f ca="1">IF($D64&lt;&gt;"Serviço",0,IF(AND(AUTOEVENTO="Manual",$M64=1),0,IF(OFFSET(CRONOPLE!$F$14,$M64,AT$13)="",10^12,OFFSET(CRONOPLE!$F$14,$M64,AT$13))))</f>
        <v>1000000000000</v>
      </c>
      <c r="AU64" s="215">
        <f ca="1">IF($D64&lt;&gt;"Serviço",0,IF(AND(AUTOEVENTO="Manual",$M64=1),0,IF(OFFSET(CRONOPLE!$F$14,$M64,AU$13)="",10^12,OFFSET(CRONOPLE!$F$14,$M64,AU$13))))</f>
        <v>1000000000000</v>
      </c>
      <c r="AV64" s="215">
        <f ca="1">IF($D64&lt;&gt;"Serviço",0,IF(AND(AUTOEVENTO="Manual",$M64=1),0,IF(OFFSET(CRONOPLE!$F$14,$M64,AV$13)="",10^12,OFFSET(CRONOPLE!$F$14,$M64,AV$13))))</f>
        <v>1000000000000</v>
      </c>
      <c r="AX64" s="216">
        <f ca="1">IF($D64&lt;&gt;"Serviço",0,IF(OR(AND(AUTOEVENTO="Manual",$M64=1),$M64&gt;(ROW(PLE.lastrow)-ROW(PLE.firstrow))),0,IF(OFFSET(PLE!$G$14,$M64,AX$13)="",10^12,OFFSET(PLE!$G$14,$M64,AX$13))))</f>
        <v>1000000000000</v>
      </c>
      <c r="AY64" s="216">
        <f ca="1">IF($D64&lt;&gt;"Serviço",0,IF(OR(AND(AUTOEVENTO="Manual",$M64=1),$M64&gt;(ROW(PLE.lastrow)-ROW(PLE.firstrow))),0,IF(OFFSET(PLE!$G$14,$M64,AY$13)="",10^12,OFFSET(PLE!$G$14,$M64,AY$13))))</f>
        <v>1000000000000</v>
      </c>
      <c r="AZ64" s="216">
        <f ca="1">IF($D64&lt;&gt;"Serviço",0,IF(OR(AND(AUTOEVENTO="Manual",$M64=1),$M64&gt;(ROW(PLE.lastrow)-ROW(PLE.firstrow))),0,IF(OFFSET(PLE!$G$14,$M64,AZ$13)="",10^12,OFFSET(PLE!$G$14,$M64,AZ$13))))</f>
        <v>1000000000000</v>
      </c>
      <c r="BA64" s="216">
        <f ca="1">IF($D64&lt;&gt;"Serviço",0,IF(OR(AND(AUTOEVENTO="Manual",$M64=1),$M64&gt;(ROW(PLE.lastrow)-ROW(PLE.firstrow))),0,IF(OFFSET(PLE!$G$14,$M64,BA$13)="",10^12,OFFSET(PLE!$G$14,$M64,BA$13))))</f>
        <v>1000000000000</v>
      </c>
      <c r="BB64" s="216">
        <f ca="1">IF($D64&lt;&gt;"Serviço",0,IF(OR(AND(AUTOEVENTO="Manual",$M64=1),$M64&gt;(ROW(PLE.lastrow)-ROW(PLE.firstrow))),0,IF(OFFSET(PLE!$G$14,$M64,BB$13)="",10^12,OFFSET(PLE!$G$14,$M64,BB$13))))</f>
        <v>1000000000000</v>
      </c>
      <c r="BC64" s="216">
        <f ca="1">IF($D64&lt;&gt;"Serviço",0,IF(OR(AND(AUTOEVENTO="Manual",$M64=1),$M64&gt;(ROW(PLE.lastrow)-ROW(PLE.firstrow))),0,IF(OFFSET(PLE!$G$14,$M64,BC$13)="",10^12,OFFSET(PLE!$G$14,$M64,BC$13))))</f>
        <v>1000000000000</v>
      </c>
      <c r="BD64" s="216">
        <f ca="1">IF($D64&lt;&gt;"Serviço",0,IF(OR(AND(AUTOEVENTO="Manual",$M64=1),$M64&gt;(ROW(PLE.lastrow)-ROW(PLE.firstrow))),0,IF(OFFSET(PLE!$G$14,$M64,BD$13)="",10^12,OFFSET(PLE!$G$14,$M64,BD$13))))</f>
        <v>1000000000000</v>
      </c>
      <c r="BE64" s="216">
        <f ca="1">IF($D64&lt;&gt;"Serviço",0,IF(OR(AND(AUTOEVENTO="Manual",$M64=1),$M64&gt;(ROW(PLE.lastrow)-ROW(PLE.firstrow))),0,IF(OFFSET(PLE!$G$14,$M64,BE$13)="",10^12,OFFSET(PLE!$G$14,$M64,BE$13))))</f>
        <v>1000000000000</v>
      </c>
      <c r="BF64" s="216">
        <f ca="1">IF($D64&lt;&gt;"Serviço",0,IF(OR(AND(AUTOEVENTO="Manual",$M64=1),$M64&gt;(ROW(PLE.lastrow)-ROW(PLE.firstrow))),0,IF(OFFSET(PLE!$G$14,$M64,BF$13)="",10^12,OFFSET(PLE!$G$14,$M64,BF$13))))</f>
        <v>1000000000000</v>
      </c>
      <c r="BG64" s="216">
        <f ca="1">IF($D64&lt;&gt;"Serviço",0,IF(OR(AND(AUTOEVENTO="Manual",$M64=1),$M64&gt;(ROW(PLE.lastrow)-ROW(PLE.firstrow))),0,IF(OFFSET(PLE!$G$14,$M64,BG$13)="",10^12,OFFSET(PLE!$G$14,$M64,BG$13))))</f>
        <v>1000000000000</v>
      </c>
    </row>
    <row r="65" spans="1:59" ht="38.25" x14ac:dyDescent="0.2">
      <c r="A65" s="9" t="str">
        <f ca="1">IF(AUTOEVENTO="Manual",IF(K65&lt;&gt;"",MIN(VALUE(LEFT(K65,FIND(".",K65)-1)),COUNTA(EVENTOS.Lista)),0),IF(OR($B65&gt;AUTOEVENTO,$B65="S",$B65=0),SUBSTITUTE(OFFSET($A65,-1,0),IF($D65="Serviço",".",""),""),ROW(A65)-ROW($A$15)&amp;"."))</f>
        <v>45</v>
      </c>
      <c r="B65" s="9" t="str">
        <f ca="1">OFFSET(ORÇAMENTO!C$15,ROW(B65)-ROW(B$15),0)</f>
        <v>S</v>
      </c>
      <c r="C65" s="9" t="str">
        <f ca="1">OFFSET(ORÇAMENTO!L$15,ROW(C65)-ROW(C$15),0)</f>
        <v/>
      </c>
      <c r="D65" s="145" t="str">
        <f ca="1">OFFSET(ORÇAMENTO!N$15,ROW(D65)-ROW(D$15),0)</f>
        <v>Serviço</v>
      </c>
      <c r="E65" s="205" t="str">
        <f ca="1">OFFSET(ORÇAMENTO!O$15,ROW(E65)-ROW(E$15),0)</f>
        <v>-</v>
      </c>
      <c r="F65" s="206" t="str">
        <f ca="1">OFFSET(ORÇAMENTO!R$15,ROW(F65)-ROW(F$15),0)</f>
        <v>REVESTIMENTO CERÂMICO PARA PAREDES INTERNAS COM PLACAS TIPO ESMALTADA DE DIMENSÕES 33X45 CM APLICADAS NA ALTURA INTEIRA DAS PAREDES. AF_02/2023_PE</v>
      </c>
      <c r="G65" s="207" t="str">
        <f ca="1">IF($D65&lt;&gt;"Serviço","",OFFSET(ORÇAMENTO!S$15,ROW(G65)-ROW(G$15),0))</f>
        <v>M2</v>
      </c>
      <c r="H65" s="151">
        <f ca="1">IF($D65&lt;&gt;"Serviço",0,IF(ACOMPANHAMENTO="BM",ROUND(OFFSET(ORÇAMENTO!AJ$15,ROW(H65)-ROW(H$15),0),15-13*ORÇAMENTO!$AF$7),SUMPRODUCT(($Q$12:$AA$12&lt;&gt;"")*ROUND($Q65:$AA65,15-13*ORÇAMENTO!$AF$7))))</f>
        <v>89.2</v>
      </c>
      <c r="I65" s="649"/>
      <c r="K65" s="208"/>
      <c r="L65" s="209" t="s">
        <v>255</v>
      </c>
      <c r="M65" s="210">
        <f ca="1">IF($D65&lt;&gt;"Serviço","",IF(AUTOEVENTO="manual",$A65,IF(ISERROR(MATCH($A65,$A$15:OFFSET($A65,-1,0),0)),MAX($M$15:OFFSET(M65,-1,0))+1,INDEX($M$15:OFFSET(M65,-1,0),MATCH($A65,$A$15:OFFSET($A65,-1,0),0)))))</f>
        <v>10</v>
      </c>
      <c r="N65" s="211" t="str">
        <f ca="1">IF($D65&lt;&gt;"Serviço","",IF(AUTOEVENTO="Manual",IF($A65=0,"&lt;-- defina o número do agrupador",OFFSET(EVENTOS!$D$14,$A65,0)),OFFSET($F$15,$A65,0)))</f>
        <v xml:space="preserve">ALVENARIAS </v>
      </c>
      <c r="O65" s="212"/>
      <c r="Q65" s="212"/>
      <c r="R65" s="213"/>
      <c r="S65" s="213"/>
      <c r="T65" s="213"/>
      <c r="U65" s="213"/>
      <c r="V65" s="213"/>
      <c r="W65" s="213"/>
      <c r="X65" s="213"/>
      <c r="Y65" s="213"/>
      <c r="Z65" s="214"/>
      <c r="AB65" s="630">
        <f ca="1">IF(AND($D65="Serviço",AB$12&lt;&gt;0,$H65&gt;0,OR(AUTOEVENTO&lt;&gt;"manual",$M65&lt;&gt;1)),
IF(Import.TipoArredondamento&lt;&gt;"TransfereGOV",
ROUND(OFFSET($P65,0,AB$13),15-13*ORÇAMENTO!$AF$7)/$H65*OFFSET(ORÇAMENTO!$X$15,ROW(AB65)-ROW(AB$15),0),
ROUND(ROUND(OFFSET($P65,0,AB$13),15-13*ORÇAMENTO!$AF$7)*OFFSET(ORÇAMENTO!$W$15,ROW(AB65)-ROW(AB$15),0),15-13*ORÇAMENTO!$AF$11)),0)</f>
        <v>0</v>
      </c>
      <c r="AC65" s="631">
        <f ca="1">IF(AND($D65="Serviço",AC$12&lt;&gt;0,$H65&gt;0,OR(AUTOEVENTO&lt;&gt;"manual",$M65&lt;&gt;1)),
IF(Import.TipoArredondamento&lt;&gt;"TransfereGOV",
ROUND(OFFSET($P65,0,AC$13),15-13*ORÇAMENTO!$AF$7)/$H65*OFFSET(ORÇAMENTO!$X$15,ROW(AC65)-ROW(AC$15),0),
ROUND(ROUND(OFFSET($P65,0,AC$13),15-13*ORÇAMENTO!$AF$7)*OFFSET(ORÇAMENTO!$W$15,ROW(AC65)-ROW(AC$15),0),15-13*ORÇAMENTO!$AF$11)),0)</f>
        <v>0</v>
      </c>
      <c r="AD65" s="631">
        <f ca="1">IF(AND($D65="Serviço",AD$12&lt;&gt;0,$H65&gt;0,OR(AUTOEVENTO&lt;&gt;"manual",$M65&lt;&gt;1)),
IF(Import.TipoArredondamento&lt;&gt;"TransfereGOV",
ROUND(OFFSET($P65,0,AD$13),15-13*ORÇAMENTO!$AF$7)/$H65*OFFSET(ORÇAMENTO!$X$15,ROW(AD65)-ROW(AD$15),0),
ROUND(ROUND(OFFSET($P65,0,AD$13),15-13*ORÇAMENTO!$AF$7)*OFFSET(ORÇAMENTO!$W$15,ROW(AD65)-ROW(AD$15),0),15-13*ORÇAMENTO!$AF$11)),0)</f>
        <v>0</v>
      </c>
      <c r="AE65" s="631">
        <f ca="1">IF(AND($D65="Serviço",AE$12&lt;&gt;0,$H65&gt;0,OR(AUTOEVENTO&lt;&gt;"manual",$M65&lt;&gt;1)),
IF(Import.TipoArredondamento&lt;&gt;"TransfereGOV",
ROUND(OFFSET($P65,0,AE$13),15-13*ORÇAMENTO!$AF$7)/$H65*OFFSET(ORÇAMENTO!$X$15,ROW(AE65)-ROW(AE$15),0),
ROUND(ROUND(OFFSET($P65,0,AE$13),15-13*ORÇAMENTO!$AF$7)*OFFSET(ORÇAMENTO!$W$15,ROW(AE65)-ROW(AE$15),0),15-13*ORÇAMENTO!$AF$11)),0)</f>
        <v>0</v>
      </c>
      <c r="AF65" s="631">
        <f ca="1">IF(AND($D65="Serviço",AF$12&lt;&gt;0,$H65&gt;0,OR(AUTOEVENTO&lt;&gt;"manual",$M65&lt;&gt;1)),
IF(Import.TipoArredondamento&lt;&gt;"TransfereGOV",
ROUND(OFFSET($P65,0,AF$13),15-13*ORÇAMENTO!$AF$7)/$H65*OFFSET(ORÇAMENTO!$X$15,ROW(AF65)-ROW(AF$15),0),
ROUND(ROUND(OFFSET($P65,0,AF$13),15-13*ORÇAMENTO!$AF$7)*OFFSET(ORÇAMENTO!$W$15,ROW(AF65)-ROW(AF$15),0),15-13*ORÇAMENTO!$AF$11)),0)</f>
        <v>0</v>
      </c>
      <c r="AG65" s="631">
        <f ca="1">IF(AND($D65="Serviço",AG$12&lt;&gt;0,$H65&gt;0,OR(AUTOEVENTO&lt;&gt;"manual",$M65&lt;&gt;1)),
IF(Import.TipoArredondamento&lt;&gt;"TransfereGOV",
ROUND(OFFSET($P65,0,AG$13),15-13*ORÇAMENTO!$AF$7)/$H65*OFFSET(ORÇAMENTO!$X$15,ROW(AG65)-ROW(AG$15),0),
ROUND(ROUND(OFFSET($P65,0,AG$13),15-13*ORÇAMENTO!$AF$7)*OFFSET(ORÇAMENTO!$W$15,ROW(AG65)-ROW(AG$15),0),15-13*ORÇAMENTO!$AF$11)),0)</f>
        <v>0</v>
      </c>
      <c r="AH65" s="631">
        <f ca="1">IF(AND($D65="Serviço",AH$12&lt;&gt;0,$H65&gt;0,OR(AUTOEVENTO&lt;&gt;"manual",$M65&lt;&gt;1)),
IF(Import.TipoArredondamento&lt;&gt;"TransfereGOV",
ROUND(OFFSET($P65,0,AH$13),15-13*ORÇAMENTO!$AF$7)/$H65*OFFSET(ORÇAMENTO!$X$15,ROW(AH65)-ROW(AH$15),0),
ROUND(ROUND(OFFSET($P65,0,AH$13),15-13*ORÇAMENTO!$AF$7)*OFFSET(ORÇAMENTO!$W$15,ROW(AH65)-ROW(AH$15),0),15-13*ORÇAMENTO!$AF$11)),0)</f>
        <v>0</v>
      </c>
      <c r="AI65" s="631">
        <f ca="1">IF(AND($D65="Serviço",AI$12&lt;&gt;0,$H65&gt;0,OR(AUTOEVENTO&lt;&gt;"manual",$M65&lt;&gt;1)),
IF(Import.TipoArredondamento&lt;&gt;"TransfereGOV",
ROUND(OFFSET($P65,0,AI$13),15-13*ORÇAMENTO!$AF$7)/$H65*OFFSET(ORÇAMENTO!$X$15,ROW(AI65)-ROW(AI$15),0),
ROUND(ROUND(OFFSET($P65,0,AI$13),15-13*ORÇAMENTO!$AF$7)*OFFSET(ORÇAMENTO!$W$15,ROW(AI65)-ROW(AI$15),0),15-13*ORÇAMENTO!$AF$11)),0)</f>
        <v>0</v>
      </c>
      <c r="AJ65" s="631">
        <f ca="1">IF(AND($D65="Serviço",AJ$12&lt;&gt;0,$H65&gt;0,OR(AUTOEVENTO&lt;&gt;"manual",$M65&lt;&gt;1)),
IF(Import.TipoArredondamento&lt;&gt;"TransfereGOV",
ROUND(OFFSET($P65,0,AJ$13),15-13*ORÇAMENTO!$AF$7)/$H65*OFFSET(ORÇAMENTO!$X$15,ROW(AJ65)-ROW(AJ$15),0),
ROUND(ROUND(OFFSET($P65,0,AJ$13),15-13*ORÇAMENTO!$AF$7)*OFFSET(ORÇAMENTO!$W$15,ROW(AJ65)-ROW(AJ$15),0),15-13*ORÇAMENTO!$AF$11)),0)</f>
        <v>0</v>
      </c>
      <c r="AK65" s="632">
        <f ca="1">IF(AND($D65="Serviço",AK$12&lt;&gt;0,$H65&gt;0,OR(AUTOEVENTO&lt;&gt;"manual",$M65&lt;&gt;1)),
IF(Import.TipoArredondamento&lt;&gt;"TransfereGOV",
ROUND(OFFSET($P65,0,AK$13),15-13*ORÇAMENTO!$AF$7)/$H65*OFFSET(ORÇAMENTO!$X$15,ROW(AK65)-ROW(AK$15),0),
ROUND(ROUND(OFFSET($P65,0,AK$13),15-13*ORÇAMENTO!$AF$7)*OFFSET(ORÇAMENTO!$W$15,ROW(AK65)-ROW(AK$15),0),15-13*ORÇAMENTO!$AF$11)),0)</f>
        <v>0</v>
      </c>
      <c r="AM65" s="215">
        <f ca="1">IF($D65&lt;&gt;"Serviço",0,IF(AND(AUTOEVENTO="Manual",$M65=1),0,IF(OFFSET(CRONOPLE!$F$14,$M65,AM$13)="",10^12,OFFSET(CRONOPLE!$F$14,$M65,AM$13))))</f>
        <v>1000000000000</v>
      </c>
      <c r="AN65" s="215">
        <f ca="1">IF($D65&lt;&gt;"Serviço",0,IF(AND(AUTOEVENTO="Manual",$M65=1),0,IF(OFFSET(CRONOPLE!$F$14,$M65,AN$13)="",10^12,OFFSET(CRONOPLE!$F$14,$M65,AN$13))))</f>
        <v>1000000000000</v>
      </c>
      <c r="AO65" s="215">
        <f ca="1">IF($D65&lt;&gt;"Serviço",0,IF(AND(AUTOEVENTO="Manual",$M65=1),0,IF(OFFSET(CRONOPLE!$F$14,$M65,AO$13)="",10^12,OFFSET(CRONOPLE!$F$14,$M65,AO$13))))</f>
        <v>1000000000000</v>
      </c>
      <c r="AP65" s="215">
        <f ca="1">IF($D65&lt;&gt;"Serviço",0,IF(AND(AUTOEVENTO="Manual",$M65=1),0,IF(OFFSET(CRONOPLE!$F$14,$M65,AP$13)="",10^12,OFFSET(CRONOPLE!$F$14,$M65,AP$13))))</f>
        <v>1000000000000</v>
      </c>
      <c r="AQ65" s="215">
        <f ca="1">IF($D65&lt;&gt;"Serviço",0,IF(AND(AUTOEVENTO="Manual",$M65=1),0,IF(OFFSET(CRONOPLE!$F$14,$M65,AQ$13)="",10^12,OFFSET(CRONOPLE!$F$14,$M65,AQ$13))))</f>
        <v>1000000000000</v>
      </c>
      <c r="AR65" s="215">
        <f ca="1">IF($D65&lt;&gt;"Serviço",0,IF(AND(AUTOEVENTO="Manual",$M65=1),0,IF(OFFSET(CRONOPLE!$F$14,$M65,AR$13)="",10^12,OFFSET(CRONOPLE!$F$14,$M65,AR$13))))</f>
        <v>1000000000000</v>
      </c>
      <c r="AS65" s="215">
        <f ca="1">IF($D65&lt;&gt;"Serviço",0,IF(AND(AUTOEVENTO="Manual",$M65=1),0,IF(OFFSET(CRONOPLE!$F$14,$M65,AS$13)="",10^12,OFFSET(CRONOPLE!$F$14,$M65,AS$13))))</f>
        <v>1000000000000</v>
      </c>
      <c r="AT65" s="215">
        <f ca="1">IF($D65&lt;&gt;"Serviço",0,IF(AND(AUTOEVENTO="Manual",$M65=1),0,IF(OFFSET(CRONOPLE!$F$14,$M65,AT$13)="",10^12,OFFSET(CRONOPLE!$F$14,$M65,AT$13))))</f>
        <v>1000000000000</v>
      </c>
      <c r="AU65" s="215">
        <f ca="1">IF($D65&lt;&gt;"Serviço",0,IF(AND(AUTOEVENTO="Manual",$M65=1),0,IF(OFFSET(CRONOPLE!$F$14,$M65,AU$13)="",10^12,OFFSET(CRONOPLE!$F$14,$M65,AU$13))))</f>
        <v>1000000000000</v>
      </c>
      <c r="AV65" s="215">
        <f ca="1">IF($D65&lt;&gt;"Serviço",0,IF(AND(AUTOEVENTO="Manual",$M65=1),0,IF(OFFSET(CRONOPLE!$F$14,$M65,AV$13)="",10^12,OFFSET(CRONOPLE!$F$14,$M65,AV$13))))</f>
        <v>1000000000000</v>
      </c>
      <c r="AX65" s="216">
        <f ca="1">IF($D65&lt;&gt;"Serviço",0,IF(OR(AND(AUTOEVENTO="Manual",$M65=1),$M65&gt;(ROW(PLE.lastrow)-ROW(PLE.firstrow))),0,IF(OFFSET(PLE!$G$14,$M65,AX$13)="",10^12,OFFSET(PLE!$G$14,$M65,AX$13))))</f>
        <v>1000000000000</v>
      </c>
      <c r="AY65" s="216">
        <f ca="1">IF($D65&lt;&gt;"Serviço",0,IF(OR(AND(AUTOEVENTO="Manual",$M65=1),$M65&gt;(ROW(PLE.lastrow)-ROW(PLE.firstrow))),0,IF(OFFSET(PLE!$G$14,$M65,AY$13)="",10^12,OFFSET(PLE!$G$14,$M65,AY$13))))</f>
        <v>1000000000000</v>
      </c>
      <c r="AZ65" s="216">
        <f ca="1">IF($D65&lt;&gt;"Serviço",0,IF(OR(AND(AUTOEVENTO="Manual",$M65=1),$M65&gt;(ROW(PLE.lastrow)-ROW(PLE.firstrow))),0,IF(OFFSET(PLE!$G$14,$M65,AZ$13)="",10^12,OFFSET(PLE!$G$14,$M65,AZ$13))))</f>
        <v>1000000000000</v>
      </c>
      <c r="BA65" s="216">
        <f ca="1">IF($D65&lt;&gt;"Serviço",0,IF(OR(AND(AUTOEVENTO="Manual",$M65=1),$M65&gt;(ROW(PLE.lastrow)-ROW(PLE.firstrow))),0,IF(OFFSET(PLE!$G$14,$M65,BA$13)="",10^12,OFFSET(PLE!$G$14,$M65,BA$13))))</f>
        <v>1000000000000</v>
      </c>
      <c r="BB65" s="216">
        <f ca="1">IF($D65&lt;&gt;"Serviço",0,IF(OR(AND(AUTOEVENTO="Manual",$M65=1),$M65&gt;(ROW(PLE.lastrow)-ROW(PLE.firstrow))),0,IF(OFFSET(PLE!$G$14,$M65,BB$13)="",10^12,OFFSET(PLE!$G$14,$M65,BB$13))))</f>
        <v>1000000000000</v>
      </c>
      <c r="BC65" s="216">
        <f ca="1">IF($D65&lt;&gt;"Serviço",0,IF(OR(AND(AUTOEVENTO="Manual",$M65=1),$M65&gt;(ROW(PLE.lastrow)-ROW(PLE.firstrow))),0,IF(OFFSET(PLE!$G$14,$M65,BC$13)="",10^12,OFFSET(PLE!$G$14,$M65,BC$13))))</f>
        <v>1000000000000</v>
      </c>
      <c r="BD65" s="216">
        <f ca="1">IF($D65&lt;&gt;"Serviço",0,IF(OR(AND(AUTOEVENTO="Manual",$M65=1),$M65&gt;(ROW(PLE.lastrow)-ROW(PLE.firstrow))),0,IF(OFFSET(PLE!$G$14,$M65,BD$13)="",10^12,OFFSET(PLE!$G$14,$M65,BD$13))))</f>
        <v>1000000000000</v>
      </c>
      <c r="BE65" s="216">
        <f ca="1">IF($D65&lt;&gt;"Serviço",0,IF(OR(AND(AUTOEVENTO="Manual",$M65=1),$M65&gt;(ROW(PLE.lastrow)-ROW(PLE.firstrow))),0,IF(OFFSET(PLE!$G$14,$M65,BE$13)="",10^12,OFFSET(PLE!$G$14,$M65,BE$13))))</f>
        <v>1000000000000</v>
      </c>
      <c r="BF65" s="216">
        <f ca="1">IF($D65&lt;&gt;"Serviço",0,IF(OR(AND(AUTOEVENTO="Manual",$M65=1),$M65&gt;(ROW(PLE.lastrow)-ROW(PLE.firstrow))),0,IF(OFFSET(PLE!$G$14,$M65,BF$13)="",10^12,OFFSET(PLE!$G$14,$M65,BF$13))))</f>
        <v>1000000000000</v>
      </c>
      <c r="BG65" s="216">
        <f ca="1">IF($D65&lt;&gt;"Serviço",0,IF(OR(AND(AUTOEVENTO="Manual",$M65=1),$M65&gt;(ROW(PLE.lastrow)-ROW(PLE.firstrow))),0,IF(OFFSET(PLE!$G$14,$M65,BG$13)="",10^12,OFFSET(PLE!$G$14,$M65,BG$13))))</f>
        <v>1000000000000</v>
      </c>
    </row>
    <row r="66" spans="1:59" ht="12.75" x14ac:dyDescent="0.2">
      <c r="A66" s="9" t="str">
        <f ca="1">IF(AUTOEVENTO="Manual",IF(K66&lt;&gt;"",MIN(VALUE(LEFT(K66,FIND(".",K66)-1)),COUNTA(EVENTOS.Lista)),0),IF(OR($B66&gt;AUTOEVENTO,$B66="S",$B66=0),SUBSTITUTE(OFFSET($A66,-1,0),IF($D66="Serviço",".",""),""),ROW(A66)-ROW($A$15)&amp;"."))</f>
        <v>51.</v>
      </c>
      <c r="B66" s="9">
        <f ca="1">OFFSET(ORÇAMENTO!C$15,ROW(B66)-ROW(B$15),0)</f>
        <v>2</v>
      </c>
      <c r="C66" s="9" t="str">
        <f ca="1">OFFSET(ORÇAMENTO!L$15,ROW(C66)-ROW(C$15),0)</f>
        <v>F</v>
      </c>
      <c r="D66" s="145" t="str">
        <f ca="1">OFFSET(ORÇAMENTO!N$15,ROW(D66)-ROW(D$15),0)</f>
        <v>Nível 2</v>
      </c>
      <c r="E66" s="205" t="str">
        <f ca="1">OFFSET(ORÇAMENTO!O$15,ROW(E66)-ROW(E$15),0)</f>
        <v>1.10.</v>
      </c>
      <c r="F66" s="206" t="str">
        <f ca="1">OFFSET(ORÇAMENTO!R$15,ROW(F66)-ROW(F$15),0)</f>
        <v>DIVISÓRIA EM VIDRO FIXO</v>
      </c>
      <c r="G66" s="207" t="str">
        <f ca="1">IF($D66&lt;&gt;"Serviço","",OFFSET(ORÇAMENTO!S$15,ROW(G66)-ROW(G$15),0))</f>
        <v/>
      </c>
      <c r="H66" s="151">
        <f ca="1">IF($D66&lt;&gt;"Serviço",0,IF(ACOMPANHAMENTO="BM",ROUND(OFFSET(ORÇAMENTO!AJ$15,ROW(H66)-ROW(H$15),0),15-13*ORÇAMENTO!$AF$7),SUMPRODUCT(($Q$12:$AA$12&lt;&gt;"")*ROUND($Q66:$AA66,15-13*ORÇAMENTO!$AF$7))))</f>
        <v>0</v>
      </c>
      <c r="I66" s="649"/>
      <c r="K66" s="208"/>
      <c r="L66" s="209" t="s">
        <v>255</v>
      </c>
      <c r="M66" s="210" t="str">
        <f ca="1">IF($D66&lt;&gt;"Serviço","",IF(AUTOEVENTO="manual",$A66,IF(ISERROR(MATCH($A66,$A$15:OFFSET($A66,-1,0),0)),MAX($M$15:OFFSET(M66,-1,0))+1,INDEX($M$15:OFFSET(M66,-1,0),MATCH($A66,$A$15:OFFSET($A66,-1,0),0)))))</f>
        <v/>
      </c>
      <c r="N66" s="211" t="str">
        <f ca="1">IF($D66&lt;&gt;"Serviço","",IF(AUTOEVENTO="Manual",IF($A66=0,"&lt;-- defina o número do agrupador",OFFSET(EVENTOS!$D$14,$A66,0)),OFFSET($F$15,$A66,0)))</f>
        <v/>
      </c>
      <c r="O66" s="212"/>
      <c r="Q66" s="212"/>
      <c r="R66" s="213"/>
      <c r="S66" s="213"/>
      <c r="T66" s="213"/>
      <c r="U66" s="213"/>
      <c r="V66" s="213"/>
      <c r="W66" s="213"/>
      <c r="X66" s="213"/>
      <c r="Y66" s="213"/>
      <c r="Z66" s="214"/>
      <c r="AB66" s="630">
        <f ca="1">IF(AND($D66="Serviço",AB$12&lt;&gt;0,$H66&gt;0,OR(AUTOEVENTO&lt;&gt;"manual",$M66&lt;&gt;1)),
IF(Import.TipoArredondamento&lt;&gt;"TransfereGOV",
ROUND(OFFSET($P66,0,AB$13),15-13*ORÇAMENTO!$AF$7)/$H66*OFFSET(ORÇAMENTO!$X$15,ROW(AB66)-ROW(AB$15),0),
ROUND(ROUND(OFFSET($P66,0,AB$13),15-13*ORÇAMENTO!$AF$7)*OFFSET(ORÇAMENTO!$W$15,ROW(AB66)-ROW(AB$15),0),15-13*ORÇAMENTO!$AF$11)),0)</f>
        <v>0</v>
      </c>
      <c r="AC66" s="631">
        <f ca="1">IF(AND($D66="Serviço",AC$12&lt;&gt;0,$H66&gt;0,OR(AUTOEVENTO&lt;&gt;"manual",$M66&lt;&gt;1)),
IF(Import.TipoArredondamento&lt;&gt;"TransfereGOV",
ROUND(OFFSET($P66,0,AC$13),15-13*ORÇAMENTO!$AF$7)/$H66*OFFSET(ORÇAMENTO!$X$15,ROW(AC66)-ROW(AC$15),0),
ROUND(ROUND(OFFSET($P66,0,AC$13),15-13*ORÇAMENTO!$AF$7)*OFFSET(ORÇAMENTO!$W$15,ROW(AC66)-ROW(AC$15),0),15-13*ORÇAMENTO!$AF$11)),0)</f>
        <v>0</v>
      </c>
      <c r="AD66" s="631">
        <f ca="1">IF(AND($D66="Serviço",AD$12&lt;&gt;0,$H66&gt;0,OR(AUTOEVENTO&lt;&gt;"manual",$M66&lt;&gt;1)),
IF(Import.TipoArredondamento&lt;&gt;"TransfereGOV",
ROUND(OFFSET($P66,0,AD$13),15-13*ORÇAMENTO!$AF$7)/$H66*OFFSET(ORÇAMENTO!$X$15,ROW(AD66)-ROW(AD$15),0),
ROUND(ROUND(OFFSET($P66,0,AD$13),15-13*ORÇAMENTO!$AF$7)*OFFSET(ORÇAMENTO!$W$15,ROW(AD66)-ROW(AD$15),0),15-13*ORÇAMENTO!$AF$11)),0)</f>
        <v>0</v>
      </c>
      <c r="AE66" s="631">
        <f ca="1">IF(AND($D66="Serviço",AE$12&lt;&gt;0,$H66&gt;0,OR(AUTOEVENTO&lt;&gt;"manual",$M66&lt;&gt;1)),
IF(Import.TipoArredondamento&lt;&gt;"TransfereGOV",
ROUND(OFFSET($P66,0,AE$13),15-13*ORÇAMENTO!$AF$7)/$H66*OFFSET(ORÇAMENTO!$X$15,ROW(AE66)-ROW(AE$15),0),
ROUND(ROUND(OFFSET($P66,0,AE$13),15-13*ORÇAMENTO!$AF$7)*OFFSET(ORÇAMENTO!$W$15,ROW(AE66)-ROW(AE$15),0),15-13*ORÇAMENTO!$AF$11)),0)</f>
        <v>0</v>
      </c>
      <c r="AF66" s="631">
        <f ca="1">IF(AND($D66="Serviço",AF$12&lt;&gt;0,$H66&gt;0,OR(AUTOEVENTO&lt;&gt;"manual",$M66&lt;&gt;1)),
IF(Import.TipoArredondamento&lt;&gt;"TransfereGOV",
ROUND(OFFSET($P66,0,AF$13),15-13*ORÇAMENTO!$AF$7)/$H66*OFFSET(ORÇAMENTO!$X$15,ROW(AF66)-ROW(AF$15),0),
ROUND(ROUND(OFFSET($P66,0,AF$13),15-13*ORÇAMENTO!$AF$7)*OFFSET(ORÇAMENTO!$W$15,ROW(AF66)-ROW(AF$15),0),15-13*ORÇAMENTO!$AF$11)),0)</f>
        <v>0</v>
      </c>
      <c r="AG66" s="631">
        <f ca="1">IF(AND($D66="Serviço",AG$12&lt;&gt;0,$H66&gt;0,OR(AUTOEVENTO&lt;&gt;"manual",$M66&lt;&gt;1)),
IF(Import.TipoArredondamento&lt;&gt;"TransfereGOV",
ROUND(OFFSET($P66,0,AG$13),15-13*ORÇAMENTO!$AF$7)/$H66*OFFSET(ORÇAMENTO!$X$15,ROW(AG66)-ROW(AG$15),0),
ROUND(ROUND(OFFSET($P66,0,AG$13),15-13*ORÇAMENTO!$AF$7)*OFFSET(ORÇAMENTO!$W$15,ROW(AG66)-ROW(AG$15),0),15-13*ORÇAMENTO!$AF$11)),0)</f>
        <v>0</v>
      </c>
      <c r="AH66" s="631">
        <f ca="1">IF(AND($D66="Serviço",AH$12&lt;&gt;0,$H66&gt;0,OR(AUTOEVENTO&lt;&gt;"manual",$M66&lt;&gt;1)),
IF(Import.TipoArredondamento&lt;&gt;"TransfereGOV",
ROUND(OFFSET($P66,0,AH$13),15-13*ORÇAMENTO!$AF$7)/$H66*OFFSET(ORÇAMENTO!$X$15,ROW(AH66)-ROW(AH$15),0),
ROUND(ROUND(OFFSET($P66,0,AH$13),15-13*ORÇAMENTO!$AF$7)*OFFSET(ORÇAMENTO!$W$15,ROW(AH66)-ROW(AH$15),0),15-13*ORÇAMENTO!$AF$11)),0)</f>
        <v>0</v>
      </c>
      <c r="AI66" s="631">
        <f ca="1">IF(AND($D66="Serviço",AI$12&lt;&gt;0,$H66&gt;0,OR(AUTOEVENTO&lt;&gt;"manual",$M66&lt;&gt;1)),
IF(Import.TipoArredondamento&lt;&gt;"TransfereGOV",
ROUND(OFFSET($P66,0,AI$13),15-13*ORÇAMENTO!$AF$7)/$H66*OFFSET(ORÇAMENTO!$X$15,ROW(AI66)-ROW(AI$15),0),
ROUND(ROUND(OFFSET($P66,0,AI$13),15-13*ORÇAMENTO!$AF$7)*OFFSET(ORÇAMENTO!$W$15,ROW(AI66)-ROW(AI$15),0),15-13*ORÇAMENTO!$AF$11)),0)</f>
        <v>0</v>
      </c>
      <c r="AJ66" s="631">
        <f ca="1">IF(AND($D66="Serviço",AJ$12&lt;&gt;0,$H66&gt;0,OR(AUTOEVENTO&lt;&gt;"manual",$M66&lt;&gt;1)),
IF(Import.TipoArredondamento&lt;&gt;"TransfereGOV",
ROUND(OFFSET($P66,0,AJ$13),15-13*ORÇAMENTO!$AF$7)/$H66*OFFSET(ORÇAMENTO!$X$15,ROW(AJ66)-ROW(AJ$15),0),
ROUND(ROUND(OFFSET($P66,0,AJ$13),15-13*ORÇAMENTO!$AF$7)*OFFSET(ORÇAMENTO!$W$15,ROW(AJ66)-ROW(AJ$15),0),15-13*ORÇAMENTO!$AF$11)),0)</f>
        <v>0</v>
      </c>
      <c r="AK66" s="632">
        <f ca="1">IF(AND($D66="Serviço",AK$12&lt;&gt;0,$H66&gt;0,OR(AUTOEVENTO&lt;&gt;"manual",$M66&lt;&gt;1)),
IF(Import.TipoArredondamento&lt;&gt;"TransfereGOV",
ROUND(OFFSET($P66,0,AK$13),15-13*ORÇAMENTO!$AF$7)/$H66*OFFSET(ORÇAMENTO!$X$15,ROW(AK66)-ROW(AK$15),0),
ROUND(ROUND(OFFSET($P66,0,AK$13),15-13*ORÇAMENTO!$AF$7)*OFFSET(ORÇAMENTO!$W$15,ROW(AK66)-ROW(AK$15),0),15-13*ORÇAMENTO!$AF$11)),0)</f>
        <v>0</v>
      </c>
      <c r="AM66" s="215">
        <f ca="1">IF($D66&lt;&gt;"Serviço",0,IF(AND(AUTOEVENTO="Manual",$M66=1),0,IF(OFFSET(CRONOPLE!$F$14,$M66,AM$13)="",10^12,OFFSET(CRONOPLE!$F$14,$M66,AM$13))))</f>
        <v>0</v>
      </c>
      <c r="AN66" s="215">
        <f ca="1">IF($D66&lt;&gt;"Serviço",0,IF(AND(AUTOEVENTO="Manual",$M66=1),0,IF(OFFSET(CRONOPLE!$F$14,$M66,AN$13)="",10^12,OFFSET(CRONOPLE!$F$14,$M66,AN$13))))</f>
        <v>0</v>
      </c>
      <c r="AO66" s="215">
        <f ca="1">IF($D66&lt;&gt;"Serviço",0,IF(AND(AUTOEVENTO="Manual",$M66=1),0,IF(OFFSET(CRONOPLE!$F$14,$M66,AO$13)="",10^12,OFFSET(CRONOPLE!$F$14,$M66,AO$13))))</f>
        <v>0</v>
      </c>
      <c r="AP66" s="215">
        <f ca="1">IF($D66&lt;&gt;"Serviço",0,IF(AND(AUTOEVENTO="Manual",$M66=1),0,IF(OFFSET(CRONOPLE!$F$14,$M66,AP$13)="",10^12,OFFSET(CRONOPLE!$F$14,$M66,AP$13))))</f>
        <v>0</v>
      </c>
      <c r="AQ66" s="215">
        <f ca="1">IF($D66&lt;&gt;"Serviço",0,IF(AND(AUTOEVENTO="Manual",$M66=1),0,IF(OFFSET(CRONOPLE!$F$14,$M66,AQ$13)="",10^12,OFFSET(CRONOPLE!$F$14,$M66,AQ$13))))</f>
        <v>0</v>
      </c>
      <c r="AR66" s="215">
        <f ca="1">IF($D66&lt;&gt;"Serviço",0,IF(AND(AUTOEVENTO="Manual",$M66=1),0,IF(OFFSET(CRONOPLE!$F$14,$M66,AR$13)="",10^12,OFFSET(CRONOPLE!$F$14,$M66,AR$13))))</f>
        <v>0</v>
      </c>
      <c r="AS66" s="215">
        <f ca="1">IF($D66&lt;&gt;"Serviço",0,IF(AND(AUTOEVENTO="Manual",$M66=1),0,IF(OFFSET(CRONOPLE!$F$14,$M66,AS$13)="",10^12,OFFSET(CRONOPLE!$F$14,$M66,AS$13))))</f>
        <v>0</v>
      </c>
      <c r="AT66" s="215">
        <f ca="1">IF($D66&lt;&gt;"Serviço",0,IF(AND(AUTOEVENTO="Manual",$M66=1),0,IF(OFFSET(CRONOPLE!$F$14,$M66,AT$13)="",10^12,OFFSET(CRONOPLE!$F$14,$M66,AT$13))))</f>
        <v>0</v>
      </c>
      <c r="AU66" s="215">
        <f ca="1">IF($D66&lt;&gt;"Serviço",0,IF(AND(AUTOEVENTO="Manual",$M66=1),0,IF(OFFSET(CRONOPLE!$F$14,$M66,AU$13)="",10^12,OFFSET(CRONOPLE!$F$14,$M66,AU$13))))</f>
        <v>0</v>
      </c>
      <c r="AV66" s="215">
        <f ca="1">IF($D66&lt;&gt;"Serviço",0,IF(AND(AUTOEVENTO="Manual",$M66=1),0,IF(OFFSET(CRONOPLE!$F$14,$M66,AV$13)="",10^12,OFFSET(CRONOPLE!$F$14,$M66,AV$13))))</f>
        <v>0</v>
      </c>
      <c r="AX66" s="216">
        <f ca="1">IF($D66&lt;&gt;"Serviço",0,IF(OR(AND(AUTOEVENTO="Manual",$M66=1),$M66&gt;(ROW(PLE.lastrow)-ROW(PLE.firstrow))),0,IF(OFFSET(PLE!$G$14,$M66,AX$13)="",10^12,OFFSET(PLE!$G$14,$M66,AX$13))))</f>
        <v>0</v>
      </c>
      <c r="AY66" s="216">
        <f ca="1">IF($D66&lt;&gt;"Serviço",0,IF(OR(AND(AUTOEVENTO="Manual",$M66=1),$M66&gt;(ROW(PLE.lastrow)-ROW(PLE.firstrow))),0,IF(OFFSET(PLE!$G$14,$M66,AY$13)="",10^12,OFFSET(PLE!$G$14,$M66,AY$13))))</f>
        <v>0</v>
      </c>
      <c r="AZ66" s="216">
        <f ca="1">IF($D66&lt;&gt;"Serviço",0,IF(OR(AND(AUTOEVENTO="Manual",$M66=1),$M66&gt;(ROW(PLE.lastrow)-ROW(PLE.firstrow))),0,IF(OFFSET(PLE!$G$14,$M66,AZ$13)="",10^12,OFFSET(PLE!$G$14,$M66,AZ$13))))</f>
        <v>0</v>
      </c>
      <c r="BA66" s="216">
        <f ca="1">IF($D66&lt;&gt;"Serviço",0,IF(OR(AND(AUTOEVENTO="Manual",$M66=1),$M66&gt;(ROW(PLE.lastrow)-ROW(PLE.firstrow))),0,IF(OFFSET(PLE!$G$14,$M66,BA$13)="",10^12,OFFSET(PLE!$G$14,$M66,BA$13))))</f>
        <v>0</v>
      </c>
      <c r="BB66" s="216">
        <f ca="1">IF($D66&lt;&gt;"Serviço",0,IF(OR(AND(AUTOEVENTO="Manual",$M66=1),$M66&gt;(ROW(PLE.lastrow)-ROW(PLE.firstrow))),0,IF(OFFSET(PLE!$G$14,$M66,BB$13)="",10^12,OFFSET(PLE!$G$14,$M66,BB$13))))</f>
        <v>0</v>
      </c>
      <c r="BC66" s="216">
        <f ca="1">IF($D66&lt;&gt;"Serviço",0,IF(OR(AND(AUTOEVENTO="Manual",$M66=1),$M66&gt;(ROW(PLE.lastrow)-ROW(PLE.firstrow))),0,IF(OFFSET(PLE!$G$14,$M66,BC$13)="",10^12,OFFSET(PLE!$G$14,$M66,BC$13))))</f>
        <v>0</v>
      </c>
      <c r="BD66" s="216">
        <f ca="1">IF($D66&lt;&gt;"Serviço",0,IF(OR(AND(AUTOEVENTO="Manual",$M66=1),$M66&gt;(ROW(PLE.lastrow)-ROW(PLE.firstrow))),0,IF(OFFSET(PLE!$G$14,$M66,BD$13)="",10^12,OFFSET(PLE!$G$14,$M66,BD$13))))</f>
        <v>0</v>
      </c>
      <c r="BE66" s="216">
        <f ca="1">IF($D66&lt;&gt;"Serviço",0,IF(OR(AND(AUTOEVENTO="Manual",$M66=1),$M66&gt;(ROW(PLE.lastrow)-ROW(PLE.firstrow))),0,IF(OFFSET(PLE!$G$14,$M66,BE$13)="",10^12,OFFSET(PLE!$G$14,$M66,BE$13))))</f>
        <v>0</v>
      </c>
      <c r="BF66" s="216">
        <f ca="1">IF($D66&lt;&gt;"Serviço",0,IF(OR(AND(AUTOEVENTO="Manual",$M66=1),$M66&gt;(ROW(PLE.lastrow)-ROW(PLE.firstrow))),0,IF(OFFSET(PLE!$G$14,$M66,BF$13)="",10^12,OFFSET(PLE!$G$14,$M66,BF$13))))</f>
        <v>0</v>
      </c>
      <c r="BG66" s="216">
        <f ca="1">IF($D66&lt;&gt;"Serviço",0,IF(OR(AND(AUTOEVENTO="Manual",$M66=1),$M66&gt;(ROW(PLE.lastrow)-ROW(PLE.firstrow))),0,IF(OFFSET(PLE!$G$14,$M66,BG$13)="",10^12,OFFSET(PLE!$G$14,$M66,BG$13))))</f>
        <v>0</v>
      </c>
    </row>
    <row r="67" spans="1:59" ht="38.25" x14ac:dyDescent="0.2">
      <c r="A67" s="9" t="str">
        <f ca="1">IF(AUTOEVENTO="Manual",IF(K67&lt;&gt;"",MIN(VALUE(LEFT(K67,FIND(".",K67)-1)),COUNTA(EVENTOS.Lista)),0),IF(OR($B67&gt;AUTOEVENTO,$B67="S",$B67=0),SUBSTITUTE(OFFSET($A67,-1,0),IF($D67="Serviço",".",""),""),ROW(A67)-ROW($A$15)&amp;"."))</f>
        <v>51</v>
      </c>
      <c r="B67" s="9" t="str">
        <f ca="1">OFFSET(ORÇAMENTO!C$15,ROW(B67)-ROW(B$15),0)</f>
        <v>S</v>
      </c>
      <c r="C67" s="9" t="str">
        <f ca="1">OFFSET(ORÇAMENTO!L$15,ROW(C67)-ROW(C$15),0)</f>
        <v/>
      </c>
      <c r="D67" s="145" t="str">
        <f ca="1">OFFSET(ORÇAMENTO!N$15,ROW(D67)-ROW(D$15),0)</f>
        <v>Serviço</v>
      </c>
      <c r="E67" s="205" t="str">
        <f ca="1">OFFSET(ORÇAMENTO!O$15,ROW(E67)-ROW(E$15),0)</f>
        <v>-</v>
      </c>
      <c r="F67" s="206" t="str">
        <f ca="1">OFFSET(ORÇAMENTO!R$15,ROW(F67)-ROW(F$15),0)</f>
        <v xml:space="preserve">DIVISÓRIA  FIXA, EM ALUMINIO PERFIL 20, 60 X 80 CM (A X L), BATENTE/REQUADRO DE 3 A 14 CM, COM VIDRO  DUPLO 4 MM, SEM GUARNICAO/ALIZAR, ACABAMENTO ALUM BRANCO OU BRILHANTE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G67" s="207" t="str">
        <f ca="1">IF($D67&lt;&gt;"Serviço","",OFFSET(ORÇAMENTO!S$15,ROW(G67)-ROW(G$15),0))</f>
        <v>M2</v>
      </c>
      <c r="H67" s="151">
        <f ca="1">IF($D67&lt;&gt;"Serviço",0,IF(ACOMPANHAMENTO="BM",ROUND(OFFSET(ORÇAMENTO!AJ$15,ROW(H67)-ROW(H$15),0),15-13*ORÇAMENTO!$AF$7),SUMPRODUCT(($Q$12:$AA$12&lt;&gt;"")*ROUND($Q67:$AA67,15-13*ORÇAMENTO!$AF$7))))</f>
        <v>68.599999999999994</v>
      </c>
      <c r="I67" s="649"/>
      <c r="K67" s="208"/>
      <c r="L67" s="209" t="s">
        <v>255</v>
      </c>
      <c r="M67" s="210">
        <f ca="1">IF($D67&lt;&gt;"Serviço","",IF(AUTOEVENTO="manual",$A67,IF(ISERROR(MATCH($A67,$A$15:OFFSET($A67,-1,0),0)),MAX($M$15:OFFSET(M67,-1,0))+1,INDEX($M$15:OFFSET(M67,-1,0),MATCH($A67,$A$15:OFFSET($A67,-1,0),0)))))</f>
        <v>11</v>
      </c>
      <c r="N67" s="211" t="str">
        <f ca="1">IF($D67&lt;&gt;"Serviço","",IF(AUTOEVENTO="Manual",IF($A67=0,"&lt;-- defina o número do agrupador",OFFSET(EVENTOS!$D$14,$A67,0)),OFFSET($F$15,$A67,0)))</f>
        <v>DIVISÓRIA EM VIDRO FIXO</v>
      </c>
      <c r="O67" s="212"/>
      <c r="Q67" s="212"/>
      <c r="R67" s="213"/>
      <c r="S67" s="213"/>
      <c r="T67" s="213"/>
      <c r="U67" s="213"/>
      <c r="V67" s="213"/>
      <c r="W67" s="213"/>
      <c r="X67" s="213"/>
      <c r="Y67" s="213"/>
      <c r="Z67" s="214"/>
      <c r="AB67" s="630">
        <f ca="1">IF(AND($D67="Serviço",AB$12&lt;&gt;0,$H67&gt;0,OR(AUTOEVENTO&lt;&gt;"manual",$M67&lt;&gt;1)),
IF(Import.TipoArredondamento&lt;&gt;"TransfereGOV",
ROUND(OFFSET($P67,0,AB$13),15-13*ORÇAMENTO!$AF$7)/$H67*OFFSET(ORÇAMENTO!$X$15,ROW(AB67)-ROW(AB$15),0),
ROUND(ROUND(OFFSET($P67,0,AB$13),15-13*ORÇAMENTO!$AF$7)*OFFSET(ORÇAMENTO!$W$15,ROW(AB67)-ROW(AB$15),0),15-13*ORÇAMENTO!$AF$11)),0)</f>
        <v>0</v>
      </c>
      <c r="AC67" s="631">
        <f ca="1">IF(AND($D67="Serviço",AC$12&lt;&gt;0,$H67&gt;0,OR(AUTOEVENTO&lt;&gt;"manual",$M67&lt;&gt;1)),
IF(Import.TipoArredondamento&lt;&gt;"TransfereGOV",
ROUND(OFFSET($P67,0,AC$13),15-13*ORÇAMENTO!$AF$7)/$H67*OFFSET(ORÇAMENTO!$X$15,ROW(AC67)-ROW(AC$15),0),
ROUND(ROUND(OFFSET($P67,0,AC$13),15-13*ORÇAMENTO!$AF$7)*OFFSET(ORÇAMENTO!$W$15,ROW(AC67)-ROW(AC$15),0),15-13*ORÇAMENTO!$AF$11)),0)</f>
        <v>0</v>
      </c>
      <c r="AD67" s="631">
        <f ca="1">IF(AND($D67="Serviço",AD$12&lt;&gt;0,$H67&gt;0,OR(AUTOEVENTO&lt;&gt;"manual",$M67&lt;&gt;1)),
IF(Import.TipoArredondamento&lt;&gt;"TransfereGOV",
ROUND(OFFSET($P67,0,AD$13),15-13*ORÇAMENTO!$AF$7)/$H67*OFFSET(ORÇAMENTO!$X$15,ROW(AD67)-ROW(AD$15),0),
ROUND(ROUND(OFFSET($P67,0,AD$13),15-13*ORÇAMENTO!$AF$7)*OFFSET(ORÇAMENTO!$W$15,ROW(AD67)-ROW(AD$15),0),15-13*ORÇAMENTO!$AF$11)),0)</f>
        <v>0</v>
      </c>
      <c r="AE67" s="631">
        <f ca="1">IF(AND($D67="Serviço",AE$12&lt;&gt;0,$H67&gt;0,OR(AUTOEVENTO&lt;&gt;"manual",$M67&lt;&gt;1)),
IF(Import.TipoArredondamento&lt;&gt;"TransfereGOV",
ROUND(OFFSET($P67,0,AE$13),15-13*ORÇAMENTO!$AF$7)/$H67*OFFSET(ORÇAMENTO!$X$15,ROW(AE67)-ROW(AE$15),0),
ROUND(ROUND(OFFSET($P67,0,AE$13),15-13*ORÇAMENTO!$AF$7)*OFFSET(ORÇAMENTO!$W$15,ROW(AE67)-ROW(AE$15),0),15-13*ORÇAMENTO!$AF$11)),0)</f>
        <v>0</v>
      </c>
      <c r="AF67" s="631">
        <f ca="1">IF(AND($D67="Serviço",AF$12&lt;&gt;0,$H67&gt;0,OR(AUTOEVENTO&lt;&gt;"manual",$M67&lt;&gt;1)),
IF(Import.TipoArredondamento&lt;&gt;"TransfereGOV",
ROUND(OFFSET($P67,0,AF$13),15-13*ORÇAMENTO!$AF$7)/$H67*OFFSET(ORÇAMENTO!$X$15,ROW(AF67)-ROW(AF$15),0),
ROUND(ROUND(OFFSET($P67,0,AF$13),15-13*ORÇAMENTO!$AF$7)*OFFSET(ORÇAMENTO!$W$15,ROW(AF67)-ROW(AF$15),0),15-13*ORÇAMENTO!$AF$11)),0)</f>
        <v>0</v>
      </c>
      <c r="AG67" s="631">
        <f ca="1">IF(AND($D67="Serviço",AG$12&lt;&gt;0,$H67&gt;0,OR(AUTOEVENTO&lt;&gt;"manual",$M67&lt;&gt;1)),
IF(Import.TipoArredondamento&lt;&gt;"TransfereGOV",
ROUND(OFFSET($P67,0,AG$13),15-13*ORÇAMENTO!$AF$7)/$H67*OFFSET(ORÇAMENTO!$X$15,ROW(AG67)-ROW(AG$15),0),
ROUND(ROUND(OFFSET($P67,0,AG$13),15-13*ORÇAMENTO!$AF$7)*OFFSET(ORÇAMENTO!$W$15,ROW(AG67)-ROW(AG$15),0),15-13*ORÇAMENTO!$AF$11)),0)</f>
        <v>0</v>
      </c>
      <c r="AH67" s="631">
        <f ca="1">IF(AND($D67="Serviço",AH$12&lt;&gt;0,$H67&gt;0,OR(AUTOEVENTO&lt;&gt;"manual",$M67&lt;&gt;1)),
IF(Import.TipoArredondamento&lt;&gt;"TransfereGOV",
ROUND(OFFSET($P67,0,AH$13),15-13*ORÇAMENTO!$AF$7)/$H67*OFFSET(ORÇAMENTO!$X$15,ROW(AH67)-ROW(AH$15),0),
ROUND(ROUND(OFFSET($P67,0,AH$13),15-13*ORÇAMENTO!$AF$7)*OFFSET(ORÇAMENTO!$W$15,ROW(AH67)-ROW(AH$15),0),15-13*ORÇAMENTO!$AF$11)),0)</f>
        <v>0</v>
      </c>
      <c r="AI67" s="631">
        <f ca="1">IF(AND($D67="Serviço",AI$12&lt;&gt;0,$H67&gt;0,OR(AUTOEVENTO&lt;&gt;"manual",$M67&lt;&gt;1)),
IF(Import.TipoArredondamento&lt;&gt;"TransfereGOV",
ROUND(OFFSET($P67,0,AI$13),15-13*ORÇAMENTO!$AF$7)/$H67*OFFSET(ORÇAMENTO!$X$15,ROW(AI67)-ROW(AI$15),0),
ROUND(ROUND(OFFSET($P67,0,AI$13),15-13*ORÇAMENTO!$AF$7)*OFFSET(ORÇAMENTO!$W$15,ROW(AI67)-ROW(AI$15),0),15-13*ORÇAMENTO!$AF$11)),0)</f>
        <v>0</v>
      </c>
      <c r="AJ67" s="631">
        <f ca="1">IF(AND($D67="Serviço",AJ$12&lt;&gt;0,$H67&gt;0,OR(AUTOEVENTO&lt;&gt;"manual",$M67&lt;&gt;1)),
IF(Import.TipoArredondamento&lt;&gt;"TransfereGOV",
ROUND(OFFSET($P67,0,AJ$13),15-13*ORÇAMENTO!$AF$7)/$H67*OFFSET(ORÇAMENTO!$X$15,ROW(AJ67)-ROW(AJ$15),0),
ROUND(ROUND(OFFSET($P67,0,AJ$13),15-13*ORÇAMENTO!$AF$7)*OFFSET(ORÇAMENTO!$W$15,ROW(AJ67)-ROW(AJ$15),0),15-13*ORÇAMENTO!$AF$11)),0)</f>
        <v>0</v>
      </c>
      <c r="AK67" s="632">
        <f ca="1">IF(AND($D67="Serviço",AK$12&lt;&gt;0,$H67&gt;0,OR(AUTOEVENTO&lt;&gt;"manual",$M67&lt;&gt;1)),
IF(Import.TipoArredondamento&lt;&gt;"TransfereGOV",
ROUND(OFFSET($P67,0,AK$13),15-13*ORÇAMENTO!$AF$7)/$H67*OFFSET(ORÇAMENTO!$X$15,ROW(AK67)-ROW(AK$15),0),
ROUND(ROUND(OFFSET($P67,0,AK$13),15-13*ORÇAMENTO!$AF$7)*OFFSET(ORÇAMENTO!$W$15,ROW(AK67)-ROW(AK$15),0),15-13*ORÇAMENTO!$AF$11)),0)</f>
        <v>0</v>
      </c>
      <c r="AM67" s="215">
        <f ca="1">IF($D67&lt;&gt;"Serviço",0,IF(AND(AUTOEVENTO="Manual",$M67=1),0,IF(OFFSET(CRONOPLE!$F$14,$M67,AM$13)="",10^12,OFFSET(CRONOPLE!$F$14,$M67,AM$13))))</f>
        <v>1000000000000</v>
      </c>
      <c r="AN67" s="215">
        <f ca="1">IF($D67&lt;&gt;"Serviço",0,IF(AND(AUTOEVENTO="Manual",$M67=1),0,IF(OFFSET(CRONOPLE!$F$14,$M67,AN$13)="",10^12,OFFSET(CRONOPLE!$F$14,$M67,AN$13))))</f>
        <v>1000000000000</v>
      </c>
      <c r="AO67" s="215">
        <f ca="1">IF($D67&lt;&gt;"Serviço",0,IF(AND(AUTOEVENTO="Manual",$M67=1),0,IF(OFFSET(CRONOPLE!$F$14,$M67,AO$13)="",10^12,OFFSET(CRONOPLE!$F$14,$M67,AO$13))))</f>
        <v>1000000000000</v>
      </c>
      <c r="AP67" s="215">
        <f ca="1">IF($D67&lt;&gt;"Serviço",0,IF(AND(AUTOEVENTO="Manual",$M67=1),0,IF(OFFSET(CRONOPLE!$F$14,$M67,AP$13)="",10^12,OFFSET(CRONOPLE!$F$14,$M67,AP$13))))</f>
        <v>1000000000000</v>
      </c>
      <c r="AQ67" s="215">
        <f ca="1">IF($D67&lt;&gt;"Serviço",0,IF(AND(AUTOEVENTO="Manual",$M67=1),0,IF(OFFSET(CRONOPLE!$F$14,$M67,AQ$13)="",10^12,OFFSET(CRONOPLE!$F$14,$M67,AQ$13))))</f>
        <v>1000000000000</v>
      </c>
      <c r="AR67" s="215">
        <f ca="1">IF($D67&lt;&gt;"Serviço",0,IF(AND(AUTOEVENTO="Manual",$M67=1),0,IF(OFFSET(CRONOPLE!$F$14,$M67,AR$13)="",10^12,OFFSET(CRONOPLE!$F$14,$M67,AR$13))))</f>
        <v>1000000000000</v>
      </c>
      <c r="AS67" s="215">
        <f ca="1">IF($D67&lt;&gt;"Serviço",0,IF(AND(AUTOEVENTO="Manual",$M67=1),0,IF(OFFSET(CRONOPLE!$F$14,$M67,AS$13)="",10^12,OFFSET(CRONOPLE!$F$14,$M67,AS$13))))</f>
        <v>1000000000000</v>
      </c>
      <c r="AT67" s="215">
        <f ca="1">IF($D67&lt;&gt;"Serviço",0,IF(AND(AUTOEVENTO="Manual",$M67=1),0,IF(OFFSET(CRONOPLE!$F$14,$M67,AT$13)="",10^12,OFFSET(CRONOPLE!$F$14,$M67,AT$13))))</f>
        <v>1000000000000</v>
      </c>
      <c r="AU67" s="215">
        <f ca="1">IF($D67&lt;&gt;"Serviço",0,IF(AND(AUTOEVENTO="Manual",$M67=1),0,IF(OFFSET(CRONOPLE!$F$14,$M67,AU$13)="",10^12,OFFSET(CRONOPLE!$F$14,$M67,AU$13))))</f>
        <v>1000000000000</v>
      </c>
      <c r="AV67" s="215">
        <f ca="1">IF($D67&lt;&gt;"Serviço",0,IF(AND(AUTOEVENTO="Manual",$M67=1),0,IF(OFFSET(CRONOPLE!$F$14,$M67,AV$13)="",10^12,OFFSET(CRONOPLE!$F$14,$M67,AV$13))))</f>
        <v>1000000000000</v>
      </c>
      <c r="AX67" s="216">
        <f ca="1">IF($D67&lt;&gt;"Serviço",0,IF(OR(AND(AUTOEVENTO="Manual",$M67=1),$M67&gt;(ROW(PLE.lastrow)-ROW(PLE.firstrow))),0,IF(OFFSET(PLE!$G$14,$M67,AX$13)="",10^12,OFFSET(PLE!$G$14,$M67,AX$13))))</f>
        <v>1000000000000</v>
      </c>
      <c r="AY67" s="216">
        <f ca="1">IF($D67&lt;&gt;"Serviço",0,IF(OR(AND(AUTOEVENTO="Manual",$M67=1),$M67&gt;(ROW(PLE.lastrow)-ROW(PLE.firstrow))),0,IF(OFFSET(PLE!$G$14,$M67,AY$13)="",10^12,OFFSET(PLE!$G$14,$M67,AY$13))))</f>
        <v>1000000000000</v>
      </c>
      <c r="AZ67" s="216">
        <f ca="1">IF($D67&lt;&gt;"Serviço",0,IF(OR(AND(AUTOEVENTO="Manual",$M67=1),$M67&gt;(ROW(PLE.lastrow)-ROW(PLE.firstrow))),0,IF(OFFSET(PLE!$G$14,$M67,AZ$13)="",10^12,OFFSET(PLE!$G$14,$M67,AZ$13))))</f>
        <v>1000000000000</v>
      </c>
      <c r="BA67" s="216">
        <f ca="1">IF($D67&lt;&gt;"Serviço",0,IF(OR(AND(AUTOEVENTO="Manual",$M67=1),$M67&gt;(ROW(PLE.lastrow)-ROW(PLE.firstrow))),0,IF(OFFSET(PLE!$G$14,$M67,BA$13)="",10^12,OFFSET(PLE!$G$14,$M67,BA$13))))</f>
        <v>1000000000000</v>
      </c>
      <c r="BB67" s="216">
        <f ca="1">IF($D67&lt;&gt;"Serviço",0,IF(OR(AND(AUTOEVENTO="Manual",$M67=1),$M67&gt;(ROW(PLE.lastrow)-ROW(PLE.firstrow))),0,IF(OFFSET(PLE!$G$14,$M67,BB$13)="",10^12,OFFSET(PLE!$G$14,$M67,BB$13))))</f>
        <v>1000000000000</v>
      </c>
      <c r="BC67" s="216">
        <f ca="1">IF($D67&lt;&gt;"Serviço",0,IF(OR(AND(AUTOEVENTO="Manual",$M67=1),$M67&gt;(ROW(PLE.lastrow)-ROW(PLE.firstrow))),0,IF(OFFSET(PLE!$G$14,$M67,BC$13)="",10^12,OFFSET(PLE!$G$14,$M67,BC$13))))</f>
        <v>1000000000000</v>
      </c>
      <c r="BD67" s="216">
        <f ca="1">IF($D67&lt;&gt;"Serviço",0,IF(OR(AND(AUTOEVENTO="Manual",$M67=1),$M67&gt;(ROW(PLE.lastrow)-ROW(PLE.firstrow))),0,IF(OFFSET(PLE!$G$14,$M67,BD$13)="",10^12,OFFSET(PLE!$G$14,$M67,BD$13))))</f>
        <v>1000000000000</v>
      </c>
      <c r="BE67" s="216">
        <f ca="1">IF($D67&lt;&gt;"Serviço",0,IF(OR(AND(AUTOEVENTO="Manual",$M67=1),$M67&gt;(ROW(PLE.lastrow)-ROW(PLE.firstrow))),0,IF(OFFSET(PLE!$G$14,$M67,BE$13)="",10^12,OFFSET(PLE!$G$14,$M67,BE$13))))</f>
        <v>1000000000000</v>
      </c>
      <c r="BF67" s="216">
        <f ca="1">IF($D67&lt;&gt;"Serviço",0,IF(OR(AND(AUTOEVENTO="Manual",$M67=1),$M67&gt;(ROW(PLE.lastrow)-ROW(PLE.firstrow))),0,IF(OFFSET(PLE!$G$14,$M67,BF$13)="",10^12,OFFSET(PLE!$G$14,$M67,BF$13))))</f>
        <v>1000000000000</v>
      </c>
      <c r="BG67" s="216">
        <f ca="1">IF($D67&lt;&gt;"Serviço",0,IF(OR(AND(AUTOEVENTO="Manual",$M67=1),$M67&gt;(ROW(PLE.lastrow)-ROW(PLE.firstrow))),0,IF(OFFSET(PLE!$G$14,$M67,BG$13)="",10^12,OFFSET(PLE!$G$14,$M67,BG$13))))</f>
        <v>1000000000000</v>
      </c>
    </row>
    <row r="68" spans="1:59" ht="12.75" x14ac:dyDescent="0.2">
      <c r="A68" s="9" t="str">
        <f t="shared" ca="1" si="9"/>
        <v>53.</v>
      </c>
      <c r="B68" s="9">
        <f ca="1">OFFSET(ORÇAMENTO!C$15,ROW(B68)-ROW(B$15),0)</f>
        <v>2</v>
      </c>
      <c r="C68" s="9" t="str">
        <f ca="1">OFFSET(ORÇAMENTO!L$15,ROW(C68)-ROW(C$15),0)</f>
        <v>F</v>
      </c>
      <c r="D68" s="145" t="str">
        <f ca="1">OFFSET(ORÇAMENTO!N$15,ROW(D68)-ROW(D$15),0)</f>
        <v>Nível 2</v>
      </c>
      <c r="E68" s="205" t="str">
        <f ca="1">OFFSET(ORÇAMENTO!O$15,ROW(E68)-ROW(E$15),0)</f>
        <v>1.11.</v>
      </c>
      <c r="F68" s="206" t="str">
        <f ca="1">OFFSET(ORÇAMENTO!R$15,ROW(F68)-ROW(F$15),0)</f>
        <v>PISO</v>
      </c>
      <c r="G68" s="207" t="str">
        <f ca="1">IF($D68&lt;&gt;"Serviço","",OFFSET(ORÇAMENTO!S$15,ROW(G68)-ROW(G$15),0))</f>
        <v/>
      </c>
      <c r="H68" s="151">
        <f ca="1">IF($D68&lt;&gt;"Serviço",0,IF(ACOMPANHAMENTO="BM",ROUND(OFFSET(ORÇAMENTO!AJ$15,ROW(H68)-ROW(H$15),0),15-13*ORÇAMENTO!$AF$7),SUMPRODUCT(($Q$12:$AA$12&lt;&gt;"")*ROUND($Q68:$AA68,15-13*ORÇAMENTO!$AF$7))))</f>
        <v>0</v>
      </c>
      <c r="I68" s="649"/>
      <c r="K68" s="208"/>
      <c r="L68" s="209" t="s">
        <v>255</v>
      </c>
      <c r="M68" s="210" t="str">
        <f ca="1">IF($D68&lt;&gt;"Serviço","",IF(AUTOEVENTO="manual",$A68,IF(ISERROR(MATCH($A68,$A$15:OFFSET($A68,-1,0),0)),MAX($M$15:OFFSET(M68,-1,0))+1,INDEX($M$15:OFFSET(M68,-1,0),MATCH($A68,$A$15:OFFSET($A68,-1,0),0)))))</f>
        <v/>
      </c>
      <c r="N68" s="211" t="str">
        <f ca="1">IF($D68&lt;&gt;"Serviço","",IF(AUTOEVENTO="Manual",IF($A68=0,"&lt;-- defina o número do agrupador",OFFSET(EVENTOS!$D$14,$A68,0)),OFFSET($F$15,$A68,0)))</f>
        <v/>
      </c>
      <c r="O68" s="212"/>
      <c r="Q68" s="212"/>
      <c r="R68" s="213"/>
      <c r="S68" s="213"/>
      <c r="T68" s="213"/>
      <c r="U68" s="213"/>
      <c r="V68" s="213"/>
      <c r="W68" s="213"/>
      <c r="X68" s="213"/>
      <c r="Y68" s="213"/>
      <c r="Z68" s="214"/>
      <c r="AB68" s="630">
        <f ca="1">IF(AND($D68="Serviço",AB$12&lt;&gt;0,$H68&gt;0,OR(AUTOEVENTO&lt;&gt;"manual",$M68&lt;&gt;1)),
IF(Import.TipoArredondamento&lt;&gt;"TransfereGOV",
ROUND(OFFSET($P68,0,AB$13),15-13*ORÇAMENTO!$AF$7)/$H68*OFFSET(ORÇAMENTO!$X$15,ROW(AB68)-ROW(AB$15),0),
ROUND(ROUND(OFFSET($P68,0,AB$13),15-13*ORÇAMENTO!$AF$7)*OFFSET(ORÇAMENTO!$W$15,ROW(AB68)-ROW(AB$15),0),15-13*ORÇAMENTO!$AF$11)),0)</f>
        <v>0</v>
      </c>
      <c r="AC68" s="631">
        <f ca="1">IF(AND($D68="Serviço",AC$12&lt;&gt;0,$H68&gt;0,OR(AUTOEVENTO&lt;&gt;"manual",$M68&lt;&gt;1)),
IF(Import.TipoArredondamento&lt;&gt;"TransfereGOV",
ROUND(OFFSET($P68,0,AC$13),15-13*ORÇAMENTO!$AF$7)/$H68*OFFSET(ORÇAMENTO!$X$15,ROW(AC68)-ROW(AC$15),0),
ROUND(ROUND(OFFSET($P68,0,AC$13),15-13*ORÇAMENTO!$AF$7)*OFFSET(ORÇAMENTO!$W$15,ROW(AC68)-ROW(AC$15),0),15-13*ORÇAMENTO!$AF$11)),0)</f>
        <v>0</v>
      </c>
      <c r="AD68" s="631">
        <f ca="1">IF(AND($D68="Serviço",AD$12&lt;&gt;0,$H68&gt;0,OR(AUTOEVENTO&lt;&gt;"manual",$M68&lt;&gt;1)),
IF(Import.TipoArredondamento&lt;&gt;"TransfereGOV",
ROUND(OFFSET($P68,0,AD$13),15-13*ORÇAMENTO!$AF$7)/$H68*OFFSET(ORÇAMENTO!$X$15,ROW(AD68)-ROW(AD$15),0),
ROUND(ROUND(OFFSET($P68,0,AD$13),15-13*ORÇAMENTO!$AF$7)*OFFSET(ORÇAMENTO!$W$15,ROW(AD68)-ROW(AD$15),0),15-13*ORÇAMENTO!$AF$11)),0)</f>
        <v>0</v>
      </c>
      <c r="AE68" s="631">
        <f ca="1">IF(AND($D68="Serviço",AE$12&lt;&gt;0,$H68&gt;0,OR(AUTOEVENTO&lt;&gt;"manual",$M68&lt;&gt;1)),
IF(Import.TipoArredondamento&lt;&gt;"TransfereGOV",
ROUND(OFFSET($P68,0,AE$13),15-13*ORÇAMENTO!$AF$7)/$H68*OFFSET(ORÇAMENTO!$X$15,ROW(AE68)-ROW(AE$15),0),
ROUND(ROUND(OFFSET($P68,0,AE$13),15-13*ORÇAMENTO!$AF$7)*OFFSET(ORÇAMENTO!$W$15,ROW(AE68)-ROW(AE$15),0),15-13*ORÇAMENTO!$AF$11)),0)</f>
        <v>0</v>
      </c>
      <c r="AF68" s="631">
        <f ca="1">IF(AND($D68="Serviço",AF$12&lt;&gt;0,$H68&gt;0,OR(AUTOEVENTO&lt;&gt;"manual",$M68&lt;&gt;1)),
IF(Import.TipoArredondamento&lt;&gt;"TransfereGOV",
ROUND(OFFSET($P68,0,AF$13),15-13*ORÇAMENTO!$AF$7)/$H68*OFFSET(ORÇAMENTO!$X$15,ROW(AF68)-ROW(AF$15),0),
ROUND(ROUND(OFFSET($P68,0,AF$13),15-13*ORÇAMENTO!$AF$7)*OFFSET(ORÇAMENTO!$W$15,ROW(AF68)-ROW(AF$15),0),15-13*ORÇAMENTO!$AF$11)),0)</f>
        <v>0</v>
      </c>
      <c r="AG68" s="631">
        <f ca="1">IF(AND($D68="Serviço",AG$12&lt;&gt;0,$H68&gt;0,OR(AUTOEVENTO&lt;&gt;"manual",$M68&lt;&gt;1)),
IF(Import.TipoArredondamento&lt;&gt;"TransfereGOV",
ROUND(OFFSET($P68,0,AG$13),15-13*ORÇAMENTO!$AF$7)/$H68*OFFSET(ORÇAMENTO!$X$15,ROW(AG68)-ROW(AG$15),0),
ROUND(ROUND(OFFSET($P68,0,AG$13),15-13*ORÇAMENTO!$AF$7)*OFFSET(ORÇAMENTO!$W$15,ROW(AG68)-ROW(AG$15),0),15-13*ORÇAMENTO!$AF$11)),0)</f>
        <v>0</v>
      </c>
      <c r="AH68" s="631">
        <f ca="1">IF(AND($D68="Serviço",AH$12&lt;&gt;0,$H68&gt;0,OR(AUTOEVENTO&lt;&gt;"manual",$M68&lt;&gt;1)),
IF(Import.TipoArredondamento&lt;&gt;"TransfereGOV",
ROUND(OFFSET($P68,0,AH$13),15-13*ORÇAMENTO!$AF$7)/$H68*OFFSET(ORÇAMENTO!$X$15,ROW(AH68)-ROW(AH$15),0),
ROUND(ROUND(OFFSET($P68,0,AH$13),15-13*ORÇAMENTO!$AF$7)*OFFSET(ORÇAMENTO!$W$15,ROW(AH68)-ROW(AH$15),0),15-13*ORÇAMENTO!$AF$11)),0)</f>
        <v>0</v>
      </c>
      <c r="AI68" s="631">
        <f ca="1">IF(AND($D68="Serviço",AI$12&lt;&gt;0,$H68&gt;0,OR(AUTOEVENTO&lt;&gt;"manual",$M68&lt;&gt;1)),
IF(Import.TipoArredondamento&lt;&gt;"TransfereGOV",
ROUND(OFFSET($P68,0,AI$13),15-13*ORÇAMENTO!$AF$7)/$H68*OFFSET(ORÇAMENTO!$X$15,ROW(AI68)-ROW(AI$15),0),
ROUND(ROUND(OFFSET($P68,0,AI$13),15-13*ORÇAMENTO!$AF$7)*OFFSET(ORÇAMENTO!$W$15,ROW(AI68)-ROW(AI$15),0),15-13*ORÇAMENTO!$AF$11)),0)</f>
        <v>0</v>
      </c>
      <c r="AJ68" s="631">
        <f ca="1">IF(AND($D68="Serviço",AJ$12&lt;&gt;0,$H68&gt;0,OR(AUTOEVENTO&lt;&gt;"manual",$M68&lt;&gt;1)),
IF(Import.TipoArredondamento&lt;&gt;"TransfereGOV",
ROUND(OFFSET($P68,0,AJ$13),15-13*ORÇAMENTO!$AF$7)/$H68*OFFSET(ORÇAMENTO!$X$15,ROW(AJ68)-ROW(AJ$15),0),
ROUND(ROUND(OFFSET($P68,0,AJ$13),15-13*ORÇAMENTO!$AF$7)*OFFSET(ORÇAMENTO!$W$15,ROW(AJ68)-ROW(AJ$15),0),15-13*ORÇAMENTO!$AF$11)),0)</f>
        <v>0</v>
      </c>
      <c r="AK68" s="632">
        <f ca="1">IF(AND($D68="Serviço",AK$12&lt;&gt;0,$H68&gt;0,OR(AUTOEVENTO&lt;&gt;"manual",$M68&lt;&gt;1)),
IF(Import.TipoArredondamento&lt;&gt;"TransfereGOV",
ROUND(OFFSET($P68,0,AK$13),15-13*ORÇAMENTO!$AF$7)/$H68*OFFSET(ORÇAMENTO!$X$15,ROW(AK68)-ROW(AK$15),0),
ROUND(ROUND(OFFSET($P68,0,AK$13),15-13*ORÇAMENTO!$AF$7)*OFFSET(ORÇAMENTO!$W$15,ROW(AK68)-ROW(AK$15),0),15-13*ORÇAMENTO!$AF$11)),0)</f>
        <v>0</v>
      </c>
      <c r="AM68" s="215">
        <f ca="1">IF($D68&lt;&gt;"Serviço",0,IF(AND(AUTOEVENTO="Manual",$M68=1),0,IF(OFFSET(CRONOPLE!$F$14,$M68,AM$13)="",10^12,OFFSET(CRONOPLE!$F$14,$M68,AM$13))))</f>
        <v>0</v>
      </c>
      <c r="AN68" s="215">
        <f ca="1">IF($D68&lt;&gt;"Serviço",0,IF(AND(AUTOEVENTO="Manual",$M68=1),0,IF(OFFSET(CRONOPLE!$F$14,$M68,AN$13)="",10^12,OFFSET(CRONOPLE!$F$14,$M68,AN$13))))</f>
        <v>0</v>
      </c>
      <c r="AO68" s="215">
        <f ca="1">IF($D68&lt;&gt;"Serviço",0,IF(AND(AUTOEVENTO="Manual",$M68=1),0,IF(OFFSET(CRONOPLE!$F$14,$M68,AO$13)="",10^12,OFFSET(CRONOPLE!$F$14,$M68,AO$13))))</f>
        <v>0</v>
      </c>
      <c r="AP68" s="215">
        <f ca="1">IF($D68&lt;&gt;"Serviço",0,IF(AND(AUTOEVENTO="Manual",$M68=1),0,IF(OFFSET(CRONOPLE!$F$14,$M68,AP$13)="",10^12,OFFSET(CRONOPLE!$F$14,$M68,AP$13))))</f>
        <v>0</v>
      </c>
      <c r="AQ68" s="215">
        <f ca="1">IF($D68&lt;&gt;"Serviço",0,IF(AND(AUTOEVENTO="Manual",$M68=1),0,IF(OFFSET(CRONOPLE!$F$14,$M68,AQ$13)="",10^12,OFFSET(CRONOPLE!$F$14,$M68,AQ$13))))</f>
        <v>0</v>
      </c>
      <c r="AR68" s="215">
        <f ca="1">IF($D68&lt;&gt;"Serviço",0,IF(AND(AUTOEVENTO="Manual",$M68=1),0,IF(OFFSET(CRONOPLE!$F$14,$M68,AR$13)="",10^12,OFFSET(CRONOPLE!$F$14,$M68,AR$13))))</f>
        <v>0</v>
      </c>
      <c r="AS68" s="215">
        <f ca="1">IF($D68&lt;&gt;"Serviço",0,IF(AND(AUTOEVENTO="Manual",$M68=1),0,IF(OFFSET(CRONOPLE!$F$14,$M68,AS$13)="",10^12,OFFSET(CRONOPLE!$F$14,$M68,AS$13))))</f>
        <v>0</v>
      </c>
      <c r="AT68" s="215">
        <f ca="1">IF($D68&lt;&gt;"Serviço",0,IF(AND(AUTOEVENTO="Manual",$M68=1),0,IF(OFFSET(CRONOPLE!$F$14,$M68,AT$13)="",10^12,OFFSET(CRONOPLE!$F$14,$M68,AT$13))))</f>
        <v>0</v>
      </c>
      <c r="AU68" s="215">
        <f ca="1">IF($D68&lt;&gt;"Serviço",0,IF(AND(AUTOEVENTO="Manual",$M68=1),0,IF(OFFSET(CRONOPLE!$F$14,$M68,AU$13)="",10^12,OFFSET(CRONOPLE!$F$14,$M68,AU$13))))</f>
        <v>0</v>
      </c>
      <c r="AV68" s="215">
        <f ca="1">IF($D68&lt;&gt;"Serviço",0,IF(AND(AUTOEVENTO="Manual",$M68=1),0,IF(OFFSET(CRONOPLE!$F$14,$M68,AV$13)="",10^12,OFFSET(CRONOPLE!$F$14,$M68,AV$13))))</f>
        <v>0</v>
      </c>
      <c r="AX68" s="216">
        <f ca="1">IF($D68&lt;&gt;"Serviço",0,IF(OR(AND(AUTOEVENTO="Manual",$M68=1),$M68&gt;(ROW(PLE.lastrow)-ROW(PLE.firstrow))),0,IF(OFFSET(PLE!$G$14,$M68,AX$13)="",10^12,OFFSET(PLE!$G$14,$M68,AX$13))))</f>
        <v>0</v>
      </c>
      <c r="AY68" s="216">
        <f ca="1">IF($D68&lt;&gt;"Serviço",0,IF(OR(AND(AUTOEVENTO="Manual",$M68=1),$M68&gt;(ROW(PLE.lastrow)-ROW(PLE.firstrow))),0,IF(OFFSET(PLE!$G$14,$M68,AY$13)="",10^12,OFFSET(PLE!$G$14,$M68,AY$13))))</f>
        <v>0</v>
      </c>
      <c r="AZ68" s="216">
        <f ca="1">IF($D68&lt;&gt;"Serviço",0,IF(OR(AND(AUTOEVENTO="Manual",$M68=1),$M68&gt;(ROW(PLE.lastrow)-ROW(PLE.firstrow))),0,IF(OFFSET(PLE!$G$14,$M68,AZ$13)="",10^12,OFFSET(PLE!$G$14,$M68,AZ$13))))</f>
        <v>0</v>
      </c>
      <c r="BA68" s="216">
        <f ca="1">IF($D68&lt;&gt;"Serviço",0,IF(OR(AND(AUTOEVENTO="Manual",$M68=1),$M68&gt;(ROW(PLE.lastrow)-ROW(PLE.firstrow))),0,IF(OFFSET(PLE!$G$14,$M68,BA$13)="",10^12,OFFSET(PLE!$G$14,$M68,BA$13))))</f>
        <v>0</v>
      </c>
      <c r="BB68" s="216">
        <f ca="1">IF($D68&lt;&gt;"Serviço",0,IF(OR(AND(AUTOEVENTO="Manual",$M68=1),$M68&gt;(ROW(PLE.lastrow)-ROW(PLE.firstrow))),0,IF(OFFSET(PLE!$G$14,$M68,BB$13)="",10^12,OFFSET(PLE!$G$14,$M68,BB$13))))</f>
        <v>0</v>
      </c>
      <c r="BC68" s="216">
        <f ca="1">IF($D68&lt;&gt;"Serviço",0,IF(OR(AND(AUTOEVENTO="Manual",$M68=1),$M68&gt;(ROW(PLE.lastrow)-ROW(PLE.firstrow))),0,IF(OFFSET(PLE!$G$14,$M68,BC$13)="",10^12,OFFSET(PLE!$G$14,$M68,BC$13))))</f>
        <v>0</v>
      </c>
      <c r="BD68" s="216">
        <f ca="1">IF($D68&lt;&gt;"Serviço",0,IF(OR(AND(AUTOEVENTO="Manual",$M68=1),$M68&gt;(ROW(PLE.lastrow)-ROW(PLE.firstrow))),0,IF(OFFSET(PLE!$G$14,$M68,BD$13)="",10^12,OFFSET(PLE!$G$14,$M68,BD$13))))</f>
        <v>0</v>
      </c>
      <c r="BE68" s="216">
        <f ca="1">IF($D68&lt;&gt;"Serviço",0,IF(OR(AND(AUTOEVENTO="Manual",$M68=1),$M68&gt;(ROW(PLE.lastrow)-ROW(PLE.firstrow))),0,IF(OFFSET(PLE!$G$14,$M68,BE$13)="",10^12,OFFSET(PLE!$G$14,$M68,BE$13))))</f>
        <v>0</v>
      </c>
      <c r="BF68" s="216">
        <f ca="1">IF($D68&lt;&gt;"Serviço",0,IF(OR(AND(AUTOEVENTO="Manual",$M68=1),$M68&gt;(ROW(PLE.lastrow)-ROW(PLE.firstrow))),0,IF(OFFSET(PLE!$G$14,$M68,BF$13)="",10^12,OFFSET(PLE!$G$14,$M68,BF$13))))</f>
        <v>0</v>
      </c>
      <c r="BG68" s="216">
        <f ca="1">IF($D68&lt;&gt;"Serviço",0,IF(OR(AND(AUTOEVENTO="Manual",$M68=1),$M68&gt;(ROW(PLE.lastrow)-ROW(PLE.firstrow))),0,IF(OFFSET(PLE!$G$14,$M68,BG$13)="",10^12,OFFSET(PLE!$G$14,$M68,BG$13))))</f>
        <v>0</v>
      </c>
    </row>
    <row r="69" spans="1:59" ht="25.5" x14ac:dyDescent="0.2">
      <c r="A69" s="9" t="str">
        <f t="shared" ca="1" si="9"/>
        <v>53</v>
      </c>
      <c r="B69" s="9" t="str">
        <f ca="1">OFFSET(ORÇAMENTO!C$15,ROW(B69)-ROW(B$15),0)</f>
        <v>S</v>
      </c>
      <c r="C69" s="9" t="str">
        <f ca="1">OFFSET(ORÇAMENTO!L$15,ROW(C69)-ROW(C$15),0)</f>
        <v/>
      </c>
      <c r="D69" s="145" t="str">
        <f ca="1">OFFSET(ORÇAMENTO!N$15,ROW(D69)-ROW(D$15),0)</f>
        <v>Serviço</v>
      </c>
      <c r="E69" s="205" t="str">
        <f ca="1">OFFSET(ORÇAMENTO!O$15,ROW(E69)-ROW(E$15),0)</f>
        <v>-</v>
      </c>
      <c r="F69" s="206" t="str">
        <f ca="1">OFFSET(ORÇAMENTO!R$15,ROW(F69)-ROW(F$15),0)</f>
        <v xml:space="preserve">ARGILA OU BARRO PARA ATERRO/REATERRO (COM TRANSPORTE ATE 10 KM)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G69" s="207" t="str">
        <f ca="1">IF($D69&lt;&gt;"Serviço","",OFFSET(ORÇAMENTO!S$15,ROW(G69)-ROW(G$15),0))</f>
        <v xml:space="preserve">M3    </v>
      </c>
      <c r="H69" s="151">
        <f ca="1">IF($D69&lt;&gt;"Serviço",0,IF(ACOMPANHAMENTO="BM",ROUND(OFFSET(ORÇAMENTO!AJ$15,ROW(H69)-ROW(H$15),0),15-13*ORÇAMENTO!$AF$7),SUMPRODUCT(($Q$12:$AA$12&lt;&gt;"")*ROUND($Q69:$AA69,15-13*ORÇAMENTO!$AF$7))))</f>
        <v>340</v>
      </c>
      <c r="I69" s="649"/>
      <c r="K69" s="208"/>
      <c r="L69" s="209" t="s">
        <v>255</v>
      </c>
      <c r="M69" s="210">
        <f ca="1">IF($D69&lt;&gt;"Serviço","",IF(AUTOEVENTO="manual",$A69,IF(ISERROR(MATCH($A69,$A$15:OFFSET($A69,-1,0),0)),MAX($M$15:OFFSET(M69,-1,0))+1,INDEX($M$15:OFFSET(M69,-1,0),MATCH($A69,$A$15:OFFSET($A69,-1,0),0)))))</f>
        <v>12</v>
      </c>
      <c r="N69" s="211" t="str">
        <f ca="1">IF($D69&lt;&gt;"Serviço","",IF(AUTOEVENTO="Manual",IF($A69=0,"&lt;-- defina o número do agrupador",OFFSET(EVENTOS!$D$14,$A69,0)),OFFSET($F$15,$A69,0)))</f>
        <v>PISO</v>
      </c>
      <c r="O69" s="212"/>
      <c r="Q69" s="212"/>
      <c r="R69" s="213"/>
      <c r="S69" s="213"/>
      <c r="T69" s="213"/>
      <c r="U69" s="213"/>
      <c r="V69" s="213"/>
      <c r="W69" s="213"/>
      <c r="X69" s="213"/>
      <c r="Y69" s="213"/>
      <c r="Z69" s="214"/>
      <c r="AB69" s="630">
        <f ca="1">IF(AND($D69="Serviço",AB$12&lt;&gt;0,$H69&gt;0,OR(AUTOEVENTO&lt;&gt;"manual",$M69&lt;&gt;1)),
IF(Import.TipoArredondamento&lt;&gt;"TransfereGOV",
ROUND(OFFSET($P69,0,AB$13),15-13*ORÇAMENTO!$AF$7)/$H69*OFFSET(ORÇAMENTO!$X$15,ROW(AB69)-ROW(AB$15),0),
ROUND(ROUND(OFFSET($P69,0,AB$13),15-13*ORÇAMENTO!$AF$7)*OFFSET(ORÇAMENTO!$W$15,ROW(AB69)-ROW(AB$15),0),15-13*ORÇAMENTO!$AF$11)),0)</f>
        <v>0</v>
      </c>
      <c r="AC69" s="631">
        <f ca="1">IF(AND($D69="Serviço",AC$12&lt;&gt;0,$H69&gt;0,OR(AUTOEVENTO&lt;&gt;"manual",$M69&lt;&gt;1)),
IF(Import.TipoArredondamento&lt;&gt;"TransfereGOV",
ROUND(OFFSET($P69,0,AC$13),15-13*ORÇAMENTO!$AF$7)/$H69*OFFSET(ORÇAMENTO!$X$15,ROW(AC69)-ROW(AC$15),0),
ROUND(ROUND(OFFSET($P69,0,AC$13),15-13*ORÇAMENTO!$AF$7)*OFFSET(ORÇAMENTO!$W$15,ROW(AC69)-ROW(AC$15),0),15-13*ORÇAMENTO!$AF$11)),0)</f>
        <v>0</v>
      </c>
      <c r="AD69" s="631">
        <f ca="1">IF(AND($D69="Serviço",AD$12&lt;&gt;0,$H69&gt;0,OR(AUTOEVENTO&lt;&gt;"manual",$M69&lt;&gt;1)),
IF(Import.TipoArredondamento&lt;&gt;"TransfereGOV",
ROUND(OFFSET($P69,0,AD$13),15-13*ORÇAMENTO!$AF$7)/$H69*OFFSET(ORÇAMENTO!$X$15,ROW(AD69)-ROW(AD$15),0),
ROUND(ROUND(OFFSET($P69,0,AD$13),15-13*ORÇAMENTO!$AF$7)*OFFSET(ORÇAMENTO!$W$15,ROW(AD69)-ROW(AD$15),0),15-13*ORÇAMENTO!$AF$11)),0)</f>
        <v>0</v>
      </c>
      <c r="AE69" s="631">
        <f ca="1">IF(AND($D69="Serviço",AE$12&lt;&gt;0,$H69&gt;0,OR(AUTOEVENTO&lt;&gt;"manual",$M69&lt;&gt;1)),
IF(Import.TipoArredondamento&lt;&gt;"TransfereGOV",
ROUND(OFFSET($P69,0,AE$13),15-13*ORÇAMENTO!$AF$7)/$H69*OFFSET(ORÇAMENTO!$X$15,ROW(AE69)-ROW(AE$15),0),
ROUND(ROUND(OFFSET($P69,0,AE$13),15-13*ORÇAMENTO!$AF$7)*OFFSET(ORÇAMENTO!$W$15,ROW(AE69)-ROW(AE$15),0),15-13*ORÇAMENTO!$AF$11)),0)</f>
        <v>0</v>
      </c>
      <c r="AF69" s="631">
        <f ca="1">IF(AND($D69="Serviço",AF$12&lt;&gt;0,$H69&gt;0,OR(AUTOEVENTO&lt;&gt;"manual",$M69&lt;&gt;1)),
IF(Import.TipoArredondamento&lt;&gt;"TransfereGOV",
ROUND(OFFSET($P69,0,AF$13),15-13*ORÇAMENTO!$AF$7)/$H69*OFFSET(ORÇAMENTO!$X$15,ROW(AF69)-ROW(AF$15),0),
ROUND(ROUND(OFFSET($P69,0,AF$13),15-13*ORÇAMENTO!$AF$7)*OFFSET(ORÇAMENTO!$W$15,ROW(AF69)-ROW(AF$15),0),15-13*ORÇAMENTO!$AF$11)),0)</f>
        <v>0</v>
      </c>
      <c r="AG69" s="631">
        <f ca="1">IF(AND($D69="Serviço",AG$12&lt;&gt;0,$H69&gt;0,OR(AUTOEVENTO&lt;&gt;"manual",$M69&lt;&gt;1)),
IF(Import.TipoArredondamento&lt;&gt;"TransfereGOV",
ROUND(OFFSET($P69,0,AG$13),15-13*ORÇAMENTO!$AF$7)/$H69*OFFSET(ORÇAMENTO!$X$15,ROW(AG69)-ROW(AG$15),0),
ROUND(ROUND(OFFSET($P69,0,AG$13),15-13*ORÇAMENTO!$AF$7)*OFFSET(ORÇAMENTO!$W$15,ROW(AG69)-ROW(AG$15),0),15-13*ORÇAMENTO!$AF$11)),0)</f>
        <v>0</v>
      </c>
      <c r="AH69" s="631">
        <f ca="1">IF(AND($D69="Serviço",AH$12&lt;&gt;0,$H69&gt;0,OR(AUTOEVENTO&lt;&gt;"manual",$M69&lt;&gt;1)),
IF(Import.TipoArredondamento&lt;&gt;"TransfereGOV",
ROUND(OFFSET($P69,0,AH$13),15-13*ORÇAMENTO!$AF$7)/$H69*OFFSET(ORÇAMENTO!$X$15,ROW(AH69)-ROW(AH$15),0),
ROUND(ROUND(OFFSET($P69,0,AH$13),15-13*ORÇAMENTO!$AF$7)*OFFSET(ORÇAMENTO!$W$15,ROW(AH69)-ROW(AH$15),0),15-13*ORÇAMENTO!$AF$11)),0)</f>
        <v>0</v>
      </c>
      <c r="AI69" s="631">
        <f ca="1">IF(AND($D69="Serviço",AI$12&lt;&gt;0,$H69&gt;0,OR(AUTOEVENTO&lt;&gt;"manual",$M69&lt;&gt;1)),
IF(Import.TipoArredondamento&lt;&gt;"TransfereGOV",
ROUND(OFFSET($P69,0,AI$13),15-13*ORÇAMENTO!$AF$7)/$H69*OFFSET(ORÇAMENTO!$X$15,ROW(AI69)-ROW(AI$15),0),
ROUND(ROUND(OFFSET($P69,0,AI$13),15-13*ORÇAMENTO!$AF$7)*OFFSET(ORÇAMENTO!$W$15,ROW(AI69)-ROW(AI$15),0),15-13*ORÇAMENTO!$AF$11)),0)</f>
        <v>0</v>
      </c>
      <c r="AJ69" s="631">
        <f ca="1">IF(AND($D69="Serviço",AJ$12&lt;&gt;0,$H69&gt;0,OR(AUTOEVENTO&lt;&gt;"manual",$M69&lt;&gt;1)),
IF(Import.TipoArredondamento&lt;&gt;"TransfereGOV",
ROUND(OFFSET($P69,0,AJ$13),15-13*ORÇAMENTO!$AF$7)/$H69*OFFSET(ORÇAMENTO!$X$15,ROW(AJ69)-ROW(AJ$15),0),
ROUND(ROUND(OFFSET($P69,0,AJ$13),15-13*ORÇAMENTO!$AF$7)*OFFSET(ORÇAMENTO!$W$15,ROW(AJ69)-ROW(AJ$15),0),15-13*ORÇAMENTO!$AF$11)),0)</f>
        <v>0</v>
      </c>
      <c r="AK69" s="632">
        <f ca="1">IF(AND($D69="Serviço",AK$12&lt;&gt;0,$H69&gt;0,OR(AUTOEVENTO&lt;&gt;"manual",$M69&lt;&gt;1)),
IF(Import.TipoArredondamento&lt;&gt;"TransfereGOV",
ROUND(OFFSET($P69,0,AK$13),15-13*ORÇAMENTO!$AF$7)/$H69*OFFSET(ORÇAMENTO!$X$15,ROW(AK69)-ROW(AK$15),0),
ROUND(ROUND(OFFSET($P69,0,AK$13),15-13*ORÇAMENTO!$AF$7)*OFFSET(ORÇAMENTO!$W$15,ROW(AK69)-ROW(AK$15),0),15-13*ORÇAMENTO!$AF$11)),0)</f>
        <v>0</v>
      </c>
      <c r="AM69" s="215">
        <f ca="1">IF($D69&lt;&gt;"Serviço",0,IF(AND(AUTOEVENTO="Manual",$M69=1),0,IF(OFFSET(CRONOPLE!$F$14,$M69,AM$13)="",10^12,OFFSET(CRONOPLE!$F$14,$M69,AM$13))))</f>
        <v>1000000000000</v>
      </c>
      <c r="AN69" s="215">
        <f ca="1">IF($D69&lt;&gt;"Serviço",0,IF(AND(AUTOEVENTO="Manual",$M69=1),0,IF(OFFSET(CRONOPLE!$F$14,$M69,AN$13)="",10^12,OFFSET(CRONOPLE!$F$14,$M69,AN$13))))</f>
        <v>1000000000000</v>
      </c>
      <c r="AO69" s="215">
        <f ca="1">IF($D69&lt;&gt;"Serviço",0,IF(AND(AUTOEVENTO="Manual",$M69=1),0,IF(OFFSET(CRONOPLE!$F$14,$M69,AO$13)="",10^12,OFFSET(CRONOPLE!$F$14,$M69,AO$13))))</f>
        <v>1000000000000</v>
      </c>
      <c r="AP69" s="215">
        <f ca="1">IF($D69&lt;&gt;"Serviço",0,IF(AND(AUTOEVENTO="Manual",$M69=1),0,IF(OFFSET(CRONOPLE!$F$14,$M69,AP$13)="",10^12,OFFSET(CRONOPLE!$F$14,$M69,AP$13))))</f>
        <v>1000000000000</v>
      </c>
      <c r="AQ69" s="215">
        <f ca="1">IF($D69&lt;&gt;"Serviço",0,IF(AND(AUTOEVENTO="Manual",$M69=1),0,IF(OFFSET(CRONOPLE!$F$14,$M69,AQ$13)="",10^12,OFFSET(CRONOPLE!$F$14,$M69,AQ$13))))</f>
        <v>1000000000000</v>
      </c>
      <c r="AR69" s="215">
        <f ca="1">IF($D69&lt;&gt;"Serviço",0,IF(AND(AUTOEVENTO="Manual",$M69=1),0,IF(OFFSET(CRONOPLE!$F$14,$M69,AR$13)="",10^12,OFFSET(CRONOPLE!$F$14,$M69,AR$13))))</f>
        <v>1000000000000</v>
      </c>
      <c r="AS69" s="215">
        <f ca="1">IF($D69&lt;&gt;"Serviço",0,IF(AND(AUTOEVENTO="Manual",$M69=1),0,IF(OFFSET(CRONOPLE!$F$14,$M69,AS$13)="",10^12,OFFSET(CRONOPLE!$F$14,$M69,AS$13))))</f>
        <v>1000000000000</v>
      </c>
      <c r="AT69" s="215">
        <f ca="1">IF($D69&lt;&gt;"Serviço",0,IF(AND(AUTOEVENTO="Manual",$M69=1),0,IF(OFFSET(CRONOPLE!$F$14,$M69,AT$13)="",10^12,OFFSET(CRONOPLE!$F$14,$M69,AT$13))))</f>
        <v>1000000000000</v>
      </c>
      <c r="AU69" s="215">
        <f ca="1">IF($D69&lt;&gt;"Serviço",0,IF(AND(AUTOEVENTO="Manual",$M69=1),0,IF(OFFSET(CRONOPLE!$F$14,$M69,AU$13)="",10^12,OFFSET(CRONOPLE!$F$14,$M69,AU$13))))</f>
        <v>1000000000000</v>
      </c>
      <c r="AV69" s="215">
        <f ca="1">IF($D69&lt;&gt;"Serviço",0,IF(AND(AUTOEVENTO="Manual",$M69=1),0,IF(OFFSET(CRONOPLE!$F$14,$M69,AV$13)="",10^12,OFFSET(CRONOPLE!$F$14,$M69,AV$13))))</f>
        <v>1000000000000</v>
      </c>
      <c r="AX69" s="216">
        <f ca="1">IF($D69&lt;&gt;"Serviço",0,IF(OR(AND(AUTOEVENTO="Manual",$M69=1),$M69&gt;(ROW(PLE.lastrow)-ROW(PLE.firstrow))),0,IF(OFFSET(PLE!$G$14,$M69,AX$13)="",10^12,OFFSET(PLE!$G$14,$M69,AX$13))))</f>
        <v>1000000000000</v>
      </c>
      <c r="AY69" s="216">
        <f ca="1">IF($D69&lt;&gt;"Serviço",0,IF(OR(AND(AUTOEVENTO="Manual",$M69=1),$M69&gt;(ROW(PLE.lastrow)-ROW(PLE.firstrow))),0,IF(OFFSET(PLE!$G$14,$M69,AY$13)="",10^12,OFFSET(PLE!$G$14,$M69,AY$13))))</f>
        <v>1000000000000</v>
      </c>
      <c r="AZ69" s="216">
        <f ca="1">IF($D69&lt;&gt;"Serviço",0,IF(OR(AND(AUTOEVENTO="Manual",$M69=1),$M69&gt;(ROW(PLE.lastrow)-ROW(PLE.firstrow))),0,IF(OFFSET(PLE!$G$14,$M69,AZ$13)="",10^12,OFFSET(PLE!$G$14,$M69,AZ$13))))</f>
        <v>1000000000000</v>
      </c>
      <c r="BA69" s="216">
        <f ca="1">IF($D69&lt;&gt;"Serviço",0,IF(OR(AND(AUTOEVENTO="Manual",$M69=1),$M69&gt;(ROW(PLE.lastrow)-ROW(PLE.firstrow))),0,IF(OFFSET(PLE!$G$14,$M69,BA$13)="",10^12,OFFSET(PLE!$G$14,$M69,BA$13))))</f>
        <v>1000000000000</v>
      </c>
      <c r="BB69" s="216">
        <f ca="1">IF($D69&lt;&gt;"Serviço",0,IF(OR(AND(AUTOEVENTO="Manual",$M69=1),$M69&gt;(ROW(PLE.lastrow)-ROW(PLE.firstrow))),0,IF(OFFSET(PLE!$G$14,$M69,BB$13)="",10^12,OFFSET(PLE!$G$14,$M69,BB$13))))</f>
        <v>1000000000000</v>
      </c>
      <c r="BC69" s="216">
        <f ca="1">IF($D69&lt;&gt;"Serviço",0,IF(OR(AND(AUTOEVENTO="Manual",$M69=1),$M69&gt;(ROW(PLE.lastrow)-ROW(PLE.firstrow))),0,IF(OFFSET(PLE!$G$14,$M69,BC$13)="",10^12,OFFSET(PLE!$G$14,$M69,BC$13))))</f>
        <v>1000000000000</v>
      </c>
      <c r="BD69" s="216">
        <f ca="1">IF($D69&lt;&gt;"Serviço",0,IF(OR(AND(AUTOEVENTO="Manual",$M69=1),$M69&gt;(ROW(PLE.lastrow)-ROW(PLE.firstrow))),0,IF(OFFSET(PLE!$G$14,$M69,BD$13)="",10^12,OFFSET(PLE!$G$14,$M69,BD$13))))</f>
        <v>1000000000000</v>
      </c>
      <c r="BE69" s="216">
        <f ca="1">IF($D69&lt;&gt;"Serviço",0,IF(OR(AND(AUTOEVENTO="Manual",$M69=1),$M69&gt;(ROW(PLE.lastrow)-ROW(PLE.firstrow))),0,IF(OFFSET(PLE!$G$14,$M69,BE$13)="",10^12,OFFSET(PLE!$G$14,$M69,BE$13))))</f>
        <v>1000000000000</v>
      </c>
      <c r="BF69" s="216">
        <f ca="1">IF($D69&lt;&gt;"Serviço",0,IF(OR(AND(AUTOEVENTO="Manual",$M69=1),$M69&gt;(ROW(PLE.lastrow)-ROW(PLE.firstrow))),0,IF(OFFSET(PLE!$G$14,$M69,BF$13)="",10^12,OFFSET(PLE!$G$14,$M69,BF$13))))</f>
        <v>1000000000000</v>
      </c>
      <c r="BG69" s="216">
        <f ca="1">IF($D69&lt;&gt;"Serviço",0,IF(OR(AND(AUTOEVENTO="Manual",$M69=1),$M69&gt;(ROW(PLE.lastrow)-ROW(PLE.firstrow))),0,IF(OFFSET(PLE!$G$14,$M69,BG$13)="",10^12,OFFSET(PLE!$G$14,$M69,BG$13))))</f>
        <v>1000000000000</v>
      </c>
    </row>
    <row r="70" spans="1:59" ht="38.25" x14ac:dyDescent="0.2">
      <c r="A70" s="9" t="str">
        <f t="shared" ca="1" si="9"/>
        <v>53</v>
      </c>
      <c r="B70" s="9" t="str">
        <f ca="1">OFFSET(ORÇAMENTO!C$15,ROW(B70)-ROW(B$15),0)</f>
        <v>S</v>
      </c>
      <c r="C70" s="9" t="str">
        <f ca="1">OFFSET(ORÇAMENTO!L$15,ROW(C70)-ROW(C$15),0)</f>
        <v/>
      </c>
      <c r="D70" s="145" t="str">
        <f ca="1">OFFSET(ORÇAMENTO!N$15,ROW(D70)-ROW(D$15),0)</f>
        <v>Serviço</v>
      </c>
      <c r="E70" s="205" t="str">
        <f ca="1">OFFSET(ORÇAMENTO!O$15,ROW(E70)-ROW(E$15),0)</f>
        <v>-</v>
      </c>
      <c r="F70" s="206" t="str">
        <f ca="1">OFFSET(ORÇAMENTO!R$15,ROW(F70)-ROW(F$15),0)</f>
        <v>COMPACTAÇÃO MECÂNICA DE SOLO PARA EXECUÇÃO DE RADIER, PISO DE CONCRETO OU LAJE SOBRE SOLO, COM COMPACTADOR DE SOLOS TIPO PLACA VIBRATÓRIA. AF_09/2021</v>
      </c>
      <c r="G70" s="207" t="str">
        <f ca="1">IF($D70&lt;&gt;"Serviço","",OFFSET(ORÇAMENTO!S$15,ROW(G70)-ROW(G$15),0))</f>
        <v>M2</v>
      </c>
      <c r="H70" s="151">
        <f ca="1">IF($D70&lt;&gt;"Serviço",0,IF(ACOMPANHAMENTO="BM",ROUND(OFFSET(ORÇAMENTO!AJ$15,ROW(H70)-ROW(H$15),0),15-13*ORÇAMENTO!$AF$7),SUMPRODUCT(($Q$12:$AA$12&lt;&gt;"")*ROUND($Q70:$AA70,15-13*ORÇAMENTO!$AF$7))))</f>
        <v>680</v>
      </c>
      <c r="I70" s="649"/>
      <c r="K70" s="208"/>
      <c r="L70" s="209" t="s">
        <v>255</v>
      </c>
      <c r="M70" s="210">
        <f ca="1">IF($D70&lt;&gt;"Serviço","",IF(AUTOEVENTO="manual",$A70,IF(ISERROR(MATCH($A70,$A$15:OFFSET($A70,-1,0),0)),MAX($M$15:OFFSET(M70,-1,0))+1,INDEX($M$15:OFFSET(M70,-1,0),MATCH($A70,$A$15:OFFSET($A70,-1,0),0)))))</f>
        <v>12</v>
      </c>
      <c r="N70" s="211" t="str">
        <f ca="1">IF($D70&lt;&gt;"Serviço","",IF(AUTOEVENTO="Manual",IF($A70=0,"&lt;-- defina o número do agrupador",OFFSET(EVENTOS!$D$14,$A70,0)),OFFSET($F$15,$A70,0)))</f>
        <v>PISO</v>
      </c>
      <c r="O70" s="212"/>
      <c r="Q70" s="212"/>
      <c r="R70" s="213"/>
      <c r="S70" s="213"/>
      <c r="T70" s="213"/>
      <c r="U70" s="213"/>
      <c r="V70" s="213"/>
      <c r="W70" s="213"/>
      <c r="X70" s="213"/>
      <c r="Y70" s="213"/>
      <c r="Z70" s="214"/>
      <c r="AB70" s="630">
        <f ca="1">IF(AND($D70="Serviço",AB$12&lt;&gt;0,$H70&gt;0,OR(AUTOEVENTO&lt;&gt;"manual",$M70&lt;&gt;1)),
IF(Import.TipoArredondamento&lt;&gt;"TransfereGOV",
ROUND(OFFSET($P70,0,AB$13),15-13*ORÇAMENTO!$AF$7)/$H70*OFFSET(ORÇAMENTO!$X$15,ROW(AB70)-ROW(AB$15),0),
ROUND(ROUND(OFFSET($P70,0,AB$13),15-13*ORÇAMENTO!$AF$7)*OFFSET(ORÇAMENTO!$W$15,ROW(AB70)-ROW(AB$15),0),15-13*ORÇAMENTO!$AF$11)),0)</f>
        <v>0</v>
      </c>
      <c r="AC70" s="631">
        <f ca="1">IF(AND($D70="Serviço",AC$12&lt;&gt;0,$H70&gt;0,OR(AUTOEVENTO&lt;&gt;"manual",$M70&lt;&gt;1)),
IF(Import.TipoArredondamento&lt;&gt;"TransfereGOV",
ROUND(OFFSET($P70,0,AC$13),15-13*ORÇAMENTO!$AF$7)/$H70*OFFSET(ORÇAMENTO!$X$15,ROW(AC70)-ROW(AC$15),0),
ROUND(ROUND(OFFSET($P70,0,AC$13),15-13*ORÇAMENTO!$AF$7)*OFFSET(ORÇAMENTO!$W$15,ROW(AC70)-ROW(AC$15),0),15-13*ORÇAMENTO!$AF$11)),0)</f>
        <v>0</v>
      </c>
      <c r="AD70" s="631">
        <f ca="1">IF(AND($D70="Serviço",AD$12&lt;&gt;0,$H70&gt;0,OR(AUTOEVENTO&lt;&gt;"manual",$M70&lt;&gt;1)),
IF(Import.TipoArredondamento&lt;&gt;"TransfereGOV",
ROUND(OFFSET($P70,0,AD$13),15-13*ORÇAMENTO!$AF$7)/$H70*OFFSET(ORÇAMENTO!$X$15,ROW(AD70)-ROW(AD$15),0),
ROUND(ROUND(OFFSET($P70,0,AD$13),15-13*ORÇAMENTO!$AF$7)*OFFSET(ORÇAMENTO!$W$15,ROW(AD70)-ROW(AD$15),0),15-13*ORÇAMENTO!$AF$11)),0)</f>
        <v>0</v>
      </c>
      <c r="AE70" s="631">
        <f ca="1">IF(AND($D70="Serviço",AE$12&lt;&gt;0,$H70&gt;0,OR(AUTOEVENTO&lt;&gt;"manual",$M70&lt;&gt;1)),
IF(Import.TipoArredondamento&lt;&gt;"TransfereGOV",
ROUND(OFFSET($P70,0,AE$13),15-13*ORÇAMENTO!$AF$7)/$H70*OFFSET(ORÇAMENTO!$X$15,ROW(AE70)-ROW(AE$15),0),
ROUND(ROUND(OFFSET($P70,0,AE$13),15-13*ORÇAMENTO!$AF$7)*OFFSET(ORÇAMENTO!$W$15,ROW(AE70)-ROW(AE$15),0),15-13*ORÇAMENTO!$AF$11)),0)</f>
        <v>0</v>
      </c>
      <c r="AF70" s="631">
        <f ca="1">IF(AND($D70="Serviço",AF$12&lt;&gt;0,$H70&gt;0,OR(AUTOEVENTO&lt;&gt;"manual",$M70&lt;&gt;1)),
IF(Import.TipoArredondamento&lt;&gt;"TransfereGOV",
ROUND(OFFSET($P70,0,AF$13),15-13*ORÇAMENTO!$AF$7)/$H70*OFFSET(ORÇAMENTO!$X$15,ROW(AF70)-ROW(AF$15),0),
ROUND(ROUND(OFFSET($P70,0,AF$13),15-13*ORÇAMENTO!$AF$7)*OFFSET(ORÇAMENTO!$W$15,ROW(AF70)-ROW(AF$15),0),15-13*ORÇAMENTO!$AF$11)),0)</f>
        <v>0</v>
      </c>
      <c r="AG70" s="631">
        <f ca="1">IF(AND($D70="Serviço",AG$12&lt;&gt;0,$H70&gt;0,OR(AUTOEVENTO&lt;&gt;"manual",$M70&lt;&gt;1)),
IF(Import.TipoArredondamento&lt;&gt;"TransfereGOV",
ROUND(OFFSET($P70,0,AG$13),15-13*ORÇAMENTO!$AF$7)/$H70*OFFSET(ORÇAMENTO!$X$15,ROW(AG70)-ROW(AG$15),0),
ROUND(ROUND(OFFSET($P70,0,AG$13),15-13*ORÇAMENTO!$AF$7)*OFFSET(ORÇAMENTO!$W$15,ROW(AG70)-ROW(AG$15),0),15-13*ORÇAMENTO!$AF$11)),0)</f>
        <v>0</v>
      </c>
      <c r="AH70" s="631">
        <f ca="1">IF(AND($D70="Serviço",AH$12&lt;&gt;0,$H70&gt;0,OR(AUTOEVENTO&lt;&gt;"manual",$M70&lt;&gt;1)),
IF(Import.TipoArredondamento&lt;&gt;"TransfereGOV",
ROUND(OFFSET($P70,0,AH$13),15-13*ORÇAMENTO!$AF$7)/$H70*OFFSET(ORÇAMENTO!$X$15,ROW(AH70)-ROW(AH$15),0),
ROUND(ROUND(OFFSET($P70,0,AH$13),15-13*ORÇAMENTO!$AF$7)*OFFSET(ORÇAMENTO!$W$15,ROW(AH70)-ROW(AH$15),0),15-13*ORÇAMENTO!$AF$11)),0)</f>
        <v>0</v>
      </c>
      <c r="AI70" s="631">
        <f ca="1">IF(AND($D70="Serviço",AI$12&lt;&gt;0,$H70&gt;0,OR(AUTOEVENTO&lt;&gt;"manual",$M70&lt;&gt;1)),
IF(Import.TipoArredondamento&lt;&gt;"TransfereGOV",
ROUND(OFFSET($P70,0,AI$13),15-13*ORÇAMENTO!$AF$7)/$H70*OFFSET(ORÇAMENTO!$X$15,ROW(AI70)-ROW(AI$15),0),
ROUND(ROUND(OFFSET($P70,0,AI$13),15-13*ORÇAMENTO!$AF$7)*OFFSET(ORÇAMENTO!$W$15,ROW(AI70)-ROW(AI$15),0),15-13*ORÇAMENTO!$AF$11)),0)</f>
        <v>0</v>
      </c>
      <c r="AJ70" s="631">
        <f ca="1">IF(AND($D70="Serviço",AJ$12&lt;&gt;0,$H70&gt;0,OR(AUTOEVENTO&lt;&gt;"manual",$M70&lt;&gt;1)),
IF(Import.TipoArredondamento&lt;&gt;"TransfereGOV",
ROUND(OFFSET($P70,0,AJ$13),15-13*ORÇAMENTO!$AF$7)/$H70*OFFSET(ORÇAMENTO!$X$15,ROW(AJ70)-ROW(AJ$15),0),
ROUND(ROUND(OFFSET($P70,0,AJ$13),15-13*ORÇAMENTO!$AF$7)*OFFSET(ORÇAMENTO!$W$15,ROW(AJ70)-ROW(AJ$15),0),15-13*ORÇAMENTO!$AF$11)),0)</f>
        <v>0</v>
      </c>
      <c r="AK70" s="632">
        <f ca="1">IF(AND($D70="Serviço",AK$12&lt;&gt;0,$H70&gt;0,OR(AUTOEVENTO&lt;&gt;"manual",$M70&lt;&gt;1)),
IF(Import.TipoArredondamento&lt;&gt;"TransfereGOV",
ROUND(OFFSET($P70,0,AK$13),15-13*ORÇAMENTO!$AF$7)/$H70*OFFSET(ORÇAMENTO!$X$15,ROW(AK70)-ROW(AK$15),0),
ROUND(ROUND(OFFSET($P70,0,AK$13),15-13*ORÇAMENTO!$AF$7)*OFFSET(ORÇAMENTO!$W$15,ROW(AK70)-ROW(AK$15),0),15-13*ORÇAMENTO!$AF$11)),0)</f>
        <v>0</v>
      </c>
      <c r="AM70" s="215">
        <f ca="1">IF($D70&lt;&gt;"Serviço",0,IF(AND(AUTOEVENTO="Manual",$M70=1),0,IF(OFFSET(CRONOPLE!$F$14,$M70,AM$13)="",10^12,OFFSET(CRONOPLE!$F$14,$M70,AM$13))))</f>
        <v>1000000000000</v>
      </c>
      <c r="AN70" s="215">
        <f ca="1">IF($D70&lt;&gt;"Serviço",0,IF(AND(AUTOEVENTO="Manual",$M70=1),0,IF(OFFSET(CRONOPLE!$F$14,$M70,AN$13)="",10^12,OFFSET(CRONOPLE!$F$14,$M70,AN$13))))</f>
        <v>1000000000000</v>
      </c>
      <c r="AO70" s="215">
        <f ca="1">IF($D70&lt;&gt;"Serviço",0,IF(AND(AUTOEVENTO="Manual",$M70=1),0,IF(OFFSET(CRONOPLE!$F$14,$M70,AO$13)="",10^12,OFFSET(CRONOPLE!$F$14,$M70,AO$13))))</f>
        <v>1000000000000</v>
      </c>
      <c r="AP70" s="215">
        <f ca="1">IF($D70&lt;&gt;"Serviço",0,IF(AND(AUTOEVENTO="Manual",$M70=1),0,IF(OFFSET(CRONOPLE!$F$14,$M70,AP$13)="",10^12,OFFSET(CRONOPLE!$F$14,$M70,AP$13))))</f>
        <v>1000000000000</v>
      </c>
      <c r="AQ70" s="215">
        <f ca="1">IF($D70&lt;&gt;"Serviço",0,IF(AND(AUTOEVENTO="Manual",$M70=1),0,IF(OFFSET(CRONOPLE!$F$14,$M70,AQ$13)="",10^12,OFFSET(CRONOPLE!$F$14,$M70,AQ$13))))</f>
        <v>1000000000000</v>
      </c>
      <c r="AR70" s="215">
        <f ca="1">IF($D70&lt;&gt;"Serviço",0,IF(AND(AUTOEVENTO="Manual",$M70=1),0,IF(OFFSET(CRONOPLE!$F$14,$M70,AR$13)="",10^12,OFFSET(CRONOPLE!$F$14,$M70,AR$13))))</f>
        <v>1000000000000</v>
      </c>
      <c r="AS70" s="215">
        <f ca="1">IF($D70&lt;&gt;"Serviço",0,IF(AND(AUTOEVENTO="Manual",$M70=1),0,IF(OFFSET(CRONOPLE!$F$14,$M70,AS$13)="",10^12,OFFSET(CRONOPLE!$F$14,$M70,AS$13))))</f>
        <v>1000000000000</v>
      </c>
      <c r="AT70" s="215">
        <f ca="1">IF($D70&lt;&gt;"Serviço",0,IF(AND(AUTOEVENTO="Manual",$M70=1),0,IF(OFFSET(CRONOPLE!$F$14,$M70,AT$13)="",10^12,OFFSET(CRONOPLE!$F$14,$M70,AT$13))))</f>
        <v>1000000000000</v>
      </c>
      <c r="AU70" s="215">
        <f ca="1">IF($D70&lt;&gt;"Serviço",0,IF(AND(AUTOEVENTO="Manual",$M70=1),0,IF(OFFSET(CRONOPLE!$F$14,$M70,AU$13)="",10^12,OFFSET(CRONOPLE!$F$14,$M70,AU$13))))</f>
        <v>1000000000000</v>
      </c>
      <c r="AV70" s="215">
        <f ca="1">IF($D70&lt;&gt;"Serviço",0,IF(AND(AUTOEVENTO="Manual",$M70=1),0,IF(OFFSET(CRONOPLE!$F$14,$M70,AV$13)="",10^12,OFFSET(CRONOPLE!$F$14,$M70,AV$13))))</f>
        <v>1000000000000</v>
      </c>
      <c r="AX70" s="216">
        <f ca="1">IF($D70&lt;&gt;"Serviço",0,IF(OR(AND(AUTOEVENTO="Manual",$M70=1),$M70&gt;(ROW(PLE.lastrow)-ROW(PLE.firstrow))),0,IF(OFFSET(PLE!$G$14,$M70,AX$13)="",10^12,OFFSET(PLE!$G$14,$M70,AX$13))))</f>
        <v>1000000000000</v>
      </c>
      <c r="AY70" s="216">
        <f ca="1">IF($D70&lt;&gt;"Serviço",0,IF(OR(AND(AUTOEVENTO="Manual",$M70=1),$M70&gt;(ROW(PLE.lastrow)-ROW(PLE.firstrow))),0,IF(OFFSET(PLE!$G$14,$M70,AY$13)="",10^12,OFFSET(PLE!$G$14,$M70,AY$13))))</f>
        <v>1000000000000</v>
      </c>
      <c r="AZ70" s="216">
        <f ca="1">IF($D70&lt;&gt;"Serviço",0,IF(OR(AND(AUTOEVENTO="Manual",$M70=1),$M70&gt;(ROW(PLE.lastrow)-ROW(PLE.firstrow))),0,IF(OFFSET(PLE!$G$14,$M70,AZ$13)="",10^12,OFFSET(PLE!$G$14,$M70,AZ$13))))</f>
        <v>1000000000000</v>
      </c>
      <c r="BA70" s="216">
        <f ca="1">IF($D70&lt;&gt;"Serviço",0,IF(OR(AND(AUTOEVENTO="Manual",$M70=1),$M70&gt;(ROW(PLE.lastrow)-ROW(PLE.firstrow))),0,IF(OFFSET(PLE!$G$14,$M70,BA$13)="",10^12,OFFSET(PLE!$G$14,$M70,BA$13))))</f>
        <v>1000000000000</v>
      </c>
      <c r="BB70" s="216">
        <f ca="1">IF($D70&lt;&gt;"Serviço",0,IF(OR(AND(AUTOEVENTO="Manual",$M70=1),$M70&gt;(ROW(PLE.lastrow)-ROW(PLE.firstrow))),0,IF(OFFSET(PLE!$G$14,$M70,BB$13)="",10^12,OFFSET(PLE!$G$14,$M70,BB$13))))</f>
        <v>1000000000000</v>
      </c>
      <c r="BC70" s="216">
        <f ca="1">IF($D70&lt;&gt;"Serviço",0,IF(OR(AND(AUTOEVENTO="Manual",$M70=1),$M70&gt;(ROW(PLE.lastrow)-ROW(PLE.firstrow))),0,IF(OFFSET(PLE!$G$14,$M70,BC$13)="",10^12,OFFSET(PLE!$G$14,$M70,BC$13))))</f>
        <v>1000000000000</v>
      </c>
      <c r="BD70" s="216">
        <f ca="1">IF($D70&lt;&gt;"Serviço",0,IF(OR(AND(AUTOEVENTO="Manual",$M70=1),$M70&gt;(ROW(PLE.lastrow)-ROW(PLE.firstrow))),0,IF(OFFSET(PLE!$G$14,$M70,BD$13)="",10^12,OFFSET(PLE!$G$14,$M70,BD$13))))</f>
        <v>1000000000000</v>
      </c>
      <c r="BE70" s="216">
        <f ca="1">IF($D70&lt;&gt;"Serviço",0,IF(OR(AND(AUTOEVENTO="Manual",$M70=1),$M70&gt;(ROW(PLE.lastrow)-ROW(PLE.firstrow))),0,IF(OFFSET(PLE!$G$14,$M70,BE$13)="",10^12,OFFSET(PLE!$G$14,$M70,BE$13))))</f>
        <v>1000000000000</v>
      </c>
      <c r="BF70" s="216">
        <f ca="1">IF($D70&lt;&gt;"Serviço",0,IF(OR(AND(AUTOEVENTO="Manual",$M70=1),$M70&gt;(ROW(PLE.lastrow)-ROW(PLE.firstrow))),0,IF(OFFSET(PLE!$G$14,$M70,BF$13)="",10^12,OFFSET(PLE!$G$14,$M70,BF$13))))</f>
        <v>1000000000000</v>
      </c>
      <c r="BG70" s="216">
        <f ca="1">IF($D70&lt;&gt;"Serviço",0,IF(OR(AND(AUTOEVENTO="Manual",$M70=1),$M70&gt;(ROW(PLE.lastrow)-ROW(PLE.firstrow))),0,IF(OFFSET(PLE!$G$14,$M70,BG$13)="",10^12,OFFSET(PLE!$G$14,$M70,BG$13))))</f>
        <v>1000000000000</v>
      </c>
    </row>
    <row r="71" spans="1:59" ht="38.25" x14ac:dyDescent="0.2">
      <c r="A71" s="9" t="str">
        <f t="shared" ca="1" si="9"/>
        <v>53</v>
      </c>
      <c r="B71" s="9" t="str">
        <f ca="1">OFFSET(ORÇAMENTO!C$15,ROW(B71)-ROW(B$15),0)</f>
        <v>S</v>
      </c>
      <c r="C71" s="9" t="str">
        <f ca="1">OFFSET(ORÇAMENTO!L$15,ROW(C71)-ROW(C$15),0)</f>
        <v/>
      </c>
      <c r="D71" s="145" t="str">
        <f ca="1">OFFSET(ORÇAMENTO!N$15,ROW(D71)-ROW(D$15),0)</f>
        <v>Serviço</v>
      </c>
      <c r="E71" s="205" t="str">
        <f ca="1">OFFSET(ORÇAMENTO!O$15,ROW(E71)-ROW(E$15),0)</f>
        <v>-</v>
      </c>
      <c r="F71" s="206" t="str">
        <f ca="1">OFFSET(ORÇAMENTO!R$15,ROW(F71)-ROW(F$15),0)</f>
        <v>LASTRO COM MATERIAL GRANULAR (PEDRA BRITADA N.1 E PEDRA BRITADA N.2), APLICADO EM PISOS OU LAJES SOBRE SOLO, ESPESSURA DE *10 CM*. AF_01/2024</v>
      </c>
      <c r="G71" s="207" t="str">
        <f ca="1">IF($D71&lt;&gt;"Serviço","",OFFSET(ORÇAMENTO!S$15,ROW(G71)-ROW(G$15),0))</f>
        <v>M3</v>
      </c>
      <c r="H71" s="151">
        <f ca="1">IF($D71&lt;&gt;"Serviço",0,IF(ACOMPANHAMENTO="BM",ROUND(OFFSET(ORÇAMENTO!AJ$15,ROW(H71)-ROW(H$15),0),15-13*ORÇAMENTO!$AF$7),SUMPRODUCT(($Q$12:$AA$12&lt;&gt;"")*ROUND($Q71:$AA71,15-13*ORÇAMENTO!$AF$7))))</f>
        <v>34.03</v>
      </c>
      <c r="I71" s="649"/>
      <c r="K71" s="208"/>
      <c r="L71" s="209" t="s">
        <v>255</v>
      </c>
      <c r="M71" s="210">
        <f ca="1">IF($D71&lt;&gt;"Serviço","",IF(AUTOEVENTO="manual",$A71,IF(ISERROR(MATCH($A71,$A$15:OFFSET($A71,-1,0),0)),MAX($M$15:OFFSET(M71,-1,0))+1,INDEX($M$15:OFFSET(M71,-1,0),MATCH($A71,$A$15:OFFSET($A71,-1,0),0)))))</f>
        <v>12</v>
      </c>
      <c r="N71" s="211" t="str">
        <f ca="1">IF($D71&lt;&gt;"Serviço","",IF(AUTOEVENTO="Manual",IF($A71=0,"&lt;-- defina o número do agrupador",OFFSET(EVENTOS!$D$14,$A71,0)),OFFSET($F$15,$A71,0)))</f>
        <v>PISO</v>
      </c>
      <c r="O71" s="212"/>
      <c r="Q71" s="212"/>
      <c r="R71" s="213"/>
      <c r="S71" s="213"/>
      <c r="T71" s="213"/>
      <c r="U71" s="213"/>
      <c r="V71" s="213"/>
      <c r="W71" s="213"/>
      <c r="X71" s="213"/>
      <c r="Y71" s="213"/>
      <c r="Z71" s="214"/>
      <c r="AB71" s="630">
        <f ca="1">IF(AND($D71="Serviço",AB$12&lt;&gt;0,$H71&gt;0,OR(AUTOEVENTO&lt;&gt;"manual",$M71&lt;&gt;1)),
IF(Import.TipoArredondamento&lt;&gt;"TransfereGOV",
ROUND(OFFSET($P71,0,AB$13),15-13*ORÇAMENTO!$AF$7)/$H71*OFFSET(ORÇAMENTO!$X$15,ROW(AB71)-ROW(AB$15),0),
ROUND(ROUND(OFFSET($P71,0,AB$13),15-13*ORÇAMENTO!$AF$7)*OFFSET(ORÇAMENTO!$W$15,ROW(AB71)-ROW(AB$15),0),15-13*ORÇAMENTO!$AF$11)),0)</f>
        <v>0</v>
      </c>
      <c r="AC71" s="631">
        <f ca="1">IF(AND($D71="Serviço",AC$12&lt;&gt;0,$H71&gt;0,OR(AUTOEVENTO&lt;&gt;"manual",$M71&lt;&gt;1)),
IF(Import.TipoArredondamento&lt;&gt;"TransfereGOV",
ROUND(OFFSET($P71,0,AC$13),15-13*ORÇAMENTO!$AF$7)/$H71*OFFSET(ORÇAMENTO!$X$15,ROW(AC71)-ROW(AC$15),0),
ROUND(ROUND(OFFSET($P71,0,AC$13),15-13*ORÇAMENTO!$AF$7)*OFFSET(ORÇAMENTO!$W$15,ROW(AC71)-ROW(AC$15),0),15-13*ORÇAMENTO!$AF$11)),0)</f>
        <v>0</v>
      </c>
      <c r="AD71" s="631">
        <f ca="1">IF(AND($D71="Serviço",AD$12&lt;&gt;0,$H71&gt;0,OR(AUTOEVENTO&lt;&gt;"manual",$M71&lt;&gt;1)),
IF(Import.TipoArredondamento&lt;&gt;"TransfereGOV",
ROUND(OFFSET($P71,0,AD$13),15-13*ORÇAMENTO!$AF$7)/$H71*OFFSET(ORÇAMENTO!$X$15,ROW(AD71)-ROW(AD$15),0),
ROUND(ROUND(OFFSET($P71,0,AD$13),15-13*ORÇAMENTO!$AF$7)*OFFSET(ORÇAMENTO!$W$15,ROW(AD71)-ROW(AD$15),0),15-13*ORÇAMENTO!$AF$11)),0)</f>
        <v>0</v>
      </c>
      <c r="AE71" s="631">
        <f ca="1">IF(AND($D71="Serviço",AE$12&lt;&gt;0,$H71&gt;0,OR(AUTOEVENTO&lt;&gt;"manual",$M71&lt;&gt;1)),
IF(Import.TipoArredondamento&lt;&gt;"TransfereGOV",
ROUND(OFFSET($P71,0,AE$13),15-13*ORÇAMENTO!$AF$7)/$H71*OFFSET(ORÇAMENTO!$X$15,ROW(AE71)-ROW(AE$15),0),
ROUND(ROUND(OFFSET($P71,0,AE$13),15-13*ORÇAMENTO!$AF$7)*OFFSET(ORÇAMENTO!$W$15,ROW(AE71)-ROW(AE$15),0),15-13*ORÇAMENTO!$AF$11)),0)</f>
        <v>0</v>
      </c>
      <c r="AF71" s="631">
        <f ca="1">IF(AND($D71="Serviço",AF$12&lt;&gt;0,$H71&gt;0,OR(AUTOEVENTO&lt;&gt;"manual",$M71&lt;&gt;1)),
IF(Import.TipoArredondamento&lt;&gt;"TransfereGOV",
ROUND(OFFSET($P71,0,AF$13),15-13*ORÇAMENTO!$AF$7)/$H71*OFFSET(ORÇAMENTO!$X$15,ROW(AF71)-ROW(AF$15),0),
ROUND(ROUND(OFFSET($P71,0,AF$13),15-13*ORÇAMENTO!$AF$7)*OFFSET(ORÇAMENTO!$W$15,ROW(AF71)-ROW(AF$15),0),15-13*ORÇAMENTO!$AF$11)),0)</f>
        <v>0</v>
      </c>
      <c r="AG71" s="631">
        <f ca="1">IF(AND($D71="Serviço",AG$12&lt;&gt;0,$H71&gt;0,OR(AUTOEVENTO&lt;&gt;"manual",$M71&lt;&gt;1)),
IF(Import.TipoArredondamento&lt;&gt;"TransfereGOV",
ROUND(OFFSET($P71,0,AG$13),15-13*ORÇAMENTO!$AF$7)/$H71*OFFSET(ORÇAMENTO!$X$15,ROW(AG71)-ROW(AG$15),0),
ROUND(ROUND(OFFSET($P71,0,AG$13),15-13*ORÇAMENTO!$AF$7)*OFFSET(ORÇAMENTO!$W$15,ROW(AG71)-ROW(AG$15),0),15-13*ORÇAMENTO!$AF$11)),0)</f>
        <v>0</v>
      </c>
      <c r="AH71" s="631">
        <f ca="1">IF(AND($D71="Serviço",AH$12&lt;&gt;0,$H71&gt;0,OR(AUTOEVENTO&lt;&gt;"manual",$M71&lt;&gt;1)),
IF(Import.TipoArredondamento&lt;&gt;"TransfereGOV",
ROUND(OFFSET($P71,0,AH$13),15-13*ORÇAMENTO!$AF$7)/$H71*OFFSET(ORÇAMENTO!$X$15,ROW(AH71)-ROW(AH$15),0),
ROUND(ROUND(OFFSET($P71,0,AH$13),15-13*ORÇAMENTO!$AF$7)*OFFSET(ORÇAMENTO!$W$15,ROW(AH71)-ROW(AH$15),0),15-13*ORÇAMENTO!$AF$11)),0)</f>
        <v>0</v>
      </c>
      <c r="AI71" s="631">
        <f ca="1">IF(AND($D71="Serviço",AI$12&lt;&gt;0,$H71&gt;0,OR(AUTOEVENTO&lt;&gt;"manual",$M71&lt;&gt;1)),
IF(Import.TipoArredondamento&lt;&gt;"TransfereGOV",
ROUND(OFFSET($P71,0,AI$13),15-13*ORÇAMENTO!$AF$7)/$H71*OFFSET(ORÇAMENTO!$X$15,ROW(AI71)-ROW(AI$15),0),
ROUND(ROUND(OFFSET($P71,0,AI$13),15-13*ORÇAMENTO!$AF$7)*OFFSET(ORÇAMENTO!$W$15,ROW(AI71)-ROW(AI$15),0),15-13*ORÇAMENTO!$AF$11)),0)</f>
        <v>0</v>
      </c>
      <c r="AJ71" s="631">
        <f ca="1">IF(AND($D71="Serviço",AJ$12&lt;&gt;0,$H71&gt;0,OR(AUTOEVENTO&lt;&gt;"manual",$M71&lt;&gt;1)),
IF(Import.TipoArredondamento&lt;&gt;"TransfereGOV",
ROUND(OFFSET($P71,0,AJ$13),15-13*ORÇAMENTO!$AF$7)/$H71*OFFSET(ORÇAMENTO!$X$15,ROW(AJ71)-ROW(AJ$15),0),
ROUND(ROUND(OFFSET($P71,0,AJ$13),15-13*ORÇAMENTO!$AF$7)*OFFSET(ORÇAMENTO!$W$15,ROW(AJ71)-ROW(AJ$15),0),15-13*ORÇAMENTO!$AF$11)),0)</f>
        <v>0</v>
      </c>
      <c r="AK71" s="632">
        <f ca="1">IF(AND($D71="Serviço",AK$12&lt;&gt;0,$H71&gt;0,OR(AUTOEVENTO&lt;&gt;"manual",$M71&lt;&gt;1)),
IF(Import.TipoArredondamento&lt;&gt;"TransfereGOV",
ROUND(OFFSET($P71,0,AK$13),15-13*ORÇAMENTO!$AF$7)/$H71*OFFSET(ORÇAMENTO!$X$15,ROW(AK71)-ROW(AK$15),0),
ROUND(ROUND(OFFSET($P71,0,AK$13),15-13*ORÇAMENTO!$AF$7)*OFFSET(ORÇAMENTO!$W$15,ROW(AK71)-ROW(AK$15),0),15-13*ORÇAMENTO!$AF$11)),0)</f>
        <v>0</v>
      </c>
      <c r="AM71" s="215">
        <f ca="1">IF($D71&lt;&gt;"Serviço",0,IF(AND(AUTOEVENTO="Manual",$M71=1),0,IF(OFFSET(CRONOPLE!$F$14,$M71,AM$13)="",10^12,OFFSET(CRONOPLE!$F$14,$M71,AM$13))))</f>
        <v>1000000000000</v>
      </c>
      <c r="AN71" s="215">
        <f ca="1">IF($D71&lt;&gt;"Serviço",0,IF(AND(AUTOEVENTO="Manual",$M71=1),0,IF(OFFSET(CRONOPLE!$F$14,$M71,AN$13)="",10^12,OFFSET(CRONOPLE!$F$14,$M71,AN$13))))</f>
        <v>1000000000000</v>
      </c>
      <c r="AO71" s="215">
        <f ca="1">IF($D71&lt;&gt;"Serviço",0,IF(AND(AUTOEVENTO="Manual",$M71=1),0,IF(OFFSET(CRONOPLE!$F$14,$M71,AO$13)="",10^12,OFFSET(CRONOPLE!$F$14,$M71,AO$13))))</f>
        <v>1000000000000</v>
      </c>
      <c r="AP71" s="215">
        <f ca="1">IF($D71&lt;&gt;"Serviço",0,IF(AND(AUTOEVENTO="Manual",$M71=1),0,IF(OFFSET(CRONOPLE!$F$14,$M71,AP$13)="",10^12,OFFSET(CRONOPLE!$F$14,$M71,AP$13))))</f>
        <v>1000000000000</v>
      </c>
      <c r="AQ71" s="215">
        <f ca="1">IF($D71&lt;&gt;"Serviço",0,IF(AND(AUTOEVENTO="Manual",$M71=1),0,IF(OFFSET(CRONOPLE!$F$14,$M71,AQ$13)="",10^12,OFFSET(CRONOPLE!$F$14,$M71,AQ$13))))</f>
        <v>1000000000000</v>
      </c>
      <c r="AR71" s="215">
        <f ca="1">IF($D71&lt;&gt;"Serviço",0,IF(AND(AUTOEVENTO="Manual",$M71=1),0,IF(OFFSET(CRONOPLE!$F$14,$M71,AR$13)="",10^12,OFFSET(CRONOPLE!$F$14,$M71,AR$13))))</f>
        <v>1000000000000</v>
      </c>
      <c r="AS71" s="215">
        <f ca="1">IF($D71&lt;&gt;"Serviço",0,IF(AND(AUTOEVENTO="Manual",$M71=1),0,IF(OFFSET(CRONOPLE!$F$14,$M71,AS$13)="",10^12,OFFSET(CRONOPLE!$F$14,$M71,AS$13))))</f>
        <v>1000000000000</v>
      </c>
      <c r="AT71" s="215">
        <f ca="1">IF($D71&lt;&gt;"Serviço",0,IF(AND(AUTOEVENTO="Manual",$M71=1),0,IF(OFFSET(CRONOPLE!$F$14,$M71,AT$13)="",10^12,OFFSET(CRONOPLE!$F$14,$M71,AT$13))))</f>
        <v>1000000000000</v>
      </c>
      <c r="AU71" s="215">
        <f ca="1">IF($D71&lt;&gt;"Serviço",0,IF(AND(AUTOEVENTO="Manual",$M71=1),0,IF(OFFSET(CRONOPLE!$F$14,$M71,AU$13)="",10^12,OFFSET(CRONOPLE!$F$14,$M71,AU$13))))</f>
        <v>1000000000000</v>
      </c>
      <c r="AV71" s="215">
        <f ca="1">IF($D71&lt;&gt;"Serviço",0,IF(AND(AUTOEVENTO="Manual",$M71=1),0,IF(OFFSET(CRONOPLE!$F$14,$M71,AV$13)="",10^12,OFFSET(CRONOPLE!$F$14,$M71,AV$13))))</f>
        <v>1000000000000</v>
      </c>
      <c r="AX71" s="216">
        <f ca="1">IF($D71&lt;&gt;"Serviço",0,IF(OR(AND(AUTOEVENTO="Manual",$M71=1),$M71&gt;(ROW(PLE.lastrow)-ROW(PLE.firstrow))),0,IF(OFFSET(PLE!$G$14,$M71,AX$13)="",10^12,OFFSET(PLE!$G$14,$M71,AX$13))))</f>
        <v>1000000000000</v>
      </c>
      <c r="AY71" s="216">
        <f ca="1">IF($D71&lt;&gt;"Serviço",0,IF(OR(AND(AUTOEVENTO="Manual",$M71=1),$M71&gt;(ROW(PLE.lastrow)-ROW(PLE.firstrow))),0,IF(OFFSET(PLE!$G$14,$M71,AY$13)="",10^12,OFFSET(PLE!$G$14,$M71,AY$13))))</f>
        <v>1000000000000</v>
      </c>
      <c r="AZ71" s="216">
        <f ca="1">IF($D71&lt;&gt;"Serviço",0,IF(OR(AND(AUTOEVENTO="Manual",$M71=1),$M71&gt;(ROW(PLE.lastrow)-ROW(PLE.firstrow))),0,IF(OFFSET(PLE!$G$14,$M71,AZ$13)="",10^12,OFFSET(PLE!$G$14,$M71,AZ$13))))</f>
        <v>1000000000000</v>
      </c>
      <c r="BA71" s="216">
        <f ca="1">IF($D71&lt;&gt;"Serviço",0,IF(OR(AND(AUTOEVENTO="Manual",$M71=1),$M71&gt;(ROW(PLE.lastrow)-ROW(PLE.firstrow))),0,IF(OFFSET(PLE!$G$14,$M71,BA$13)="",10^12,OFFSET(PLE!$G$14,$M71,BA$13))))</f>
        <v>1000000000000</v>
      </c>
      <c r="BB71" s="216">
        <f ca="1">IF($D71&lt;&gt;"Serviço",0,IF(OR(AND(AUTOEVENTO="Manual",$M71=1),$M71&gt;(ROW(PLE.lastrow)-ROW(PLE.firstrow))),0,IF(OFFSET(PLE!$G$14,$M71,BB$13)="",10^12,OFFSET(PLE!$G$14,$M71,BB$13))))</f>
        <v>1000000000000</v>
      </c>
      <c r="BC71" s="216">
        <f ca="1">IF($D71&lt;&gt;"Serviço",0,IF(OR(AND(AUTOEVENTO="Manual",$M71=1),$M71&gt;(ROW(PLE.lastrow)-ROW(PLE.firstrow))),0,IF(OFFSET(PLE!$G$14,$M71,BC$13)="",10^12,OFFSET(PLE!$G$14,$M71,BC$13))))</f>
        <v>1000000000000</v>
      </c>
      <c r="BD71" s="216">
        <f ca="1">IF($D71&lt;&gt;"Serviço",0,IF(OR(AND(AUTOEVENTO="Manual",$M71=1),$M71&gt;(ROW(PLE.lastrow)-ROW(PLE.firstrow))),0,IF(OFFSET(PLE!$G$14,$M71,BD$13)="",10^12,OFFSET(PLE!$G$14,$M71,BD$13))))</f>
        <v>1000000000000</v>
      </c>
      <c r="BE71" s="216">
        <f ca="1">IF($D71&lt;&gt;"Serviço",0,IF(OR(AND(AUTOEVENTO="Manual",$M71=1),$M71&gt;(ROW(PLE.lastrow)-ROW(PLE.firstrow))),0,IF(OFFSET(PLE!$G$14,$M71,BE$13)="",10^12,OFFSET(PLE!$G$14,$M71,BE$13))))</f>
        <v>1000000000000</v>
      </c>
      <c r="BF71" s="216">
        <f ca="1">IF($D71&lt;&gt;"Serviço",0,IF(OR(AND(AUTOEVENTO="Manual",$M71=1),$M71&gt;(ROW(PLE.lastrow)-ROW(PLE.firstrow))),0,IF(OFFSET(PLE!$G$14,$M71,BF$13)="",10^12,OFFSET(PLE!$G$14,$M71,BF$13))))</f>
        <v>1000000000000</v>
      </c>
      <c r="BG71" s="216">
        <f ca="1">IF($D71&lt;&gt;"Serviço",0,IF(OR(AND(AUTOEVENTO="Manual",$M71=1),$M71&gt;(ROW(PLE.lastrow)-ROW(PLE.firstrow))),0,IF(OFFSET(PLE!$G$14,$M71,BG$13)="",10^12,OFFSET(PLE!$G$14,$M71,BG$13))))</f>
        <v>1000000000000</v>
      </c>
    </row>
    <row r="72" spans="1:59" ht="38.25" x14ac:dyDescent="0.2">
      <c r="A72" s="9" t="str">
        <f t="shared" ca="1" si="9"/>
        <v>53</v>
      </c>
      <c r="B72" s="9" t="str">
        <f ca="1">OFFSET(ORÇAMENTO!C$15,ROW(B72)-ROW(B$15),0)</f>
        <v>S</v>
      </c>
      <c r="C72" s="9" t="str">
        <f ca="1">OFFSET(ORÇAMENTO!L$15,ROW(C72)-ROW(C$15),0)</f>
        <v/>
      </c>
      <c r="D72" s="145" t="str">
        <f ca="1">OFFSET(ORÇAMENTO!N$15,ROW(D72)-ROW(D$15),0)</f>
        <v>Serviço</v>
      </c>
      <c r="E72" s="205" t="str">
        <f ca="1">OFFSET(ORÇAMENTO!O$15,ROW(E72)-ROW(E$15),0)</f>
        <v>-</v>
      </c>
      <c r="F72" s="206" t="str">
        <f ca="1">OFFSET(ORÇAMENTO!R$15,ROW(F72)-ROW(F$15),0)</f>
        <v>EXECUÇÃO DE PASSEIO (CALÇADA) OU PISO DE CONCRETO COM CONCRETO MOLDADO IN LOCO, FEITO EM OBRA, ACABAMENTO CONVENCIONAL, ESPESSURA 8 CM, ARMADO. AF_08/2022</v>
      </c>
      <c r="G72" s="207" t="str">
        <f ca="1">IF($D72&lt;&gt;"Serviço","",OFFSET(ORÇAMENTO!S$15,ROW(G72)-ROW(G$15),0))</f>
        <v>M2</v>
      </c>
      <c r="H72" s="151">
        <f ca="1">IF($D72&lt;&gt;"Serviço",0,IF(ACOMPANHAMENTO="BM",ROUND(OFFSET(ORÇAMENTO!AJ$15,ROW(H72)-ROW(H$15),0),15-13*ORÇAMENTO!$AF$7),SUMPRODUCT(($Q$12:$AA$12&lt;&gt;"")*ROUND($Q72:$AA72,15-13*ORÇAMENTO!$AF$7))))</f>
        <v>680</v>
      </c>
      <c r="I72" s="649"/>
      <c r="K72" s="208"/>
      <c r="L72" s="209" t="s">
        <v>255</v>
      </c>
      <c r="M72" s="210">
        <f ca="1">IF($D72&lt;&gt;"Serviço","",IF(AUTOEVENTO="manual",$A72,IF(ISERROR(MATCH($A72,$A$15:OFFSET($A72,-1,0),0)),MAX($M$15:OFFSET(M72,-1,0))+1,INDEX($M$15:OFFSET(M72,-1,0),MATCH($A72,$A$15:OFFSET($A72,-1,0),0)))))</f>
        <v>12</v>
      </c>
      <c r="N72" s="211" t="str">
        <f ca="1">IF($D72&lt;&gt;"Serviço","",IF(AUTOEVENTO="Manual",IF($A72=0,"&lt;-- defina o número do agrupador",OFFSET(EVENTOS!$D$14,$A72,0)),OFFSET($F$15,$A72,0)))</f>
        <v>PISO</v>
      </c>
      <c r="O72" s="212"/>
      <c r="Q72" s="212"/>
      <c r="R72" s="213"/>
      <c r="S72" s="213"/>
      <c r="T72" s="213"/>
      <c r="U72" s="213"/>
      <c r="V72" s="213"/>
      <c r="W72" s="213"/>
      <c r="X72" s="213"/>
      <c r="Y72" s="213"/>
      <c r="Z72" s="214"/>
      <c r="AB72" s="630">
        <f ca="1">IF(AND($D72="Serviço",AB$12&lt;&gt;0,$H72&gt;0,OR(AUTOEVENTO&lt;&gt;"manual",$M72&lt;&gt;1)),
IF(Import.TipoArredondamento&lt;&gt;"TransfereGOV",
ROUND(OFFSET($P72,0,AB$13),15-13*ORÇAMENTO!$AF$7)/$H72*OFFSET(ORÇAMENTO!$X$15,ROW(AB72)-ROW(AB$15),0),
ROUND(ROUND(OFFSET($P72,0,AB$13),15-13*ORÇAMENTO!$AF$7)*OFFSET(ORÇAMENTO!$W$15,ROW(AB72)-ROW(AB$15),0),15-13*ORÇAMENTO!$AF$11)),0)</f>
        <v>0</v>
      </c>
      <c r="AC72" s="631">
        <f ca="1">IF(AND($D72="Serviço",AC$12&lt;&gt;0,$H72&gt;0,OR(AUTOEVENTO&lt;&gt;"manual",$M72&lt;&gt;1)),
IF(Import.TipoArredondamento&lt;&gt;"TransfereGOV",
ROUND(OFFSET($P72,0,AC$13),15-13*ORÇAMENTO!$AF$7)/$H72*OFFSET(ORÇAMENTO!$X$15,ROW(AC72)-ROW(AC$15),0),
ROUND(ROUND(OFFSET($P72,0,AC$13),15-13*ORÇAMENTO!$AF$7)*OFFSET(ORÇAMENTO!$W$15,ROW(AC72)-ROW(AC$15),0),15-13*ORÇAMENTO!$AF$11)),0)</f>
        <v>0</v>
      </c>
      <c r="AD72" s="631">
        <f ca="1">IF(AND($D72="Serviço",AD$12&lt;&gt;0,$H72&gt;0,OR(AUTOEVENTO&lt;&gt;"manual",$M72&lt;&gt;1)),
IF(Import.TipoArredondamento&lt;&gt;"TransfereGOV",
ROUND(OFFSET($P72,0,AD$13),15-13*ORÇAMENTO!$AF$7)/$H72*OFFSET(ORÇAMENTO!$X$15,ROW(AD72)-ROW(AD$15),0),
ROUND(ROUND(OFFSET($P72,0,AD$13),15-13*ORÇAMENTO!$AF$7)*OFFSET(ORÇAMENTO!$W$15,ROW(AD72)-ROW(AD$15),0),15-13*ORÇAMENTO!$AF$11)),0)</f>
        <v>0</v>
      </c>
      <c r="AE72" s="631">
        <f ca="1">IF(AND($D72="Serviço",AE$12&lt;&gt;0,$H72&gt;0,OR(AUTOEVENTO&lt;&gt;"manual",$M72&lt;&gt;1)),
IF(Import.TipoArredondamento&lt;&gt;"TransfereGOV",
ROUND(OFFSET($P72,0,AE$13),15-13*ORÇAMENTO!$AF$7)/$H72*OFFSET(ORÇAMENTO!$X$15,ROW(AE72)-ROW(AE$15),0),
ROUND(ROUND(OFFSET($P72,0,AE$13),15-13*ORÇAMENTO!$AF$7)*OFFSET(ORÇAMENTO!$W$15,ROW(AE72)-ROW(AE$15),0),15-13*ORÇAMENTO!$AF$11)),0)</f>
        <v>0</v>
      </c>
      <c r="AF72" s="631">
        <f ca="1">IF(AND($D72="Serviço",AF$12&lt;&gt;0,$H72&gt;0,OR(AUTOEVENTO&lt;&gt;"manual",$M72&lt;&gt;1)),
IF(Import.TipoArredondamento&lt;&gt;"TransfereGOV",
ROUND(OFFSET($P72,0,AF$13),15-13*ORÇAMENTO!$AF$7)/$H72*OFFSET(ORÇAMENTO!$X$15,ROW(AF72)-ROW(AF$15),0),
ROUND(ROUND(OFFSET($P72,0,AF$13),15-13*ORÇAMENTO!$AF$7)*OFFSET(ORÇAMENTO!$W$15,ROW(AF72)-ROW(AF$15),0),15-13*ORÇAMENTO!$AF$11)),0)</f>
        <v>0</v>
      </c>
      <c r="AG72" s="631">
        <f ca="1">IF(AND($D72="Serviço",AG$12&lt;&gt;0,$H72&gt;0,OR(AUTOEVENTO&lt;&gt;"manual",$M72&lt;&gt;1)),
IF(Import.TipoArredondamento&lt;&gt;"TransfereGOV",
ROUND(OFFSET($P72,0,AG$13),15-13*ORÇAMENTO!$AF$7)/$H72*OFFSET(ORÇAMENTO!$X$15,ROW(AG72)-ROW(AG$15),0),
ROUND(ROUND(OFFSET($P72,0,AG$13),15-13*ORÇAMENTO!$AF$7)*OFFSET(ORÇAMENTO!$W$15,ROW(AG72)-ROW(AG$15),0),15-13*ORÇAMENTO!$AF$11)),0)</f>
        <v>0</v>
      </c>
      <c r="AH72" s="631">
        <f ca="1">IF(AND($D72="Serviço",AH$12&lt;&gt;0,$H72&gt;0,OR(AUTOEVENTO&lt;&gt;"manual",$M72&lt;&gt;1)),
IF(Import.TipoArredondamento&lt;&gt;"TransfereGOV",
ROUND(OFFSET($P72,0,AH$13),15-13*ORÇAMENTO!$AF$7)/$H72*OFFSET(ORÇAMENTO!$X$15,ROW(AH72)-ROW(AH$15),0),
ROUND(ROUND(OFFSET($P72,0,AH$13),15-13*ORÇAMENTO!$AF$7)*OFFSET(ORÇAMENTO!$W$15,ROW(AH72)-ROW(AH$15),0),15-13*ORÇAMENTO!$AF$11)),0)</f>
        <v>0</v>
      </c>
      <c r="AI72" s="631">
        <f ca="1">IF(AND($D72="Serviço",AI$12&lt;&gt;0,$H72&gt;0,OR(AUTOEVENTO&lt;&gt;"manual",$M72&lt;&gt;1)),
IF(Import.TipoArredondamento&lt;&gt;"TransfereGOV",
ROUND(OFFSET($P72,0,AI$13),15-13*ORÇAMENTO!$AF$7)/$H72*OFFSET(ORÇAMENTO!$X$15,ROW(AI72)-ROW(AI$15),0),
ROUND(ROUND(OFFSET($P72,0,AI$13),15-13*ORÇAMENTO!$AF$7)*OFFSET(ORÇAMENTO!$W$15,ROW(AI72)-ROW(AI$15),0),15-13*ORÇAMENTO!$AF$11)),0)</f>
        <v>0</v>
      </c>
      <c r="AJ72" s="631">
        <f ca="1">IF(AND($D72="Serviço",AJ$12&lt;&gt;0,$H72&gt;0,OR(AUTOEVENTO&lt;&gt;"manual",$M72&lt;&gt;1)),
IF(Import.TipoArredondamento&lt;&gt;"TransfereGOV",
ROUND(OFFSET($P72,0,AJ$13),15-13*ORÇAMENTO!$AF$7)/$H72*OFFSET(ORÇAMENTO!$X$15,ROW(AJ72)-ROW(AJ$15),0),
ROUND(ROUND(OFFSET($P72,0,AJ$13),15-13*ORÇAMENTO!$AF$7)*OFFSET(ORÇAMENTO!$W$15,ROW(AJ72)-ROW(AJ$15),0),15-13*ORÇAMENTO!$AF$11)),0)</f>
        <v>0</v>
      </c>
      <c r="AK72" s="632">
        <f ca="1">IF(AND($D72="Serviço",AK$12&lt;&gt;0,$H72&gt;0,OR(AUTOEVENTO&lt;&gt;"manual",$M72&lt;&gt;1)),
IF(Import.TipoArredondamento&lt;&gt;"TransfereGOV",
ROUND(OFFSET($P72,0,AK$13),15-13*ORÇAMENTO!$AF$7)/$H72*OFFSET(ORÇAMENTO!$X$15,ROW(AK72)-ROW(AK$15),0),
ROUND(ROUND(OFFSET($P72,0,AK$13),15-13*ORÇAMENTO!$AF$7)*OFFSET(ORÇAMENTO!$W$15,ROW(AK72)-ROW(AK$15),0),15-13*ORÇAMENTO!$AF$11)),0)</f>
        <v>0</v>
      </c>
      <c r="AM72" s="215">
        <f ca="1">IF($D72&lt;&gt;"Serviço",0,IF(AND(AUTOEVENTO="Manual",$M72=1),0,IF(OFFSET(CRONOPLE!$F$14,$M72,AM$13)="",10^12,OFFSET(CRONOPLE!$F$14,$M72,AM$13))))</f>
        <v>1000000000000</v>
      </c>
      <c r="AN72" s="215">
        <f ca="1">IF($D72&lt;&gt;"Serviço",0,IF(AND(AUTOEVENTO="Manual",$M72=1),0,IF(OFFSET(CRONOPLE!$F$14,$M72,AN$13)="",10^12,OFFSET(CRONOPLE!$F$14,$M72,AN$13))))</f>
        <v>1000000000000</v>
      </c>
      <c r="AO72" s="215">
        <f ca="1">IF($D72&lt;&gt;"Serviço",0,IF(AND(AUTOEVENTO="Manual",$M72=1),0,IF(OFFSET(CRONOPLE!$F$14,$M72,AO$13)="",10^12,OFFSET(CRONOPLE!$F$14,$M72,AO$13))))</f>
        <v>1000000000000</v>
      </c>
      <c r="AP72" s="215">
        <f ca="1">IF($D72&lt;&gt;"Serviço",0,IF(AND(AUTOEVENTO="Manual",$M72=1),0,IF(OFFSET(CRONOPLE!$F$14,$M72,AP$13)="",10^12,OFFSET(CRONOPLE!$F$14,$M72,AP$13))))</f>
        <v>1000000000000</v>
      </c>
      <c r="AQ72" s="215">
        <f ca="1">IF($D72&lt;&gt;"Serviço",0,IF(AND(AUTOEVENTO="Manual",$M72=1),0,IF(OFFSET(CRONOPLE!$F$14,$M72,AQ$13)="",10^12,OFFSET(CRONOPLE!$F$14,$M72,AQ$13))))</f>
        <v>1000000000000</v>
      </c>
      <c r="AR72" s="215">
        <f ca="1">IF($D72&lt;&gt;"Serviço",0,IF(AND(AUTOEVENTO="Manual",$M72=1),0,IF(OFFSET(CRONOPLE!$F$14,$M72,AR$13)="",10^12,OFFSET(CRONOPLE!$F$14,$M72,AR$13))))</f>
        <v>1000000000000</v>
      </c>
      <c r="AS72" s="215">
        <f ca="1">IF($D72&lt;&gt;"Serviço",0,IF(AND(AUTOEVENTO="Manual",$M72=1),0,IF(OFFSET(CRONOPLE!$F$14,$M72,AS$13)="",10^12,OFFSET(CRONOPLE!$F$14,$M72,AS$13))))</f>
        <v>1000000000000</v>
      </c>
      <c r="AT72" s="215">
        <f ca="1">IF($D72&lt;&gt;"Serviço",0,IF(AND(AUTOEVENTO="Manual",$M72=1),0,IF(OFFSET(CRONOPLE!$F$14,$M72,AT$13)="",10^12,OFFSET(CRONOPLE!$F$14,$M72,AT$13))))</f>
        <v>1000000000000</v>
      </c>
      <c r="AU72" s="215">
        <f ca="1">IF($D72&lt;&gt;"Serviço",0,IF(AND(AUTOEVENTO="Manual",$M72=1),0,IF(OFFSET(CRONOPLE!$F$14,$M72,AU$13)="",10^12,OFFSET(CRONOPLE!$F$14,$M72,AU$13))))</f>
        <v>1000000000000</v>
      </c>
      <c r="AV72" s="215">
        <f ca="1">IF($D72&lt;&gt;"Serviço",0,IF(AND(AUTOEVENTO="Manual",$M72=1),0,IF(OFFSET(CRONOPLE!$F$14,$M72,AV$13)="",10^12,OFFSET(CRONOPLE!$F$14,$M72,AV$13))))</f>
        <v>1000000000000</v>
      </c>
      <c r="AX72" s="216">
        <f ca="1">IF($D72&lt;&gt;"Serviço",0,IF(OR(AND(AUTOEVENTO="Manual",$M72=1),$M72&gt;(ROW(PLE.lastrow)-ROW(PLE.firstrow))),0,IF(OFFSET(PLE!$G$14,$M72,AX$13)="",10^12,OFFSET(PLE!$G$14,$M72,AX$13))))</f>
        <v>1000000000000</v>
      </c>
      <c r="AY72" s="216">
        <f ca="1">IF($D72&lt;&gt;"Serviço",0,IF(OR(AND(AUTOEVENTO="Manual",$M72=1),$M72&gt;(ROW(PLE.lastrow)-ROW(PLE.firstrow))),0,IF(OFFSET(PLE!$G$14,$M72,AY$13)="",10^12,OFFSET(PLE!$G$14,$M72,AY$13))))</f>
        <v>1000000000000</v>
      </c>
      <c r="AZ72" s="216">
        <f ca="1">IF($D72&lt;&gt;"Serviço",0,IF(OR(AND(AUTOEVENTO="Manual",$M72=1),$M72&gt;(ROW(PLE.lastrow)-ROW(PLE.firstrow))),0,IF(OFFSET(PLE!$G$14,$M72,AZ$13)="",10^12,OFFSET(PLE!$G$14,$M72,AZ$13))))</f>
        <v>1000000000000</v>
      </c>
      <c r="BA72" s="216">
        <f ca="1">IF($D72&lt;&gt;"Serviço",0,IF(OR(AND(AUTOEVENTO="Manual",$M72=1),$M72&gt;(ROW(PLE.lastrow)-ROW(PLE.firstrow))),0,IF(OFFSET(PLE!$G$14,$M72,BA$13)="",10^12,OFFSET(PLE!$G$14,$M72,BA$13))))</f>
        <v>1000000000000</v>
      </c>
      <c r="BB72" s="216">
        <f ca="1">IF($D72&lt;&gt;"Serviço",0,IF(OR(AND(AUTOEVENTO="Manual",$M72=1),$M72&gt;(ROW(PLE.lastrow)-ROW(PLE.firstrow))),0,IF(OFFSET(PLE!$G$14,$M72,BB$13)="",10^12,OFFSET(PLE!$G$14,$M72,BB$13))))</f>
        <v>1000000000000</v>
      </c>
      <c r="BC72" s="216">
        <f ca="1">IF($D72&lt;&gt;"Serviço",0,IF(OR(AND(AUTOEVENTO="Manual",$M72=1),$M72&gt;(ROW(PLE.lastrow)-ROW(PLE.firstrow))),0,IF(OFFSET(PLE!$G$14,$M72,BC$13)="",10^12,OFFSET(PLE!$G$14,$M72,BC$13))))</f>
        <v>1000000000000</v>
      </c>
      <c r="BD72" s="216">
        <f ca="1">IF($D72&lt;&gt;"Serviço",0,IF(OR(AND(AUTOEVENTO="Manual",$M72=1),$M72&gt;(ROW(PLE.lastrow)-ROW(PLE.firstrow))),0,IF(OFFSET(PLE!$G$14,$M72,BD$13)="",10^12,OFFSET(PLE!$G$14,$M72,BD$13))))</f>
        <v>1000000000000</v>
      </c>
      <c r="BE72" s="216">
        <f ca="1">IF($D72&lt;&gt;"Serviço",0,IF(OR(AND(AUTOEVENTO="Manual",$M72=1),$M72&gt;(ROW(PLE.lastrow)-ROW(PLE.firstrow))),0,IF(OFFSET(PLE!$G$14,$M72,BE$13)="",10^12,OFFSET(PLE!$G$14,$M72,BE$13))))</f>
        <v>1000000000000</v>
      </c>
      <c r="BF72" s="216">
        <f ca="1">IF($D72&lt;&gt;"Serviço",0,IF(OR(AND(AUTOEVENTO="Manual",$M72=1),$M72&gt;(ROW(PLE.lastrow)-ROW(PLE.firstrow))),0,IF(OFFSET(PLE!$G$14,$M72,BF$13)="",10^12,OFFSET(PLE!$G$14,$M72,BF$13))))</f>
        <v>1000000000000</v>
      </c>
      <c r="BG72" s="216">
        <f ca="1">IF($D72&lt;&gt;"Serviço",0,IF(OR(AND(AUTOEVENTO="Manual",$M72=1),$M72&gt;(ROW(PLE.lastrow)-ROW(PLE.firstrow))),0,IF(OFFSET(PLE!$G$14,$M72,BG$13)="",10^12,OFFSET(PLE!$G$14,$M72,BG$13))))</f>
        <v>1000000000000</v>
      </c>
    </row>
    <row r="73" spans="1:59" ht="38.25" x14ac:dyDescent="0.2">
      <c r="A73" s="9" t="str">
        <f t="shared" ca="1" si="9"/>
        <v>53</v>
      </c>
      <c r="B73" s="9" t="str">
        <f ca="1">OFFSET(ORÇAMENTO!C$15,ROW(B73)-ROW(B$15),0)</f>
        <v>S</v>
      </c>
      <c r="C73" s="9" t="str">
        <f ca="1">OFFSET(ORÇAMENTO!L$15,ROW(C73)-ROW(C$15),0)</f>
        <v/>
      </c>
      <c r="D73" s="145" t="str">
        <f ca="1">OFFSET(ORÇAMENTO!N$15,ROW(D73)-ROW(D$15),0)</f>
        <v>Serviço</v>
      </c>
      <c r="E73" s="205" t="str">
        <f ca="1">OFFSET(ORÇAMENTO!O$15,ROW(E73)-ROW(E$15),0)</f>
        <v>-</v>
      </c>
      <c r="F73" s="206" t="str">
        <f ca="1">OFFSET(ORÇAMENTO!R$15,ROW(F73)-ROW(F$15),0)</f>
        <v>REVESTIMENTO CERÂMICO PARA PISO COM PLACAS TIPO PORCELANATO DE DIMENSÕES 45X45 CM APLICADA EM AMBIENTES DE ÁREA ENTRE 5 M² E 10 M². AF_02/2023_PE</v>
      </c>
      <c r="G73" s="207" t="str">
        <f ca="1">IF($D73&lt;&gt;"Serviço","",OFFSET(ORÇAMENTO!S$15,ROW(G73)-ROW(G$15),0))</f>
        <v>M2</v>
      </c>
      <c r="H73" s="151">
        <f ca="1">IF($D73&lt;&gt;"Serviço",0,IF(ACOMPANHAMENTO="BM",ROUND(OFFSET(ORÇAMENTO!AJ$15,ROW(H73)-ROW(H$15),0),15-13*ORÇAMENTO!$AF$7),SUMPRODUCT(($Q$12:$AA$12&lt;&gt;"")*ROUND($Q73:$AA73,15-13*ORÇAMENTO!$AF$7))))</f>
        <v>665</v>
      </c>
      <c r="I73" s="649"/>
      <c r="K73" s="208"/>
      <c r="L73" s="209" t="s">
        <v>255</v>
      </c>
      <c r="M73" s="210">
        <f ca="1">IF($D73&lt;&gt;"Serviço","",IF(AUTOEVENTO="manual",$A73,IF(ISERROR(MATCH($A73,$A$15:OFFSET($A73,-1,0),0)),MAX($M$15:OFFSET(M73,-1,0))+1,INDEX($M$15:OFFSET(M73,-1,0),MATCH($A73,$A$15:OFFSET($A73,-1,0),0)))))</f>
        <v>12</v>
      </c>
      <c r="N73" s="211" t="str">
        <f ca="1">IF($D73&lt;&gt;"Serviço","",IF(AUTOEVENTO="Manual",IF($A73=0,"&lt;-- defina o número do agrupador",OFFSET(EVENTOS!$D$14,$A73,0)),OFFSET($F$15,$A73,0)))</f>
        <v>PISO</v>
      </c>
      <c r="O73" s="212"/>
      <c r="Q73" s="212"/>
      <c r="R73" s="213"/>
      <c r="S73" s="213"/>
      <c r="T73" s="213"/>
      <c r="U73" s="213"/>
      <c r="V73" s="213"/>
      <c r="W73" s="213"/>
      <c r="X73" s="213"/>
      <c r="Y73" s="213"/>
      <c r="Z73" s="214"/>
      <c r="AB73" s="630">
        <f ca="1">IF(AND($D73="Serviço",AB$12&lt;&gt;0,$H73&gt;0,OR(AUTOEVENTO&lt;&gt;"manual",$M73&lt;&gt;1)),
IF(Import.TipoArredondamento&lt;&gt;"TransfereGOV",
ROUND(OFFSET($P73,0,AB$13),15-13*ORÇAMENTO!$AF$7)/$H73*OFFSET(ORÇAMENTO!$X$15,ROW(AB73)-ROW(AB$15),0),
ROUND(ROUND(OFFSET($P73,0,AB$13),15-13*ORÇAMENTO!$AF$7)*OFFSET(ORÇAMENTO!$W$15,ROW(AB73)-ROW(AB$15),0),15-13*ORÇAMENTO!$AF$11)),0)</f>
        <v>0</v>
      </c>
      <c r="AC73" s="631">
        <f ca="1">IF(AND($D73="Serviço",AC$12&lt;&gt;0,$H73&gt;0,OR(AUTOEVENTO&lt;&gt;"manual",$M73&lt;&gt;1)),
IF(Import.TipoArredondamento&lt;&gt;"TransfereGOV",
ROUND(OFFSET($P73,0,AC$13),15-13*ORÇAMENTO!$AF$7)/$H73*OFFSET(ORÇAMENTO!$X$15,ROW(AC73)-ROW(AC$15),0),
ROUND(ROUND(OFFSET($P73,0,AC$13),15-13*ORÇAMENTO!$AF$7)*OFFSET(ORÇAMENTO!$W$15,ROW(AC73)-ROW(AC$15),0),15-13*ORÇAMENTO!$AF$11)),0)</f>
        <v>0</v>
      </c>
      <c r="AD73" s="631">
        <f ca="1">IF(AND($D73="Serviço",AD$12&lt;&gt;0,$H73&gt;0,OR(AUTOEVENTO&lt;&gt;"manual",$M73&lt;&gt;1)),
IF(Import.TipoArredondamento&lt;&gt;"TransfereGOV",
ROUND(OFFSET($P73,0,AD$13),15-13*ORÇAMENTO!$AF$7)/$H73*OFFSET(ORÇAMENTO!$X$15,ROW(AD73)-ROW(AD$15),0),
ROUND(ROUND(OFFSET($P73,0,AD$13),15-13*ORÇAMENTO!$AF$7)*OFFSET(ORÇAMENTO!$W$15,ROW(AD73)-ROW(AD$15),0),15-13*ORÇAMENTO!$AF$11)),0)</f>
        <v>0</v>
      </c>
      <c r="AE73" s="631">
        <f ca="1">IF(AND($D73="Serviço",AE$12&lt;&gt;0,$H73&gt;0,OR(AUTOEVENTO&lt;&gt;"manual",$M73&lt;&gt;1)),
IF(Import.TipoArredondamento&lt;&gt;"TransfereGOV",
ROUND(OFFSET($P73,0,AE$13),15-13*ORÇAMENTO!$AF$7)/$H73*OFFSET(ORÇAMENTO!$X$15,ROW(AE73)-ROW(AE$15),0),
ROUND(ROUND(OFFSET($P73,0,AE$13),15-13*ORÇAMENTO!$AF$7)*OFFSET(ORÇAMENTO!$W$15,ROW(AE73)-ROW(AE$15),0),15-13*ORÇAMENTO!$AF$11)),0)</f>
        <v>0</v>
      </c>
      <c r="AF73" s="631">
        <f ca="1">IF(AND($D73="Serviço",AF$12&lt;&gt;0,$H73&gt;0,OR(AUTOEVENTO&lt;&gt;"manual",$M73&lt;&gt;1)),
IF(Import.TipoArredondamento&lt;&gt;"TransfereGOV",
ROUND(OFFSET($P73,0,AF$13),15-13*ORÇAMENTO!$AF$7)/$H73*OFFSET(ORÇAMENTO!$X$15,ROW(AF73)-ROW(AF$15),0),
ROUND(ROUND(OFFSET($P73,0,AF$13),15-13*ORÇAMENTO!$AF$7)*OFFSET(ORÇAMENTO!$W$15,ROW(AF73)-ROW(AF$15),0),15-13*ORÇAMENTO!$AF$11)),0)</f>
        <v>0</v>
      </c>
      <c r="AG73" s="631">
        <f ca="1">IF(AND($D73="Serviço",AG$12&lt;&gt;0,$H73&gt;0,OR(AUTOEVENTO&lt;&gt;"manual",$M73&lt;&gt;1)),
IF(Import.TipoArredondamento&lt;&gt;"TransfereGOV",
ROUND(OFFSET($P73,0,AG$13),15-13*ORÇAMENTO!$AF$7)/$H73*OFFSET(ORÇAMENTO!$X$15,ROW(AG73)-ROW(AG$15),0),
ROUND(ROUND(OFFSET($P73,0,AG$13),15-13*ORÇAMENTO!$AF$7)*OFFSET(ORÇAMENTO!$W$15,ROW(AG73)-ROW(AG$15),0),15-13*ORÇAMENTO!$AF$11)),0)</f>
        <v>0</v>
      </c>
      <c r="AH73" s="631">
        <f ca="1">IF(AND($D73="Serviço",AH$12&lt;&gt;0,$H73&gt;0,OR(AUTOEVENTO&lt;&gt;"manual",$M73&lt;&gt;1)),
IF(Import.TipoArredondamento&lt;&gt;"TransfereGOV",
ROUND(OFFSET($P73,0,AH$13),15-13*ORÇAMENTO!$AF$7)/$H73*OFFSET(ORÇAMENTO!$X$15,ROW(AH73)-ROW(AH$15),0),
ROUND(ROUND(OFFSET($P73,0,AH$13),15-13*ORÇAMENTO!$AF$7)*OFFSET(ORÇAMENTO!$W$15,ROW(AH73)-ROW(AH$15),0),15-13*ORÇAMENTO!$AF$11)),0)</f>
        <v>0</v>
      </c>
      <c r="AI73" s="631">
        <f ca="1">IF(AND($D73="Serviço",AI$12&lt;&gt;0,$H73&gt;0,OR(AUTOEVENTO&lt;&gt;"manual",$M73&lt;&gt;1)),
IF(Import.TipoArredondamento&lt;&gt;"TransfereGOV",
ROUND(OFFSET($P73,0,AI$13),15-13*ORÇAMENTO!$AF$7)/$H73*OFFSET(ORÇAMENTO!$X$15,ROW(AI73)-ROW(AI$15),0),
ROUND(ROUND(OFFSET($P73,0,AI$13),15-13*ORÇAMENTO!$AF$7)*OFFSET(ORÇAMENTO!$W$15,ROW(AI73)-ROW(AI$15),0),15-13*ORÇAMENTO!$AF$11)),0)</f>
        <v>0</v>
      </c>
      <c r="AJ73" s="631">
        <f ca="1">IF(AND($D73="Serviço",AJ$12&lt;&gt;0,$H73&gt;0,OR(AUTOEVENTO&lt;&gt;"manual",$M73&lt;&gt;1)),
IF(Import.TipoArredondamento&lt;&gt;"TransfereGOV",
ROUND(OFFSET($P73,0,AJ$13),15-13*ORÇAMENTO!$AF$7)/$H73*OFFSET(ORÇAMENTO!$X$15,ROW(AJ73)-ROW(AJ$15),0),
ROUND(ROUND(OFFSET($P73,0,AJ$13),15-13*ORÇAMENTO!$AF$7)*OFFSET(ORÇAMENTO!$W$15,ROW(AJ73)-ROW(AJ$15),0),15-13*ORÇAMENTO!$AF$11)),0)</f>
        <v>0</v>
      </c>
      <c r="AK73" s="632">
        <f ca="1">IF(AND($D73="Serviço",AK$12&lt;&gt;0,$H73&gt;0,OR(AUTOEVENTO&lt;&gt;"manual",$M73&lt;&gt;1)),
IF(Import.TipoArredondamento&lt;&gt;"TransfereGOV",
ROUND(OFFSET($P73,0,AK$13),15-13*ORÇAMENTO!$AF$7)/$H73*OFFSET(ORÇAMENTO!$X$15,ROW(AK73)-ROW(AK$15),0),
ROUND(ROUND(OFFSET($P73,0,AK$13),15-13*ORÇAMENTO!$AF$7)*OFFSET(ORÇAMENTO!$W$15,ROW(AK73)-ROW(AK$15),0),15-13*ORÇAMENTO!$AF$11)),0)</f>
        <v>0</v>
      </c>
      <c r="AM73" s="215">
        <f ca="1">IF($D73&lt;&gt;"Serviço",0,IF(AND(AUTOEVENTO="Manual",$M73=1),0,IF(OFFSET(CRONOPLE!$F$14,$M73,AM$13)="",10^12,OFFSET(CRONOPLE!$F$14,$M73,AM$13))))</f>
        <v>1000000000000</v>
      </c>
      <c r="AN73" s="215">
        <f ca="1">IF($D73&lt;&gt;"Serviço",0,IF(AND(AUTOEVENTO="Manual",$M73=1),0,IF(OFFSET(CRONOPLE!$F$14,$M73,AN$13)="",10^12,OFFSET(CRONOPLE!$F$14,$M73,AN$13))))</f>
        <v>1000000000000</v>
      </c>
      <c r="AO73" s="215">
        <f ca="1">IF($D73&lt;&gt;"Serviço",0,IF(AND(AUTOEVENTO="Manual",$M73=1),0,IF(OFFSET(CRONOPLE!$F$14,$M73,AO$13)="",10^12,OFFSET(CRONOPLE!$F$14,$M73,AO$13))))</f>
        <v>1000000000000</v>
      </c>
      <c r="AP73" s="215">
        <f ca="1">IF($D73&lt;&gt;"Serviço",0,IF(AND(AUTOEVENTO="Manual",$M73=1),0,IF(OFFSET(CRONOPLE!$F$14,$M73,AP$13)="",10^12,OFFSET(CRONOPLE!$F$14,$M73,AP$13))))</f>
        <v>1000000000000</v>
      </c>
      <c r="AQ73" s="215">
        <f ca="1">IF($D73&lt;&gt;"Serviço",0,IF(AND(AUTOEVENTO="Manual",$M73=1),0,IF(OFFSET(CRONOPLE!$F$14,$M73,AQ$13)="",10^12,OFFSET(CRONOPLE!$F$14,$M73,AQ$13))))</f>
        <v>1000000000000</v>
      </c>
      <c r="AR73" s="215">
        <f ca="1">IF($D73&lt;&gt;"Serviço",0,IF(AND(AUTOEVENTO="Manual",$M73=1),0,IF(OFFSET(CRONOPLE!$F$14,$M73,AR$13)="",10^12,OFFSET(CRONOPLE!$F$14,$M73,AR$13))))</f>
        <v>1000000000000</v>
      </c>
      <c r="AS73" s="215">
        <f ca="1">IF($D73&lt;&gt;"Serviço",0,IF(AND(AUTOEVENTO="Manual",$M73=1),0,IF(OFFSET(CRONOPLE!$F$14,$M73,AS$13)="",10^12,OFFSET(CRONOPLE!$F$14,$M73,AS$13))))</f>
        <v>1000000000000</v>
      </c>
      <c r="AT73" s="215">
        <f ca="1">IF($D73&lt;&gt;"Serviço",0,IF(AND(AUTOEVENTO="Manual",$M73=1),0,IF(OFFSET(CRONOPLE!$F$14,$M73,AT$13)="",10^12,OFFSET(CRONOPLE!$F$14,$M73,AT$13))))</f>
        <v>1000000000000</v>
      </c>
      <c r="AU73" s="215">
        <f ca="1">IF($D73&lt;&gt;"Serviço",0,IF(AND(AUTOEVENTO="Manual",$M73=1),0,IF(OFFSET(CRONOPLE!$F$14,$M73,AU$13)="",10^12,OFFSET(CRONOPLE!$F$14,$M73,AU$13))))</f>
        <v>1000000000000</v>
      </c>
      <c r="AV73" s="215">
        <f ca="1">IF($D73&lt;&gt;"Serviço",0,IF(AND(AUTOEVENTO="Manual",$M73=1),0,IF(OFFSET(CRONOPLE!$F$14,$M73,AV$13)="",10^12,OFFSET(CRONOPLE!$F$14,$M73,AV$13))))</f>
        <v>1000000000000</v>
      </c>
      <c r="AX73" s="216">
        <f ca="1">IF($D73&lt;&gt;"Serviço",0,IF(OR(AND(AUTOEVENTO="Manual",$M73=1),$M73&gt;(ROW(PLE.lastrow)-ROW(PLE.firstrow))),0,IF(OFFSET(PLE!$G$14,$M73,AX$13)="",10^12,OFFSET(PLE!$G$14,$M73,AX$13))))</f>
        <v>1000000000000</v>
      </c>
      <c r="AY73" s="216">
        <f ca="1">IF($D73&lt;&gt;"Serviço",0,IF(OR(AND(AUTOEVENTO="Manual",$M73=1),$M73&gt;(ROW(PLE.lastrow)-ROW(PLE.firstrow))),0,IF(OFFSET(PLE!$G$14,$M73,AY$13)="",10^12,OFFSET(PLE!$G$14,$M73,AY$13))))</f>
        <v>1000000000000</v>
      </c>
      <c r="AZ73" s="216">
        <f ca="1">IF($D73&lt;&gt;"Serviço",0,IF(OR(AND(AUTOEVENTO="Manual",$M73=1),$M73&gt;(ROW(PLE.lastrow)-ROW(PLE.firstrow))),0,IF(OFFSET(PLE!$G$14,$M73,AZ$13)="",10^12,OFFSET(PLE!$G$14,$M73,AZ$13))))</f>
        <v>1000000000000</v>
      </c>
      <c r="BA73" s="216">
        <f ca="1">IF($D73&lt;&gt;"Serviço",0,IF(OR(AND(AUTOEVENTO="Manual",$M73=1),$M73&gt;(ROW(PLE.lastrow)-ROW(PLE.firstrow))),0,IF(OFFSET(PLE!$G$14,$M73,BA$13)="",10^12,OFFSET(PLE!$G$14,$M73,BA$13))))</f>
        <v>1000000000000</v>
      </c>
      <c r="BB73" s="216">
        <f ca="1">IF($D73&lt;&gt;"Serviço",0,IF(OR(AND(AUTOEVENTO="Manual",$M73=1),$M73&gt;(ROW(PLE.lastrow)-ROW(PLE.firstrow))),0,IF(OFFSET(PLE!$G$14,$M73,BB$13)="",10^12,OFFSET(PLE!$G$14,$M73,BB$13))))</f>
        <v>1000000000000</v>
      </c>
      <c r="BC73" s="216">
        <f ca="1">IF($D73&lt;&gt;"Serviço",0,IF(OR(AND(AUTOEVENTO="Manual",$M73=1),$M73&gt;(ROW(PLE.lastrow)-ROW(PLE.firstrow))),0,IF(OFFSET(PLE!$G$14,$M73,BC$13)="",10^12,OFFSET(PLE!$G$14,$M73,BC$13))))</f>
        <v>1000000000000</v>
      </c>
      <c r="BD73" s="216">
        <f ca="1">IF($D73&lt;&gt;"Serviço",0,IF(OR(AND(AUTOEVENTO="Manual",$M73=1),$M73&gt;(ROW(PLE.lastrow)-ROW(PLE.firstrow))),0,IF(OFFSET(PLE!$G$14,$M73,BD$13)="",10^12,OFFSET(PLE!$G$14,$M73,BD$13))))</f>
        <v>1000000000000</v>
      </c>
      <c r="BE73" s="216">
        <f ca="1">IF($D73&lt;&gt;"Serviço",0,IF(OR(AND(AUTOEVENTO="Manual",$M73=1),$M73&gt;(ROW(PLE.lastrow)-ROW(PLE.firstrow))),0,IF(OFFSET(PLE!$G$14,$M73,BE$13)="",10^12,OFFSET(PLE!$G$14,$M73,BE$13))))</f>
        <v>1000000000000</v>
      </c>
      <c r="BF73" s="216">
        <f ca="1">IF($D73&lt;&gt;"Serviço",0,IF(OR(AND(AUTOEVENTO="Manual",$M73=1),$M73&gt;(ROW(PLE.lastrow)-ROW(PLE.firstrow))),0,IF(OFFSET(PLE!$G$14,$M73,BF$13)="",10^12,OFFSET(PLE!$G$14,$M73,BF$13))))</f>
        <v>1000000000000</v>
      </c>
      <c r="BG73" s="216">
        <f ca="1">IF($D73&lt;&gt;"Serviço",0,IF(OR(AND(AUTOEVENTO="Manual",$M73=1),$M73&gt;(ROW(PLE.lastrow)-ROW(PLE.firstrow))),0,IF(OFFSET(PLE!$G$14,$M73,BG$13)="",10^12,OFFSET(PLE!$G$14,$M73,BG$13))))</f>
        <v>1000000000000</v>
      </c>
    </row>
    <row r="74" spans="1:59" ht="25.5" x14ac:dyDescent="0.2">
      <c r="A74" s="9" t="str">
        <f t="shared" ca="1" si="9"/>
        <v>53</v>
      </c>
      <c r="B74" s="9" t="str">
        <f ca="1">OFFSET(ORÇAMENTO!C$15,ROW(B74)-ROW(B$15),0)</f>
        <v>S</v>
      </c>
      <c r="C74" s="9" t="str">
        <f ca="1">OFFSET(ORÇAMENTO!L$15,ROW(C74)-ROW(C$15),0)</f>
        <v/>
      </c>
      <c r="D74" s="145" t="str">
        <f ca="1">OFFSET(ORÇAMENTO!N$15,ROW(D74)-ROW(D$15),0)</f>
        <v>Serviço</v>
      </c>
      <c r="E74" s="205" t="str">
        <f ca="1">OFFSET(ORÇAMENTO!O$15,ROW(E74)-ROW(E$15),0)</f>
        <v>-</v>
      </c>
      <c r="F74" s="206" t="str">
        <f ca="1">OFFSET(ORÇAMENTO!R$15,ROW(F74)-ROW(F$15),0)</f>
        <v>RODAPÉ CERÂMICO DE 7CM DE ALTURA COM PLACAS TIPO ESMALTADA DE DIMENSÕES 60X60CM. AF_02/2023</v>
      </c>
      <c r="G74" s="207" t="str">
        <f ca="1">IF($D74&lt;&gt;"Serviço","",OFFSET(ORÇAMENTO!S$15,ROW(G74)-ROW(G$15),0))</f>
        <v>M</v>
      </c>
      <c r="H74" s="151">
        <f ca="1">IF($D74&lt;&gt;"Serviço",0,IF(ACOMPANHAMENTO="BM",ROUND(OFFSET(ORÇAMENTO!AJ$15,ROW(H74)-ROW(H$15),0),15-13*ORÇAMENTO!$AF$7),SUMPRODUCT(($Q$12:$AA$12&lt;&gt;"")*ROUND($Q74:$AA74,15-13*ORÇAMENTO!$AF$7))))</f>
        <v>101.9</v>
      </c>
      <c r="I74" s="649"/>
      <c r="K74" s="208"/>
      <c r="L74" s="209" t="s">
        <v>255</v>
      </c>
      <c r="M74" s="210">
        <f ca="1">IF($D74&lt;&gt;"Serviço","",IF(AUTOEVENTO="manual",$A74,IF(ISERROR(MATCH($A74,$A$15:OFFSET($A74,-1,0),0)),MAX($M$15:OFFSET(M74,-1,0))+1,INDEX($M$15:OFFSET(M74,-1,0),MATCH($A74,$A$15:OFFSET($A74,-1,0),0)))))</f>
        <v>12</v>
      </c>
      <c r="N74" s="211" t="str">
        <f ca="1">IF($D74&lt;&gt;"Serviço","",IF(AUTOEVENTO="Manual",IF($A74=0,"&lt;-- defina o número do agrupador",OFFSET(EVENTOS!$D$14,$A74,0)),OFFSET($F$15,$A74,0)))</f>
        <v>PISO</v>
      </c>
      <c r="O74" s="212"/>
      <c r="Q74" s="212"/>
      <c r="R74" s="213"/>
      <c r="S74" s="213"/>
      <c r="T74" s="213"/>
      <c r="U74" s="213"/>
      <c r="V74" s="213"/>
      <c r="W74" s="213"/>
      <c r="X74" s="213"/>
      <c r="Y74" s="213"/>
      <c r="Z74" s="214"/>
      <c r="AB74" s="630">
        <f ca="1">IF(AND($D74="Serviço",AB$12&lt;&gt;0,$H74&gt;0,OR(AUTOEVENTO&lt;&gt;"manual",$M74&lt;&gt;1)),
IF(Import.TipoArredondamento&lt;&gt;"TransfereGOV",
ROUND(OFFSET($P74,0,AB$13),15-13*ORÇAMENTO!$AF$7)/$H74*OFFSET(ORÇAMENTO!$X$15,ROW(AB74)-ROW(AB$15),0),
ROUND(ROUND(OFFSET($P74,0,AB$13),15-13*ORÇAMENTO!$AF$7)*OFFSET(ORÇAMENTO!$W$15,ROW(AB74)-ROW(AB$15),0),15-13*ORÇAMENTO!$AF$11)),0)</f>
        <v>0</v>
      </c>
      <c r="AC74" s="631">
        <f ca="1">IF(AND($D74="Serviço",AC$12&lt;&gt;0,$H74&gt;0,OR(AUTOEVENTO&lt;&gt;"manual",$M74&lt;&gt;1)),
IF(Import.TipoArredondamento&lt;&gt;"TransfereGOV",
ROUND(OFFSET($P74,0,AC$13),15-13*ORÇAMENTO!$AF$7)/$H74*OFFSET(ORÇAMENTO!$X$15,ROW(AC74)-ROW(AC$15),0),
ROUND(ROUND(OFFSET($P74,0,AC$13),15-13*ORÇAMENTO!$AF$7)*OFFSET(ORÇAMENTO!$W$15,ROW(AC74)-ROW(AC$15),0),15-13*ORÇAMENTO!$AF$11)),0)</f>
        <v>0</v>
      </c>
      <c r="AD74" s="631">
        <f ca="1">IF(AND($D74="Serviço",AD$12&lt;&gt;0,$H74&gt;0,OR(AUTOEVENTO&lt;&gt;"manual",$M74&lt;&gt;1)),
IF(Import.TipoArredondamento&lt;&gt;"TransfereGOV",
ROUND(OFFSET($P74,0,AD$13),15-13*ORÇAMENTO!$AF$7)/$H74*OFFSET(ORÇAMENTO!$X$15,ROW(AD74)-ROW(AD$15),0),
ROUND(ROUND(OFFSET($P74,0,AD$13),15-13*ORÇAMENTO!$AF$7)*OFFSET(ORÇAMENTO!$W$15,ROW(AD74)-ROW(AD$15),0),15-13*ORÇAMENTO!$AF$11)),0)</f>
        <v>0</v>
      </c>
      <c r="AE74" s="631">
        <f ca="1">IF(AND($D74="Serviço",AE$12&lt;&gt;0,$H74&gt;0,OR(AUTOEVENTO&lt;&gt;"manual",$M74&lt;&gt;1)),
IF(Import.TipoArredondamento&lt;&gt;"TransfereGOV",
ROUND(OFFSET($P74,0,AE$13),15-13*ORÇAMENTO!$AF$7)/$H74*OFFSET(ORÇAMENTO!$X$15,ROW(AE74)-ROW(AE$15),0),
ROUND(ROUND(OFFSET($P74,0,AE$13),15-13*ORÇAMENTO!$AF$7)*OFFSET(ORÇAMENTO!$W$15,ROW(AE74)-ROW(AE$15),0),15-13*ORÇAMENTO!$AF$11)),0)</f>
        <v>0</v>
      </c>
      <c r="AF74" s="631">
        <f ca="1">IF(AND($D74="Serviço",AF$12&lt;&gt;0,$H74&gt;0,OR(AUTOEVENTO&lt;&gt;"manual",$M74&lt;&gt;1)),
IF(Import.TipoArredondamento&lt;&gt;"TransfereGOV",
ROUND(OFFSET($P74,0,AF$13),15-13*ORÇAMENTO!$AF$7)/$H74*OFFSET(ORÇAMENTO!$X$15,ROW(AF74)-ROW(AF$15),0),
ROUND(ROUND(OFFSET($P74,0,AF$13),15-13*ORÇAMENTO!$AF$7)*OFFSET(ORÇAMENTO!$W$15,ROW(AF74)-ROW(AF$15),0),15-13*ORÇAMENTO!$AF$11)),0)</f>
        <v>0</v>
      </c>
      <c r="AG74" s="631">
        <f ca="1">IF(AND($D74="Serviço",AG$12&lt;&gt;0,$H74&gt;0,OR(AUTOEVENTO&lt;&gt;"manual",$M74&lt;&gt;1)),
IF(Import.TipoArredondamento&lt;&gt;"TransfereGOV",
ROUND(OFFSET($P74,0,AG$13),15-13*ORÇAMENTO!$AF$7)/$H74*OFFSET(ORÇAMENTO!$X$15,ROW(AG74)-ROW(AG$15),0),
ROUND(ROUND(OFFSET($P74,0,AG$13),15-13*ORÇAMENTO!$AF$7)*OFFSET(ORÇAMENTO!$W$15,ROW(AG74)-ROW(AG$15),0),15-13*ORÇAMENTO!$AF$11)),0)</f>
        <v>0</v>
      </c>
      <c r="AH74" s="631">
        <f ca="1">IF(AND($D74="Serviço",AH$12&lt;&gt;0,$H74&gt;0,OR(AUTOEVENTO&lt;&gt;"manual",$M74&lt;&gt;1)),
IF(Import.TipoArredondamento&lt;&gt;"TransfereGOV",
ROUND(OFFSET($P74,0,AH$13),15-13*ORÇAMENTO!$AF$7)/$H74*OFFSET(ORÇAMENTO!$X$15,ROW(AH74)-ROW(AH$15),0),
ROUND(ROUND(OFFSET($P74,0,AH$13),15-13*ORÇAMENTO!$AF$7)*OFFSET(ORÇAMENTO!$W$15,ROW(AH74)-ROW(AH$15),0),15-13*ORÇAMENTO!$AF$11)),0)</f>
        <v>0</v>
      </c>
      <c r="AI74" s="631">
        <f ca="1">IF(AND($D74="Serviço",AI$12&lt;&gt;0,$H74&gt;0,OR(AUTOEVENTO&lt;&gt;"manual",$M74&lt;&gt;1)),
IF(Import.TipoArredondamento&lt;&gt;"TransfereGOV",
ROUND(OFFSET($P74,0,AI$13),15-13*ORÇAMENTO!$AF$7)/$H74*OFFSET(ORÇAMENTO!$X$15,ROW(AI74)-ROW(AI$15),0),
ROUND(ROUND(OFFSET($P74,0,AI$13),15-13*ORÇAMENTO!$AF$7)*OFFSET(ORÇAMENTO!$W$15,ROW(AI74)-ROW(AI$15),0),15-13*ORÇAMENTO!$AF$11)),0)</f>
        <v>0</v>
      </c>
      <c r="AJ74" s="631">
        <f ca="1">IF(AND($D74="Serviço",AJ$12&lt;&gt;0,$H74&gt;0,OR(AUTOEVENTO&lt;&gt;"manual",$M74&lt;&gt;1)),
IF(Import.TipoArredondamento&lt;&gt;"TransfereGOV",
ROUND(OFFSET($P74,0,AJ$13),15-13*ORÇAMENTO!$AF$7)/$H74*OFFSET(ORÇAMENTO!$X$15,ROW(AJ74)-ROW(AJ$15),0),
ROUND(ROUND(OFFSET($P74,0,AJ$13),15-13*ORÇAMENTO!$AF$7)*OFFSET(ORÇAMENTO!$W$15,ROW(AJ74)-ROW(AJ$15),0),15-13*ORÇAMENTO!$AF$11)),0)</f>
        <v>0</v>
      </c>
      <c r="AK74" s="632">
        <f ca="1">IF(AND($D74="Serviço",AK$12&lt;&gt;0,$H74&gt;0,OR(AUTOEVENTO&lt;&gt;"manual",$M74&lt;&gt;1)),
IF(Import.TipoArredondamento&lt;&gt;"TransfereGOV",
ROUND(OFFSET($P74,0,AK$13),15-13*ORÇAMENTO!$AF$7)/$H74*OFFSET(ORÇAMENTO!$X$15,ROW(AK74)-ROW(AK$15),0),
ROUND(ROUND(OFFSET($P74,0,AK$13),15-13*ORÇAMENTO!$AF$7)*OFFSET(ORÇAMENTO!$W$15,ROW(AK74)-ROW(AK$15),0),15-13*ORÇAMENTO!$AF$11)),0)</f>
        <v>0</v>
      </c>
      <c r="AM74" s="215">
        <f ca="1">IF($D74&lt;&gt;"Serviço",0,IF(AND(AUTOEVENTO="Manual",$M74=1),0,IF(OFFSET(CRONOPLE!$F$14,$M74,AM$13)="",10^12,OFFSET(CRONOPLE!$F$14,$M74,AM$13))))</f>
        <v>1000000000000</v>
      </c>
      <c r="AN74" s="215">
        <f ca="1">IF($D74&lt;&gt;"Serviço",0,IF(AND(AUTOEVENTO="Manual",$M74=1),0,IF(OFFSET(CRONOPLE!$F$14,$M74,AN$13)="",10^12,OFFSET(CRONOPLE!$F$14,$M74,AN$13))))</f>
        <v>1000000000000</v>
      </c>
      <c r="AO74" s="215">
        <f ca="1">IF($D74&lt;&gt;"Serviço",0,IF(AND(AUTOEVENTO="Manual",$M74=1),0,IF(OFFSET(CRONOPLE!$F$14,$M74,AO$13)="",10^12,OFFSET(CRONOPLE!$F$14,$M74,AO$13))))</f>
        <v>1000000000000</v>
      </c>
      <c r="AP74" s="215">
        <f ca="1">IF($D74&lt;&gt;"Serviço",0,IF(AND(AUTOEVENTO="Manual",$M74=1),0,IF(OFFSET(CRONOPLE!$F$14,$M74,AP$13)="",10^12,OFFSET(CRONOPLE!$F$14,$M74,AP$13))))</f>
        <v>1000000000000</v>
      </c>
      <c r="AQ74" s="215">
        <f ca="1">IF($D74&lt;&gt;"Serviço",0,IF(AND(AUTOEVENTO="Manual",$M74=1),0,IF(OFFSET(CRONOPLE!$F$14,$M74,AQ$13)="",10^12,OFFSET(CRONOPLE!$F$14,$M74,AQ$13))))</f>
        <v>1000000000000</v>
      </c>
      <c r="AR74" s="215">
        <f ca="1">IF($D74&lt;&gt;"Serviço",0,IF(AND(AUTOEVENTO="Manual",$M74=1),0,IF(OFFSET(CRONOPLE!$F$14,$M74,AR$13)="",10^12,OFFSET(CRONOPLE!$F$14,$M74,AR$13))))</f>
        <v>1000000000000</v>
      </c>
      <c r="AS74" s="215">
        <f ca="1">IF($D74&lt;&gt;"Serviço",0,IF(AND(AUTOEVENTO="Manual",$M74=1),0,IF(OFFSET(CRONOPLE!$F$14,$M74,AS$13)="",10^12,OFFSET(CRONOPLE!$F$14,$M74,AS$13))))</f>
        <v>1000000000000</v>
      </c>
      <c r="AT74" s="215">
        <f ca="1">IF($D74&lt;&gt;"Serviço",0,IF(AND(AUTOEVENTO="Manual",$M74=1),0,IF(OFFSET(CRONOPLE!$F$14,$M74,AT$13)="",10^12,OFFSET(CRONOPLE!$F$14,$M74,AT$13))))</f>
        <v>1000000000000</v>
      </c>
      <c r="AU74" s="215">
        <f ca="1">IF($D74&lt;&gt;"Serviço",0,IF(AND(AUTOEVENTO="Manual",$M74=1),0,IF(OFFSET(CRONOPLE!$F$14,$M74,AU$13)="",10^12,OFFSET(CRONOPLE!$F$14,$M74,AU$13))))</f>
        <v>1000000000000</v>
      </c>
      <c r="AV74" s="215">
        <f ca="1">IF($D74&lt;&gt;"Serviço",0,IF(AND(AUTOEVENTO="Manual",$M74=1),0,IF(OFFSET(CRONOPLE!$F$14,$M74,AV$13)="",10^12,OFFSET(CRONOPLE!$F$14,$M74,AV$13))))</f>
        <v>1000000000000</v>
      </c>
      <c r="AX74" s="216">
        <f ca="1">IF($D74&lt;&gt;"Serviço",0,IF(OR(AND(AUTOEVENTO="Manual",$M74=1),$M74&gt;(ROW(PLE.lastrow)-ROW(PLE.firstrow))),0,IF(OFFSET(PLE!$G$14,$M74,AX$13)="",10^12,OFFSET(PLE!$G$14,$M74,AX$13))))</f>
        <v>1000000000000</v>
      </c>
      <c r="AY74" s="216">
        <f ca="1">IF($D74&lt;&gt;"Serviço",0,IF(OR(AND(AUTOEVENTO="Manual",$M74=1),$M74&gt;(ROW(PLE.lastrow)-ROW(PLE.firstrow))),0,IF(OFFSET(PLE!$G$14,$M74,AY$13)="",10^12,OFFSET(PLE!$G$14,$M74,AY$13))))</f>
        <v>1000000000000</v>
      </c>
      <c r="AZ74" s="216">
        <f ca="1">IF($D74&lt;&gt;"Serviço",0,IF(OR(AND(AUTOEVENTO="Manual",$M74=1),$M74&gt;(ROW(PLE.lastrow)-ROW(PLE.firstrow))),0,IF(OFFSET(PLE!$G$14,$M74,AZ$13)="",10^12,OFFSET(PLE!$G$14,$M74,AZ$13))))</f>
        <v>1000000000000</v>
      </c>
      <c r="BA74" s="216">
        <f ca="1">IF($D74&lt;&gt;"Serviço",0,IF(OR(AND(AUTOEVENTO="Manual",$M74=1),$M74&gt;(ROW(PLE.lastrow)-ROW(PLE.firstrow))),0,IF(OFFSET(PLE!$G$14,$M74,BA$13)="",10^12,OFFSET(PLE!$G$14,$M74,BA$13))))</f>
        <v>1000000000000</v>
      </c>
      <c r="BB74" s="216">
        <f ca="1">IF($D74&lt;&gt;"Serviço",0,IF(OR(AND(AUTOEVENTO="Manual",$M74=1),$M74&gt;(ROW(PLE.lastrow)-ROW(PLE.firstrow))),0,IF(OFFSET(PLE!$G$14,$M74,BB$13)="",10^12,OFFSET(PLE!$G$14,$M74,BB$13))))</f>
        <v>1000000000000</v>
      </c>
      <c r="BC74" s="216">
        <f ca="1">IF($D74&lt;&gt;"Serviço",0,IF(OR(AND(AUTOEVENTO="Manual",$M74=1),$M74&gt;(ROW(PLE.lastrow)-ROW(PLE.firstrow))),0,IF(OFFSET(PLE!$G$14,$M74,BC$13)="",10^12,OFFSET(PLE!$G$14,$M74,BC$13))))</f>
        <v>1000000000000</v>
      </c>
      <c r="BD74" s="216">
        <f ca="1">IF($D74&lt;&gt;"Serviço",0,IF(OR(AND(AUTOEVENTO="Manual",$M74=1),$M74&gt;(ROW(PLE.lastrow)-ROW(PLE.firstrow))),0,IF(OFFSET(PLE!$G$14,$M74,BD$13)="",10^12,OFFSET(PLE!$G$14,$M74,BD$13))))</f>
        <v>1000000000000</v>
      </c>
      <c r="BE74" s="216">
        <f ca="1">IF($D74&lt;&gt;"Serviço",0,IF(OR(AND(AUTOEVENTO="Manual",$M74=1),$M74&gt;(ROW(PLE.lastrow)-ROW(PLE.firstrow))),0,IF(OFFSET(PLE!$G$14,$M74,BE$13)="",10^12,OFFSET(PLE!$G$14,$M74,BE$13))))</f>
        <v>1000000000000</v>
      </c>
      <c r="BF74" s="216">
        <f ca="1">IF($D74&lt;&gt;"Serviço",0,IF(OR(AND(AUTOEVENTO="Manual",$M74=1),$M74&gt;(ROW(PLE.lastrow)-ROW(PLE.firstrow))),0,IF(OFFSET(PLE!$G$14,$M74,BF$13)="",10^12,OFFSET(PLE!$G$14,$M74,BF$13))))</f>
        <v>1000000000000</v>
      </c>
      <c r="BG74" s="216">
        <f ca="1">IF($D74&lt;&gt;"Serviço",0,IF(OR(AND(AUTOEVENTO="Manual",$M74=1),$M74&gt;(ROW(PLE.lastrow)-ROW(PLE.firstrow))),0,IF(OFFSET(PLE!$G$14,$M74,BG$13)="",10^12,OFFSET(PLE!$G$14,$M74,BG$13))))</f>
        <v>1000000000000</v>
      </c>
    </row>
    <row r="75" spans="1:59" ht="12.75" x14ac:dyDescent="0.2">
      <c r="A75" s="9" t="str">
        <f t="shared" ca="1" si="9"/>
        <v>60.</v>
      </c>
      <c r="B75" s="9">
        <f ca="1">OFFSET(ORÇAMENTO!C$15,ROW(B75)-ROW(B$15),0)</f>
        <v>2</v>
      </c>
      <c r="C75" s="9" t="str">
        <f ca="1">OFFSET(ORÇAMENTO!L$15,ROW(C75)-ROW(C$15),0)</f>
        <v>F</v>
      </c>
      <c r="D75" s="145" t="str">
        <f ca="1">OFFSET(ORÇAMENTO!N$15,ROW(D75)-ROW(D$15),0)</f>
        <v>Nível 2</v>
      </c>
      <c r="E75" s="205" t="str">
        <f ca="1">OFFSET(ORÇAMENTO!O$15,ROW(E75)-ROW(E$15),0)</f>
        <v>1.12.</v>
      </c>
      <c r="F75" s="206" t="str">
        <f ca="1">OFFSET(ORÇAMENTO!R$15,ROW(F75)-ROW(F$15),0)</f>
        <v>LAJE</v>
      </c>
      <c r="G75" s="207" t="str">
        <f ca="1">IF($D75&lt;&gt;"Serviço","",OFFSET(ORÇAMENTO!S$15,ROW(G75)-ROW(G$15),0))</f>
        <v/>
      </c>
      <c r="H75" s="151">
        <f ca="1">IF($D75&lt;&gt;"Serviço",0,IF(ACOMPANHAMENTO="BM",ROUND(OFFSET(ORÇAMENTO!AJ$15,ROW(H75)-ROW(H$15),0),15-13*ORÇAMENTO!$AF$7),SUMPRODUCT(($Q$12:$AA$12&lt;&gt;"")*ROUND($Q75:$AA75,15-13*ORÇAMENTO!$AF$7))))</f>
        <v>0</v>
      </c>
      <c r="I75" s="649"/>
      <c r="K75" s="208"/>
      <c r="L75" s="209" t="s">
        <v>255</v>
      </c>
      <c r="M75" s="210" t="str">
        <f ca="1">IF($D75&lt;&gt;"Serviço","",IF(AUTOEVENTO="manual",$A75,IF(ISERROR(MATCH($A75,$A$15:OFFSET($A75,-1,0),0)),MAX($M$15:OFFSET(M75,-1,0))+1,INDEX($M$15:OFFSET(M75,-1,0),MATCH($A75,$A$15:OFFSET($A75,-1,0),0)))))</f>
        <v/>
      </c>
      <c r="N75" s="211" t="str">
        <f ca="1">IF($D75&lt;&gt;"Serviço","",IF(AUTOEVENTO="Manual",IF($A75=0,"&lt;-- defina o número do agrupador",OFFSET(EVENTOS!$D$14,$A75,0)),OFFSET($F$15,$A75,0)))</f>
        <v/>
      </c>
      <c r="O75" s="212"/>
      <c r="Q75" s="212"/>
      <c r="R75" s="213"/>
      <c r="S75" s="213"/>
      <c r="T75" s="213"/>
      <c r="U75" s="213"/>
      <c r="V75" s="213"/>
      <c r="W75" s="213"/>
      <c r="X75" s="213"/>
      <c r="Y75" s="213"/>
      <c r="Z75" s="214"/>
      <c r="AB75" s="630">
        <f ca="1">IF(AND($D75="Serviço",AB$12&lt;&gt;0,$H75&gt;0,OR(AUTOEVENTO&lt;&gt;"manual",$M75&lt;&gt;1)),
IF(Import.TipoArredondamento&lt;&gt;"TransfereGOV",
ROUND(OFFSET($P75,0,AB$13),15-13*ORÇAMENTO!$AF$7)/$H75*OFFSET(ORÇAMENTO!$X$15,ROW(AB75)-ROW(AB$15),0),
ROUND(ROUND(OFFSET($P75,0,AB$13),15-13*ORÇAMENTO!$AF$7)*OFFSET(ORÇAMENTO!$W$15,ROW(AB75)-ROW(AB$15),0),15-13*ORÇAMENTO!$AF$11)),0)</f>
        <v>0</v>
      </c>
      <c r="AC75" s="631">
        <f ca="1">IF(AND($D75="Serviço",AC$12&lt;&gt;0,$H75&gt;0,OR(AUTOEVENTO&lt;&gt;"manual",$M75&lt;&gt;1)),
IF(Import.TipoArredondamento&lt;&gt;"TransfereGOV",
ROUND(OFFSET($P75,0,AC$13),15-13*ORÇAMENTO!$AF$7)/$H75*OFFSET(ORÇAMENTO!$X$15,ROW(AC75)-ROW(AC$15),0),
ROUND(ROUND(OFFSET($P75,0,AC$13),15-13*ORÇAMENTO!$AF$7)*OFFSET(ORÇAMENTO!$W$15,ROW(AC75)-ROW(AC$15),0),15-13*ORÇAMENTO!$AF$11)),0)</f>
        <v>0</v>
      </c>
      <c r="AD75" s="631">
        <f ca="1">IF(AND($D75="Serviço",AD$12&lt;&gt;0,$H75&gt;0,OR(AUTOEVENTO&lt;&gt;"manual",$M75&lt;&gt;1)),
IF(Import.TipoArredondamento&lt;&gt;"TransfereGOV",
ROUND(OFFSET($P75,0,AD$13),15-13*ORÇAMENTO!$AF$7)/$H75*OFFSET(ORÇAMENTO!$X$15,ROW(AD75)-ROW(AD$15),0),
ROUND(ROUND(OFFSET($P75,0,AD$13),15-13*ORÇAMENTO!$AF$7)*OFFSET(ORÇAMENTO!$W$15,ROW(AD75)-ROW(AD$15),0),15-13*ORÇAMENTO!$AF$11)),0)</f>
        <v>0</v>
      </c>
      <c r="AE75" s="631">
        <f ca="1">IF(AND($D75="Serviço",AE$12&lt;&gt;0,$H75&gt;0,OR(AUTOEVENTO&lt;&gt;"manual",$M75&lt;&gt;1)),
IF(Import.TipoArredondamento&lt;&gt;"TransfereGOV",
ROUND(OFFSET($P75,0,AE$13),15-13*ORÇAMENTO!$AF$7)/$H75*OFFSET(ORÇAMENTO!$X$15,ROW(AE75)-ROW(AE$15),0),
ROUND(ROUND(OFFSET($P75,0,AE$13),15-13*ORÇAMENTO!$AF$7)*OFFSET(ORÇAMENTO!$W$15,ROW(AE75)-ROW(AE$15),0),15-13*ORÇAMENTO!$AF$11)),0)</f>
        <v>0</v>
      </c>
      <c r="AF75" s="631">
        <f ca="1">IF(AND($D75="Serviço",AF$12&lt;&gt;0,$H75&gt;0,OR(AUTOEVENTO&lt;&gt;"manual",$M75&lt;&gt;1)),
IF(Import.TipoArredondamento&lt;&gt;"TransfereGOV",
ROUND(OFFSET($P75,0,AF$13),15-13*ORÇAMENTO!$AF$7)/$H75*OFFSET(ORÇAMENTO!$X$15,ROW(AF75)-ROW(AF$15),0),
ROUND(ROUND(OFFSET($P75,0,AF$13),15-13*ORÇAMENTO!$AF$7)*OFFSET(ORÇAMENTO!$W$15,ROW(AF75)-ROW(AF$15),0),15-13*ORÇAMENTO!$AF$11)),0)</f>
        <v>0</v>
      </c>
      <c r="AG75" s="631">
        <f ca="1">IF(AND($D75="Serviço",AG$12&lt;&gt;0,$H75&gt;0,OR(AUTOEVENTO&lt;&gt;"manual",$M75&lt;&gt;1)),
IF(Import.TipoArredondamento&lt;&gt;"TransfereGOV",
ROUND(OFFSET($P75,0,AG$13),15-13*ORÇAMENTO!$AF$7)/$H75*OFFSET(ORÇAMENTO!$X$15,ROW(AG75)-ROW(AG$15),0),
ROUND(ROUND(OFFSET($P75,0,AG$13),15-13*ORÇAMENTO!$AF$7)*OFFSET(ORÇAMENTO!$W$15,ROW(AG75)-ROW(AG$15),0),15-13*ORÇAMENTO!$AF$11)),0)</f>
        <v>0</v>
      </c>
      <c r="AH75" s="631">
        <f ca="1">IF(AND($D75="Serviço",AH$12&lt;&gt;0,$H75&gt;0,OR(AUTOEVENTO&lt;&gt;"manual",$M75&lt;&gt;1)),
IF(Import.TipoArredondamento&lt;&gt;"TransfereGOV",
ROUND(OFFSET($P75,0,AH$13),15-13*ORÇAMENTO!$AF$7)/$H75*OFFSET(ORÇAMENTO!$X$15,ROW(AH75)-ROW(AH$15),0),
ROUND(ROUND(OFFSET($P75,0,AH$13),15-13*ORÇAMENTO!$AF$7)*OFFSET(ORÇAMENTO!$W$15,ROW(AH75)-ROW(AH$15),0),15-13*ORÇAMENTO!$AF$11)),0)</f>
        <v>0</v>
      </c>
      <c r="AI75" s="631">
        <f ca="1">IF(AND($D75="Serviço",AI$12&lt;&gt;0,$H75&gt;0,OR(AUTOEVENTO&lt;&gt;"manual",$M75&lt;&gt;1)),
IF(Import.TipoArredondamento&lt;&gt;"TransfereGOV",
ROUND(OFFSET($P75,0,AI$13),15-13*ORÇAMENTO!$AF$7)/$H75*OFFSET(ORÇAMENTO!$X$15,ROW(AI75)-ROW(AI$15),0),
ROUND(ROUND(OFFSET($P75,0,AI$13),15-13*ORÇAMENTO!$AF$7)*OFFSET(ORÇAMENTO!$W$15,ROW(AI75)-ROW(AI$15),0),15-13*ORÇAMENTO!$AF$11)),0)</f>
        <v>0</v>
      </c>
      <c r="AJ75" s="631">
        <f ca="1">IF(AND($D75="Serviço",AJ$12&lt;&gt;0,$H75&gt;0,OR(AUTOEVENTO&lt;&gt;"manual",$M75&lt;&gt;1)),
IF(Import.TipoArredondamento&lt;&gt;"TransfereGOV",
ROUND(OFFSET($P75,0,AJ$13),15-13*ORÇAMENTO!$AF$7)/$H75*OFFSET(ORÇAMENTO!$X$15,ROW(AJ75)-ROW(AJ$15),0),
ROUND(ROUND(OFFSET($P75,0,AJ$13),15-13*ORÇAMENTO!$AF$7)*OFFSET(ORÇAMENTO!$W$15,ROW(AJ75)-ROW(AJ$15),0),15-13*ORÇAMENTO!$AF$11)),0)</f>
        <v>0</v>
      </c>
      <c r="AK75" s="632">
        <f ca="1">IF(AND($D75="Serviço",AK$12&lt;&gt;0,$H75&gt;0,OR(AUTOEVENTO&lt;&gt;"manual",$M75&lt;&gt;1)),
IF(Import.TipoArredondamento&lt;&gt;"TransfereGOV",
ROUND(OFFSET($P75,0,AK$13),15-13*ORÇAMENTO!$AF$7)/$H75*OFFSET(ORÇAMENTO!$X$15,ROW(AK75)-ROW(AK$15),0),
ROUND(ROUND(OFFSET($P75,0,AK$13),15-13*ORÇAMENTO!$AF$7)*OFFSET(ORÇAMENTO!$W$15,ROW(AK75)-ROW(AK$15),0),15-13*ORÇAMENTO!$AF$11)),0)</f>
        <v>0</v>
      </c>
      <c r="AM75" s="215">
        <f ca="1">IF($D75&lt;&gt;"Serviço",0,IF(AND(AUTOEVENTO="Manual",$M75=1),0,IF(OFFSET(CRONOPLE!$F$14,$M75,AM$13)="",10^12,OFFSET(CRONOPLE!$F$14,$M75,AM$13))))</f>
        <v>0</v>
      </c>
      <c r="AN75" s="215">
        <f ca="1">IF($D75&lt;&gt;"Serviço",0,IF(AND(AUTOEVENTO="Manual",$M75=1),0,IF(OFFSET(CRONOPLE!$F$14,$M75,AN$13)="",10^12,OFFSET(CRONOPLE!$F$14,$M75,AN$13))))</f>
        <v>0</v>
      </c>
      <c r="AO75" s="215">
        <f ca="1">IF($D75&lt;&gt;"Serviço",0,IF(AND(AUTOEVENTO="Manual",$M75=1),0,IF(OFFSET(CRONOPLE!$F$14,$M75,AO$13)="",10^12,OFFSET(CRONOPLE!$F$14,$M75,AO$13))))</f>
        <v>0</v>
      </c>
      <c r="AP75" s="215">
        <f ca="1">IF($D75&lt;&gt;"Serviço",0,IF(AND(AUTOEVENTO="Manual",$M75=1),0,IF(OFFSET(CRONOPLE!$F$14,$M75,AP$13)="",10^12,OFFSET(CRONOPLE!$F$14,$M75,AP$13))))</f>
        <v>0</v>
      </c>
      <c r="AQ75" s="215">
        <f ca="1">IF($D75&lt;&gt;"Serviço",0,IF(AND(AUTOEVENTO="Manual",$M75=1),0,IF(OFFSET(CRONOPLE!$F$14,$M75,AQ$13)="",10^12,OFFSET(CRONOPLE!$F$14,$M75,AQ$13))))</f>
        <v>0</v>
      </c>
      <c r="AR75" s="215">
        <f ca="1">IF($D75&lt;&gt;"Serviço",0,IF(AND(AUTOEVENTO="Manual",$M75=1),0,IF(OFFSET(CRONOPLE!$F$14,$M75,AR$13)="",10^12,OFFSET(CRONOPLE!$F$14,$M75,AR$13))))</f>
        <v>0</v>
      </c>
      <c r="AS75" s="215">
        <f ca="1">IF($D75&lt;&gt;"Serviço",0,IF(AND(AUTOEVENTO="Manual",$M75=1),0,IF(OFFSET(CRONOPLE!$F$14,$M75,AS$13)="",10^12,OFFSET(CRONOPLE!$F$14,$M75,AS$13))))</f>
        <v>0</v>
      </c>
      <c r="AT75" s="215">
        <f ca="1">IF($D75&lt;&gt;"Serviço",0,IF(AND(AUTOEVENTO="Manual",$M75=1),0,IF(OFFSET(CRONOPLE!$F$14,$M75,AT$13)="",10^12,OFFSET(CRONOPLE!$F$14,$M75,AT$13))))</f>
        <v>0</v>
      </c>
      <c r="AU75" s="215">
        <f ca="1">IF($D75&lt;&gt;"Serviço",0,IF(AND(AUTOEVENTO="Manual",$M75=1),0,IF(OFFSET(CRONOPLE!$F$14,$M75,AU$13)="",10^12,OFFSET(CRONOPLE!$F$14,$M75,AU$13))))</f>
        <v>0</v>
      </c>
      <c r="AV75" s="215">
        <f ca="1">IF($D75&lt;&gt;"Serviço",0,IF(AND(AUTOEVENTO="Manual",$M75=1),0,IF(OFFSET(CRONOPLE!$F$14,$M75,AV$13)="",10^12,OFFSET(CRONOPLE!$F$14,$M75,AV$13))))</f>
        <v>0</v>
      </c>
      <c r="AX75" s="216">
        <f ca="1">IF($D75&lt;&gt;"Serviço",0,IF(OR(AND(AUTOEVENTO="Manual",$M75=1),$M75&gt;(ROW(PLE.lastrow)-ROW(PLE.firstrow))),0,IF(OFFSET(PLE!$G$14,$M75,AX$13)="",10^12,OFFSET(PLE!$G$14,$M75,AX$13))))</f>
        <v>0</v>
      </c>
      <c r="AY75" s="216">
        <f ca="1">IF($D75&lt;&gt;"Serviço",0,IF(OR(AND(AUTOEVENTO="Manual",$M75=1),$M75&gt;(ROW(PLE.lastrow)-ROW(PLE.firstrow))),0,IF(OFFSET(PLE!$G$14,$M75,AY$13)="",10^12,OFFSET(PLE!$G$14,$M75,AY$13))))</f>
        <v>0</v>
      </c>
      <c r="AZ75" s="216">
        <f ca="1">IF($D75&lt;&gt;"Serviço",0,IF(OR(AND(AUTOEVENTO="Manual",$M75=1),$M75&gt;(ROW(PLE.lastrow)-ROW(PLE.firstrow))),0,IF(OFFSET(PLE!$G$14,$M75,AZ$13)="",10^12,OFFSET(PLE!$G$14,$M75,AZ$13))))</f>
        <v>0</v>
      </c>
      <c r="BA75" s="216">
        <f ca="1">IF($D75&lt;&gt;"Serviço",0,IF(OR(AND(AUTOEVENTO="Manual",$M75=1),$M75&gt;(ROW(PLE.lastrow)-ROW(PLE.firstrow))),0,IF(OFFSET(PLE!$G$14,$M75,BA$13)="",10^12,OFFSET(PLE!$G$14,$M75,BA$13))))</f>
        <v>0</v>
      </c>
      <c r="BB75" s="216">
        <f ca="1">IF($D75&lt;&gt;"Serviço",0,IF(OR(AND(AUTOEVENTO="Manual",$M75=1),$M75&gt;(ROW(PLE.lastrow)-ROW(PLE.firstrow))),0,IF(OFFSET(PLE!$G$14,$M75,BB$13)="",10^12,OFFSET(PLE!$G$14,$M75,BB$13))))</f>
        <v>0</v>
      </c>
      <c r="BC75" s="216">
        <f ca="1">IF($D75&lt;&gt;"Serviço",0,IF(OR(AND(AUTOEVENTO="Manual",$M75=1),$M75&gt;(ROW(PLE.lastrow)-ROW(PLE.firstrow))),0,IF(OFFSET(PLE!$G$14,$M75,BC$13)="",10^12,OFFSET(PLE!$G$14,$M75,BC$13))))</f>
        <v>0</v>
      </c>
      <c r="BD75" s="216">
        <f ca="1">IF($D75&lt;&gt;"Serviço",0,IF(OR(AND(AUTOEVENTO="Manual",$M75=1),$M75&gt;(ROW(PLE.lastrow)-ROW(PLE.firstrow))),0,IF(OFFSET(PLE!$G$14,$M75,BD$13)="",10^12,OFFSET(PLE!$G$14,$M75,BD$13))))</f>
        <v>0</v>
      </c>
      <c r="BE75" s="216">
        <f ca="1">IF($D75&lt;&gt;"Serviço",0,IF(OR(AND(AUTOEVENTO="Manual",$M75=1),$M75&gt;(ROW(PLE.lastrow)-ROW(PLE.firstrow))),0,IF(OFFSET(PLE!$G$14,$M75,BE$13)="",10^12,OFFSET(PLE!$G$14,$M75,BE$13))))</f>
        <v>0</v>
      </c>
      <c r="BF75" s="216">
        <f ca="1">IF($D75&lt;&gt;"Serviço",0,IF(OR(AND(AUTOEVENTO="Manual",$M75=1),$M75&gt;(ROW(PLE.lastrow)-ROW(PLE.firstrow))),0,IF(OFFSET(PLE!$G$14,$M75,BF$13)="",10^12,OFFSET(PLE!$G$14,$M75,BF$13))))</f>
        <v>0</v>
      </c>
      <c r="BG75" s="216">
        <f ca="1">IF($D75&lt;&gt;"Serviço",0,IF(OR(AND(AUTOEVENTO="Manual",$M75=1),$M75&gt;(ROW(PLE.lastrow)-ROW(PLE.firstrow))),0,IF(OFFSET(PLE!$G$14,$M75,BG$13)="",10^12,OFFSET(PLE!$G$14,$M75,BG$13))))</f>
        <v>0</v>
      </c>
    </row>
    <row r="76" spans="1:59" ht="38.25" x14ac:dyDescent="0.2">
      <c r="A76" s="9" t="str">
        <f t="shared" ca="1" si="9"/>
        <v>60</v>
      </c>
      <c r="B76" s="9" t="str">
        <f ca="1">OFFSET(ORÇAMENTO!C$15,ROW(B76)-ROW(B$15),0)</f>
        <v>S</v>
      </c>
      <c r="C76" s="9" t="str">
        <f ca="1">OFFSET(ORÇAMENTO!L$15,ROW(C76)-ROW(C$15),0)</f>
        <v/>
      </c>
      <c r="D76" s="145" t="str">
        <f ca="1">OFFSET(ORÇAMENTO!N$15,ROW(D76)-ROW(D$15),0)</f>
        <v>Serviço</v>
      </c>
      <c r="E76" s="205" t="str">
        <f ca="1">OFFSET(ORÇAMENTO!O$15,ROW(E76)-ROW(E$15),0)</f>
        <v>-</v>
      </c>
      <c r="F76" s="206" t="str">
        <f ca="1">OFFSET(ORÇAMENTO!R$15,ROW(F76)-ROW(F$15),0)</f>
        <v>LAJE PRÉ-MOLDADA UNIDIRECIONAL, BIAPOIADA, PARA FORRO, ENCHIMENTO EM CERÂMICA, VIGOTA CONVENCIONAL, ALTURA TOTAL DA LAJE (ENCHIMENTO+CAPA) = (8+3). AF_11/2020_PA</v>
      </c>
      <c r="G76" s="207" t="str">
        <f ca="1">IF($D76&lt;&gt;"Serviço","",OFFSET(ORÇAMENTO!S$15,ROW(G76)-ROW(G$15),0))</f>
        <v>M2</v>
      </c>
      <c r="H76" s="151">
        <f ca="1">IF($D76&lt;&gt;"Serviço",0,IF(ACOMPANHAMENTO="BM",ROUND(OFFSET(ORÇAMENTO!AJ$15,ROW(H76)-ROW(H$15),0),15-13*ORÇAMENTO!$AF$7),SUMPRODUCT(($Q$12:$AA$12&lt;&gt;"")*ROUND($Q76:$AA76,15-13*ORÇAMENTO!$AF$7))))</f>
        <v>680</v>
      </c>
      <c r="I76" s="649"/>
      <c r="K76" s="208"/>
      <c r="L76" s="209" t="s">
        <v>255</v>
      </c>
      <c r="M76" s="210">
        <f ca="1">IF($D76&lt;&gt;"Serviço","",IF(AUTOEVENTO="manual",$A76,IF(ISERROR(MATCH($A76,$A$15:OFFSET($A76,-1,0),0)),MAX($M$15:OFFSET(M76,-1,0))+1,INDEX($M$15:OFFSET(M76,-1,0),MATCH($A76,$A$15:OFFSET($A76,-1,0),0)))))</f>
        <v>13</v>
      </c>
      <c r="N76" s="211" t="str">
        <f ca="1">IF($D76&lt;&gt;"Serviço","",IF(AUTOEVENTO="Manual",IF($A76=0,"&lt;-- defina o número do agrupador",OFFSET(EVENTOS!$D$14,$A76,0)),OFFSET($F$15,$A76,0)))</f>
        <v>LAJE</v>
      </c>
      <c r="O76" s="212"/>
      <c r="Q76" s="212"/>
      <c r="R76" s="213"/>
      <c r="S76" s="213"/>
      <c r="T76" s="213"/>
      <c r="U76" s="213"/>
      <c r="V76" s="213"/>
      <c r="W76" s="213"/>
      <c r="X76" s="213"/>
      <c r="Y76" s="213"/>
      <c r="Z76" s="214"/>
      <c r="AB76" s="630">
        <f ca="1">IF(AND($D76="Serviço",AB$12&lt;&gt;0,$H76&gt;0,OR(AUTOEVENTO&lt;&gt;"manual",$M76&lt;&gt;1)),
IF(Import.TipoArredondamento&lt;&gt;"TransfereGOV",
ROUND(OFFSET($P76,0,AB$13),15-13*ORÇAMENTO!$AF$7)/$H76*OFFSET(ORÇAMENTO!$X$15,ROW(AB76)-ROW(AB$15),0),
ROUND(ROUND(OFFSET($P76,0,AB$13),15-13*ORÇAMENTO!$AF$7)*OFFSET(ORÇAMENTO!$W$15,ROW(AB76)-ROW(AB$15),0),15-13*ORÇAMENTO!$AF$11)),0)</f>
        <v>0</v>
      </c>
      <c r="AC76" s="631">
        <f ca="1">IF(AND($D76="Serviço",AC$12&lt;&gt;0,$H76&gt;0,OR(AUTOEVENTO&lt;&gt;"manual",$M76&lt;&gt;1)),
IF(Import.TipoArredondamento&lt;&gt;"TransfereGOV",
ROUND(OFFSET($P76,0,AC$13),15-13*ORÇAMENTO!$AF$7)/$H76*OFFSET(ORÇAMENTO!$X$15,ROW(AC76)-ROW(AC$15),0),
ROUND(ROUND(OFFSET($P76,0,AC$13),15-13*ORÇAMENTO!$AF$7)*OFFSET(ORÇAMENTO!$W$15,ROW(AC76)-ROW(AC$15),0),15-13*ORÇAMENTO!$AF$11)),0)</f>
        <v>0</v>
      </c>
      <c r="AD76" s="631">
        <f ca="1">IF(AND($D76="Serviço",AD$12&lt;&gt;0,$H76&gt;0,OR(AUTOEVENTO&lt;&gt;"manual",$M76&lt;&gt;1)),
IF(Import.TipoArredondamento&lt;&gt;"TransfereGOV",
ROUND(OFFSET($P76,0,AD$13),15-13*ORÇAMENTO!$AF$7)/$H76*OFFSET(ORÇAMENTO!$X$15,ROW(AD76)-ROW(AD$15),0),
ROUND(ROUND(OFFSET($P76,0,AD$13),15-13*ORÇAMENTO!$AF$7)*OFFSET(ORÇAMENTO!$W$15,ROW(AD76)-ROW(AD$15),0),15-13*ORÇAMENTO!$AF$11)),0)</f>
        <v>0</v>
      </c>
      <c r="AE76" s="631">
        <f ca="1">IF(AND($D76="Serviço",AE$12&lt;&gt;0,$H76&gt;0,OR(AUTOEVENTO&lt;&gt;"manual",$M76&lt;&gt;1)),
IF(Import.TipoArredondamento&lt;&gt;"TransfereGOV",
ROUND(OFFSET($P76,0,AE$13),15-13*ORÇAMENTO!$AF$7)/$H76*OFFSET(ORÇAMENTO!$X$15,ROW(AE76)-ROW(AE$15),0),
ROUND(ROUND(OFFSET($P76,0,AE$13),15-13*ORÇAMENTO!$AF$7)*OFFSET(ORÇAMENTO!$W$15,ROW(AE76)-ROW(AE$15),0),15-13*ORÇAMENTO!$AF$11)),0)</f>
        <v>0</v>
      </c>
      <c r="AF76" s="631">
        <f ca="1">IF(AND($D76="Serviço",AF$12&lt;&gt;0,$H76&gt;0,OR(AUTOEVENTO&lt;&gt;"manual",$M76&lt;&gt;1)),
IF(Import.TipoArredondamento&lt;&gt;"TransfereGOV",
ROUND(OFFSET($P76,0,AF$13),15-13*ORÇAMENTO!$AF$7)/$H76*OFFSET(ORÇAMENTO!$X$15,ROW(AF76)-ROW(AF$15),0),
ROUND(ROUND(OFFSET($P76,0,AF$13),15-13*ORÇAMENTO!$AF$7)*OFFSET(ORÇAMENTO!$W$15,ROW(AF76)-ROW(AF$15),0),15-13*ORÇAMENTO!$AF$11)),0)</f>
        <v>0</v>
      </c>
      <c r="AG76" s="631">
        <f ca="1">IF(AND($D76="Serviço",AG$12&lt;&gt;0,$H76&gt;0,OR(AUTOEVENTO&lt;&gt;"manual",$M76&lt;&gt;1)),
IF(Import.TipoArredondamento&lt;&gt;"TransfereGOV",
ROUND(OFFSET($P76,0,AG$13),15-13*ORÇAMENTO!$AF$7)/$H76*OFFSET(ORÇAMENTO!$X$15,ROW(AG76)-ROW(AG$15),0),
ROUND(ROUND(OFFSET($P76,0,AG$13),15-13*ORÇAMENTO!$AF$7)*OFFSET(ORÇAMENTO!$W$15,ROW(AG76)-ROW(AG$15),0),15-13*ORÇAMENTO!$AF$11)),0)</f>
        <v>0</v>
      </c>
      <c r="AH76" s="631">
        <f ca="1">IF(AND($D76="Serviço",AH$12&lt;&gt;0,$H76&gt;0,OR(AUTOEVENTO&lt;&gt;"manual",$M76&lt;&gt;1)),
IF(Import.TipoArredondamento&lt;&gt;"TransfereGOV",
ROUND(OFFSET($P76,0,AH$13),15-13*ORÇAMENTO!$AF$7)/$H76*OFFSET(ORÇAMENTO!$X$15,ROW(AH76)-ROW(AH$15),0),
ROUND(ROUND(OFFSET($P76,0,AH$13),15-13*ORÇAMENTO!$AF$7)*OFFSET(ORÇAMENTO!$W$15,ROW(AH76)-ROW(AH$15),0),15-13*ORÇAMENTO!$AF$11)),0)</f>
        <v>0</v>
      </c>
      <c r="AI76" s="631">
        <f ca="1">IF(AND($D76="Serviço",AI$12&lt;&gt;0,$H76&gt;0,OR(AUTOEVENTO&lt;&gt;"manual",$M76&lt;&gt;1)),
IF(Import.TipoArredondamento&lt;&gt;"TransfereGOV",
ROUND(OFFSET($P76,0,AI$13),15-13*ORÇAMENTO!$AF$7)/$H76*OFFSET(ORÇAMENTO!$X$15,ROW(AI76)-ROW(AI$15),0),
ROUND(ROUND(OFFSET($P76,0,AI$13),15-13*ORÇAMENTO!$AF$7)*OFFSET(ORÇAMENTO!$W$15,ROW(AI76)-ROW(AI$15),0),15-13*ORÇAMENTO!$AF$11)),0)</f>
        <v>0</v>
      </c>
      <c r="AJ76" s="631">
        <f ca="1">IF(AND($D76="Serviço",AJ$12&lt;&gt;0,$H76&gt;0,OR(AUTOEVENTO&lt;&gt;"manual",$M76&lt;&gt;1)),
IF(Import.TipoArredondamento&lt;&gt;"TransfereGOV",
ROUND(OFFSET($P76,0,AJ$13),15-13*ORÇAMENTO!$AF$7)/$H76*OFFSET(ORÇAMENTO!$X$15,ROW(AJ76)-ROW(AJ$15),0),
ROUND(ROUND(OFFSET($P76,0,AJ$13),15-13*ORÇAMENTO!$AF$7)*OFFSET(ORÇAMENTO!$W$15,ROW(AJ76)-ROW(AJ$15),0),15-13*ORÇAMENTO!$AF$11)),0)</f>
        <v>0</v>
      </c>
      <c r="AK76" s="632">
        <f ca="1">IF(AND($D76="Serviço",AK$12&lt;&gt;0,$H76&gt;0,OR(AUTOEVENTO&lt;&gt;"manual",$M76&lt;&gt;1)),
IF(Import.TipoArredondamento&lt;&gt;"TransfereGOV",
ROUND(OFFSET($P76,0,AK$13),15-13*ORÇAMENTO!$AF$7)/$H76*OFFSET(ORÇAMENTO!$X$15,ROW(AK76)-ROW(AK$15),0),
ROUND(ROUND(OFFSET($P76,0,AK$13),15-13*ORÇAMENTO!$AF$7)*OFFSET(ORÇAMENTO!$W$15,ROW(AK76)-ROW(AK$15),0),15-13*ORÇAMENTO!$AF$11)),0)</f>
        <v>0</v>
      </c>
      <c r="AM76" s="215">
        <f ca="1">IF($D76&lt;&gt;"Serviço",0,IF(AND(AUTOEVENTO="Manual",$M76=1),0,IF(OFFSET(CRONOPLE!$F$14,$M76,AM$13)="",10^12,OFFSET(CRONOPLE!$F$14,$M76,AM$13))))</f>
        <v>1000000000000</v>
      </c>
      <c r="AN76" s="215">
        <f ca="1">IF($D76&lt;&gt;"Serviço",0,IF(AND(AUTOEVENTO="Manual",$M76=1),0,IF(OFFSET(CRONOPLE!$F$14,$M76,AN$13)="",10^12,OFFSET(CRONOPLE!$F$14,$M76,AN$13))))</f>
        <v>1000000000000</v>
      </c>
      <c r="AO76" s="215">
        <f ca="1">IF($D76&lt;&gt;"Serviço",0,IF(AND(AUTOEVENTO="Manual",$M76=1),0,IF(OFFSET(CRONOPLE!$F$14,$M76,AO$13)="",10^12,OFFSET(CRONOPLE!$F$14,$M76,AO$13))))</f>
        <v>1000000000000</v>
      </c>
      <c r="AP76" s="215">
        <f ca="1">IF($D76&lt;&gt;"Serviço",0,IF(AND(AUTOEVENTO="Manual",$M76=1),0,IF(OFFSET(CRONOPLE!$F$14,$M76,AP$13)="",10^12,OFFSET(CRONOPLE!$F$14,$M76,AP$13))))</f>
        <v>1000000000000</v>
      </c>
      <c r="AQ76" s="215">
        <f ca="1">IF($D76&lt;&gt;"Serviço",0,IF(AND(AUTOEVENTO="Manual",$M76=1),0,IF(OFFSET(CRONOPLE!$F$14,$M76,AQ$13)="",10^12,OFFSET(CRONOPLE!$F$14,$M76,AQ$13))))</f>
        <v>1000000000000</v>
      </c>
      <c r="AR76" s="215">
        <f ca="1">IF($D76&lt;&gt;"Serviço",0,IF(AND(AUTOEVENTO="Manual",$M76=1),0,IF(OFFSET(CRONOPLE!$F$14,$M76,AR$13)="",10^12,OFFSET(CRONOPLE!$F$14,$M76,AR$13))))</f>
        <v>1000000000000</v>
      </c>
      <c r="AS76" s="215">
        <f ca="1">IF($D76&lt;&gt;"Serviço",0,IF(AND(AUTOEVENTO="Manual",$M76=1),0,IF(OFFSET(CRONOPLE!$F$14,$M76,AS$13)="",10^12,OFFSET(CRONOPLE!$F$14,$M76,AS$13))))</f>
        <v>1000000000000</v>
      </c>
      <c r="AT76" s="215">
        <f ca="1">IF($D76&lt;&gt;"Serviço",0,IF(AND(AUTOEVENTO="Manual",$M76=1),0,IF(OFFSET(CRONOPLE!$F$14,$M76,AT$13)="",10^12,OFFSET(CRONOPLE!$F$14,$M76,AT$13))))</f>
        <v>1000000000000</v>
      </c>
      <c r="AU76" s="215">
        <f ca="1">IF($D76&lt;&gt;"Serviço",0,IF(AND(AUTOEVENTO="Manual",$M76=1),0,IF(OFFSET(CRONOPLE!$F$14,$M76,AU$13)="",10^12,OFFSET(CRONOPLE!$F$14,$M76,AU$13))))</f>
        <v>1000000000000</v>
      </c>
      <c r="AV76" s="215">
        <f ca="1">IF($D76&lt;&gt;"Serviço",0,IF(AND(AUTOEVENTO="Manual",$M76=1),0,IF(OFFSET(CRONOPLE!$F$14,$M76,AV$13)="",10^12,OFFSET(CRONOPLE!$F$14,$M76,AV$13))))</f>
        <v>1000000000000</v>
      </c>
      <c r="AX76" s="216">
        <f ca="1">IF($D76&lt;&gt;"Serviço",0,IF(OR(AND(AUTOEVENTO="Manual",$M76=1),$M76&gt;(ROW(PLE.lastrow)-ROW(PLE.firstrow))),0,IF(OFFSET(PLE!$G$14,$M76,AX$13)="",10^12,OFFSET(PLE!$G$14,$M76,AX$13))))</f>
        <v>1000000000000</v>
      </c>
      <c r="AY76" s="216">
        <f ca="1">IF($D76&lt;&gt;"Serviço",0,IF(OR(AND(AUTOEVENTO="Manual",$M76=1),$M76&gt;(ROW(PLE.lastrow)-ROW(PLE.firstrow))),0,IF(OFFSET(PLE!$G$14,$M76,AY$13)="",10^12,OFFSET(PLE!$G$14,$M76,AY$13))))</f>
        <v>1000000000000</v>
      </c>
      <c r="AZ76" s="216">
        <f ca="1">IF($D76&lt;&gt;"Serviço",0,IF(OR(AND(AUTOEVENTO="Manual",$M76=1),$M76&gt;(ROW(PLE.lastrow)-ROW(PLE.firstrow))),0,IF(OFFSET(PLE!$G$14,$M76,AZ$13)="",10^12,OFFSET(PLE!$G$14,$M76,AZ$13))))</f>
        <v>1000000000000</v>
      </c>
      <c r="BA76" s="216">
        <f ca="1">IF($D76&lt;&gt;"Serviço",0,IF(OR(AND(AUTOEVENTO="Manual",$M76=1),$M76&gt;(ROW(PLE.lastrow)-ROW(PLE.firstrow))),0,IF(OFFSET(PLE!$G$14,$M76,BA$13)="",10^12,OFFSET(PLE!$G$14,$M76,BA$13))))</f>
        <v>1000000000000</v>
      </c>
      <c r="BB76" s="216">
        <f ca="1">IF($D76&lt;&gt;"Serviço",0,IF(OR(AND(AUTOEVENTO="Manual",$M76=1),$M76&gt;(ROW(PLE.lastrow)-ROW(PLE.firstrow))),0,IF(OFFSET(PLE!$G$14,$M76,BB$13)="",10^12,OFFSET(PLE!$G$14,$M76,BB$13))))</f>
        <v>1000000000000</v>
      </c>
      <c r="BC76" s="216">
        <f ca="1">IF($D76&lt;&gt;"Serviço",0,IF(OR(AND(AUTOEVENTO="Manual",$M76=1),$M76&gt;(ROW(PLE.lastrow)-ROW(PLE.firstrow))),0,IF(OFFSET(PLE!$G$14,$M76,BC$13)="",10^12,OFFSET(PLE!$G$14,$M76,BC$13))))</f>
        <v>1000000000000</v>
      </c>
      <c r="BD76" s="216">
        <f ca="1">IF($D76&lt;&gt;"Serviço",0,IF(OR(AND(AUTOEVENTO="Manual",$M76=1),$M76&gt;(ROW(PLE.lastrow)-ROW(PLE.firstrow))),0,IF(OFFSET(PLE!$G$14,$M76,BD$13)="",10^12,OFFSET(PLE!$G$14,$M76,BD$13))))</f>
        <v>1000000000000</v>
      </c>
      <c r="BE76" s="216">
        <f ca="1">IF($D76&lt;&gt;"Serviço",0,IF(OR(AND(AUTOEVENTO="Manual",$M76=1),$M76&gt;(ROW(PLE.lastrow)-ROW(PLE.firstrow))),0,IF(OFFSET(PLE!$G$14,$M76,BE$13)="",10^12,OFFSET(PLE!$G$14,$M76,BE$13))))</f>
        <v>1000000000000</v>
      </c>
      <c r="BF76" s="216">
        <f ca="1">IF($D76&lt;&gt;"Serviço",0,IF(OR(AND(AUTOEVENTO="Manual",$M76=1),$M76&gt;(ROW(PLE.lastrow)-ROW(PLE.firstrow))),0,IF(OFFSET(PLE!$G$14,$M76,BF$13)="",10^12,OFFSET(PLE!$G$14,$M76,BF$13))))</f>
        <v>1000000000000</v>
      </c>
      <c r="BG76" s="216">
        <f ca="1">IF($D76&lt;&gt;"Serviço",0,IF(OR(AND(AUTOEVENTO="Manual",$M76=1),$M76&gt;(ROW(PLE.lastrow)-ROW(PLE.firstrow))),0,IF(OFFSET(PLE!$G$14,$M76,BG$13)="",10^12,OFFSET(PLE!$G$14,$M76,BG$13))))</f>
        <v>1000000000000</v>
      </c>
    </row>
    <row r="77" spans="1:59" ht="38.25" x14ac:dyDescent="0.2">
      <c r="A77" s="9" t="str">
        <f t="shared" ca="1" si="9"/>
        <v>60</v>
      </c>
      <c r="B77" s="9" t="str">
        <f ca="1">OFFSET(ORÇAMENTO!C$15,ROW(B77)-ROW(B$15),0)</f>
        <v>S</v>
      </c>
      <c r="C77" s="9" t="str">
        <f ca="1">OFFSET(ORÇAMENTO!L$15,ROW(C77)-ROW(C$15),0)</f>
        <v/>
      </c>
      <c r="D77" s="145" t="str">
        <f ca="1">OFFSET(ORÇAMENTO!N$15,ROW(D77)-ROW(D$15),0)</f>
        <v>Serviço</v>
      </c>
      <c r="E77" s="205" t="str">
        <f ca="1">OFFSET(ORÇAMENTO!O$15,ROW(E77)-ROW(E$15),0)</f>
        <v>-</v>
      </c>
      <c r="F77" s="206" t="str">
        <f ca="1">OFFSET(ORÇAMENTO!R$15,ROW(F77)-ROW(F$15),0)</f>
        <v>CHAPISCO APLICADO NO TETO OU EM ESTRUTURA, COM DESEMPENADEIRA DENTADA. ARGAMASSA INDUSTRIALIZADA COM PREPARO MANUAL. AF_10/2022</v>
      </c>
      <c r="G77" s="207" t="str">
        <f ca="1">IF($D77&lt;&gt;"Serviço","",OFFSET(ORÇAMENTO!S$15,ROW(G77)-ROW(G$15),0))</f>
        <v>M2</v>
      </c>
      <c r="H77" s="151">
        <f ca="1">IF($D77&lt;&gt;"Serviço",0,IF(ACOMPANHAMENTO="BM",ROUND(OFFSET(ORÇAMENTO!AJ$15,ROW(H77)-ROW(H$15),0),15-13*ORÇAMENTO!$AF$7),SUMPRODUCT(($Q$12:$AA$12&lt;&gt;"")*ROUND($Q77:$AA77,15-13*ORÇAMENTO!$AF$7))))</f>
        <v>680</v>
      </c>
      <c r="I77" s="649"/>
      <c r="K77" s="208"/>
      <c r="L77" s="209" t="s">
        <v>255</v>
      </c>
      <c r="M77" s="210">
        <f ca="1">IF($D77&lt;&gt;"Serviço","",IF(AUTOEVENTO="manual",$A77,IF(ISERROR(MATCH($A77,$A$15:OFFSET($A77,-1,0),0)),MAX($M$15:OFFSET(M77,-1,0))+1,INDEX($M$15:OFFSET(M77,-1,0),MATCH($A77,$A$15:OFFSET($A77,-1,0),0)))))</f>
        <v>13</v>
      </c>
      <c r="N77" s="211" t="str">
        <f ca="1">IF($D77&lt;&gt;"Serviço","",IF(AUTOEVENTO="Manual",IF($A77=0,"&lt;-- defina o número do agrupador",OFFSET(EVENTOS!$D$14,$A77,0)),OFFSET($F$15,$A77,0)))</f>
        <v>LAJE</v>
      </c>
      <c r="O77" s="212"/>
      <c r="Q77" s="212"/>
      <c r="R77" s="213"/>
      <c r="S77" s="213"/>
      <c r="T77" s="213"/>
      <c r="U77" s="213"/>
      <c r="V77" s="213"/>
      <c r="W77" s="213"/>
      <c r="X77" s="213"/>
      <c r="Y77" s="213"/>
      <c r="Z77" s="214"/>
      <c r="AB77" s="630">
        <f ca="1">IF(AND($D77="Serviço",AB$12&lt;&gt;0,$H77&gt;0,OR(AUTOEVENTO&lt;&gt;"manual",$M77&lt;&gt;1)),
IF(Import.TipoArredondamento&lt;&gt;"TransfereGOV",
ROUND(OFFSET($P77,0,AB$13),15-13*ORÇAMENTO!$AF$7)/$H77*OFFSET(ORÇAMENTO!$X$15,ROW(AB77)-ROW(AB$15),0),
ROUND(ROUND(OFFSET($P77,0,AB$13),15-13*ORÇAMENTO!$AF$7)*OFFSET(ORÇAMENTO!$W$15,ROW(AB77)-ROW(AB$15),0),15-13*ORÇAMENTO!$AF$11)),0)</f>
        <v>0</v>
      </c>
      <c r="AC77" s="631">
        <f ca="1">IF(AND($D77="Serviço",AC$12&lt;&gt;0,$H77&gt;0,OR(AUTOEVENTO&lt;&gt;"manual",$M77&lt;&gt;1)),
IF(Import.TipoArredondamento&lt;&gt;"TransfereGOV",
ROUND(OFFSET($P77,0,AC$13),15-13*ORÇAMENTO!$AF$7)/$H77*OFFSET(ORÇAMENTO!$X$15,ROW(AC77)-ROW(AC$15),0),
ROUND(ROUND(OFFSET($P77,0,AC$13),15-13*ORÇAMENTO!$AF$7)*OFFSET(ORÇAMENTO!$W$15,ROW(AC77)-ROW(AC$15),0),15-13*ORÇAMENTO!$AF$11)),0)</f>
        <v>0</v>
      </c>
      <c r="AD77" s="631">
        <f ca="1">IF(AND($D77="Serviço",AD$12&lt;&gt;0,$H77&gt;0,OR(AUTOEVENTO&lt;&gt;"manual",$M77&lt;&gt;1)),
IF(Import.TipoArredondamento&lt;&gt;"TransfereGOV",
ROUND(OFFSET($P77,0,AD$13),15-13*ORÇAMENTO!$AF$7)/$H77*OFFSET(ORÇAMENTO!$X$15,ROW(AD77)-ROW(AD$15),0),
ROUND(ROUND(OFFSET($P77,0,AD$13),15-13*ORÇAMENTO!$AF$7)*OFFSET(ORÇAMENTO!$W$15,ROW(AD77)-ROW(AD$15),0),15-13*ORÇAMENTO!$AF$11)),0)</f>
        <v>0</v>
      </c>
      <c r="AE77" s="631">
        <f ca="1">IF(AND($D77="Serviço",AE$12&lt;&gt;0,$H77&gt;0,OR(AUTOEVENTO&lt;&gt;"manual",$M77&lt;&gt;1)),
IF(Import.TipoArredondamento&lt;&gt;"TransfereGOV",
ROUND(OFFSET($P77,0,AE$13),15-13*ORÇAMENTO!$AF$7)/$H77*OFFSET(ORÇAMENTO!$X$15,ROW(AE77)-ROW(AE$15),0),
ROUND(ROUND(OFFSET($P77,0,AE$13),15-13*ORÇAMENTO!$AF$7)*OFFSET(ORÇAMENTO!$W$15,ROW(AE77)-ROW(AE$15),0),15-13*ORÇAMENTO!$AF$11)),0)</f>
        <v>0</v>
      </c>
      <c r="AF77" s="631">
        <f ca="1">IF(AND($D77="Serviço",AF$12&lt;&gt;0,$H77&gt;0,OR(AUTOEVENTO&lt;&gt;"manual",$M77&lt;&gt;1)),
IF(Import.TipoArredondamento&lt;&gt;"TransfereGOV",
ROUND(OFFSET($P77,0,AF$13),15-13*ORÇAMENTO!$AF$7)/$H77*OFFSET(ORÇAMENTO!$X$15,ROW(AF77)-ROW(AF$15),0),
ROUND(ROUND(OFFSET($P77,0,AF$13),15-13*ORÇAMENTO!$AF$7)*OFFSET(ORÇAMENTO!$W$15,ROW(AF77)-ROW(AF$15),0),15-13*ORÇAMENTO!$AF$11)),0)</f>
        <v>0</v>
      </c>
      <c r="AG77" s="631">
        <f ca="1">IF(AND($D77="Serviço",AG$12&lt;&gt;0,$H77&gt;0,OR(AUTOEVENTO&lt;&gt;"manual",$M77&lt;&gt;1)),
IF(Import.TipoArredondamento&lt;&gt;"TransfereGOV",
ROUND(OFFSET($P77,0,AG$13),15-13*ORÇAMENTO!$AF$7)/$H77*OFFSET(ORÇAMENTO!$X$15,ROW(AG77)-ROW(AG$15),0),
ROUND(ROUND(OFFSET($P77,0,AG$13),15-13*ORÇAMENTO!$AF$7)*OFFSET(ORÇAMENTO!$W$15,ROW(AG77)-ROW(AG$15),0),15-13*ORÇAMENTO!$AF$11)),0)</f>
        <v>0</v>
      </c>
      <c r="AH77" s="631">
        <f ca="1">IF(AND($D77="Serviço",AH$12&lt;&gt;0,$H77&gt;0,OR(AUTOEVENTO&lt;&gt;"manual",$M77&lt;&gt;1)),
IF(Import.TipoArredondamento&lt;&gt;"TransfereGOV",
ROUND(OFFSET($P77,0,AH$13),15-13*ORÇAMENTO!$AF$7)/$H77*OFFSET(ORÇAMENTO!$X$15,ROW(AH77)-ROW(AH$15),0),
ROUND(ROUND(OFFSET($P77,0,AH$13),15-13*ORÇAMENTO!$AF$7)*OFFSET(ORÇAMENTO!$W$15,ROW(AH77)-ROW(AH$15),0),15-13*ORÇAMENTO!$AF$11)),0)</f>
        <v>0</v>
      </c>
      <c r="AI77" s="631">
        <f ca="1">IF(AND($D77="Serviço",AI$12&lt;&gt;0,$H77&gt;0,OR(AUTOEVENTO&lt;&gt;"manual",$M77&lt;&gt;1)),
IF(Import.TipoArredondamento&lt;&gt;"TransfereGOV",
ROUND(OFFSET($P77,0,AI$13),15-13*ORÇAMENTO!$AF$7)/$H77*OFFSET(ORÇAMENTO!$X$15,ROW(AI77)-ROW(AI$15),0),
ROUND(ROUND(OFFSET($P77,0,AI$13),15-13*ORÇAMENTO!$AF$7)*OFFSET(ORÇAMENTO!$W$15,ROW(AI77)-ROW(AI$15),0),15-13*ORÇAMENTO!$AF$11)),0)</f>
        <v>0</v>
      </c>
      <c r="AJ77" s="631">
        <f ca="1">IF(AND($D77="Serviço",AJ$12&lt;&gt;0,$H77&gt;0,OR(AUTOEVENTO&lt;&gt;"manual",$M77&lt;&gt;1)),
IF(Import.TipoArredondamento&lt;&gt;"TransfereGOV",
ROUND(OFFSET($P77,0,AJ$13),15-13*ORÇAMENTO!$AF$7)/$H77*OFFSET(ORÇAMENTO!$X$15,ROW(AJ77)-ROW(AJ$15),0),
ROUND(ROUND(OFFSET($P77,0,AJ$13),15-13*ORÇAMENTO!$AF$7)*OFFSET(ORÇAMENTO!$W$15,ROW(AJ77)-ROW(AJ$15),0),15-13*ORÇAMENTO!$AF$11)),0)</f>
        <v>0</v>
      </c>
      <c r="AK77" s="632">
        <f ca="1">IF(AND($D77="Serviço",AK$12&lt;&gt;0,$H77&gt;0,OR(AUTOEVENTO&lt;&gt;"manual",$M77&lt;&gt;1)),
IF(Import.TipoArredondamento&lt;&gt;"TransfereGOV",
ROUND(OFFSET($P77,0,AK$13),15-13*ORÇAMENTO!$AF$7)/$H77*OFFSET(ORÇAMENTO!$X$15,ROW(AK77)-ROW(AK$15),0),
ROUND(ROUND(OFFSET($P77,0,AK$13),15-13*ORÇAMENTO!$AF$7)*OFFSET(ORÇAMENTO!$W$15,ROW(AK77)-ROW(AK$15),0),15-13*ORÇAMENTO!$AF$11)),0)</f>
        <v>0</v>
      </c>
      <c r="AM77" s="215">
        <f ca="1">IF($D77&lt;&gt;"Serviço",0,IF(AND(AUTOEVENTO="Manual",$M77=1),0,IF(OFFSET(CRONOPLE!$F$14,$M77,AM$13)="",10^12,OFFSET(CRONOPLE!$F$14,$M77,AM$13))))</f>
        <v>1000000000000</v>
      </c>
      <c r="AN77" s="215">
        <f ca="1">IF($D77&lt;&gt;"Serviço",0,IF(AND(AUTOEVENTO="Manual",$M77=1),0,IF(OFFSET(CRONOPLE!$F$14,$M77,AN$13)="",10^12,OFFSET(CRONOPLE!$F$14,$M77,AN$13))))</f>
        <v>1000000000000</v>
      </c>
      <c r="AO77" s="215">
        <f ca="1">IF($D77&lt;&gt;"Serviço",0,IF(AND(AUTOEVENTO="Manual",$M77=1),0,IF(OFFSET(CRONOPLE!$F$14,$M77,AO$13)="",10^12,OFFSET(CRONOPLE!$F$14,$M77,AO$13))))</f>
        <v>1000000000000</v>
      </c>
      <c r="AP77" s="215">
        <f ca="1">IF($D77&lt;&gt;"Serviço",0,IF(AND(AUTOEVENTO="Manual",$M77=1),0,IF(OFFSET(CRONOPLE!$F$14,$M77,AP$13)="",10^12,OFFSET(CRONOPLE!$F$14,$M77,AP$13))))</f>
        <v>1000000000000</v>
      </c>
      <c r="AQ77" s="215">
        <f ca="1">IF($D77&lt;&gt;"Serviço",0,IF(AND(AUTOEVENTO="Manual",$M77=1),0,IF(OFFSET(CRONOPLE!$F$14,$M77,AQ$13)="",10^12,OFFSET(CRONOPLE!$F$14,$M77,AQ$13))))</f>
        <v>1000000000000</v>
      </c>
      <c r="AR77" s="215">
        <f ca="1">IF($D77&lt;&gt;"Serviço",0,IF(AND(AUTOEVENTO="Manual",$M77=1),0,IF(OFFSET(CRONOPLE!$F$14,$M77,AR$13)="",10^12,OFFSET(CRONOPLE!$F$14,$M77,AR$13))))</f>
        <v>1000000000000</v>
      </c>
      <c r="AS77" s="215">
        <f ca="1">IF($D77&lt;&gt;"Serviço",0,IF(AND(AUTOEVENTO="Manual",$M77=1),0,IF(OFFSET(CRONOPLE!$F$14,$M77,AS$13)="",10^12,OFFSET(CRONOPLE!$F$14,$M77,AS$13))))</f>
        <v>1000000000000</v>
      </c>
      <c r="AT77" s="215">
        <f ca="1">IF($D77&lt;&gt;"Serviço",0,IF(AND(AUTOEVENTO="Manual",$M77=1),0,IF(OFFSET(CRONOPLE!$F$14,$M77,AT$13)="",10^12,OFFSET(CRONOPLE!$F$14,$M77,AT$13))))</f>
        <v>1000000000000</v>
      </c>
      <c r="AU77" s="215">
        <f ca="1">IF($D77&lt;&gt;"Serviço",0,IF(AND(AUTOEVENTO="Manual",$M77=1),0,IF(OFFSET(CRONOPLE!$F$14,$M77,AU$13)="",10^12,OFFSET(CRONOPLE!$F$14,$M77,AU$13))))</f>
        <v>1000000000000</v>
      </c>
      <c r="AV77" s="215">
        <f ca="1">IF($D77&lt;&gt;"Serviço",0,IF(AND(AUTOEVENTO="Manual",$M77=1),0,IF(OFFSET(CRONOPLE!$F$14,$M77,AV$13)="",10^12,OFFSET(CRONOPLE!$F$14,$M77,AV$13))))</f>
        <v>1000000000000</v>
      </c>
      <c r="AX77" s="216">
        <f ca="1">IF($D77&lt;&gt;"Serviço",0,IF(OR(AND(AUTOEVENTO="Manual",$M77=1),$M77&gt;(ROW(PLE.lastrow)-ROW(PLE.firstrow))),0,IF(OFFSET(PLE!$G$14,$M77,AX$13)="",10^12,OFFSET(PLE!$G$14,$M77,AX$13))))</f>
        <v>1000000000000</v>
      </c>
      <c r="AY77" s="216">
        <f ca="1">IF($D77&lt;&gt;"Serviço",0,IF(OR(AND(AUTOEVENTO="Manual",$M77=1),$M77&gt;(ROW(PLE.lastrow)-ROW(PLE.firstrow))),0,IF(OFFSET(PLE!$G$14,$M77,AY$13)="",10^12,OFFSET(PLE!$G$14,$M77,AY$13))))</f>
        <v>1000000000000</v>
      </c>
      <c r="AZ77" s="216">
        <f ca="1">IF($D77&lt;&gt;"Serviço",0,IF(OR(AND(AUTOEVENTO="Manual",$M77=1),$M77&gt;(ROW(PLE.lastrow)-ROW(PLE.firstrow))),0,IF(OFFSET(PLE!$G$14,$M77,AZ$13)="",10^12,OFFSET(PLE!$G$14,$M77,AZ$13))))</f>
        <v>1000000000000</v>
      </c>
      <c r="BA77" s="216">
        <f ca="1">IF($D77&lt;&gt;"Serviço",0,IF(OR(AND(AUTOEVENTO="Manual",$M77=1),$M77&gt;(ROW(PLE.lastrow)-ROW(PLE.firstrow))),0,IF(OFFSET(PLE!$G$14,$M77,BA$13)="",10^12,OFFSET(PLE!$G$14,$M77,BA$13))))</f>
        <v>1000000000000</v>
      </c>
      <c r="BB77" s="216">
        <f ca="1">IF($D77&lt;&gt;"Serviço",0,IF(OR(AND(AUTOEVENTO="Manual",$M77=1),$M77&gt;(ROW(PLE.lastrow)-ROW(PLE.firstrow))),0,IF(OFFSET(PLE!$G$14,$M77,BB$13)="",10^12,OFFSET(PLE!$G$14,$M77,BB$13))))</f>
        <v>1000000000000</v>
      </c>
      <c r="BC77" s="216">
        <f ca="1">IF($D77&lt;&gt;"Serviço",0,IF(OR(AND(AUTOEVENTO="Manual",$M77=1),$M77&gt;(ROW(PLE.lastrow)-ROW(PLE.firstrow))),0,IF(OFFSET(PLE!$G$14,$M77,BC$13)="",10^12,OFFSET(PLE!$G$14,$M77,BC$13))))</f>
        <v>1000000000000</v>
      </c>
      <c r="BD77" s="216">
        <f ca="1">IF($D77&lt;&gt;"Serviço",0,IF(OR(AND(AUTOEVENTO="Manual",$M77=1),$M77&gt;(ROW(PLE.lastrow)-ROW(PLE.firstrow))),0,IF(OFFSET(PLE!$G$14,$M77,BD$13)="",10^12,OFFSET(PLE!$G$14,$M77,BD$13))))</f>
        <v>1000000000000</v>
      </c>
      <c r="BE77" s="216">
        <f ca="1">IF($D77&lt;&gt;"Serviço",0,IF(OR(AND(AUTOEVENTO="Manual",$M77=1),$M77&gt;(ROW(PLE.lastrow)-ROW(PLE.firstrow))),0,IF(OFFSET(PLE!$G$14,$M77,BE$13)="",10^12,OFFSET(PLE!$G$14,$M77,BE$13))))</f>
        <v>1000000000000</v>
      </c>
      <c r="BF77" s="216">
        <f ca="1">IF($D77&lt;&gt;"Serviço",0,IF(OR(AND(AUTOEVENTO="Manual",$M77=1),$M77&gt;(ROW(PLE.lastrow)-ROW(PLE.firstrow))),0,IF(OFFSET(PLE!$G$14,$M77,BF$13)="",10^12,OFFSET(PLE!$G$14,$M77,BF$13))))</f>
        <v>1000000000000</v>
      </c>
      <c r="BG77" s="216">
        <f ca="1">IF($D77&lt;&gt;"Serviço",0,IF(OR(AND(AUTOEVENTO="Manual",$M77=1),$M77&gt;(ROW(PLE.lastrow)-ROW(PLE.firstrow))),0,IF(OFFSET(PLE!$G$14,$M77,BG$13)="",10^12,OFFSET(PLE!$G$14,$M77,BG$13))))</f>
        <v>1000000000000</v>
      </c>
    </row>
    <row r="78" spans="1:59" ht="38.25" x14ac:dyDescent="0.2">
      <c r="A78" s="9" t="str">
        <f t="shared" ca="1" si="9"/>
        <v>60</v>
      </c>
      <c r="B78" s="9" t="str">
        <f ca="1">OFFSET(ORÇAMENTO!C$15,ROW(B78)-ROW(B$15),0)</f>
        <v>S</v>
      </c>
      <c r="C78" s="9" t="str">
        <f ca="1">OFFSET(ORÇAMENTO!L$15,ROW(C78)-ROW(C$15),0)</f>
        <v/>
      </c>
      <c r="D78" s="145" t="str">
        <f ca="1">OFFSET(ORÇAMENTO!N$15,ROW(D78)-ROW(D$15),0)</f>
        <v>Serviço</v>
      </c>
      <c r="E78" s="205" t="str">
        <f ca="1">OFFSET(ORÇAMENTO!O$15,ROW(E78)-ROW(E$15),0)</f>
        <v>-</v>
      </c>
      <c r="F78" s="206" t="str">
        <f ca="1">OFFSET(ORÇAMENTO!R$15,ROW(F78)-ROW(F$15),0)</f>
        <v>MASSA ÚNICA, EM ARGAMASSA TRAÇO 1:2:8, PREPARO MECÂNICO, APLICADA MANUALMENTE EM TETO, E = 17,5MM, COM TALISCAS. AF_03/2024</v>
      </c>
      <c r="G78" s="207" t="str">
        <f ca="1">IF($D78&lt;&gt;"Serviço","",OFFSET(ORÇAMENTO!S$15,ROW(G78)-ROW(G$15),0))</f>
        <v>M2</v>
      </c>
      <c r="H78" s="151">
        <f ca="1">IF($D78&lt;&gt;"Serviço",0,IF(ACOMPANHAMENTO="BM",ROUND(OFFSET(ORÇAMENTO!AJ$15,ROW(H78)-ROW(H$15),0),15-13*ORÇAMENTO!$AF$7),SUMPRODUCT(($Q$12:$AA$12&lt;&gt;"")*ROUND($Q78:$AA78,15-13*ORÇAMENTO!$AF$7))))</f>
        <v>680</v>
      </c>
      <c r="I78" s="649"/>
      <c r="K78" s="208"/>
      <c r="L78" s="209" t="s">
        <v>255</v>
      </c>
      <c r="M78" s="210">
        <f ca="1">IF($D78&lt;&gt;"Serviço","",IF(AUTOEVENTO="manual",$A78,IF(ISERROR(MATCH($A78,$A$15:OFFSET($A78,-1,0),0)),MAX($M$15:OFFSET(M78,-1,0))+1,INDEX($M$15:OFFSET(M78,-1,0),MATCH($A78,$A$15:OFFSET($A78,-1,0),0)))))</f>
        <v>13</v>
      </c>
      <c r="N78" s="211" t="str">
        <f ca="1">IF($D78&lt;&gt;"Serviço","",IF(AUTOEVENTO="Manual",IF($A78=0,"&lt;-- defina o número do agrupador",OFFSET(EVENTOS!$D$14,$A78,0)),OFFSET($F$15,$A78,0)))</f>
        <v>LAJE</v>
      </c>
      <c r="O78" s="212"/>
      <c r="Q78" s="212"/>
      <c r="R78" s="213"/>
      <c r="S78" s="213"/>
      <c r="T78" s="213"/>
      <c r="U78" s="213"/>
      <c r="V78" s="213"/>
      <c r="W78" s="213"/>
      <c r="X78" s="213"/>
      <c r="Y78" s="213"/>
      <c r="Z78" s="214"/>
      <c r="AB78" s="630">
        <f ca="1">IF(AND($D78="Serviço",AB$12&lt;&gt;0,$H78&gt;0,OR(AUTOEVENTO&lt;&gt;"manual",$M78&lt;&gt;1)),
IF(Import.TipoArredondamento&lt;&gt;"TransfereGOV",
ROUND(OFFSET($P78,0,AB$13),15-13*ORÇAMENTO!$AF$7)/$H78*OFFSET(ORÇAMENTO!$X$15,ROW(AB78)-ROW(AB$15),0),
ROUND(ROUND(OFFSET($P78,0,AB$13),15-13*ORÇAMENTO!$AF$7)*OFFSET(ORÇAMENTO!$W$15,ROW(AB78)-ROW(AB$15),0),15-13*ORÇAMENTO!$AF$11)),0)</f>
        <v>0</v>
      </c>
      <c r="AC78" s="631">
        <f ca="1">IF(AND($D78="Serviço",AC$12&lt;&gt;0,$H78&gt;0,OR(AUTOEVENTO&lt;&gt;"manual",$M78&lt;&gt;1)),
IF(Import.TipoArredondamento&lt;&gt;"TransfereGOV",
ROUND(OFFSET($P78,0,AC$13),15-13*ORÇAMENTO!$AF$7)/$H78*OFFSET(ORÇAMENTO!$X$15,ROW(AC78)-ROW(AC$15),0),
ROUND(ROUND(OFFSET($P78,0,AC$13),15-13*ORÇAMENTO!$AF$7)*OFFSET(ORÇAMENTO!$W$15,ROW(AC78)-ROW(AC$15),0),15-13*ORÇAMENTO!$AF$11)),0)</f>
        <v>0</v>
      </c>
      <c r="AD78" s="631">
        <f ca="1">IF(AND($D78="Serviço",AD$12&lt;&gt;0,$H78&gt;0,OR(AUTOEVENTO&lt;&gt;"manual",$M78&lt;&gt;1)),
IF(Import.TipoArredondamento&lt;&gt;"TransfereGOV",
ROUND(OFFSET($P78,0,AD$13),15-13*ORÇAMENTO!$AF$7)/$H78*OFFSET(ORÇAMENTO!$X$15,ROW(AD78)-ROW(AD$15),0),
ROUND(ROUND(OFFSET($P78,0,AD$13),15-13*ORÇAMENTO!$AF$7)*OFFSET(ORÇAMENTO!$W$15,ROW(AD78)-ROW(AD$15),0),15-13*ORÇAMENTO!$AF$11)),0)</f>
        <v>0</v>
      </c>
      <c r="AE78" s="631">
        <f ca="1">IF(AND($D78="Serviço",AE$12&lt;&gt;0,$H78&gt;0,OR(AUTOEVENTO&lt;&gt;"manual",$M78&lt;&gt;1)),
IF(Import.TipoArredondamento&lt;&gt;"TransfereGOV",
ROUND(OFFSET($P78,0,AE$13),15-13*ORÇAMENTO!$AF$7)/$H78*OFFSET(ORÇAMENTO!$X$15,ROW(AE78)-ROW(AE$15),0),
ROUND(ROUND(OFFSET($P78,0,AE$13),15-13*ORÇAMENTO!$AF$7)*OFFSET(ORÇAMENTO!$W$15,ROW(AE78)-ROW(AE$15),0),15-13*ORÇAMENTO!$AF$11)),0)</f>
        <v>0</v>
      </c>
      <c r="AF78" s="631">
        <f ca="1">IF(AND($D78="Serviço",AF$12&lt;&gt;0,$H78&gt;0,OR(AUTOEVENTO&lt;&gt;"manual",$M78&lt;&gt;1)),
IF(Import.TipoArredondamento&lt;&gt;"TransfereGOV",
ROUND(OFFSET($P78,0,AF$13),15-13*ORÇAMENTO!$AF$7)/$H78*OFFSET(ORÇAMENTO!$X$15,ROW(AF78)-ROW(AF$15),0),
ROUND(ROUND(OFFSET($P78,0,AF$13),15-13*ORÇAMENTO!$AF$7)*OFFSET(ORÇAMENTO!$W$15,ROW(AF78)-ROW(AF$15),0),15-13*ORÇAMENTO!$AF$11)),0)</f>
        <v>0</v>
      </c>
      <c r="AG78" s="631">
        <f ca="1">IF(AND($D78="Serviço",AG$12&lt;&gt;0,$H78&gt;0,OR(AUTOEVENTO&lt;&gt;"manual",$M78&lt;&gt;1)),
IF(Import.TipoArredondamento&lt;&gt;"TransfereGOV",
ROUND(OFFSET($P78,0,AG$13),15-13*ORÇAMENTO!$AF$7)/$H78*OFFSET(ORÇAMENTO!$X$15,ROW(AG78)-ROW(AG$15),0),
ROUND(ROUND(OFFSET($P78,0,AG$13),15-13*ORÇAMENTO!$AF$7)*OFFSET(ORÇAMENTO!$W$15,ROW(AG78)-ROW(AG$15),0),15-13*ORÇAMENTO!$AF$11)),0)</f>
        <v>0</v>
      </c>
      <c r="AH78" s="631">
        <f ca="1">IF(AND($D78="Serviço",AH$12&lt;&gt;0,$H78&gt;0,OR(AUTOEVENTO&lt;&gt;"manual",$M78&lt;&gt;1)),
IF(Import.TipoArredondamento&lt;&gt;"TransfereGOV",
ROUND(OFFSET($P78,0,AH$13),15-13*ORÇAMENTO!$AF$7)/$H78*OFFSET(ORÇAMENTO!$X$15,ROW(AH78)-ROW(AH$15),0),
ROUND(ROUND(OFFSET($P78,0,AH$13),15-13*ORÇAMENTO!$AF$7)*OFFSET(ORÇAMENTO!$W$15,ROW(AH78)-ROW(AH$15),0),15-13*ORÇAMENTO!$AF$11)),0)</f>
        <v>0</v>
      </c>
      <c r="AI78" s="631">
        <f ca="1">IF(AND($D78="Serviço",AI$12&lt;&gt;0,$H78&gt;0,OR(AUTOEVENTO&lt;&gt;"manual",$M78&lt;&gt;1)),
IF(Import.TipoArredondamento&lt;&gt;"TransfereGOV",
ROUND(OFFSET($P78,0,AI$13),15-13*ORÇAMENTO!$AF$7)/$H78*OFFSET(ORÇAMENTO!$X$15,ROW(AI78)-ROW(AI$15),0),
ROUND(ROUND(OFFSET($P78,0,AI$13),15-13*ORÇAMENTO!$AF$7)*OFFSET(ORÇAMENTO!$W$15,ROW(AI78)-ROW(AI$15),0),15-13*ORÇAMENTO!$AF$11)),0)</f>
        <v>0</v>
      </c>
      <c r="AJ78" s="631">
        <f ca="1">IF(AND($D78="Serviço",AJ$12&lt;&gt;0,$H78&gt;0,OR(AUTOEVENTO&lt;&gt;"manual",$M78&lt;&gt;1)),
IF(Import.TipoArredondamento&lt;&gt;"TransfereGOV",
ROUND(OFFSET($P78,0,AJ$13),15-13*ORÇAMENTO!$AF$7)/$H78*OFFSET(ORÇAMENTO!$X$15,ROW(AJ78)-ROW(AJ$15),0),
ROUND(ROUND(OFFSET($P78,0,AJ$13),15-13*ORÇAMENTO!$AF$7)*OFFSET(ORÇAMENTO!$W$15,ROW(AJ78)-ROW(AJ$15),0),15-13*ORÇAMENTO!$AF$11)),0)</f>
        <v>0</v>
      </c>
      <c r="AK78" s="632">
        <f ca="1">IF(AND($D78="Serviço",AK$12&lt;&gt;0,$H78&gt;0,OR(AUTOEVENTO&lt;&gt;"manual",$M78&lt;&gt;1)),
IF(Import.TipoArredondamento&lt;&gt;"TransfereGOV",
ROUND(OFFSET($P78,0,AK$13),15-13*ORÇAMENTO!$AF$7)/$H78*OFFSET(ORÇAMENTO!$X$15,ROW(AK78)-ROW(AK$15),0),
ROUND(ROUND(OFFSET($P78,0,AK$13),15-13*ORÇAMENTO!$AF$7)*OFFSET(ORÇAMENTO!$W$15,ROW(AK78)-ROW(AK$15),0),15-13*ORÇAMENTO!$AF$11)),0)</f>
        <v>0</v>
      </c>
      <c r="AM78" s="215">
        <f ca="1">IF($D78&lt;&gt;"Serviço",0,IF(AND(AUTOEVENTO="Manual",$M78=1),0,IF(OFFSET(CRONOPLE!$F$14,$M78,AM$13)="",10^12,OFFSET(CRONOPLE!$F$14,$M78,AM$13))))</f>
        <v>1000000000000</v>
      </c>
      <c r="AN78" s="215">
        <f ca="1">IF($D78&lt;&gt;"Serviço",0,IF(AND(AUTOEVENTO="Manual",$M78=1),0,IF(OFFSET(CRONOPLE!$F$14,$M78,AN$13)="",10^12,OFFSET(CRONOPLE!$F$14,$M78,AN$13))))</f>
        <v>1000000000000</v>
      </c>
      <c r="AO78" s="215">
        <f ca="1">IF($D78&lt;&gt;"Serviço",0,IF(AND(AUTOEVENTO="Manual",$M78=1),0,IF(OFFSET(CRONOPLE!$F$14,$M78,AO$13)="",10^12,OFFSET(CRONOPLE!$F$14,$M78,AO$13))))</f>
        <v>1000000000000</v>
      </c>
      <c r="AP78" s="215">
        <f ca="1">IF($D78&lt;&gt;"Serviço",0,IF(AND(AUTOEVENTO="Manual",$M78=1),0,IF(OFFSET(CRONOPLE!$F$14,$M78,AP$13)="",10^12,OFFSET(CRONOPLE!$F$14,$M78,AP$13))))</f>
        <v>1000000000000</v>
      </c>
      <c r="AQ78" s="215">
        <f ca="1">IF($D78&lt;&gt;"Serviço",0,IF(AND(AUTOEVENTO="Manual",$M78=1),0,IF(OFFSET(CRONOPLE!$F$14,$M78,AQ$13)="",10^12,OFFSET(CRONOPLE!$F$14,$M78,AQ$13))))</f>
        <v>1000000000000</v>
      </c>
      <c r="AR78" s="215">
        <f ca="1">IF($D78&lt;&gt;"Serviço",0,IF(AND(AUTOEVENTO="Manual",$M78=1),0,IF(OFFSET(CRONOPLE!$F$14,$M78,AR$13)="",10^12,OFFSET(CRONOPLE!$F$14,$M78,AR$13))))</f>
        <v>1000000000000</v>
      </c>
      <c r="AS78" s="215">
        <f ca="1">IF($D78&lt;&gt;"Serviço",0,IF(AND(AUTOEVENTO="Manual",$M78=1),0,IF(OFFSET(CRONOPLE!$F$14,$M78,AS$13)="",10^12,OFFSET(CRONOPLE!$F$14,$M78,AS$13))))</f>
        <v>1000000000000</v>
      </c>
      <c r="AT78" s="215">
        <f ca="1">IF($D78&lt;&gt;"Serviço",0,IF(AND(AUTOEVENTO="Manual",$M78=1),0,IF(OFFSET(CRONOPLE!$F$14,$M78,AT$13)="",10^12,OFFSET(CRONOPLE!$F$14,$M78,AT$13))))</f>
        <v>1000000000000</v>
      </c>
      <c r="AU78" s="215">
        <f ca="1">IF($D78&lt;&gt;"Serviço",0,IF(AND(AUTOEVENTO="Manual",$M78=1),0,IF(OFFSET(CRONOPLE!$F$14,$M78,AU$13)="",10^12,OFFSET(CRONOPLE!$F$14,$M78,AU$13))))</f>
        <v>1000000000000</v>
      </c>
      <c r="AV78" s="215">
        <f ca="1">IF($D78&lt;&gt;"Serviço",0,IF(AND(AUTOEVENTO="Manual",$M78=1),0,IF(OFFSET(CRONOPLE!$F$14,$M78,AV$13)="",10^12,OFFSET(CRONOPLE!$F$14,$M78,AV$13))))</f>
        <v>1000000000000</v>
      </c>
      <c r="AX78" s="216">
        <f ca="1">IF($D78&lt;&gt;"Serviço",0,IF(OR(AND(AUTOEVENTO="Manual",$M78=1),$M78&gt;(ROW(PLE.lastrow)-ROW(PLE.firstrow))),0,IF(OFFSET(PLE!$G$14,$M78,AX$13)="",10^12,OFFSET(PLE!$G$14,$M78,AX$13))))</f>
        <v>1000000000000</v>
      </c>
      <c r="AY78" s="216">
        <f ca="1">IF($D78&lt;&gt;"Serviço",0,IF(OR(AND(AUTOEVENTO="Manual",$M78=1),$M78&gt;(ROW(PLE.lastrow)-ROW(PLE.firstrow))),0,IF(OFFSET(PLE!$G$14,$M78,AY$13)="",10^12,OFFSET(PLE!$G$14,$M78,AY$13))))</f>
        <v>1000000000000</v>
      </c>
      <c r="AZ78" s="216">
        <f ca="1">IF($D78&lt;&gt;"Serviço",0,IF(OR(AND(AUTOEVENTO="Manual",$M78=1),$M78&gt;(ROW(PLE.lastrow)-ROW(PLE.firstrow))),0,IF(OFFSET(PLE!$G$14,$M78,AZ$13)="",10^12,OFFSET(PLE!$G$14,$M78,AZ$13))))</f>
        <v>1000000000000</v>
      </c>
      <c r="BA78" s="216">
        <f ca="1">IF($D78&lt;&gt;"Serviço",0,IF(OR(AND(AUTOEVENTO="Manual",$M78=1),$M78&gt;(ROW(PLE.lastrow)-ROW(PLE.firstrow))),0,IF(OFFSET(PLE!$G$14,$M78,BA$13)="",10^12,OFFSET(PLE!$G$14,$M78,BA$13))))</f>
        <v>1000000000000</v>
      </c>
      <c r="BB78" s="216">
        <f ca="1">IF($D78&lt;&gt;"Serviço",0,IF(OR(AND(AUTOEVENTO="Manual",$M78=1),$M78&gt;(ROW(PLE.lastrow)-ROW(PLE.firstrow))),0,IF(OFFSET(PLE!$G$14,$M78,BB$13)="",10^12,OFFSET(PLE!$G$14,$M78,BB$13))))</f>
        <v>1000000000000</v>
      </c>
      <c r="BC78" s="216">
        <f ca="1">IF($D78&lt;&gt;"Serviço",0,IF(OR(AND(AUTOEVENTO="Manual",$M78=1),$M78&gt;(ROW(PLE.lastrow)-ROW(PLE.firstrow))),0,IF(OFFSET(PLE!$G$14,$M78,BC$13)="",10^12,OFFSET(PLE!$G$14,$M78,BC$13))))</f>
        <v>1000000000000</v>
      </c>
      <c r="BD78" s="216">
        <f ca="1">IF($D78&lt;&gt;"Serviço",0,IF(OR(AND(AUTOEVENTO="Manual",$M78=1),$M78&gt;(ROW(PLE.lastrow)-ROW(PLE.firstrow))),0,IF(OFFSET(PLE!$G$14,$M78,BD$13)="",10^12,OFFSET(PLE!$G$14,$M78,BD$13))))</f>
        <v>1000000000000</v>
      </c>
      <c r="BE78" s="216">
        <f ca="1">IF($D78&lt;&gt;"Serviço",0,IF(OR(AND(AUTOEVENTO="Manual",$M78=1),$M78&gt;(ROW(PLE.lastrow)-ROW(PLE.firstrow))),0,IF(OFFSET(PLE!$G$14,$M78,BE$13)="",10^12,OFFSET(PLE!$G$14,$M78,BE$13))))</f>
        <v>1000000000000</v>
      </c>
      <c r="BF78" s="216">
        <f ca="1">IF($D78&lt;&gt;"Serviço",0,IF(OR(AND(AUTOEVENTO="Manual",$M78=1),$M78&gt;(ROW(PLE.lastrow)-ROW(PLE.firstrow))),0,IF(OFFSET(PLE!$G$14,$M78,BF$13)="",10^12,OFFSET(PLE!$G$14,$M78,BF$13))))</f>
        <v>1000000000000</v>
      </c>
      <c r="BG78" s="216">
        <f ca="1">IF($D78&lt;&gt;"Serviço",0,IF(OR(AND(AUTOEVENTO="Manual",$M78=1),$M78&gt;(ROW(PLE.lastrow)-ROW(PLE.firstrow))),0,IF(OFFSET(PLE!$G$14,$M78,BG$13)="",10^12,OFFSET(PLE!$G$14,$M78,BG$13))))</f>
        <v>1000000000000</v>
      </c>
    </row>
    <row r="79" spans="1:59" ht="12.75" x14ac:dyDescent="0.2">
      <c r="A79" s="9" t="str">
        <f t="shared" ca="1" si="9"/>
        <v>64.</v>
      </c>
      <c r="B79" s="9">
        <f ca="1">OFFSET(ORÇAMENTO!C$15,ROW(B79)-ROW(B$15),0)</f>
        <v>2</v>
      </c>
      <c r="C79" s="9" t="str">
        <f ca="1">OFFSET(ORÇAMENTO!L$15,ROW(C79)-ROW(C$15),0)</f>
        <v>F</v>
      </c>
      <c r="D79" s="145" t="str">
        <f ca="1">OFFSET(ORÇAMENTO!N$15,ROW(D79)-ROW(D$15),0)</f>
        <v>Nível 2</v>
      </c>
      <c r="E79" s="205" t="str">
        <f ca="1">OFFSET(ORÇAMENTO!O$15,ROW(E79)-ROW(E$15),0)</f>
        <v>1.13.</v>
      </c>
      <c r="F79" s="206" t="str">
        <f ca="1">OFFSET(ORÇAMENTO!R$15,ROW(F79)-ROW(F$15),0)</f>
        <v xml:space="preserve">COBERTURA </v>
      </c>
      <c r="G79" s="207" t="str">
        <f ca="1">IF($D79&lt;&gt;"Serviço","",OFFSET(ORÇAMENTO!S$15,ROW(G79)-ROW(G$15),0))</f>
        <v/>
      </c>
      <c r="H79" s="151">
        <f ca="1">IF($D79&lt;&gt;"Serviço",0,IF(ACOMPANHAMENTO="BM",ROUND(OFFSET(ORÇAMENTO!AJ$15,ROW(H79)-ROW(H$15),0),15-13*ORÇAMENTO!$AF$7),SUMPRODUCT(($Q$12:$AA$12&lt;&gt;"")*ROUND($Q79:$AA79,15-13*ORÇAMENTO!$AF$7))))</f>
        <v>0</v>
      </c>
      <c r="I79" s="649"/>
      <c r="K79" s="208"/>
      <c r="L79" s="209" t="s">
        <v>255</v>
      </c>
      <c r="M79" s="210" t="str">
        <f ca="1">IF($D79&lt;&gt;"Serviço","",IF(AUTOEVENTO="manual",$A79,IF(ISERROR(MATCH($A79,$A$15:OFFSET($A79,-1,0),0)),MAX($M$15:OFFSET(M79,-1,0))+1,INDEX($M$15:OFFSET(M79,-1,0),MATCH($A79,$A$15:OFFSET($A79,-1,0),0)))))</f>
        <v/>
      </c>
      <c r="N79" s="211" t="str">
        <f ca="1">IF($D79&lt;&gt;"Serviço","",IF(AUTOEVENTO="Manual",IF($A79=0,"&lt;-- defina o número do agrupador",OFFSET(EVENTOS!$D$14,$A79,0)),OFFSET($F$15,$A79,0)))</f>
        <v/>
      </c>
      <c r="O79" s="212"/>
      <c r="Q79" s="212"/>
      <c r="R79" s="213"/>
      <c r="S79" s="213"/>
      <c r="T79" s="213"/>
      <c r="U79" s="213"/>
      <c r="V79" s="213"/>
      <c r="W79" s="213"/>
      <c r="X79" s="213"/>
      <c r="Y79" s="213"/>
      <c r="Z79" s="214"/>
      <c r="AB79" s="630">
        <f ca="1">IF(AND($D79="Serviço",AB$12&lt;&gt;0,$H79&gt;0,OR(AUTOEVENTO&lt;&gt;"manual",$M79&lt;&gt;1)),
IF(Import.TipoArredondamento&lt;&gt;"TransfereGOV",
ROUND(OFFSET($P79,0,AB$13),15-13*ORÇAMENTO!$AF$7)/$H79*OFFSET(ORÇAMENTO!$X$15,ROW(AB79)-ROW(AB$15),0),
ROUND(ROUND(OFFSET($P79,0,AB$13),15-13*ORÇAMENTO!$AF$7)*OFFSET(ORÇAMENTO!$W$15,ROW(AB79)-ROW(AB$15),0),15-13*ORÇAMENTO!$AF$11)),0)</f>
        <v>0</v>
      </c>
      <c r="AC79" s="631">
        <f ca="1">IF(AND($D79="Serviço",AC$12&lt;&gt;0,$H79&gt;0,OR(AUTOEVENTO&lt;&gt;"manual",$M79&lt;&gt;1)),
IF(Import.TipoArredondamento&lt;&gt;"TransfereGOV",
ROUND(OFFSET($P79,0,AC$13),15-13*ORÇAMENTO!$AF$7)/$H79*OFFSET(ORÇAMENTO!$X$15,ROW(AC79)-ROW(AC$15),0),
ROUND(ROUND(OFFSET($P79,0,AC$13),15-13*ORÇAMENTO!$AF$7)*OFFSET(ORÇAMENTO!$W$15,ROW(AC79)-ROW(AC$15),0),15-13*ORÇAMENTO!$AF$11)),0)</f>
        <v>0</v>
      </c>
      <c r="AD79" s="631">
        <f ca="1">IF(AND($D79="Serviço",AD$12&lt;&gt;0,$H79&gt;0,OR(AUTOEVENTO&lt;&gt;"manual",$M79&lt;&gt;1)),
IF(Import.TipoArredondamento&lt;&gt;"TransfereGOV",
ROUND(OFFSET($P79,0,AD$13),15-13*ORÇAMENTO!$AF$7)/$H79*OFFSET(ORÇAMENTO!$X$15,ROW(AD79)-ROW(AD$15),0),
ROUND(ROUND(OFFSET($P79,0,AD$13),15-13*ORÇAMENTO!$AF$7)*OFFSET(ORÇAMENTO!$W$15,ROW(AD79)-ROW(AD$15),0),15-13*ORÇAMENTO!$AF$11)),0)</f>
        <v>0</v>
      </c>
      <c r="AE79" s="631">
        <f ca="1">IF(AND($D79="Serviço",AE$12&lt;&gt;0,$H79&gt;0,OR(AUTOEVENTO&lt;&gt;"manual",$M79&lt;&gt;1)),
IF(Import.TipoArredondamento&lt;&gt;"TransfereGOV",
ROUND(OFFSET($P79,0,AE$13),15-13*ORÇAMENTO!$AF$7)/$H79*OFFSET(ORÇAMENTO!$X$15,ROW(AE79)-ROW(AE$15),0),
ROUND(ROUND(OFFSET($P79,0,AE$13),15-13*ORÇAMENTO!$AF$7)*OFFSET(ORÇAMENTO!$W$15,ROW(AE79)-ROW(AE$15),0),15-13*ORÇAMENTO!$AF$11)),0)</f>
        <v>0</v>
      </c>
      <c r="AF79" s="631">
        <f ca="1">IF(AND($D79="Serviço",AF$12&lt;&gt;0,$H79&gt;0,OR(AUTOEVENTO&lt;&gt;"manual",$M79&lt;&gt;1)),
IF(Import.TipoArredondamento&lt;&gt;"TransfereGOV",
ROUND(OFFSET($P79,0,AF$13),15-13*ORÇAMENTO!$AF$7)/$H79*OFFSET(ORÇAMENTO!$X$15,ROW(AF79)-ROW(AF$15),0),
ROUND(ROUND(OFFSET($P79,0,AF$13),15-13*ORÇAMENTO!$AF$7)*OFFSET(ORÇAMENTO!$W$15,ROW(AF79)-ROW(AF$15),0),15-13*ORÇAMENTO!$AF$11)),0)</f>
        <v>0</v>
      </c>
      <c r="AG79" s="631">
        <f ca="1">IF(AND($D79="Serviço",AG$12&lt;&gt;0,$H79&gt;0,OR(AUTOEVENTO&lt;&gt;"manual",$M79&lt;&gt;1)),
IF(Import.TipoArredondamento&lt;&gt;"TransfereGOV",
ROUND(OFFSET($P79,0,AG$13),15-13*ORÇAMENTO!$AF$7)/$H79*OFFSET(ORÇAMENTO!$X$15,ROW(AG79)-ROW(AG$15),0),
ROUND(ROUND(OFFSET($P79,0,AG$13),15-13*ORÇAMENTO!$AF$7)*OFFSET(ORÇAMENTO!$W$15,ROW(AG79)-ROW(AG$15),0),15-13*ORÇAMENTO!$AF$11)),0)</f>
        <v>0</v>
      </c>
      <c r="AH79" s="631">
        <f ca="1">IF(AND($D79="Serviço",AH$12&lt;&gt;0,$H79&gt;0,OR(AUTOEVENTO&lt;&gt;"manual",$M79&lt;&gt;1)),
IF(Import.TipoArredondamento&lt;&gt;"TransfereGOV",
ROUND(OFFSET($P79,0,AH$13),15-13*ORÇAMENTO!$AF$7)/$H79*OFFSET(ORÇAMENTO!$X$15,ROW(AH79)-ROW(AH$15),0),
ROUND(ROUND(OFFSET($P79,0,AH$13),15-13*ORÇAMENTO!$AF$7)*OFFSET(ORÇAMENTO!$W$15,ROW(AH79)-ROW(AH$15),0),15-13*ORÇAMENTO!$AF$11)),0)</f>
        <v>0</v>
      </c>
      <c r="AI79" s="631">
        <f ca="1">IF(AND($D79="Serviço",AI$12&lt;&gt;0,$H79&gt;0,OR(AUTOEVENTO&lt;&gt;"manual",$M79&lt;&gt;1)),
IF(Import.TipoArredondamento&lt;&gt;"TransfereGOV",
ROUND(OFFSET($P79,0,AI$13),15-13*ORÇAMENTO!$AF$7)/$H79*OFFSET(ORÇAMENTO!$X$15,ROW(AI79)-ROW(AI$15),0),
ROUND(ROUND(OFFSET($P79,0,AI$13),15-13*ORÇAMENTO!$AF$7)*OFFSET(ORÇAMENTO!$W$15,ROW(AI79)-ROW(AI$15),0),15-13*ORÇAMENTO!$AF$11)),0)</f>
        <v>0</v>
      </c>
      <c r="AJ79" s="631">
        <f ca="1">IF(AND($D79="Serviço",AJ$12&lt;&gt;0,$H79&gt;0,OR(AUTOEVENTO&lt;&gt;"manual",$M79&lt;&gt;1)),
IF(Import.TipoArredondamento&lt;&gt;"TransfereGOV",
ROUND(OFFSET($P79,0,AJ$13),15-13*ORÇAMENTO!$AF$7)/$H79*OFFSET(ORÇAMENTO!$X$15,ROW(AJ79)-ROW(AJ$15),0),
ROUND(ROUND(OFFSET($P79,0,AJ$13),15-13*ORÇAMENTO!$AF$7)*OFFSET(ORÇAMENTO!$W$15,ROW(AJ79)-ROW(AJ$15),0),15-13*ORÇAMENTO!$AF$11)),0)</f>
        <v>0</v>
      </c>
      <c r="AK79" s="632">
        <f ca="1">IF(AND($D79="Serviço",AK$12&lt;&gt;0,$H79&gt;0,OR(AUTOEVENTO&lt;&gt;"manual",$M79&lt;&gt;1)),
IF(Import.TipoArredondamento&lt;&gt;"TransfereGOV",
ROUND(OFFSET($P79,0,AK$13),15-13*ORÇAMENTO!$AF$7)/$H79*OFFSET(ORÇAMENTO!$X$15,ROW(AK79)-ROW(AK$15),0),
ROUND(ROUND(OFFSET($P79,0,AK$13),15-13*ORÇAMENTO!$AF$7)*OFFSET(ORÇAMENTO!$W$15,ROW(AK79)-ROW(AK$15),0),15-13*ORÇAMENTO!$AF$11)),0)</f>
        <v>0</v>
      </c>
      <c r="AM79" s="215">
        <f ca="1">IF($D79&lt;&gt;"Serviço",0,IF(AND(AUTOEVENTO="Manual",$M79=1),0,IF(OFFSET(CRONOPLE!$F$14,$M79,AM$13)="",10^12,OFFSET(CRONOPLE!$F$14,$M79,AM$13))))</f>
        <v>0</v>
      </c>
      <c r="AN79" s="215">
        <f ca="1">IF($D79&lt;&gt;"Serviço",0,IF(AND(AUTOEVENTO="Manual",$M79=1),0,IF(OFFSET(CRONOPLE!$F$14,$M79,AN$13)="",10^12,OFFSET(CRONOPLE!$F$14,$M79,AN$13))))</f>
        <v>0</v>
      </c>
      <c r="AO79" s="215">
        <f ca="1">IF($D79&lt;&gt;"Serviço",0,IF(AND(AUTOEVENTO="Manual",$M79=1),0,IF(OFFSET(CRONOPLE!$F$14,$M79,AO$13)="",10^12,OFFSET(CRONOPLE!$F$14,$M79,AO$13))))</f>
        <v>0</v>
      </c>
      <c r="AP79" s="215">
        <f ca="1">IF($D79&lt;&gt;"Serviço",0,IF(AND(AUTOEVENTO="Manual",$M79=1),0,IF(OFFSET(CRONOPLE!$F$14,$M79,AP$13)="",10^12,OFFSET(CRONOPLE!$F$14,$M79,AP$13))))</f>
        <v>0</v>
      </c>
      <c r="AQ79" s="215">
        <f ca="1">IF($D79&lt;&gt;"Serviço",0,IF(AND(AUTOEVENTO="Manual",$M79=1),0,IF(OFFSET(CRONOPLE!$F$14,$M79,AQ$13)="",10^12,OFFSET(CRONOPLE!$F$14,$M79,AQ$13))))</f>
        <v>0</v>
      </c>
      <c r="AR79" s="215">
        <f ca="1">IF($D79&lt;&gt;"Serviço",0,IF(AND(AUTOEVENTO="Manual",$M79=1),0,IF(OFFSET(CRONOPLE!$F$14,$M79,AR$13)="",10^12,OFFSET(CRONOPLE!$F$14,$M79,AR$13))))</f>
        <v>0</v>
      </c>
      <c r="AS79" s="215">
        <f ca="1">IF($D79&lt;&gt;"Serviço",0,IF(AND(AUTOEVENTO="Manual",$M79=1),0,IF(OFFSET(CRONOPLE!$F$14,$M79,AS$13)="",10^12,OFFSET(CRONOPLE!$F$14,$M79,AS$13))))</f>
        <v>0</v>
      </c>
      <c r="AT79" s="215">
        <f ca="1">IF($D79&lt;&gt;"Serviço",0,IF(AND(AUTOEVENTO="Manual",$M79=1),0,IF(OFFSET(CRONOPLE!$F$14,$M79,AT$13)="",10^12,OFFSET(CRONOPLE!$F$14,$M79,AT$13))))</f>
        <v>0</v>
      </c>
      <c r="AU79" s="215">
        <f ca="1">IF($D79&lt;&gt;"Serviço",0,IF(AND(AUTOEVENTO="Manual",$M79=1),0,IF(OFFSET(CRONOPLE!$F$14,$M79,AU$13)="",10^12,OFFSET(CRONOPLE!$F$14,$M79,AU$13))))</f>
        <v>0</v>
      </c>
      <c r="AV79" s="215">
        <f ca="1">IF($D79&lt;&gt;"Serviço",0,IF(AND(AUTOEVENTO="Manual",$M79=1),0,IF(OFFSET(CRONOPLE!$F$14,$M79,AV$13)="",10^12,OFFSET(CRONOPLE!$F$14,$M79,AV$13))))</f>
        <v>0</v>
      </c>
      <c r="AX79" s="216">
        <f ca="1">IF($D79&lt;&gt;"Serviço",0,IF(OR(AND(AUTOEVENTO="Manual",$M79=1),$M79&gt;(ROW(PLE.lastrow)-ROW(PLE.firstrow))),0,IF(OFFSET(PLE!$G$14,$M79,AX$13)="",10^12,OFFSET(PLE!$G$14,$M79,AX$13))))</f>
        <v>0</v>
      </c>
      <c r="AY79" s="216">
        <f ca="1">IF($D79&lt;&gt;"Serviço",0,IF(OR(AND(AUTOEVENTO="Manual",$M79=1),$M79&gt;(ROW(PLE.lastrow)-ROW(PLE.firstrow))),0,IF(OFFSET(PLE!$G$14,$M79,AY$13)="",10^12,OFFSET(PLE!$G$14,$M79,AY$13))))</f>
        <v>0</v>
      </c>
      <c r="AZ79" s="216">
        <f ca="1">IF($D79&lt;&gt;"Serviço",0,IF(OR(AND(AUTOEVENTO="Manual",$M79=1),$M79&gt;(ROW(PLE.lastrow)-ROW(PLE.firstrow))),0,IF(OFFSET(PLE!$G$14,$M79,AZ$13)="",10^12,OFFSET(PLE!$G$14,$M79,AZ$13))))</f>
        <v>0</v>
      </c>
      <c r="BA79" s="216">
        <f ca="1">IF($D79&lt;&gt;"Serviço",0,IF(OR(AND(AUTOEVENTO="Manual",$M79=1),$M79&gt;(ROW(PLE.lastrow)-ROW(PLE.firstrow))),0,IF(OFFSET(PLE!$G$14,$M79,BA$13)="",10^12,OFFSET(PLE!$G$14,$M79,BA$13))))</f>
        <v>0</v>
      </c>
      <c r="BB79" s="216">
        <f ca="1">IF($D79&lt;&gt;"Serviço",0,IF(OR(AND(AUTOEVENTO="Manual",$M79=1),$M79&gt;(ROW(PLE.lastrow)-ROW(PLE.firstrow))),0,IF(OFFSET(PLE!$G$14,$M79,BB$13)="",10^12,OFFSET(PLE!$G$14,$M79,BB$13))))</f>
        <v>0</v>
      </c>
      <c r="BC79" s="216">
        <f ca="1">IF($D79&lt;&gt;"Serviço",0,IF(OR(AND(AUTOEVENTO="Manual",$M79=1),$M79&gt;(ROW(PLE.lastrow)-ROW(PLE.firstrow))),0,IF(OFFSET(PLE!$G$14,$M79,BC$13)="",10^12,OFFSET(PLE!$G$14,$M79,BC$13))))</f>
        <v>0</v>
      </c>
      <c r="BD79" s="216">
        <f ca="1">IF($D79&lt;&gt;"Serviço",0,IF(OR(AND(AUTOEVENTO="Manual",$M79=1),$M79&gt;(ROW(PLE.lastrow)-ROW(PLE.firstrow))),0,IF(OFFSET(PLE!$G$14,$M79,BD$13)="",10^12,OFFSET(PLE!$G$14,$M79,BD$13))))</f>
        <v>0</v>
      </c>
      <c r="BE79" s="216">
        <f ca="1">IF($D79&lt;&gt;"Serviço",0,IF(OR(AND(AUTOEVENTO="Manual",$M79=1),$M79&gt;(ROW(PLE.lastrow)-ROW(PLE.firstrow))),0,IF(OFFSET(PLE!$G$14,$M79,BE$13)="",10^12,OFFSET(PLE!$G$14,$M79,BE$13))))</f>
        <v>0</v>
      </c>
      <c r="BF79" s="216">
        <f ca="1">IF($D79&lt;&gt;"Serviço",0,IF(OR(AND(AUTOEVENTO="Manual",$M79=1),$M79&gt;(ROW(PLE.lastrow)-ROW(PLE.firstrow))),0,IF(OFFSET(PLE!$G$14,$M79,BF$13)="",10^12,OFFSET(PLE!$G$14,$M79,BF$13))))</f>
        <v>0</v>
      </c>
      <c r="BG79" s="216">
        <f ca="1">IF($D79&lt;&gt;"Serviço",0,IF(OR(AND(AUTOEVENTO="Manual",$M79=1),$M79&gt;(ROW(PLE.lastrow)-ROW(PLE.firstrow))),0,IF(OFFSET(PLE!$G$14,$M79,BG$13)="",10^12,OFFSET(PLE!$G$14,$M79,BG$13))))</f>
        <v>0</v>
      </c>
    </row>
    <row r="80" spans="1:59" ht="38.25" x14ac:dyDescent="0.2">
      <c r="A80" s="9" t="str">
        <f t="shared" ca="1" si="9"/>
        <v>64</v>
      </c>
      <c r="B80" s="9" t="str">
        <f ca="1">OFFSET(ORÇAMENTO!C$15,ROW(B80)-ROW(B$15),0)</f>
        <v>S</v>
      </c>
      <c r="C80" s="9" t="str">
        <f ca="1">OFFSET(ORÇAMENTO!L$15,ROW(C80)-ROW(C$15),0)</f>
        <v/>
      </c>
      <c r="D80" s="145" t="str">
        <f ca="1">OFFSET(ORÇAMENTO!N$15,ROW(D80)-ROW(D$15),0)</f>
        <v>Serviço</v>
      </c>
      <c r="E80" s="205" t="str">
        <f ca="1">OFFSET(ORÇAMENTO!O$15,ROW(E80)-ROW(E$15),0)</f>
        <v>-</v>
      </c>
      <c r="F80" s="206" t="str">
        <f ca="1">OFFSET(ORÇAMENTO!R$15,ROW(F80)-ROW(F$15),0)</f>
        <v>FABRICAÇÃO E INSTALAÇÃO DE TESOURA INTEIRA EM AÇO, VÃO DE 10 M, PARA TELHA ONDULADA DE FIBROCIMENTO, METÁLICA, PLÁSTICA OU TERMOACÚSTICA, INCLUSO IÇAMENTO. AF_07/2019</v>
      </c>
      <c r="G80" s="207" t="str">
        <f ca="1">IF($D80&lt;&gt;"Serviço","",OFFSET(ORÇAMENTO!S$15,ROW(G80)-ROW(G$15),0))</f>
        <v>UN</v>
      </c>
      <c r="H80" s="151">
        <f ca="1">IF($D80&lt;&gt;"Serviço",0,IF(ACOMPANHAMENTO="BM",ROUND(OFFSET(ORÇAMENTO!AJ$15,ROW(H80)-ROW(H$15),0),15-13*ORÇAMENTO!$AF$7),SUMPRODUCT(($Q$12:$AA$12&lt;&gt;"")*ROUND($Q80:$AA80,15-13*ORÇAMENTO!$AF$7))))</f>
        <v>18</v>
      </c>
      <c r="I80" s="649"/>
      <c r="K80" s="208"/>
      <c r="L80" s="209" t="s">
        <v>255</v>
      </c>
      <c r="M80" s="210">
        <f ca="1">IF($D80&lt;&gt;"Serviço","",IF(AUTOEVENTO="manual",$A80,IF(ISERROR(MATCH($A80,$A$15:OFFSET($A80,-1,0),0)),MAX($M$15:OFFSET(M80,-1,0))+1,INDEX($M$15:OFFSET(M80,-1,0),MATCH($A80,$A$15:OFFSET($A80,-1,0),0)))))</f>
        <v>14</v>
      </c>
      <c r="N80" s="211" t="str">
        <f ca="1">IF($D80&lt;&gt;"Serviço","",IF(AUTOEVENTO="Manual",IF($A80=0,"&lt;-- defina o número do agrupador",OFFSET(EVENTOS!$D$14,$A80,0)),OFFSET($F$15,$A80,0)))</f>
        <v xml:space="preserve">COBERTURA </v>
      </c>
      <c r="O80" s="212"/>
      <c r="Q80" s="212"/>
      <c r="R80" s="213"/>
      <c r="S80" s="213"/>
      <c r="T80" s="213"/>
      <c r="U80" s="213"/>
      <c r="V80" s="213"/>
      <c r="W80" s="213"/>
      <c r="X80" s="213"/>
      <c r="Y80" s="213"/>
      <c r="Z80" s="214"/>
      <c r="AB80" s="630">
        <f ca="1">IF(AND($D80="Serviço",AB$12&lt;&gt;0,$H80&gt;0,OR(AUTOEVENTO&lt;&gt;"manual",$M80&lt;&gt;1)),
IF(Import.TipoArredondamento&lt;&gt;"TransfereGOV",
ROUND(OFFSET($P80,0,AB$13),15-13*ORÇAMENTO!$AF$7)/$H80*OFFSET(ORÇAMENTO!$X$15,ROW(AB80)-ROW(AB$15),0),
ROUND(ROUND(OFFSET($P80,0,AB$13),15-13*ORÇAMENTO!$AF$7)*OFFSET(ORÇAMENTO!$W$15,ROW(AB80)-ROW(AB$15),0),15-13*ORÇAMENTO!$AF$11)),0)</f>
        <v>0</v>
      </c>
      <c r="AC80" s="631">
        <f ca="1">IF(AND($D80="Serviço",AC$12&lt;&gt;0,$H80&gt;0,OR(AUTOEVENTO&lt;&gt;"manual",$M80&lt;&gt;1)),
IF(Import.TipoArredondamento&lt;&gt;"TransfereGOV",
ROUND(OFFSET($P80,0,AC$13),15-13*ORÇAMENTO!$AF$7)/$H80*OFFSET(ORÇAMENTO!$X$15,ROW(AC80)-ROW(AC$15),0),
ROUND(ROUND(OFFSET($P80,0,AC$13),15-13*ORÇAMENTO!$AF$7)*OFFSET(ORÇAMENTO!$W$15,ROW(AC80)-ROW(AC$15),0),15-13*ORÇAMENTO!$AF$11)),0)</f>
        <v>0</v>
      </c>
      <c r="AD80" s="631">
        <f ca="1">IF(AND($D80="Serviço",AD$12&lt;&gt;0,$H80&gt;0,OR(AUTOEVENTO&lt;&gt;"manual",$M80&lt;&gt;1)),
IF(Import.TipoArredondamento&lt;&gt;"TransfereGOV",
ROUND(OFFSET($P80,0,AD$13),15-13*ORÇAMENTO!$AF$7)/$H80*OFFSET(ORÇAMENTO!$X$15,ROW(AD80)-ROW(AD$15),0),
ROUND(ROUND(OFFSET($P80,0,AD$13),15-13*ORÇAMENTO!$AF$7)*OFFSET(ORÇAMENTO!$W$15,ROW(AD80)-ROW(AD$15),0),15-13*ORÇAMENTO!$AF$11)),0)</f>
        <v>0</v>
      </c>
      <c r="AE80" s="631">
        <f ca="1">IF(AND($D80="Serviço",AE$12&lt;&gt;0,$H80&gt;0,OR(AUTOEVENTO&lt;&gt;"manual",$M80&lt;&gt;1)),
IF(Import.TipoArredondamento&lt;&gt;"TransfereGOV",
ROUND(OFFSET($P80,0,AE$13),15-13*ORÇAMENTO!$AF$7)/$H80*OFFSET(ORÇAMENTO!$X$15,ROW(AE80)-ROW(AE$15),0),
ROUND(ROUND(OFFSET($P80,0,AE$13),15-13*ORÇAMENTO!$AF$7)*OFFSET(ORÇAMENTO!$W$15,ROW(AE80)-ROW(AE$15),0),15-13*ORÇAMENTO!$AF$11)),0)</f>
        <v>0</v>
      </c>
      <c r="AF80" s="631">
        <f ca="1">IF(AND($D80="Serviço",AF$12&lt;&gt;0,$H80&gt;0,OR(AUTOEVENTO&lt;&gt;"manual",$M80&lt;&gt;1)),
IF(Import.TipoArredondamento&lt;&gt;"TransfereGOV",
ROUND(OFFSET($P80,0,AF$13),15-13*ORÇAMENTO!$AF$7)/$H80*OFFSET(ORÇAMENTO!$X$15,ROW(AF80)-ROW(AF$15),0),
ROUND(ROUND(OFFSET($P80,0,AF$13),15-13*ORÇAMENTO!$AF$7)*OFFSET(ORÇAMENTO!$W$15,ROW(AF80)-ROW(AF$15),0),15-13*ORÇAMENTO!$AF$11)),0)</f>
        <v>0</v>
      </c>
      <c r="AG80" s="631">
        <f ca="1">IF(AND($D80="Serviço",AG$12&lt;&gt;0,$H80&gt;0,OR(AUTOEVENTO&lt;&gt;"manual",$M80&lt;&gt;1)),
IF(Import.TipoArredondamento&lt;&gt;"TransfereGOV",
ROUND(OFFSET($P80,0,AG$13),15-13*ORÇAMENTO!$AF$7)/$H80*OFFSET(ORÇAMENTO!$X$15,ROW(AG80)-ROW(AG$15),0),
ROUND(ROUND(OFFSET($P80,0,AG$13),15-13*ORÇAMENTO!$AF$7)*OFFSET(ORÇAMENTO!$W$15,ROW(AG80)-ROW(AG$15),0),15-13*ORÇAMENTO!$AF$11)),0)</f>
        <v>0</v>
      </c>
      <c r="AH80" s="631">
        <f ca="1">IF(AND($D80="Serviço",AH$12&lt;&gt;0,$H80&gt;0,OR(AUTOEVENTO&lt;&gt;"manual",$M80&lt;&gt;1)),
IF(Import.TipoArredondamento&lt;&gt;"TransfereGOV",
ROUND(OFFSET($P80,0,AH$13),15-13*ORÇAMENTO!$AF$7)/$H80*OFFSET(ORÇAMENTO!$X$15,ROW(AH80)-ROW(AH$15),0),
ROUND(ROUND(OFFSET($P80,0,AH$13),15-13*ORÇAMENTO!$AF$7)*OFFSET(ORÇAMENTO!$W$15,ROW(AH80)-ROW(AH$15),0),15-13*ORÇAMENTO!$AF$11)),0)</f>
        <v>0</v>
      </c>
      <c r="AI80" s="631">
        <f ca="1">IF(AND($D80="Serviço",AI$12&lt;&gt;0,$H80&gt;0,OR(AUTOEVENTO&lt;&gt;"manual",$M80&lt;&gt;1)),
IF(Import.TipoArredondamento&lt;&gt;"TransfereGOV",
ROUND(OFFSET($P80,0,AI$13),15-13*ORÇAMENTO!$AF$7)/$H80*OFFSET(ORÇAMENTO!$X$15,ROW(AI80)-ROW(AI$15),0),
ROUND(ROUND(OFFSET($P80,0,AI$13),15-13*ORÇAMENTO!$AF$7)*OFFSET(ORÇAMENTO!$W$15,ROW(AI80)-ROW(AI$15),0),15-13*ORÇAMENTO!$AF$11)),0)</f>
        <v>0</v>
      </c>
      <c r="AJ80" s="631">
        <f ca="1">IF(AND($D80="Serviço",AJ$12&lt;&gt;0,$H80&gt;0,OR(AUTOEVENTO&lt;&gt;"manual",$M80&lt;&gt;1)),
IF(Import.TipoArredondamento&lt;&gt;"TransfereGOV",
ROUND(OFFSET($P80,0,AJ$13),15-13*ORÇAMENTO!$AF$7)/$H80*OFFSET(ORÇAMENTO!$X$15,ROW(AJ80)-ROW(AJ$15),0),
ROUND(ROUND(OFFSET($P80,0,AJ$13),15-13*ORÇAMENTO!$AF$7)*OFFSET(ORÇAMENTO!$W$15,ROW(AJ80)-ROW(AJ$15),0),15-13*ORÇAMENTO!$AF$11)),0)</f>
        <v>0</v>
      </c>
      <c r="AK80" s="632">
        <f ca="1">IF(AND($D80="Serviço",AK$12&lt;&gt;0,$H80&gt;0,OR(AUTOEVENTO&lt;&gt;"manual",$M80&lt;&gt;1)),
IF(Import.TipoArredondamento&lt;&gt;"TransfereGOV",
ROUND(OFFSET($P80,0,AK$13),15-13*ORÇAMENTO!$AF$7)/$H80*OFFSET(ORÇAMENTO!$X$15,ROW(AK80)-ROW(AK$15),0),
ROUND(ROUND(OFFSET($P80,0,AK$13),15-13*ORÇAMENTO!$AF$7)*OFFSET(ORÇAMENTO!$W$15,ROW(AK80)-ROW(AK$15),0),15-13*ORÇAMENTO!$AF$11)),0)</f>
        <v>0</v>
      </c>
      <c r="AM80" s="215">
        <f ca="1">IF($D80&lt;&gt;"Serviço",0,IF(AND(AUTOEVENTO="Manual",$M80=1),0,IF(OFFSET(CRONOPLE!$F$14,$M80,AM$13)="",10^12,OFFSET(CRONOPLE!$F$14,$M80,AM$13))))</f>
        <v>1000000000000</v>
      </c>
      <c r="AN80" s="215">
        <f ca="1">IF($D80&lt;&gt;"Serviço",0,IF(AND(AUTOEVENTO="Manual",$M80=1),0,IF(OFFSET(CRONOPLE!$F$14,$M80,AN$13)="",10^12,OFFSET(CRONOPLE!$F$14,$M80,AN$13))))</f>
        <v>1000000000000</v>
      </c>
      <c r="AO80" s="215">
        <f ca="1">IF($D80&lt;&gt;"Serviço",0,IF(AND(AUTOEVENTO="Manual",$M80=1),0,IF(OFFSET(CRONOPLE!$F$14,$M80,AO$13)="",10^12,OFFSET(CRONOPLE!$F$14,$M80,AO$13))))</f>
        <v>1000000000000</v>
      </c>
      <c r="AP80" s="215">
        <f ca="1">IF($D80&lt;&gt;"Serviço",0,IF(AND(AUTOEVENTO="Manual",$M80=1),0,IF(OFFSET(CRONOPLE!$F$14,$M80,AP$13)="",10^12,OFFSET(CRONOPLE!$F$14,$M80,AP$13))))</f>
        <v>1000000000000</v>
      </c>
      <c r="AQ80" s="215">
        <f ca="1">IF($D80&lt;&gt;"Serviço",0,IF(AND(AUTOEVENTO="Manual",$M80=1),0,IF(OFFSET(CRONOPLE!$F$14,$M80,AQ$13)="",10^12,OFFSET(CRONOPLE!$F$14,$M80,AQ$13))))</f>
        <v>1000000000000</v>
      </c>
      <c r="AR80" s="215">
        <f ca="1">IF($D80&lt;&gt;"Serviço",0,IF(AND(AUTOEVENTO="Manual",$M80=1),0,IF(OFFSET(CRONOPLE!$F$14,$M80,AR$13)="",10^12,OFFSET(CRONOPLE!$F$14,$M80,AR$13))))</f>
        <v>1000000000000</v>
      </c>
      <c r="AS80" s="215">
        <f ca="1">IF($D80&lt;&gt;"Serviço",0,IF(AND(AUTOEVENTO="Manual",$M80=1),0,IF(OFFSET(CRONOPLE!$F$14,$M80,AS$13)="",10^12,OFFSET(CRONOPLE!$F$14,$M80,AS$13))))</f>
        <v>1000000000000</v>
      </c>
      <c r="AT80" s="215">
        <f ca="1">IF($D80&lt;&gt;"Serviço",0,IF(AND(AUTOEVENTO="Manual",$M80=1),0,IF(OFFSET(CRONOPLE!$F$14,$M80,AT$13)="",10^12,OFFSET(CRONOPLE!$F$14,$M80,AT$13))))</f>
        <v>1000000000000</v>
      </c>
      <c r="AU80" s="215">
        <f ca="1">IF($D80&lt;&gt;"Serviço",0,IF(AND(AUTOEVENTO="Manual",$M80=1),0,IF(OFFSET(CRONOPLE!$F$14,$M80,AU$13)="",10^12,OFFSET(CRONOPLE!$F$14,$M80,AU$13))))</f>
        <v>1000000000000</v>
      </c>
      <c r="AV80" s="215">
        <f ca="1">IF($D80&lt;&gt;"Serviço",0,IF(AND(AUTOEVENTO="Manual",$M80=1),0,IF(OFFSET(CRONOPLE!$F$14,$M80,AV$13)="",10^12,OFFSET(CRONOPLE!$F$14,$M80,AV$13))))</f>
        <v>1000000000000</v>
      </c>
      <c r="AX80" s="216">
        <f ca="1">IF($D80&lt;&gt;"Serviço",0,IF(OR(AND(AUTOEVENTO="Manual",$M80=1),$M80&gt;(ROW(PLE.lastrow)-ROW(PLE.firstrow))),0,IF(OFFSET(PLE!$G$14,$M80,AX$13)="",10^12,OFFSET(PLE!$G$14,$M80,AX$13))))</f>
        <v>1000000000000</v>
      </c>
      <c r="AY80" s="216">
        <f ca="1">IF($D80&lt;&gt;"Serviço",0,IF(OR(AND(AUTOEVENTO="Manual",$M80=1),$M80&gt;(ROW(PLE.lastrow)-ROW(PLE.firstrow))),0,IF(OFFSET(PLE!$G$14,$M80,AY$13)="",10^12,OFFSET(PLE!$G$14,$M80,AY$13))))</f>
        <v>1000000000000</v>
      </c>
      <c r="AZ80" s="216">
        <f ca="1">IF($D80&lt;&gt;"Serviço",0,IF(OR(AND(AUTOEVENTO="Manual",$M80=1),$M80&gt;(ROW(PLE.lastrow)-ROW(PLE.firstrow))),0,IF(OFFSET(PLE!$G$14,$M80,AZ$13)="",10^12,OFFSET(PLE!$G$14,$M80,AZ$13))))</f>
        <v>1000000000000</v>
      </c>
      <c r="BA80" s="216">
        <f ca="1">IF($D80&lt;&gt;"Serviço",0,IF(OR(AND(AUTOEVENTO="Manual",$M80=1),$M80&gt;(ROW(PLE.lastrow)-ROW(PLE.firstrow))),0,IF(OFFSET(PLE!$G$14,$M80,BA$13)="",10^12,OFFSET(PLE!$G$14,$M80,BA$13))))</f>
        <v>1000000000000</v>
      </c>
      <c r="BB80" s="216">
        <f ca="1">IF($D80&lt;&gt;"Serviço",0,IF(OR(AND(AUTOEVENTO="Manual",$M80=1),$M80&gt;(ROW(PLE.lastrow)-ROW(PLE.firstrow))),0,IF(OFFSET(PLE!$G$14,$M80,BB$13)="",10^12,OFFSET(PLE!$G$14,$M80,BB$13))))</f>
        <v>1000000000000</v>
      </c>
      <c r="BC80" s="216">
        <f ca="1">IF($D80&lt;&gt;"Serviço",0,IF(OR(AND(AUTOEVENTO="Manual",$M80=1),$M80&gt;(ROW(PLE.lastrow)-ROW(PLE.firstrow))),0,IF(OFFSET(PLE!$G$14,$M80,BC$13)="",10^12,OFFSET(PLE!$G$14,$M80,BC$13))))</f>
        <v>1000000000000</v>
      </c>
      <c r="BD80" s="216">
        <f ca="1">IF($D80&lt;&gt;"Serviço",0,IF(OR(AND(AUTOEVENTO="Manual",$M80=1),$M80&gt;(ROW(PLE.lastrow)-ROW(PLE.firstrow))),0,IF(OFFSET(PLE!$G$14,$M80,BD$13)="",10^12,OFFSET(PLE!$G$14,$M80,BD$13))))</f>
        <v>1000000000000</v>
      </c>
      <c r="BE80" s="216">
        <f ca="1">IF($D80&lt;&gt;"Serviço",0,IF(OR(AND(AUTOEVENTO="Manual",$M80=1),$M80&gt;(ROW(PLE.lastrow)-ROW(PLE.firstrow))),0,IF(OFFSET(PLE!$G$14,$M80,BE$13)="",10^12,OFFSET(PLE!$G$14,$M80,BE$13))))</f>
        <v>1000000000000</v>
      </c>
      <c r="BF80" s="216">
        <f ca="1">IF($D80&lt;&gt;"Serviço",0,IF(OR(AND(AUTOEVENTO="Manual",$M80=1),$M80&gt;(ROW(PLE.lastrow)-ROW(PLE.firstrow))),0,IF(OFFSET(PLE!$G$14,$M80,BF$13)="",10^12,OFFSET(PLE!$G$14,$M80,BF$13))))</f>
        <v>1000000000000</v>
      </c>
      <c r="BG80" s="216">
        <f ca="1">IF($D80&lt;&gt;"Serviço",0,IF(OR(AND(AUTOEVENTO="Manual",$M80=1),$M80&gt;(ROW(PLE.lastrow)-ROW(PLE.firstrow))),0,IF(OFFSET(PLE!$G$14,$M80,BG$13)="",10^12,OFFSET(PLE!$G$14,$M80,BG$13))))</f>
        <v>1000000000000</v>
      </c>
    </row>
    <row r="81" spans="1:59" ht="51" x14ac:dyDescent="0.2">
      <c r="A81" s="9" t="str">
        <f t="shared" ca="1" si="9"/>
        <v>64</v>
      </c>
      <c r="B81" s="9" t="str">
        <f ca="1">OFFSET(ORÇAMENTO!C$15,ROW(B81)-ROW(B$15),0)</f>
        <v>S</v>
      </c>
      <c r="C81" s="9" t="str">
        <f ca="1">OFFSET(ORÇAMENTO!L$15,ROW(C81)-ROW(C$15),0)</f>
        <v/>
      </c>
      <c r="D81" s="145" t="str">
        <f ca="1">OFFSET(ORÇAMENTO!N$15,ROW(D81)-ROW(D$15),0)</f>
        <v>Serviço</v>
      </c>
      <c r="E81" s="205" t="str">
        <f ca="1">OFFSET(ORÇAMENTO!O$15,ROW(E81)-ROW(E$15),0)</f>
        <v>-</v>
      </c>
      <c r="F81" s="206" t="str">
        <f ca="1">OFFSET(ORÇAMENTO!R$15,ROW(F81)-ROW(F$15),0)</f>
        <v>TRAMA DE AÇO COMPOSTA POR TERÇAS PARA TELHADOS DE ATÉ 2 ÁGUAS PARA TELHA ONDULADA DE FIBROCIMENTO, METÁLICA, PLÁSTICA OU TERMOACÚSTICA, INCLUSO TRANSPORTE VERTICAL. AF_07/2019</v>
      </c>
      <c r="G81" s="207" t="str">
        <f ca="1">IF($D81&lt;&gt;"Serviço","",OFFSET(ORÇAMENTO!S$15,ROW(G81)-ROW(G$15),0))</f>
        <v>M2</v>
      </c>
      <c r="H81" s="151">
        <f ca="1">IF($D81&lt;&gt;"Serviço",0,IF(ACOMPANHAMENTO="BM",ROUND(OFFSET(ORÇAMENTO!AJ$15,ROW(H81)-ROW(H$15),0),15-13*ORÇAMENTO!$AF$7),SUMPRODUCT(($Q$12:$AA$12&lt;&gt;"")*ROUND($Q81:$AA81,15-13*ORÇAMENTO!$AF$7))))</f>
        <v>680</v>
      </c>
      <c r="I81" s="649"/>
      <c r="K81" s="208"/>
      <c r="L81" s="209" t="s">
        <v>255</v>
      </c>
      <c r="M81" s="210">
        <f ca="1">IF($D81&lt;&gt;"Serviço","",IF(AUTOEVENTO="manual",$A81,IF(ISERROR(MATCH($A81,$A$15:OFFSET($A81,-1,0),0)),MAX($M$15:OFFSET(M81,-1,0))+1,INDEX($M$15:OFFSET(M81,-1,0),MATCH($A81,$A$15:OFFSET($A81,-1,0),0)))))</f>
        <v>14</v>
      </c>
      <c r="N81" s="211" t="str">
        <f ca="1">IF($D81&lt;&gt;"Serviço","",IF(AUTOEVENTO="Manual",IF($A81=0,"&lt;-- defina o número do agrupador",OFFSET(EVENTOS!$D$14,$A81,0)),OFFSET($F$15,$A81,0)))</f>
        <v xml:space="preserve">COBERTURA </v>
      </c>
      <c r="O81" s="212"/>
      <c r="Q81" s="212"/>
      <c r="R81" s="213"/>
      <c r="S81" s="213"/>
      <c r="T81" s="213"/>
      <c r="U81" s="213"/>
      <c r="V81" s="213"/>
      <c r="W81" s="213"/>
      <c r="X81" s="213"/>
      <c r="Y81" s="213"/>
      <c r="Z81" s="214"/>
      <c r="AB81" s="630">
        <f ca="1">IF(AND($D81="Serviço",AB$12&lt;&gt;0,$H81&gt;0,OR(AUTOEVENTO&lt;&gt;"manual",$M81&lt;&gt;1)),
IF(Import.TipoArredondamento&lt;&gt;"TransfereGOV",
ROUND(OFFSET($P81,0,AB$13),15-13*ORÇAMENTO!$AF$7)/$H81*OFFSET(ORÇAMENTO!$X$15,ROW(AB81)-ROW(AB$15),0),
ROUND(ROUND(OFFSET($P81,0,AB$13),15-13*ORÇAMENTO!$AF$7)*OFFSET(ORÇAMENTO!$W$15,ROW(AB81)-ROW(AB$15),0),15-13*ORÇAMENTO!$AF$11)),0)</f>
        <v>0</v>
      </c>
      <c r="AC81" s="631">
        <f ca="1">IF(AND($D81="Serviço",AC$12&lt;&gt;0,$H81&gt;0,OR(AUTOEVENTO&lt;&gt;"manual",$M81&lt;&gt;1)),
IF(Import.TipoArredondamento&lt;&gt;"TransfereGOV",
ROUND(OFFSET($P81,0,AC$13),15-13*ORÇAMENTO!$AF$7)/$H81*OFFSET(ORÇAMENTO!$X$15,ROW(AC81)-ROW(AC$15),0),
ROUND(ROUND(OFFSET($P81,0,AC$13),15-13*ORÇAMENTO!$AF$7)*OFFSET(ORÇAMENTO!$W$15,ROW(AC81)-ROW(AC$15),0),15-13*ORÇAMENTO!$AF$11)),0)</f>
        <v>0</v>
      </c>
      <c r="AD81" s="631">
        <f ca="1">IF(AND($D81="Serviço",AD$12&lt;&gt;0,$H81&gt;0,OR(AUTOEVENTO&lt;&gt;"manual",$M81&lt;&gt;1)),
IF(Import.TipoArredondamento&lt;&gt;"TransfereGOV",
ROUND(OFFSET($P81,0,AD$13),15-13*ORÇAMENTO!$AF$7)/$H81*OFFSET(ORÇAMENTO!$X$15,ROW(AD81)-ROW(AD$15),0),
ROUND(ROUND(OFFSET($P81,0,AD$13),15-13*ORÇAMENTO!$AF$7)*OFFSET(ORÇAMENTO!$W$15,ROW(AD81)-ROW(AD$15),0),15-13*ORÇAMENTO!$AF$11)),0)</f>
        <v>0</v>
      </c>
      <c r="AE81" s="631">
        <f ca="1">IF(AND($D81="Serviço",AE$12&lt;&gt;0,$H81&gt;0,OR(AUTOEVENTO&lt;&gt;"manual",$M81&lt;&gt;1)),
IF(Import.TipoArredondamento&lt;&gt;"TransfereGOV",
ROUND(OFFSET($P81,0,AE$13),15-13*ORÇAMENTO!$AF$7)/$H81*OFFSET(ORÇAMENTO!$X$15,ROW(AE81)-ROW(AE$15),0),
ROUND(ROUND(OFFSET($P81,0,AE$13),15-13*ORÇAMENTO!$AF$7)*OFFSET(ORÇAMENTO!$W$15,ROW(AE81)-ROW(AE$15),0),15-13*ORÇAMENTO!$AF$11)),0)</f>
        <v>0</v>
      </c>
      <c r="AF81" s="631">
        <f ca="1">IF(AND($D81="Serviço",AF$12&lt;&gt;0,$H81&gt;0,OR(AUTOEVENTO&lt;&gt;"manual",$M81&lt;&gt;1)),
IF(Import.TipoArredondamento&lt;&gt;"TransfereGOV",
ROUND(OFFSET($P81,0,AF$13),15-13*ORÇAMENTO!$AF$7)/$H81*OFFSET(ORÇAMENTO!$X$15,ROW(AF81)-ROW(AF$15),0),
ROUND(ROUND(OFFSET($P81,0,AF$13),15-13*ORÇAMENTO!$AF$7)*OFFSET(ORÇAMENTO!$W$15,ROW(AF81)-ROW(AF$15),0),15-13*ORÇAMENTO!$AF$11)),0)</f>
        <v>0</v>
      </c>
      <c r="AG81" s="631">
        <f ca="1">IF(AND($D81="Serviço",AG$12&lt;&gt;0,$H81&gt;0,OR(AUTOEVENTO&lt;&gt;"manual",$M81&lt;&gt;1)),
IF(Import.TipoArredondamento&lt;&gt;"TransfereGOV",
ROUND(OFFSET($P81,0,AG$13),15-13*ORÇAMENTO!$AF$7)/$H81*OFFSET(ORÇAMENTO!$X$15,ROW(AG81)-ROW(AG$15),0),
ROUND(ROUND(OFFSET($P81,0,AG$13),15-13*ORÇAMENTO!$AF$7)*OFFSET(ORÇAMENTO!$W$15,ROW(AG81)-ROW(AG$15),0),15-13*ORÇAMENTO!$AF$11)),0)</f>
        <v>0</v>
      </c>
      <c r="AH81" s="631">
        <f ca="1">IF(AND($D81="Serviço",AH$12&lt;&gt;0,$H81&gt;0,OR(AUTOEVENTO&lt;&gt;"manual",$M81&lt;&gt;1)),
IF(Import.TipoArredondamento&lt;&gt;"TransfereGOV",
ROUND(OFFSET($P81,0,AH$13),15-13*ORÇAMENTO!$AF$7)/$H81*OFFSET(ORÇAMENTO!$X$15,ROW(AH81)-ROW(AH$15),0),
ROUND(ROUND(OFFSET($P81,0,AH$13),15-13*ORÇAMENTO!$AF$7)*OFFSET(ORÇAMENTO!$W$15,ROW(AH81)-ROW(AH$15),0),15-13*ORÇAMENTO!$AF$11)),0)</f>
        <v>0</v>
      </c>
      <c r="AI81" s="631">
        <f ca="1">IF(AND($D81="Serviço",AI$12&lt;&gt;0,$H81&gt;0,OR(AUTOEVENTO&lt;&gt;"manual",$M81&lt;&gt;1)),
IF(Import.TipoArredondamento&lt;&gt;"TransfereGOV",
ROUND(OFFSET($P81,0,AI$13),15-13*ORÇAMENTO!$AF$7)/$H81*OFFSET(ORÇAMENTO!$X$15,ROW(AI81)-ROW(AI$15),0),
ROUND(ROUND(OFFSET($P81,0,AI$13),15-13*ORÇAMENTO!$AF$7)*OFFSET(ORÇAMENTO!$W$15,ROW(AI81)-ROW(AI$15),0),15-13*ORÇAMENTO!$AF$11)),0)</f>
        <v>0</v>
      </c>
      <c r="AJ81" s="631">
        <f ca="1">IF(AND($D81="Serviço",AJ$12&lt;&gt;0,$H81&gt;0,OR(AUTOEVENTO&lt;&gt;"manual",$M81&lt;&gt;1)),
IF(Import.TipoArredondamento&lt;&gt;"TransfereGOV",
ROUND(OFFSET($P81,0,AJ$13),15-13*ORÇAMENTO!$AF$7)/$H81*OFFSET(ORÇAMENTO!$X$15,ROW(AJ81)-ROW(AJ$15),0),
ROUND(ROUND(OFFSET($P81,0,AJ$13),15-13*ORÇAMENTO!$AF$7)*OFFSET(ORÇAMENTO!$W$15,ROW(AJ81)-ROW(AJ$15),0),15-13*ORÇAMENTO!$AF$11)),0)</f>
        <v>0</v>
      </c>
      <c r="AK81" s="632">
        <f ca="1">IF(AND($D81="Serviço",AK$12&lt;&gt;0,$H81&gt;0,OR(AUTOEVENTO&lt;&gt;"manual",$M81&lt;&gt;1)),
IF(Import.TipoArredondamento&lt;&gt;"TransfereGOV",
ROUND(OFFSET($P81,0,AK$13),15-13*ORÇAMENTO!$AF$7)/$H81*OFFSET(ORÇAMENTO!$X$15,ROW(AK81)-ROW(AK$15),0),
ROUND(ROUND(OFFSET($P81,0,AK$13),15-13*ORÇAMENTO!$AF$7)*OFFSET(ORÇAMENTO!$W$15,ROW(AK81)-ROW(AK$15),0),15-13*ORÇAMENTO!$AF$11)),0)</f>
        <v>0</v>
      </c>
      <c r="AM81" s="215">
        <f ca="1">IF($D81&lt;&gt;"Serviço",0,IF(AND(AUTOEVENTO="Manual",$M81=1),0,IF(OFFSET(CRONOPLE!$F$14,$M81,AM$13)="",10^12,OFFSET(CRONOPLE!$F$14,$M81,AM$13))))</f>
        <v>1000000000000</v>
      </c>
      <c r="AN81" s="215">
        <f ca="1">IF($D81&lt;&gt;"Serviço",0,IF(AND(AUTOEVENTO="Manual",$M81=1),0,IF(OFFSET(CRONOPLE!$F$14,$M81,AN$13)="",10^12,OFFSET(CRONOPLE!$F$14,$M81,AN$13))))</f>
        <v>1000000000000</v>
      </c>
      <c r="AO81" s="215">
        <f ca="1">IF($D81&lt;&gt;"Serviço",0,IF(AND(AUTOEVENTO="Manual",$M81=1),0,IF(OFFSET(CRONOPLE!$F$14,$M81,AO$13)="",10^12,OFFSET(CRONOPLE!$F$14,$M81,AO$13))))</f>
        <v>1000000000000</v>
      </c>
      <c r="AP81" s="215">
        <f ca="1">IF($D81&lt;&gt;"Serviço",0,IF(AND(AUTOEVENTO="Manual",$M81=1),0,IF(OFFSET(CRONOPLE!$F$14,$M81,AP$13)="",10^12,OFFSET(CRONOPLE!$F$14,$M81,AP$13))))</f>
        <v>1000000000000</v>
      </c>
      <c r="AQ81" s="215">
        <f ca="1">IF($D81&lt;&gt;"Serviço",0,IF(AND(AUTOEVENTO="Manual",$M81=1),0,IF(OFFSET(CRONOPLE!$F$14,$M81,AQ$13)="",10^12,OFFSET(CRONOPLE!$F$14,$M81,AQ$13))))</f>
        <v>1000000000000</v>
      </c>
      <c r="AR81" s="215">
        <f ca="1">IF($D81&lt;&gt;"Serviço",0,IF(AND(AUTOEVENTO="Manual",$M81=1),0,IF(OFFSET(CRONOPLE!$F$14,$M81,AR$13)="",10^12,OFFSET(CRONOPLE!$F$14,$M81,AR$13))))</f>
        <v>1000000000000</v>
      </c>
      <c r="AS81" s="215">
        <f ca="1">IF($D81&lt;&gt;"Serviço",0,IF(AND(AUTOEVENTO="Manual",$M81=1),0,IF(OFFSET(CRONOPLE!$F$14,$M81,AS$13)="",10^12,OFFSET(CRONOPLE!$F$14,$M81,AS$13))))</f>
        <v>1000000000000</v>
      </c>
      <c r="AT81" s="215">
        <f ca="1">IF($D81&lt;&gt;"Serviço",0,IF(AND(AUTOEVENTO="Manual",$M81=1),0,IF(OFFSET(CRONOPLE!$F$14,$M81,AT$13)="",10^12,OFFSET(CRONOPLE!$F$14,$M81,AT$13))))</f>
        <v>1000000000000</v>
      </c>
      <c r="AU81" s="215">
        <f ca="1">IF($D81&lt;&gt;"Serviço",0,IF(AND(AUTOEVENTO="Manual",$M81=1),0,IF(OFFSET(CRONOPLE!$F$14,$M81,AU$13)="",10^12,OFFSET(CRONOPLE!$F$14,$M81,AU$13))))</f>
        <v>1000000000000</v>
      </c>
      <c r="AV81" s="215">
        <f ca="1">IF($D81&lt;&gt;"Serviço",0,IF(AND(AUTOEVENTO="Manual",$M81=1),0,IF(OFFSET(CRONOPLE!$F$14,$M81,AV$13)="",10^12,OFFSET(CRONOPLE!$F$14,$M81,AV$13))))</f>
        <v>1000000000000</v>
      </c>
      <c r="AX81" s="216">
        <f ca="1">IF($D81&lt;&gt;"Serviço",0,IF(OR(AND(AUTOEVENTO="Manual",$M81=1),$M81&gt;(ROW(PLE.lastrow)-ROW(PLE.firstrow))),0,IF(OFFSET(PLE!$G$14,$M81,AX$13)="",10^12,OFFSET(PLE!$G$14,$M81,AX$13))))</f>
        <v>1000000000000</v>
      </c>
      <c r="AY81" s="216">
        <f ca="1">IF($D81&lt;&gt;"Serviço",0,IF(OR(AND(AUTOEVENTO="Manual",$M81=1),$M81&gt;(ROW(PLE.lastrow)-ROW(PLE.firstrow))),0,IF(OFFSET(PLE!$G$14,$M81,AY$13)="",10^12,OFFSET(PLE!$G$14,$M81,AY$13))))</f>
        <v>1000000000000</v>
      </c>
      <c r="AZ81" s="216">
        <f ca="1">IF($D81&lt;&gt;"Serviço",0,IF(OR(AND(AUTOEVENTO="Manual",$M81=1),$M81&gt;(ROW(PLE.lastrow)-ROW(PLE.firstrow))),0,IF(OFFSET(PLE!$G$14,$M81,AZ$13)="",10^12,OFFSET(PLE!$G$14,$M81,AZ$13))))</f>
        <v>1000000000000</v>
      </c>
      <c r="BA81" s="216">
        <f ca="1">IF($D81&lt;&gt;"Serviço",0,IF(OR(AND(AUTOEVENTO="Manual",$M81=1),$M81&gt;(ROW(PLE.lastrow)-ROW(PLE.firstrow))),0,IF(OFFSET(PLE!$G$14,$M81,BA$13)="",10^12,OFFSET(PLE!$G$14,$M81,BA$13))))</f>
        <v>1000000000000</v>
      </c>
      <c r="BB81" s="216">
        <f ca="1">IF($D81&lt;&gt;"Serviço",0,IF(OR(AND(AUTOEVENTO="Manual",$M81=1),$M81&gt;(ROW(PLE.lastrow)-ROW(PLE.firstrow))),0,IF(OFFSET(PLE!$G$14,$M81,BB$13)="",10^12,OFFSET(PLE!$G$14,$M81,BB$13))))</f>
        <v>1000000000000</v>
      </c>
      <c r="BC81" s="216">
        <f ca="1">IF($D81&lt;&gt;"Serviço",0,IF(OR(AND(AUTOEVENTO="Manual",$M81=1),$M81&gt;(ROW(PLE.lastrow)-ROW(PLE.firstrow))),0,IF(OFFSET(PLE!$G$14,$M81,BC$13)="",10^12,OFFSET(PLE!$G$14,$M81,BC$13))))</f>
        <v>1000000000000</v>
      </c>
      <c r="BD81" s="216">
        <f ca="1">IF($D81&lt;&gt;"Serviço",0,IF(OR(AND(AUTOEVENTO="Manual",$M81=1),$M81&gt;(ROW(PLE.lastrow)-ROW(PLE.firstrow))),0,IF(OFFSET(PLE!$G$14,$M81,BD$13)="",10^12,OFFSET(PLE!$G$14,$M81,BD$13))))</f>
        <v>1000000000000</v>
      </c>
      <c r="BE81" s="216">
        <f ca="1">IF($D81&lt;&gt;"Serviço",0,IF(OR(AND(AUTOEVENTO="Manual",$M81=1),$M81&gt;(ROW(PLE.lastrow)-ROW(PLE.firstrow))),0,IF(OFFSET(PLE!$G$14,$M81,BE$13)="",10^12,OFFSET(PLE!$G$14,$M81,BE$13))))</f>
        <v>1000000000000</v>
      </c>
      <c r="BF81" s="216">
        <f ca="1">IF($D81&lt;&gt;"Serviço",0,IF(OR(AND(AUTOEVENTO="Manual",$M81=1),$M81&gt;(ROW(PLE.lastrow)-ROW(PLE.firstrow))),0,IF(OFFSET(PLE!$G$14,$M81,BF$13)="",10^12,OFFSET(PLE!$G$14,$M81,BF$13))))</f>
        <v>1000000000000</v>
      </c>
      <c r="BG81" s="216">
        <f ca="1">IF($D81&lt;&gt;"Serviço",0,IF(OR(AND(AUTOEVENTO="Manual",$M81=1),$M81&gt;(ROW(PLE.lastrow)-ROW(PLE.firstrow))),0,IF(OFFSET(PLE!$G$14,$M81,BG$13)="",10^12,OFFSET(PLE!$G$14,$M81,BG$13))))</f>
        <v>1000000000000</v>
      </c>
    </row>
    <row r="82" spans="1:59" ht="25.5" x14ac:dyDescent="0.2">
      <c r="A82" s="9" t="str">
        <f t="shared" ca="1" si="9"/>
        <v>64</v>
      </c>
      <c r="B82" s="9" t="str">
        <f ca="1">OFFSET(ORÇAMENTO!C$15,ROW(B82)-ROW(B$15),0)</f>
        <v>S</v>
      </c>
      <c r="C82" s="9" t="str">
        <f ca="1">OFFSET(ORÇAMENTO!L$15,ROW(C82)-ROW(C$15),0)</f>
        <v/>
      </c>
      <c r="D82" s="145" t="str">
        <f ca="1">OFFSET(ORÇAMENTO!N$15,ROW(D82)-ROW(D$15),0)</f>
        <v>Serviço</v>
      </c>
      <c r="E82" s="205" t="str">
        <f ca="1">OFFSET(ORÇAMENTO!O$15,ROW(E82)-ROW(E$15),0)</f>
        <v>-</v>
      </c>
      <c r="F82" s="206" t="str">
        <f ca="1">OFFSET(ORÇAMENTO!R$15,ROW(F82)-ROW(F$15),0)</f>
        <v>TELHAMENTO COM TELHA DE AÇO/ALUMÍNIO E = 0,5 MM, COM ATÉ 2 ÁGUAS, INCLUSO IÇAMENTO. AF_07/2019</v>
      </c>
      <c r="G82" s="207" t="str">
        <f ca="1">IF($D82&lt;&gt;"Serviço","",OFFSET(ORÇAMENTO!S$15,ROW(G82)-ROW(G$15),0))</f>
        <v>M2</v>
      </c>
      <c r="H82" s="151">
        <f ca="1">IF($D82&lt;&gt;"Serviço",0,IF(ACOMPANHAMENTO="BM",ROUND(OFFSET(ORÇAMENTO!AJ$15,ROW(H82)-ROW(H$15),0),15-13*ORÇAMENTO!$AF$7),SUMPRODUCT(($Q$12:$AA$12&lt;&gt;"")*ROUND($Q82:$AA82,15-13*ORÇAMENTO!$AF$7))))</f>
        <v>680</v>
      </c>
      <c r="I82" s="649"/>
      <c r="K82" s="208"/>
      <c r="L82" s="209" t="s">
        <v>255</v>
      </c>
      <c r="M82" s="210">
        <f ca="1">IF($D82&lt;&gt;"Serviço","",IF(AUTOEVENTO="manual",$A82,IF(ISERROR(MATCH($A82,$A$15:OFFSET($A82,-1,0),0)),MAX($M$15:OFFSET(M82,-1,0))+1,INDEX($M$15:OFFSET(M82,-1,0),MATCH($A82,$A$15:OFFSET($A82,-1,0),0)))))</f>
        <v>14</v>
      </c>
      <c r="N82" s="211" t="str">
        <f ca="1">IF($D82&lt;&gt;"Serviço","",IF(AUTOEVENTO="Manual",IF($A82=0,"&lt;-- defina o número do agrupador",OFFSET(EVENTOS!$D$14,$A82,0)),OFFSET($F$15,$A82,0)))</f>
        <v xml:space="preserve">COBERTURA </v>
      </c>
      <c r="O82" s="212"/>
      <c r="Q82" s="212"/>
      <c r="R82" s="213"/>
      <c r="S82" s="213"/>
      <c r="T82" s="213"/>
      <c r="U82" s="213"/>
      <c r="V82" s="213"/>
      <c r="W82" s="213"/>
      <c r="X82" s="213"/>
      <c r="Y82" s="213"/>
      <c r="Z82" s="214"/>
      <c r="AB82" s="630">
        <f ca="1">IF(AND($D82="Serviço",AB$12&lt;&gt;0,$H82&gt;0,OR(AUTOEVENTO&lt;&gt;"manual",$M82&lt;&gt;1)),
IF(Import.TipoArredondamento&lt;&gt;"TransfereGOV",
ROUND(OFFSET($P82,0,AB$13),15-13*ORÇAMENTO!$AF$7)/$H82*OFFSET(ORÇAMENTO!$X$15,ROW(AB82)-ROW(AB$15),0),
ROUND(ROUND(OFFSET($P82,0,AB$13),15-13*ORÇAMENTO!$AF$7)*OFFSET(ORÇAMENTO!$W$15,ROW(AB82)-ROW(AB$15),0),15-13*ORÇAMENTO!$AF$11)),0)</f>
        <v>0</v>
      </c>
      <c r="AC82" s="631">
        <f ca="1">IF(AND($D82="Serviço",AC$12&lt;&gt;0,$H82&gt;0,OR(AUTOEVENTO&lt;&gt;"manual",$M82&lt;&gt;1)),
IF(Import.TipoArredondamento&lt;&gt;"TransfereGOV",
ROUND(OFFSET($P82,0,AC$13),15-13*ORÇAMENTO!$AF$7)/$H82*OFFSET(ORÇAMENTO!$X$15,ROW(AC82)-ROW(AC$15),0),
ROUND(ROUND(OFFSET($P82,0,AC$13),15-13*ORÇAMENTO!$AF$7)*OFFSET(ORÇAMENTO!$W$15,ROW(AC82)-ROW(AC$15),0),15-13*ORÇAMENTO!$AF$11)),0)</f>
        <v>0</v>
      </c>
      <c r="AD82" s="631">
        <f ca="1">IF(AND($D82="Serviço",AD$12&lt;&gt;0,$H82&gt;0,OR(AUTOEVENTO&lt;&gt;"manual",$M82&lt;&gt;1)),
IF(Import.TipoArredondamento&lt;&gt;"TransfereGOV",
ROUND(OFFSET($P82,0,AD$13),15-13*ORÇAMENTO!$AF$7)/$H82*OFFSET(ORÇAMENTO!$X$15,ROW(AD82)-ROW(AD$15),0),
ROUND(ROUND(OFFSET($P82,0,AD$13),15-13*ORÇAMENTO!$AF$7)*OFFSET(ORÇAMENTO!$W$15,ROW(AD82)-ROW(AD$15),0),15-13*ORÇAMENTO!$AF$11)),0)</f>
        <v>0</v>
      </c>
      <c r="AE82" s="631">
        <f ca="1">IF(AND($D82="Serviço",AE$12&lt;&gt;0,$H82&gt;0,OR(AUTOEVENTO&lt;&gt;"manual",$M82&lt;&gt;1)),
IF(Import.TipoArredondamento&lt;&gt;"TransfereGOV",
ROUND(OFFSET($P82,0,AE$13),15-13*ORÇAMENTO!$AF$7)/$H82*OFFSET(ORÇAMENTO!$X$15,ROW(AE82)-ROW(AE$15),0),
ROUND(ROUND(OFFSET($P82,0,AE$13),15-13*ORÇAMENTO!$AF$7)*OFFSET(ORÇAMENTO!$W$15,ROW(AE82)-ROW(AE$15),0),15-13*ORÇAMENTO!$AF$11)),0)</f>
        <v>0</v>
      </c>
      <c r="AF82" s="631">
        <f ca="1">IF(AND($D82="Serviço",AF$12&lt;&gt;0,$H82&gt;0,OR(AUTOEVENTO&lt;&gt;"manual",$M82&lt;&gt;1)),
IF(Import.TipoArredondamento&lt;&gt;"TransfereGOV",
ROUND(OFFSET($P82,0,AF$13),15-13*ORÇAMENTO!$AF$7)/$H82*OFFSET(ORÇAMENTO!$X$15,ROW(AF82)-ROW(AF$15),0),
ROUND(ROUND(OFFSET($P82,0,AF$13),15-13*ORÇAMENTO!$AF$7)*OFFSET(ORÇAMENTO!$W$15,ROW(AF82)-ROW(AF$15),0),15-13*ORÇAMENTO!$AF$11)),0)</f>
        <v>0</v>
      </c>
      <c r="AG82" s="631">
        <f ca="1">IF(AND($D82="Serviço",AG$12&lt;&gt;0,$H82&gt;0,OR(AUTOEVENTO&lt;&gt;"manual",$M82&lt;&gt;1)),
IF(Import.TipoArredondamento&lt;&gt;"TransfereGOV",
ROUND(OFFSET($P82,0,AG$13),15-13*ORÇAMENTO!$AF$7)/$H82*OFFSET(ORÇAMENTO!$X$15,ROW(AG82)-ROW(AG$15),0),
ROUND(ROUND(OFFSET($P82,0,AG$13),15-13*ORÇAMENTO!$AF$7)*OFFSET(ORÇAMENTO!$W$15,ROW(AG82)-ROW(AG$15),0),15-13*ORÇAMENTO!$AF$11)),0)</f>
        <v>0</v>
      </c>
      <c r="AH82" s="631">
        <f ca="1">IF(AND($D82="Serviço",AH$12&lt;&gt;0,$H82&gt;0,OR(AUTOEVENTO&lt;&gt;"manual",$M82&lt;&gt;1)),
IF(Import.TipoArredondamento&lt;&gt;"TransfereGOV",
ROUND(OFFSET($P82,0,AH$13),15-13*ORÇAMENTO!$AF$7)/$H82*OFFSET(ORÇAMENTO!$X$15,ROW(AH82)-ROW(AH$15),0),
ROUND(ROUND(OFFSET($P82,0,AH$13),15-13*ORÇAMENTO!$AF$7)*OFFSET(ORÇAMENTO!$W$15,ROW(AH82)-ROW(AH$15),0),15-13*ORÇAMENTO!$AF$11)),0)</f>
        <v>0</v>
      </c>
      <c r="AI82" s="631">
        <f ca="1">IF(AND($D82="Serviço",AI$12&lt;&gt;0,$H82&gt;0,OR(AUTOEVENTO&lt;&gt;"manual",$M82&lt;&gt;1)),
IF(Import.TipoArredondamento&lt;&gt;"TransfereGOV",
ROUND(OFFSET($P82,0,AI$13),15-13*ORÇAMENTO!$AF$7)/$H82*OFFSET(ORÇAMENTO!$X$15,ROW(AI82)-ROW(AI$15),0),
ROUND(ROUND(OFFSET($P82,0,AI$13),15-13*ORÇAMENTO!$AF$7)*OFFSET(ORÇAMENTO!$W$15,ROW(AI82)-ROW(AI$15),0),15-13*ORÇAMENTO!$AF$11)),0)</f>
        <v>0</v>
      </c>
      <c r="AJ82" s="631">
        <f ca="1">IF(AND($D82="Serviço",AJ$12&lt;&gt;0,$H82&gt;0,OR(AUTOEVENTO&lt;&gt;"manual",$M82&lt;&gt;1)),
IF(Import.TipoArredondamento&lt;&gt;"TransfereGOV",
ROUND(OFFSET($P82,0,AJ$13),15-13*ORÇAMENTO!$AF$7)/$H82*OFFSET(ORÇAMENTO!$X$15,ROW(AJ82)-ROW(AJ$15),0),
ROUND(ROUND(OFFSET($P82,0,AJ$13),15-13*ORÇAMENTO!$AF$7)*OFFSET(ORÇAMENTO!$W$15,ROW(AJ82)-ROW(AJ$15),0),15-13*ORÇAMENTO!$AF$11)),0)</f>
        <v>0</v>
      </c>
      <c r="AK82" s="632">
        <f ca="1">IF(AND($D82="Serviço",AK$12&lt;&gt;0,$H82&gt;0,OR(AUTOEVENTO&lt;&gt;"manual",$M82&lt;&gt;1)),
IF(Import.TipoArredondamento&lt;&gt;"TransfereGOV",
ROUND(OFFSET($P82,0,AK$13),15-13*ORÇAMENTO!$AF$7)/$H82*OFFSET(ORÇAMENTO!$X$15,ROW(AK82)-ROW(AK$15),0),
ROUND(ROUND(OFFSET($P82,0,AK$13),15-13*ORÇAMENTO!$AF$7)*OFFSET(ORÇAMENTO!$W$15,ROW(AK82)-ROW(AK$15),0),15-13*ORÇAMENTO!$AF$11)),0)</f>
        <v>0</v>
      </c>
      <c r="AM82" s="215">
        <f ca="1">IF($D82&lt;&gt;"Serviço",0,IF(AND(AUTOEVENTO="Manual",$M82=1),0,IF(OFFSET(CRONOPLE!$F$14,$M82,AM$13)="",10^12,OFFSET(CRONOPLE!$F$14,$M82,AM$13))))</f>
        <v>1000000000000</v>
      </c>
      <c r="AN82" s="215">
        <f ca="1">IF($D82&lt;&gt;"Serviço",0,IF(AND(AUTOEVENTO="Manual",$M82=1),0,IF(OFFSET(CRONOPLE!$F$14,$M82,AN$13)="",10^12,OFFSET(CRONOPLE!$F$14,$M82,AN$13))))</f>
        <v>1000000000000</v>
      </c>
      <c r="AO82" s="215">
        <f ca="1">IF($D82&lt;&gt;"Serviço",0,IF(AND(AUTOEVENTO="Manual",$M82=1),0,IF(OFFSET(CRONOPLE!$F$14,$M82,AO$13)="",10^12,OFFSET(CRONOPLE!$F$14,$M82,AO$13))))</f>
        <v>1000000000000</v>
      </c>
      <c r="AP82" s="215">
        <f ca="1">IF($D82&lt;&gt;"Serviço",0,IF(AND(AUTOEVENTO="Manual",$M82=1),0,IF(OFFSET(CRONOPLE!$F$14,$M82,AP$13)="",10^12,OFFSET(CRONOPLE!$F$14,$M82,AP$13))))</f>
        <v>1000000000000</v>
      </c>
      <c r="AQ82" s="215">
        <f ca="1">IF($D82&lt;&gt;"Serviço",0,IF(AND(AUTOEVENTO="Manual",$M82=1),0,IF(OFFSET(CRONOPLE!$F$14,$M82,AQ$13)="",10^12,OFFSET(CRONOPLE!$F$14,$M82,AQ$13))))</f>
        <v>1000000000000</v>
      </c>
      <c r="AR82" s="215">
        <f ca="1">IF($D82&lt;&gt;"Serviço",0,IF(AND(AUTOEVENTO="Manual",$M82=1),0,IF(OFFSET(CRONOPLE!$F$14,$M82,AR$13)="",10^12,OFFSET(CRONOPLE!$F$14,$M82,AR$13))))</f>
        <v>1000000000000</v>
      </c>
      <c r="AS82" s="215">
        <f ca="1">IF($D82&lt;&gt;"Serviço",0,IF(AND(AUTOEVENTO="Manual",$M82=1),0,IF(OFFSET(CRONOPLE!$F$14,$M82,AS$13)="",10^12,OFFSET(CRONOPLE!$F$14,$M82,AS$13))))</f>
        <v>1000000000000</v>
      </c>
      <c r="AT82" s="215">
        <f ca="1">IF($D82&lt;&gt;"Serviço",0,IF(AND(AUTOEVENTO="Manual",$M82=1),0,IF(OFFSET(CRONOPLE!$F$14,$M82,AT$13)="",10^12,OFFSET(CRONOPLE!$F$14,$M82,AT$13))))</f>
        <v>1000000000000</v>
      </c>
      <c r="AU82" s="215">
        <f ca="1">IF($D82&lt;&gt;"Serviço",0,IF(AND(AUTOEVENTO="Manual",$M82=1),0,IF(OFFSET(CRONOPLE!$F$14,$M82,AU$13)="",10^12,OFFSET(CRONOPLE!$F$14,$M82,AU$13))))</f>
        <v>1000000000000</v>
      </c>
      <c r="AV82" s="215">
        <f ca="1">IF($D82&lt;&gt;"Serviço",0,IF(AND(AUTOEVENTO="Manual",$M82=1),0,IF(OFFSET(CRONOPLE!$F$14,$M82,AV$13)="",10^12,OFFSET(CRONOPLE!$F$14,$M82,AV$13))))</f>
        <v>1000000000000</v>
      </c>
      <c r="AX82" s="216">
        <f ca="1">IF($D82&lt;&gt;"Serviço",0,IF(OR(AND(AUTOEVENTO="Manual",$M82=1),$M82&gt;(ROW(PLE.lastrow)-ROW(PLE.firstrow))),0,IF(OFFSET(PLE!$G$14,$M82,AX$13)="",10^12,OFFSET(PLE!$G$14,$M82,AX$13))))</f>
        <v>1000000000000</v>
      </c>
      <c r="AY82" s="216">
        <f ca="1">IF($D82&lt;&gt;"Serviço",0,IF(OR(AND(AUTOEVENTO="Manual",$M82=1),$M82&gt;(ROW(PLE.lastrow)-ROW(PLE.firstrow))),0,IF(OFFSET(PLE!$G$14,$M82,AY$13)="",10^12,OFFSET(PLE!$G$14,$M82,AY$13))))</f>
        <v>1000000000000</v>
      </c>
      <c r="AZ82" s="216">
        <f ca="1">IF($D82&lt;&gt;"Serviço",0,IF(OR(AND(AUTOEVENTO="Manual",$M82=1),$M82&gt;(ROW(PLE.lastrow)-ROW(PLE.firstrow))),0,IF(OFFSET(PLE!$G$14,$M82,AZ$13)="",10^12,OFFSET(PLE!$G$14,$M82,AZ$13))))</f>
        <v>1000000000000</v>
      </c>
      <c r="BA82" s="216">
        <f ca="1">IF($D82&lt;&gt;"Serviço",0,IF(OR(AND(AUTOEVENTO="Manual",$M82=1),$M82&gt;(ROW(PLE.lastrow)-ROW(PLE.firstrow))),0,IF(OFFSET(PLE!$G$14,$M82,BA$13)="",10^12,OFFSET(PLE!$G$14,$M82,BA$13))))</f>
        <v>1000000000000</v>
      </c>
      <c r="BB82" s="216">
        <f ca="1">IF($D82&lt;&gt;"Serviço",0,IF(OR(AND(AUTOEVENTO="Manual",$M82=1),$M82&gt;(ROW(PLE.lastrow)-ROW(PLE.firstrow))),0,IF(OFFSET(PLE!$G$14,$M82,BB$13)="",10^12,OFFSET(PLE!$G$14,$M82,BB$13))))</f>
        <v>1000000000000</v>
      </c>
      <c r="BC82" s="216">
        <f ca="1">IF($D82&lt;&gt;"Serviço",0,IF(OR(AND(AUTOEVENTO="Manual",$M82=1),$M82&gt;(ROW(PLE.lastrow)-ROW(PLE.firstrow))),0,IF(OFFSET(PLE!$G$14,$M82,BC$13)="",10^12,OFFSET(PLE!$G$14,$M82,BC$13))))</f>
        <v>1000000000000</v>
      </c>
      <c r="BD82" s="216">
        <f ca="1">IF($D82&lt;&gt;"Serviço",0,IF(OR(AND(AUTOEVENTO="Manual",$M82=1),$M82&gt;(ROW(PLE.lastrow)-ROW(PLE.firstrow))),0,IF(OFFSET(PLE!$G$14,$M82,BD$13)="",10^12,OFFSET(PLE!$G$14,$M82,BD$13))))</f>
        <v>1000000000000</v>
      </c>
      <c r="BE82" s="216">
        <f ca="1">IF($D82&lt;&gt;"Serviço",0,IF(OR(AND(AUTOEVENTO="Manual",$M82=1),$M82&gt;(ROW(PLE.lastrow)-ROW(PLE.firstrow))),0,IF(OFFSET(PLE!$G$14,$M82,BE$13)="",10^12,OFFSET(PLE!$G$14,$M82,BE$13))))</f>
        <v>1000000000000</v>
      </c>
      <c r="BF82" s="216">
        <f ca="1">IF($D82&lt;&gt;"Serviço",0,IF(OR(AND(AUTOEVENTO="Manual",$M82=1),$M82&gt;(ROW(PLE.lastrow)-ROW(PLE.firstrow))),0,IF(OFFSET(PLE!$G$14,$M82,BF$13)="",10^12,OFFSET(PLE!$G$14,$M82,BF$13))))</f>
        <v>1000000000000</v>
      </c>
      <c r="BG82" s="216">
        <f ca="1">IF($D82&lt;&gt;"Serviço",0,IF(OR(AND(AUTOEVENTO="Manual",$M82=1),$M82&gt;(ROW(PLE.lastrow)-ROW(PLE.firstrow))),0,IF(OFFSET(PLE!$G$14,$M82,BG$13)="",10^12,OFFSET(PLE!$G$14,$M82,BG$13))))</f>
        <v>1000000000000</v>
      </c>
    </row>
    <row r="83" spans="1:59" ht="25.5" x14ac:dyDescent="0.2">
      <c r="A83" s="9" t="str">
        <f t="shared" ca="1" si="9"/>
        <v>64</v>
      </c>
      <c r="B83" s="9" t="str">
        <f ca="1">OFFSET(ORÇAMENTO!C$15,ROW(B83)-ROW(B$15),0)</f>
        <v>S</v>
      </c>
      <c r="C83" s="9" t="str">
        <f ca="1">OFFSET(ORÇAMENTO!L$15,ROW(C83)-ROW(C$15),0)</f>
        <v/>
      </c>
      <c r="D83" s="145" t="str">
        <f ca="1">OFFSET(ORÇAMENTO!N$15,ROW(D83)-ROW(D$15),0)</f>
        <v>Serviço</v>
      </c>
      <c r="E83" s="205" t="str">
        <f ca="1">OFFSET(ORÇAMENTO!O$15,ROW(E83)-ROW(E$15),0)</f>
        <v>-</v>
      </c>
      <c r="F83" s="206" t="str">
        <f ca="1">OFFSET(ORÇAMENTO!R$15,ROW(F83)-ROW(F$15),0)</f>
        <v>RUFO EXTERNO/INTERNO EM CHAPA DE AÇO GALVANIZADO NÚMERO 26, CORTE DE 33 CM, INCLUSO IÇAMENTO. AF_07/2019</v>
      </c>
      <c r="G83" s="207" t="str">
        <f ca="1">IF($D83&lt;&gt;"Serviço","",OFFSET(ORÇAMENTO!S$15,ROW(G83)-ROW(G$15),0))</f>
        <v>M</v>
      </c>
      <c r="H83" s="151">
        <f ca="1">IF($D83&lt;&gt;"Serviço",0,IF(ACOMPANHAMENTO="BM",ROUND(OFFSET(ORÇAMENTO!AJ$15,ROW(H83)-ROW(H$15),0),15-13*ORÇAMENTO!$AF$7),SUMPRODUCT(($Q$12:$AA$12&lt;&gt;"")*ROUND($Q83:$AA83,15-13*ORÇAMENTO!$AF$7))))</f>
        <v>185</v>
      </c>
      <c r="I83" s="649"/>
      <c r="K83" s="208"/>
      <c r="L83" s="209" t="s">
        <v>255</v>
      </c>
      <c r="M83" s="210">
        <f ca="1">IF($D83&lt;&gt;"Serviço","",IF(AUTOEVENTO="manual",$A83,IF(ISERROR(MATCH($A83,$A$15:OFFSET($A83,-1,0),0)),MAX($M$15:OFFSET(M83,-1,0))+1,INDEX($M$15:OFFSET(M83,-1,0),MATCH($A83,$A$15:OFFSET($A83,-1,0),0)))))</f>
        <v>14</v>
      </c>
      <c r="N83" s="211" t="str">
        <f ca="1">IF($D83&lt;&gt;"Serviço","",IF(AUTOEVENTO="Manual",IF($A83=0,"&lt;-- defina o número do agrupador",OFFSET(EVENTOS!$D$14,$A83,0)),OFFSET($F$15,$A83,0)))</f>
        <v xml:space="preserve">COBERTURA </v>
      </c>
      <c r="O83" s="212"/>
      <c r="Q83" s="212"/>
      <c r="R83" s="213"/>
      <c r="S83" s="213"/>
      <c r="T83" s="213"/>
      <c r="U83" s="213"/>
      <c r="V83" s="213"/>
      <c r="W83" s="213"/>
      <c r="X83" s="213"/>
      <c r="Y83" s="213"/>
      <c r="Z83" s="214"/>
      <c r="AB83" s="630">
        <f ca="1">IF(AND($D83="Serviço",AB$12&lt;&gt;0,$H83&gt;0,OR(AUTOEVENTO&lt;&gt;"manual",$M83&lt;&gt;1)),
IF(Import.TipoArredondamento&lt;&gt;"TransfereGOV",
ROUND(OFFSET($P83,0,AB$13),15-13*ORÇAMENTO!$AF$7)/$H83*OFFSET(ORÇAMENTO!$X$15,ROW(AB83)-ROW(AB$15),0),
ROUND(ROUND(OFFSET($P83,0,AB$13),15-13*ORÇAMENTO!$AF$7)*OFFSET(ORÇAMENTO!$W$15,ROW(AB83)-ROW(AB$15),0),15-13*ORÇAMENTO!$AF$11)),0)</f>
        <v>0</v>
      </c>
      <c r="AC83" s="631">
        <f ca="1">IF(AND($D83="Serviço",AC$12&lt;&gt;0,$H83&gt;0,OR(AUTOEVENTO&lt;&gt;"manual",$M83&lt;&gt;1)),
IF(Import.TipoArredondamento&lt;&gt;"TransfereGOV",
ROUND(OFFSET($P83,0,AC$13),15-13*ORÇAMENTO!$AF$7)/$H83*OFFSET(ORÇAMENTO!$X$15,ROW(AC83)-ROW(AC$15),0),
ROUND(ROUND(OFFSET($P83,0,AC$13),15-13*ORÇAMENTO!$AF$7)*OFFSET(ORÇAMENTO!$W$15,ROW(AC83)-ROW(AC$15),0),15-13*ORÇAMENTO!$AF$11)),0)</f>
        <v>0</v>
      </c>
      <c r="AD83" s="631">
        <f ca="1">IF(AND($D83="Serviço",AD$12&lt;&gt;0,$H83&gt;0,OR(AUTOEVENTO&lt;&gt;"manual",$M83&lt;&gt;1)),
IF(Import.TipoArredondamento&lt;&gt;"TransfereGOV",
ROUND(OFFSET($P83,0,AD$13),15-13*ORÇAMENTO!$AF$7)/$H83*OFFSET(ORÇAMENTO!$X$15,ROW(AD83)-ROW(AD$15),0),
ROUND(ROUND(OFFSET($P83,0,AD$13),15-13*ORÇAMENTO!$AF$7)*OFFSET(ORÇAMENTO!$W$15,ROW(AD83)-ROW(AD$15),0),15-13*ORÇAMENTO!$AF$11)),0)</f>
        <v>0</v>
      </c>
      <c r="AE83" s="631">
        <f ca="1">IF(AND($D83="Serviço",AE$12&lt;&gt;0,$H83&gt;0,OR(AUTOEVENTO&lt;&gt;"manual",$M83&lt;&gt;1)),
IF(Import.TipoArredondamento&lt;&gt;"TransfereGOV",
ROUND(OFFSET($P83,0,AE$13),15-13*ORÇAMENTO!$AF$7)/$H83*OFFSET(ORÇAMENTO!$X$15,ROW(AE83)-ROW(AE$15),0),
ROUND(ROUND(OFFSET($P83,0,AE$13),15-13*ORÇAMENTO!$AF$7)*OFFSET(ORÇAMENTO!$W$15,ROW(AE83)-ROW(AE$15),0),15-13*ORÇAMENTO!$AF$11)),0)</f>
        <v>0</v>
      </c>
      <c r="AF83" s="631">
        <f ca="1">IF(AND($D83="Serviço",AF$12&lt;&gt;0,$H83&gt;0,OR(AUTOEVENTO&lt;&gt;"manual",$M83&lt;&gt;1)),
IF(Import.TipoArredondamento&lt;&gt;"TransfereGOV",
ROUND(OFFSET($P83,0,AF$13),15-13*ORÇAMENTO!$AF$7)/$H83*OFFSET(ORÇAMENTO!$X$15,ROW(AF83)-ROW(AF$15),0),
ROUND(ROUND(OFFSET($P83,0,AF$13),15-13*ORÇAMENTO!$AF$7)*OFFSET(ORÇAMENTO!$W$15,ROW(AF83)-ROW(AF$15),0),15-13*ORÇAMENTO!$AF$11)),0)</f>
        <v>0</v>
      </c>
      <c r="AG83" s="631">
        <f ca="1">IF(AND($D83="Serviço",AG$12&lt;&gt;0,$H83&gt;0,OR(AUTOEVENTO&lt;&gt;"manual",$M83&lt;&gt;1)),
IF(Import.TipoArredondamento&lt;&gt;"TransfereGOV",
ROUND(OFFSET($P83,0,AG$13),15-13*ORÇAMENTO!$AF$7)/$H83*OFFSET(ORÇAMENTO!$X$15,ROW(AG83)-ROW(AG$15),0),
ROUND(ROUND(OFFSET($P83,0,AG$13),15-13*ORÇAMENTO!$AF$7)*OFFSET(ORÇAMENTO!$W$15,ROW(AG83)-ROW(AG$15),0),15-13*ORÇAMENTO!$AF$11)),0)</f>
        <v>0</v>
      </c>
      <c r="AH83" s="631">
        <f ca="1">IF(AND($D83="Serviço",AH$12&lt;&gt;0,$H83&gt;0,OR(AUTOEVENTO&lt;&gt;"manual",$M83&lt;&gt;1)),
IF(Import.TipoArredondamento&lt;&gt;"TransfereGOV",
ROUND(OFFSET($P83,0,AH$13),15-13*ORÇAMENTO!$AF$7)/$H83*OFFSET(ORÇAMENTO!$X$15,ROW(AH83)-ROW(AH$15),0),
ROUND(ROUND(OFFSET($P83,0,AH$13),15-13*ORÇAMENTO!$AF$7)*OFFSET(ORÇAMENTO!$W$15,ROW(AH83)-ROW(AH$15),0),15-13*ORÇAMENTO!$AF$11)),0)</f>
        <v>0</v>
      </c>
      <c r="AI83" s="631">
        <f ca="1">IF(AND($D83="Serviço",AI$12&lt;&gt;0,$H83&gt;0,OR(AUTOEVENTO&lt;&gt;"manual",$M83&lt;&gt;1)),
IF(Import.TipoArredondamento&lt;&gt;"TransfereGOV",
ROUND(OFFSET($P83,0,AI$13),15-13*ORÇAMENTO!$AF$7)/$H83*OFFSET(ORÇAMENTO!$X$15,ROW(AI83)-ROW(AI$15),0),
ROUND(ROUND(OFFSET($P83,0,AI$13),15-13*ORÇAMENTO!$AF$7)*OFFSET(ORÇAMENTO!$W$15,ROW(AI83)-ROW(AI$15),0),15-13*ORÇAMENTO!$AF$11)),0)</f>
        <v>0</v>
      </c>
      <c r="AJ83" s="631">
        <f ca="1">IF(AND($D83="Serviço",AJ$12&lt;&gt;0,$H83&gt;0,OR(AUTOEVENTO&lt;&gt;"manual",$M83&lt;&gt;1)),
IF(Import.TipoArredondamento&lt;&gt;"TransfereGOV",
ROUND(OFFSET($P83,0,AJ$13),15-13*ORÇAMENTO!$AF$7)/$H83*OFFSET(ORÇAMENTO!$X$15,ROW(AJ83)-ROW(AJ$15),0),
ROUND(ROUND(OFFSET($P83,0,AJ$13),15-13*ORÇAMENTO!$AF$7)*OFFSET(ORÇAMENTO!$W$15,ROW(AJ83)-ROW(AJ$15),0),15-13*ORÇAMENTO!$AF$11)),0)</f>
        <v>0</v>
      </c>
      <c r="AK83" s="632">
        <f ca="1">IF(AND($D83="Serviço",AK$12&lt;&gt;0,$H83&gt;0,OR(AUTOEVENTO&lt;&gt;"manual",$M83&lt;&gt;1)),
IF(Import.TipoArredondamento&lt;&gt;"TransfereGOV",
ROUND(OFFSET($P83,0,AK$13),15-13*ORÇAMENTO!$AF$7)/$H83*OFFSET(ORÇAMENTO!$X$15,ROW(AK83)-ROW(AK$15),0),
ROUND(ROUND(OFFSET($P83,0,AK$13),15-13*ORÇAMENTO!$AF$7)*OFFSET(ORÇAMENTO!$W$15,ROW(AK83)-ROW(AK$15),0),15-13*ORÇAMENTO!$AF$11)),0)</f>
        <v>0</v>
      </c>
      <c r="AM83" s="215">
        <f ca="1">IF($D83&lt;&gt;"Serviço",0,IF(AND(AUTOEVENTO="Manual",$M83=1),0,IF(OFFSET(CRONOPLE!$F$14,$M83,AM$13)="",10^12,OFFSET(CRONOPLE!$F$14,$M83,AM$13))))</f>
        <v>1000000000000</v>
      </c>
      <c r="AN83" s="215">
        <f ca="1">IF($D83&lt;&gt;"Serviço",0,IF(AND(AUTOEVENTO="Manual",$M83=1),0,IF(OFFSET(CRONOPLE!$F$14,$M83,AN$13)="",10^12,OFFSET(CRONOPLE!$F$14,$M83,AN$13))))</f>
        <v>1000000000000</v>
      </c>
      <c r="AO83" s="215">
        <f ca="1">IF($D83&lt;&gt;"Serviço",0,IF(AND(AUTOEVENTO="Manual",$M83=1),0,IF(OFFSET(CRONOPLE!$F$14,$M83,AO$13)="",10^12,OFFSET(CRONOPLE!$F$14,$M83,AO$13))))</f>
        <v>1000000000000</v>
      </c>
      <c r="AP83" s="215">
        <f ca="1">IF($D83&lt;&gt;"Serviço",0,IF(AND(AUTOEVENTO="Manual",$M83=1),0,IF(OFFSET(CRONOPLE!$F$14,$M83,AP$13)="",10^12,OFFSET(CRONOPLE!$F$14,$M83,AP$13))))</f>
        <v>1000000000000</v>
      </c>
      <c r="AQ83" s="215">
        <f ca="1">IF($D83&lt;&gt;"Serviço",0,IF(AND(AUTOEVENTO="Manual",$M83=1),0,IF(OFFSET(CRONOPLE!$F$14,$M83,AQ$13)="",10^12,OFFSET(CRONOPLE!$F$14,$M83,AQ$13))))</f>
        <v>1000000000000</v>
      </c>
      <c r="AR83" s="215">
        <f ca="1">IF($D83&lt;&gt;"Serviço",0,IF(AND(AUTOEVENTO="Manual",$M83=1),0,IF(OFFSET(CRONOPLE!$F$14,$M83,AR$13)="",10^12,OFFSET(CRONOPLE!$F$14,$M83,AR$13))))</f>
        <v>1000000000000</v>
      </c>
      <c r="AS83" s="215">
        <f ca="1">IF($D83&lt;&gt;"Serviço",0,IF(AND(AUTOEVENTO="Manual",$M83=1),0,IF(OFFSET(CRONOPLE!$F$14,$M83,AS$13)="",10^12,OFFSET(CRONOPLE!$F$14,$M83,AS$13))))</f>
        <v>1000000000000</v>
      </c>
      <c r="AT83" s="215">
        <f ca="1">IF($D83&lt;&gt;"Serviço",0,IF(AND(AUTOEVENTO="Manual",$M83=1),0,IF(OFFSET(CRONOPLE!$F$14,$M83,AT$13)="",10^12,OFFSET(CRONOPLE!$F$14,$M83,AT$13))))</f>
        <v>1000000000000</v>
      </c>
      <c r="AU83" s="215">
        <f ca="1">IF($D83&lt;&gt;"Serviço",0,IF(AND(AUTOEVENTO="Manual",$M83=1),0,IF(OFFSET(CRONOPLE!$F$14,$M83,AU$13)="",10^12,OFFSET(CRONOPLE!$F$14,$M83,AU$13))))</f>
        <v>1000000000000</v>
      </c>
      <c r="AV83" s="215">
        <f ca="1">IF($D83&lt;&gt;"Serviço",0,IF(AND(AUTOEVENTO="Manual",$M83=1),0,IF(OFFSET(CRONOPLE!$F$14,$M83,AV$13)="",10^12,OFFSET(CRONOPLE!$F$14,$M83,AV$13))))</f>
        <v>1000000000000</v>
      </c>
      <c r="AX83" s="216">
        <f ca="1">IF($D83&lt;&gt;"Serviço",0,IF(OR(AND(AUTOEVENTO="Manual",$M83=1),$M83&gt;(ROW(PLE.lastrow)-ROW(PLE.firstrow))),0,IF(OFFSET(PLE!$G$14,$M83,AX$13)="",10^12,OFFSET(PLE!$G$14,$M83,AX$13))))</f>
        <v>1000000000000</v>
      </c>
      <c r="AY83" s="216">
        <f ca="1">IF($D83&lt;&gt;"Serviço",0,IF(OR(AND(AUTOEVENTO="Manual",$M83=1),$M83&gt;(ROW(PLE.lastrow)-ROW(PLE.firstrow))),0,IF(OFFSET(PLE!$G$14,$M83,AY$13)="",10^12,OFFSET(PLE!$G$14,$M83,AY$13))))</f>
        <v>1000000000000</v>
      </c>
      <c r="AZ83" s="216">
        <f ca="1">IF($D83&lt;&gt;"Serviço",0,IF(OR(AND(AUTOEVENTO="Manual",$M83=1),$M83&gt;(ROW(PLE.lastrow)-ROW(PLE.firstrow))),0,IF(OFFSET(PLE!$G$14,$M83,AZ$13)="",10^12,OFFSET(PLE!$G$14,$M83,AZ$13))))</f>
        <v>1000000000000</v>
      </c>
      <c r="BA83" s="216">
        <f ca="1">IF($D83&lt;&gt;"Serviço",0,IF(OR(AND(AUTOEVENTO="Manual",$M83=1),$M83&gt;(ROW(PLE.lastrow)-ROW(PLE.firstrow))),0,IF(OFFSET(PLE!$G$14,$M83,BA$13)="",10^12,OFFSET(PLE!$G$14,$M83,BA$13))))</f>
        <v>1000000000000</v>
      </c>
      <c r="BB83" s="216">
        <f ca="1">IF($D83&lt;&gt;"Serviço",0,IF(OR(AND(AUTOEVENTO="Manual",$M83=1),$M83&gt;(ROW(PLE.lastrow)-ROW(PLE.firstrow))),0,IF(OFFSET(PLE!$G$14,$M83,BB$13)="",10^12,OFFSET(PLE!$G$14,$M83,BB$13))))</f>
        <v>1000000000000</v>
      </c>
      <c r="BC83" s="216">
        <f ca="1">IF($D83&lt;&gt;"Serviço",0,IF(OR(AND(AUTOEVENTO="Manual",$M83=1),$M83&gt;(ROW(PLE.lastrow)-ROW(PLE.firstrow))),0,IF(OFFSET(PLE!$G$14,$M83,BC$13)="",10^12,OFFSET(PLE!$G$14,$M83,BC$13))))</f>
        <v>1000000000000</v>
      </c>
      <c r="BD83" s="216">
        <f ca="1">IF($D83&lt;&gt;"Serviço",0,IF(OR(AND(AUTOEVENTO="Manual",$M83=1),$M83&gt;(ROW(PLE.lastrow)-ROW(PLE.firstrow))),0,IF(OFFSET(PLE!$G$14,$M83,BD$13)="",10^12,OFFSET(PLE!$G$14,$M83,BD$13))))</f>
        <v>1000000000000</v>
      </c>
      <c r="BE83" s="216">
        <f ca="1">IF($D83&lt;&gt;"Serviço",0,IF(OR(AND(AUTOEVENTO="Manual",$M83=1),$M83&gt;(ROW(PLE.lastrow)-ROW(PLE.firstrow))),0,IF(OFFSET(PLE!$G$14,$M83,BE$13)="",10^12,OFFSET(PLE!$G$14,$M83,BE$13))))</f>
        <v>1000000000000</v>
      </c>
      <c r="BF83" s="216">
        <f ca="1">IF($D83&lt;&gt;"Serviço",0,IF(OR(AND(AUTOEVENTO="Manual",$M83=1),$M83&gt;(ROW(PLE.lastrow)-ROW(PLE.firstrow))),0,IF(OFFSET(PLE!$G$14,$M83,BF$13)="",10^12,OFFSET(PLE!$G$14,$M83,BF$13))))</f>
        <v>1000000000000</v>
      </c>
      <c r="BG83" s="216">
        <f ca="1">IF($D83&lt;&gt;"Serviço",0,IF(OR(AND(AUTOEVENTO="Manual",$M83=1),$M83&gt;(ROW(PLE.lastrow)-ROW(PLE.firstrow))),0,IF(OFFSET(PLE!$G$14,$M83,BG$13)="",10^12,OFFSET(PLE!$G$14,$M83,BG$13))))</f>
        <v>1000000000000</v>
      </c>
    </row>
    <row r="84" spans="1:59" ht="38.25" x14ac:dyDescent="0.2">
      <c r="A84" s="9" t="str">
        <f t="shared" ca="1" si="9"/>
        <v>64</v>
      </c>
      <c r="B84" s="9" t="str">
        <f ca="1">OFFSET(ORÇAMENTO!C$15,ROW(B84)-ROW(B$15),0)</f>
        <v>S</v>
      </c>
      <c r="C84" s="9" t="str">
        <f ca="1">OFFSET(ORÇAMENTO!L$15,ROW(C84)-ROW(C$15),0)</f>
        <v/>
      </c>
      <c r="D84" s="145" t="str">
        <f ca="1">OFFSET(ORÇAMENTO!N$15,ROW(D84)-ROW(D$15),0)</f>
        <v>Serviço</v>
      </c>
      <c r="E84" s="205" t="str">
        <f ca="1">OFFSET(ORÇAMENTO!O$15,ROW(E84)-ROW(E$15),0)</f>
        <v>-</v>
      </c>
      <c r="F84" s="206" t="str">
        <f ca="1">OFFSET(ORÇAMENTO!R$15,ROW(F84)-ROW(F$15),0)</f>
        <v>CALHA EM CHAPA DE AÇO GALVANIZADO NÚMERO 24, DESENVOLVIMENTO DE 50 CM, INCLUSO TRANSPORTE VERTICAL. AF_07/2019</v>
      </c>
      <c r="G84" s="207" t="str">
        <f ca="1">IF($D84&lt;&gt;"Serviço","",OFFSET(ORÇAMENTO!S$15,ROW(G84)-ROW(G$15),0))</f>
        <v>M</v>
      </c>
      <c r="H84" s="151">
        <f ca="1">IF($D84&lt;&gt;"Serviço",0,IF(ACOMPANHAMENTO="BM",ROUND(OFFSET(ORÇAMENTO!AJ$15,ROW(H84)-ROW(H$15),0),15-13*ORÇAMENTO!$AF$7),SUMPRODUCT(($Q$12:$AA$12&lt;&gt;"")*ROUND($Q84:$AA84,15-13*ORÇAMENTO!$AF$7))))</f>
        <v>70</v>
      </c>
      <c r="I84" s="649"/>
      <c r="K84" s="208"/>
      <c r="L84" s="209" t="s">
        <v>255</v>
      </c>
      <c r="M84" s="210">
        <f ca="1">IF($D84&lt;&gt;"Serviço","",IF(AUTOEVENTO="manual",$A84,IF(ISERROR(MATCH($A84,$A$15:OFFSET($A84,-1,0),0)),MAX($M$15:OFFSET(M84,-1,0))+1,INDEX($M$15:OFFSET(M84,-1,0),MATCH($A84,$A$15:OFFSET($A84,-1,0),0)))))</f>
        <v>14</v>
      </c>
      <c r="N84" s="211" t="str">
        <f ca="1">IF($D84&lt;&gt;"Serviço","",IF(AUTOEVENTO="Manual",IF($A84=0,"&lt;-- defina o número do agrupador",OFFSET(EVENTOS!$D$14,$A84,0)),OFFSET($F$15,$A84,0)))</f>
        <v xml:space="preserve">COBERTURA </v>
      </c>
      <c r="O84" s="212"/>
      <c r="Q84" s="212"/>
      <c r="R84" s="213"/>
      <c r="S84" s="213"/>
      <c r="T84" s="213"/>
      <c r="U84" s="213"/>
      <c r="V84" s="213"/>
      <c r="W84" s="213"/>
      <c r="X84" s="213"/>
      <c r="Y84" s="213"/>
      <c r="Z84" s="214"/>
      <c r="AB84" s="630">
        <f ca="1">IF(AND($D84="Serviço",AB$12&lt;&gt;0,$H84&gt;0,OR(AUTOEVENTO&lt;&gt;"manual",$M84&lt;&gt;1)),
IF(Import.TipoArredondamento&lt;&gt;"TransfereGOV",
ROUND(OFFSET($P84,0,AB$13),15-13*ORÇAMENTO!$AF$7)/$H84*OFFSET(ORÇAMENTO!$X$15,ROW(AB84)-ROW(AB$15),0),
ROUND(ROUND(OFFSET($P84,0,AB$13),15-13*ORÇAMENTO!$AF$7)*OFFSET(ORÇAMENTO!$W$15,ROW(AB84)-ROW(AB$15),0),15-13*ORÇAMENTO!$AF$11)),0)</f>
        <v>0</v>
      </c>
      <c r="AC84" s="631">
        <f ca="1">IF(AND($D84="Serviço",AC$12&lt;&gt;0,$H84&gt;0,OR(AUTOEVENTO&lt;&gt;"manual",$M84&lt;&gt;1)),
IF(Import.TipoArredondamento&lt;&gt;"TransfereGOV",
ROUND(OFFSET($P84,0,AC$13),15-13*ORÇAMENTO!$AF$7)/$H84*OFFSET(ORÇAMENTO!$X$15,ROW(AC84)-ROW(AC$15),0),
ROUND(ROUND(OFFSET($P84,0,AC$13),15-13*ORÇAMENTO!$AF$7)*OFFSET(ORÇAMENTO!$W$15,ROW(AC84)-ROW(AC$15),0),15-13*ORÇAMENTO!$AF$11)),0)</f>
        <v>0</v>
      </c>
      <c r="AD84" s="631">
        <f ca="1">IF(AND($D84="Serviço",AD$12&lt;&gt;0,$H84&gt;0,OR(AUTOEVENTO&lt;&gt;"manual",$M84&lt;&gt;1)),
IF(Import.TipoArredondamento&lt;&gt;"TransfereGOV",
ROUND(OFFSET($P84,0,AD$13),15-13*ORÇAMENTO!$AF$7)/$H84*OFFSET(ORÇAMENTO!$X$15,ROW(AD84)-ROW(AD$15),0),
ROUND(ROUND(OFFSET($P84,0,AD$13),15-13*ORÇAMENTO!$AF$7)*OFFSET(ORÇAMENTO!$W$15,ROW(AD84)-ROW(AD$15),0),15-13*ORÇAMENTO!$AF$11)),0)</f>
        <v>0</v>
      </c>
      <c r="AE84" s="631">
        <f ca="1">IF(AND($D84="Serviço",AE$12&lt;&gt;0,$H84&gt;0,OR(AUTOEVENTO&lt;&gt;"manual",$M84&lt;&gt;1)),
IF(Import.TipoArredondamento&lt;&gt;"TransfereGOV",
ROUND(OFFSET($P84,0,AE$13),15-13*ORÇAMENTO!$AF$7)/$H84*OFFSET(ORÇAMENTO!$X$15,ROW(AE84)-ROW(AE$15),0),
ROUND(ROUND(OFFSET($P84,0,AE$13),15-13*ORÇAMENTO!$AF$7)*OFFSET(ORÇAMENTO!$W$15,ROW(AE84)-ROW(AE$15),0),15-13*ORÇAMENTO!$AF$11)),0)</f>
        <v>0</v>
      </c>
      <c r="AF84" s="631">
        <f ca="1">IF(AND($D84="Serviço",AF$12&lt;&gt;0,$H84&gt;0,OR(AUTOEVENTO&lt;&gt;"manual",$M84&lt;&gt;1)),
IF(Import.TipoArredondamento&lt;&gt;"TransfereGOV",
ROUND(OFFSET($P84,0,AF$13),15-13*ORÇAMENTO!$AF$7)/$H84*OFFSET(ORÇAMENTO!$X$15,ROW(AF84)-ROW(AF$15),0),
ROUND(ROUND(OFFSET($P84,0,AF$13),15-13*ORÇAMENTO!$AF$7)*OFFSET(ORÇAMENTO!$W$15,ROW(AF84)-ROW(AF$15),0),15-13*ORÇAMENTO!$AF$11)),0)</f>
        <v>0</v>
      </c>
      <c r="AG84" s="631">
        <f ca="1">IF(AND($D84="Serviço",AG$12&lt;&gt;0,$H84&gt;0,OR(AUTOEVENTO&lt;&gt;"manual",$M84&lt;&gt;1)),
IF(Import.TipoArredondamento&lt;&gt;"TransfereGOV",
ROUND(OFFSET($P84,0,AG$13),15-13*ORÇAMENTO!$AF$7)/$H84*OFFSET(ORÇAMENTO!$X$15,ROW(AG84)-ROW(AG$15),0),
ROUND(ROUND(OFFSET($P84,0,AG$13),15-13*ORÇAMENTO!$AF$7)*OFFSET(ORÇAMENTO!$W$15,ROW(AG84)-ROW(AG$15),0),15-13*ORÇAMENTO!$AF$11)),0)</f>
        <v>0</v>
      </c>
      <c r="AH84" s="631">
        <f ca="1">IF(AND($D84="Serviço",AH$12&lt;&gt;0,$H84&gt;0,OR(AUTOEVENTO&lt;&gt;"manual",$M84&lt;&gt;1)),
IF(Import.TipoArredondamento&lt;&gt;"TransfereGOV",
ROUND(OFFSET($P84,0,AH$13),15-13*ORÇAMENTO!$AF$7)/$H84*OFFSET(ORÇAMENTO!$X$15,ROW(AH84)-ROW(AH$15),0),
ROUND(ROUND(OFFSET($P84,0,AH$13),15-13*ORÇAMENTO!$AF$7)*OFFSET(ORÇAMENTO!$W$15,ROW(AH84)-ROW(AH$15),0),15-13*ORÇAMENTO!$AF$11)),0)</f>
        <v>0</v>
      </c>
      <c r="AI84" s="631">
        <f ca="1">IF(AND($D84="Serviço",AI$12&lt;&gt;0,$H84&gt;0,OR(AUTOEVENTO&lt;&gt;"manual",$M84&lt;&gt;1)),
IF(Import.TipoArredondamento&lt;&gt;"TransfereGOV",
ROUND(OFFSET($P84,0,AI$13),15-13*ORÇAMENTO!$AF$7)/$H84*OFFSET(ORÇAMENTO!$X$15,ROW(AI84)-ROW(AI$15),0),
ROUND(ROUND(OFFSET($P84,0,AI$13),15-13*ORÇAMENTO!$AF$7)*OFFSET(ORÇAMENTO!$W$15,ROW(AI84)-ROW(AI$15),0),15-13*ORÇAMENTO!$AF$11)),0)</f>
        <v>0</v>
      </c>
      <c r="AJ84" s="631">
        <f ca="1">IF(AND($D84="Serviço",AJ$12&lt;&gt;0,$H84&gt;0,OR(AUTOEVENTO&lt;&gt;"manual",$M84&lt;&gt;1)),
IF(Import.TipoArredondamento&lt;&gt;"TransfereGOV",
ROUND(OFFSET($P84,0,AJ$13),15-13*ORÇAMENTO!$AF$7)/$H84*OFFSET(ORÇAMENTO!$X$15,ROW(AJ84)-ROW(AJ$15),0),
ROUND(ROUND(OFFSET($P84,0,AJ$13),15-13*ORÇAMENTO!$AF$7)*OFFSET(ORÇAMENTO!$W$15,ROW(AJ84)-ROW(AJ$15),0),15-13*ORÇAMENTO!$AF$11)),0)</f>
        <v>0</v>
      </c>
      <c r="AK84" s="632">
        <f ca="1">IF(AND($D84="Serviço",AK$12&lt;&gt;0,$H84&gt;0,OR(AUTOEVENTO&lt;&gt;"manual",$M84&lt;&gt;1)),
IF(Import.TipoArredondamento&lt;&gt;"TransfereGOV",
ROUND(OFFSET($P84,0,AK$13),15-13*ORÇAMENTO!$AF$7)/$H84*OFFSET(ORÇAMENTO!$X$15,ROW(AK84)-ROW(AK$15),0),
ROUND(ROUND(OFFSET($P84,0,AK$13),15-13*ORÇAMENTO!$AF$7)*OFFSET(ORÇAMENTO!$W$15,ROW(AK84)-ROW(AK$15),0),15-13*ORÇAMENTO!$AF$11)),0)</f>
        <v>0</v>
      </c>
      <c r="AM84" s="215">
        <f ca="1">IF($D84&lt;&gt;"Serviço",0,IF(AND(AUTOEVENTO="Manual",$M84=1),0,IF(OFFSET(CRONOPLE!$F$14,$M84,AM$13)="",10^12,OFFSET(CRONOPLE!$F$14,$M84,AM$13))))</f>
        <v>1000000000000</v>
      </c>
      <c r="AN84" s="215">
        <f ca="1">IF($D84&lt;&gt;"Serviço",0,IF(AND(AUTOEVENTO="Manual",$M84=1),0,IF(OFFSET(CRONOPLE!$F$14,$M84,AN$13)="",10^12,OFFSET(CRONOPLE!$F$14,$M84,AN$13))))</f>
        <v>1000000000000</v>
      </c>
      <c r="AO84" s="215">
        <f ca="1">IF($D84&lt;&gt;"Serviço",0,IF(AND(AUTOEVENTO="Manual",$M84=1),0,IF(OFFSET(CRONOPLE!$F$14,$M84,AO$13)="",10^12,OFFSET(CRONOPLE!$F$14,$M84,AO$13))))</f>
        <v>1000000000000</v>
      </c>
      <c r="AP84" s="215">
        <f ca="1">IF($D84&lt;&gt;"Serviço",0,IF(AND(AUTOEVENTO="Manual",$M84=1),0,IF(OFFSET(CRONOPLE!$F$14,$M84,AP$13)="",10^12,OFFSET(CRONOPLE!$F$14,$M84,AP$13))))</f>
        <v>1000000000000</v>
      </c>
      <c r="AQ84" s="215">
        <f ca="1">IF($D84&lt;&gt;"Serviço",0,IF(AND(AUTOEVENTO="Manual",$M84=1),0,IF(OFFSET(CRONOPLE!$F$14,$M84,AQ$13)="",10^12,OFFSET(CRONOPLE!$F$14,$M84,AQ$13))))</f>
        <v>1000000000000</v>
      </c>
      <c r="AR84" s="215">
        <f ca="1">IF($D84&lt;&gt;"Serviço",0,IF(AND(AUTOEVENTO="Manual",$M84=1),0,IF(OFFSET(CRONOPLE!$F$14,$M84,AR$13)="",10^12,OFFSET(CRONOPLE!$F$14,$M84,AR$13))))</f>
        <v>1000000000000</v>
      </c>
      <c r="AS84" s="215">
        <f ca="1">IF($D84&lt;&gt;"Serviço",0,IF(AND(AUTOEVENTO="Manual",$M84=1),0,IF(OFFSET(CRONOPLE!$F$14,$M84,AS$13)="",10^12,OFFSET(CRONOPLE!$F$14,$M84,AS$13))))</f>
        <v>1000000000000</v>
      </c>
      <c r="AT84" s="215">
        <f ca="1">IF($D84&lt;&gt;"Serviço",0,IF(AND(AUTOEVENTO="Manual",$M84=1),0,IF(OFFSET(CRONOPLE!$F$14,$M84,AT$13)="",10^12,OFFSET(CRONOPLE!$F$14,$M84,AT$13))))</f>
        <v>1000000000000</v>
      </c>
      <c r="AU84" s="215">
        <f ca="1">IF($D84&lt;&gt;"Serviço",0,IF(AND(AUTOEVENTO="Manual",$M84=1),0,IF(OFFSET(CRONOPLE!$F$14,$M84,AU$13)="",10^12,OFFSET(CRONOPLE!$F$14,$M84,AU$13))))</f>
        <v>1000000000000</v>
      </c>
      <c r="AV84" s="215">
        <f ca="1">IF($D84&lt;&gt;"Serviço",0,IF(AND(AUTOEVENTO="Manual",$M84=1),0,IF(OFFSET(CRONOPLE!$F$14,$M84,AV$13)="",10^12,OFFSET(CRONOPLE!$F$14,$M84,AV$13))))</f>
        <v>1000000000000</v>
      </c>
      <c r="AX84" s="216">
        <f ca="1">IF($D84&lt;&gt;"Serviço",0,IF(OR(AND(AUTOEVENTO="Manual",$M84=1),$M84&gt;(ROW(PLE.lastrow)-ROW(PLE.firstrow))),0,IF(OFFSET(PLE!$G$14,$M84,AX$13)="",10^12,OFFSET(PLE!$G$14,$M84,AX$13))))</f>
        <v>1000000000000</v>
      </c>
      <c r="AY84" s="216">
        <f ca="1">IF($D84&lt;&gt;"Serviço",0,IF(OR(AND(AUTOEVENTO="Manual",$M84=1),$M84&gt;(ROW(PLE.lastrow)-ROW(PLE.firstrow))),0,IF(OFFSET(PLE!$G$14,$M84,AY$13)="",10^12,OFFSET(PLE!$G$14,$M84,AY$13))))</f>
        <v>1000000000000</v>
      </c>
      <c r="AZ84" s="216">
        <f ca="1">IF($D84&lt;&gt;"Serviço",0,IF(OR(AND(AUTOEVENTO="Manual",$M84=1),$M84&gt;(ROW(PLE.lastrow)-ROW(PLE.firstrow))),0,IF(OFFSET(PLE!$G$14,$M84,AZ$13)="",10^12,OFFSET(PLE!$G$14,$M84,AZ$13))))</f>
        <v>1000000000000</v>
      </c>
      <c r="BA84" s="216">
        <f ca="1">IF($D84&lt;&gt;"Serviço",0,IF(OR(AND(AUTOEVENTO="Manual",$M84=1),$M84&gt;(ROW(PLE.lastrow)-ROW(PLE.firstrow))),0,IF(OFFSET(PLE!$G$14,$M84,BA$13)="",10^12,OFFSET(PLE!$G$14,$M84,BA$13))))</f>
        <v>1000000000000</v>
      </c>
      <c r="BB84" s="216">
        <f ca="1">IF($D84&lt;&gt;"Serviço",0,IF(OR(AND(AUTOEVENTO="Manual",$M84=1),$M84&gt;(ROW(PLE.lastrow)-ROW(PLE.firstrow))),0,IF(OFFSET(PLE!$G$14,$M84,BB$13)="",10^12,OFFSET(PLE!$G$14,$M84,BB$13))))</f>
        <v>1000000000000</v>
      </c>
      <c r="BC84" s="216">
        <f ca="1">IF($D84&lt;&gt;"Serviço",0,IF(OR(AND(AUTOEVENTO="Manual",$M84=1),$M84&gt;(ROW(PLE.lastrow)-ROW(PLE.firstrow))),0,IF(OFFSET(PLE!$G$14,$M84,BC$13)="",10^12,OFFSET(PLE!$G$14,$M84,BC$13))))</f>
        <v>1000000000000</v>
      </c>
      <c r="BD84" s="216">
        <f ca="1">IF($D84&lt;&gt;"Serviço",0,IF(OR(AND(AUTOEVENTO="Manual",$M84=1),$M84&gt;(ROW(PLE.lastrow)-ROW(PLE.firstrow))),0,IF(OFFSET(PLE!$G$14,$M84,BD$13)="",10^12,OFFSET(PLE!$G$14,$M84,BD$13))))</f>
        <v>1000000000000</v>
      </c>
      <c r="BE84" s="216">
        <f ca="1">IF($D84&lt;&gt;"Serviço",0,IF(OR(AND(AUTOEVENTO="Manual",$M84=1),$M84&gt;(ROW(PLE.lastrow)-ROW(PLE.firstrow))),0,IF(OFFSET(PLE!$G$14,$M84,BE$13)="",10^12,OFFSET(PLE!$G$14,$M84,BE$13))))</f>
        <v>1000000000000</v>
      </c>
      <c r="BF84" s="216">
        <f ca="1">IF($D84&lt;&gt;"Serviço",0,IF(OR(AND(AUTOEVENTO="Manual",$M84=1),$M84&gt;(ROW(PLE.lastrow)-ROW(PLE.firstrow))),0,IF(OFFSET(PLE!$G$14,$M84,BF$13)="",10^12,OFFSET(PLE!$G$14,$M84,BF$13))))</f>
        <v>1000000000000</v>
      </c>
      <c r="BG84" s="216">
        <f ca="1">IF($D84&lt;&gt;"Serviço",0,IF(OR(AND(AUTOEVENTO="Manual",$M84=1),$M84&gt;(ROW(PLE.lastrow)-ROW(PLE.firstrow))),0,IF(OFFSET(PLE!$G$14,$M84,BG$13)="",10^12,OFFSET(PLE!$G$14,$M84,BG$13))))</f>
        <v>1000000000000</v>
      </c>
    </row>
    <row r="85" spans="1:59" ht="38.25" x14ac:dyDescent="0.2">
      <c r="A85" s="9" t="str">
        <f ca="1">IF(AUTOEVENTO="Manual",IF(K85&lt;&gt;"",MIN(VALUE(LEFT(K85,FIND(".",K85)-1)),COUNTA(EVENTOS.Lista)),0),IF(OR($B85&gt;AUTOEVENTO,$B85="S",$B85=0),SUBSTITUTE(OFFSET($A85,-1,0),IF($D85="Serviço",".",""),""),ROW(A85)-ROW($A$15)&amp;"."))</f>
        <v>64</v>
      </c>
      <c r="B85" s="9" t="str">
        <f ca="1">OFFSET(ORÇAMENTO!C$15,ROW(B85)-ROW(B$15),0)</f>
        <v>S</v>
      </c>
      <c r="C85" s="9" t="str">
        <f ca="1">OFFSET(ORÇAMENTO!L$15,ROW(C85)-ROW(C$15),0)</f>
        <v/>
      </c>
      <c r="D85" s="145" t="str">
        <f ca="1">OFFSET(ORÇAMENTO!N$15,ROW(D85)-ROW(D$15),0)</f>
        <v>Serviço</v>
      </c>
      <c r="E85" s="205" t="str">
        <f ca="1">OFFSET(ORÇAMENTO!O$15,ROW(E85)-ROW(E$15),0)</f>
        <v>-</v>
      </c>
      <c r="F85" s="206" t="str">
        <f ca="1">OFFSET(ORÇAMENTO!R$15,ROW(F85)-ROW(F$15),0)</f>
        <v>TUBO PVC, SÉRIE R, ÁGUA PLUVIAL, DN 100 MM, FORNECIDO E INSTALADO EM CONDUTORES VERTICAIS DE ÁGUAS PLUVIAIS. AF_06/2022</v>
      </c>
      <c r="G85" s="207" t="str">
        <f ca="1">IF($D85&lt;&gt;"Serviço","",OFFSET(ORÇAMENTO!S$15,ROW(G85)-ROW(G$15),0))</f>
        <v>M</v>
      </c>
      <c r="H85" s="151">
        <f ca="1">IF($D85&lt;&gt;"Serviço",0,IF(ACOMPANHAMENTO="BM",ROUND(OFFSET(ORÇAMENTO!AJ$15,ROW(H85)-ROW(H$15),0),15-13*ORÇAMENTO!$AF$7),SUMPRODUCT(($Q$12:$AA$12&lt;&gt;"")*ROUND($Q85:$AA85,15-13*ORÇAMENTO!$AF$7))))</f>
        <v>60</v>
      </c>
      <c r="I85" s="649"/>
      <c r="K85" s="208"/>
      <c r="L85" s="209" t="s">
        <v>255</v>
      </c>
      <c r="M85" s="210">
        <f ca="1">IF($D85&lt;&gt;"Serviço","",IF(AUTOEVENTO="manual",$A85,IF(ISERROR(MATCH($A85,$A$15:OFFSET($A85,-1,0),0)),MAX($M$15:OFFSET(M85,-1,0))+1,INDEX($M$15:OFFSET(M85,-1,0),MATCH($A85,$A$15:OFFSET($A85,-1,0),0)))))</f>
        <v>14</v>
      </c>
      <c r="N85" s="211" t="str">
        <f ca="1">IF($D85&lt;&gt;"Serviço","",IF(AUTOEVENTO="Manual",IF($A85=0,"&lt;-- defina o número do agrupador",OFFSET(EVENTOS!$D$14,$A85,0)),OFFSET($F$15,$A85,0)))</f>
        <v xml:space="preserve">COBERTURA </v>
      </c>
      <c r="O85" s="212"/>
      <c r="Q85" s="212"/>
      <c r="R85" s="213"/>
      <c r="S85" s="213"/>
      <c r="T85" s="213"/>
      <c r="U85" s="213"/>
      <c r="V85" s="213"/>
      <c r="W85" s="213"/>
      <c r="X85" s="213"/>
      <c r="Y85" s="213"/>
      <c r="Z85" s="214"/>
      <c r="AB85" s="630">
        <f ca="1">IF(AND($D85="Serviço",AB$12&lt;&gt;0,$H85&gt;0,OR(AUTOEVENTO&lt;&gt;"manual",$M85&lt;&gt;1)),
IF(Import.TipoArredondamento&lt;&gt;"TransfereGOV",
ROUND(OFFSET($P85,0,AB$13),15-13*ORÇAMENTO!$AF$7)/$H85*OFFSET(ORÇAMENTO!$X$15,ROW(AB85)-ROW(AB$15),0),
ROUND(ROUND(OFFSET($P85,0,AB$13),15-13*ORÇAMENTO!$AF$7)*OFFSET(ORÇAMENTO!$W$15,ROW(AB85)-ROW(AB$15),0),15-13*ORÇAMENTO!$AF$11)),0)</f>
        <v>0</v>
      </c>
      <c r="AC85" s="631">
        <f ca="1">IF(AND($D85="Serviço",AC$12&lt;&gt;0,$H85&gt;0,OR(AUTOEVENTO&lt;&gt;"manual",$M85&lt;&gt;1)),
IF(Import.TipoArredondamento&lt;&gt;"TransfereGOV",
ROUND(OFFSET($P85,0,AC$13),15-13*ORÇAMENTO!$AF$7)/$H85*OFFSET(ORÇAMENTO!$X$15,ROW(AC85)-ROW(AC$15),0),
ROUND(ROUND(OFFSET($P85,0,AC$13),15-13*ORÇAMENTO!$AF$7)*OFFSET(ORÇAMENTO!$W$15,ROW(AC85)-ROW(AC$15),0),15-13*ORÇAMENTO!$AF$11)),0)</f>
        <v>0</v>
      </c>
      <c r="AD85" s="631">
        <f ca="1">IF(AND($D85="Serviço",AD$12&lt;&gt;0,$H85&gt;0,OR(AUTOEVENTO&lt;&gt;"manual",$M85&lt;&gt;1)),
IF(Import.TipoArredondamento&lt;&gt;"TransfereGOV",
ROUND(OFFSET($P85,0,AD$13),15-13*ORÇAMENTO!$AF$7)/$H85*OFFSET(ORÇAMENTO!$X$15,ROW(AD85)-ROW(AD$15),0),
ROUND(ROUND(OFFSET($P85,0,AD$13),15-13*ORÇAMENTO!$AF$7)*OFFSET(ORÇAMENTO!$W$15,ROW(AD85)-ROW(AD$15),0),15-13*ORÇAMENTO!$AF$11)),0)</f>
        <v>0</v>
      </c>
      <c r="AE85" s="631">
        <f ca="1">IF(AND($D85="Serviço",AE$12&lt;&gt;0,$H85&gt;0,OR(AUTOEVENTO&lt;&gt;"manual",$M85&lt;&gt;1)),
IF(Import.TipoArredondamento&lt;&gt;"TransfereGOV",
ROUND(OFFSET($P85,0,AE$13),15-13*ORÇAMENTO!$AF$7)/$H85*OFFSET(ORÇAMENTO!$X$15,ROW(AE85)-ROW(AE$15),0),
ROUND(ROUND(OFFSET($P85,0,AE$13),15-13*ORÇAMENTO!$AF$7)*OFFSET(ORÇAMENTO!$W$15,ROW(AE85)-ROW(AE$15),0),15-13*ORÇAMENTO!$AF$11)),0)</f>
        <v>0</v>
      </c>
      <c r="AF85" s="631">
        <f ca="1">IF(AND($D85="Serviço",AF$12&lt;&gt;0,$H85&gt;0,OR(AUTOEVENTO&lt;&gt;"manual",$M85&lt;&gt;1)),
IF(Import.TipoArredondamento&lt;&gt;"TransfereGOV",
ROUND(OFFSET($P85,0,AF$13),15-13*ORÇAMENTO!$AF$7)/$H85*OFFSET(ORÇAMENTO!$X$15,ROW(AF85)-ROW(AF$15),0),
ROUND(ROUND(OFFSET($P85,0,AF$13),15-13*ORÇAMENTO!$AF$7)*OFFSET(ORÇAMENTO!$W$15,ROW(AF85)-ROW(AF$15),0),15-13*ORÇAMENTO!$AF$11)),0)</f>
        <v>0</v>
      </c>
      <c r="AG85" s="631">
        <f ca="1">IF(AND($D85="Serviço",AG$12&lt;&gt;0,$H85&gt;0,OR(AUTOEVENTO&lt;&gt;"manual",$M85&lt;&gt;1)),
IF(Import.TipoArredondamento&lt;&gt;"TransfereGOV",
ROUND(OFFSET($P85,0,AG$13),15-13*ORÇAMENTO!$AF$7)/$H85*OFFSET(ORÇAMENTO!$X$15,ROW(AG85)-ROW(AG$15),0),
ROUND(ROUND(OFFSET($P85,0,AG$13),15-13*ORÇAMENTO!$AF$7)*OFFSET(ORÇAMENTO!$W$15,ROW(AG85)-ROW(AG$15),0),15-13*ORÇAMENTO!$AF$11)),0)</f>
        <v>0</v>
      </c>
      <c r="AH85" s="631">
        <f ca="1">IF(AND($D85="Serviço",AH$12&lt;&gt;0,$H85&gt;0,OR(AUTOEVENTO&lt;&gt;"manual",$M85&lt;&gt;1)),
IF(Import.TipoArredondamento&lt;&gt;"TransfereGOV",
ROUND(OFFSET($P85,0,AH$13),15-13*ORÇAMENTO!$AF$7)/$H85*OFFSET(ORÇAMENTO!$X$15,ROW(AH85)-ROW(AH$15),0),
ROUND(ROUND(OFFSET($P85,0,AH$13),15-13*ORÇAMENTO!$AF$7)*OFFSET(ORÇAMENTO!$W$15,ROW(AH85)-ROW(AH$15),0),15-13*ORÇAMENTO!$AF$11)),0)</f>
        <v>0</v>
      </c>
      <c r="AI85" s="631">
        <f ca="1">IF(AND($D85="Serviço",AI$12&lt;&gt;0,$H85&gt;0,OR(AUTOEVENTO&lt;&gt;"manual",$M85&lt;&gt;1)),
IF(Import.TipoArredondamento&lt;&gt;"TransfereGOV",
ROUND(OFFSET($P85,0,AI$13),15-13*ORÇAMENTO!$AF$7)/$H85*OFFSET(ORÇAMENTO!$X$15,ROW(AI85)-ROW(AI$15),0),
ROUND(ROUND(OFFSET($P85,0,AI$13),15-13*ORÇAMENTO!$AF$7)*OFFSET(ORÇAMENTO!$W$15,ROW(AI85)-ROW(AI$15),0),15-13*ORÇAMENTO!$AF$11)),0)</f>
        <v>0</v>
      </c>
      <c r="AJ85" s="631">
        <f ca="1">IF(AND($D85="Serviço",AJ$12&lt;&gt;0,$H85&gt;0,OR(AUTOEVENTO&lt;&gt;"manual",$M85&lt;&gt;1)),
IF(Import.TipoArredondamento&lt;&gt;"TransfereGOV",
ROUND(OFFSET($P85,0,AJ$13),15-13*ORÇAMENTO!$AF$7)/$H85*OFFSET(ORÇAMENTO!$X$15,ROW(AJ85)-ROW(AJ$15),0),
ROUND(ROUND(OFFSET($P85,0,AJ$13),15-13*ORÇAMENTO!$AF$7)*OFFSET(ORÇAMENTO!$W$15,ROW(AJ85)-ROW(AJ$15),0),15-13*ORÇAMENTO!$AF$11)),0)</f>
        <v>0</v>
      </c>
      <c r="AK85" s="632">
        <f ca="1">IF(AND($D85="Serviço",AK$12&lt;&gt;0,$H85&gt;0,OR(AUTOEVENTO&lt;&gt;"manual",$M85&lt;&gt;1)),
IF(Import.TipoArredondamento&lt;&gt;"TransfereGOV",
ROUND(OFFSET($P85,0,AK$13),15-13*ORÇAMENTO!$AF$7)/$H85*OFFSET(ORÇAMENTO!$X$15,ROW(AK85)-ROW(AK$15),0),
ROUND(ROUND(OFFSET($P85,0,AK$13),15-13*ORÇAMENTO!$AF$7)*OFFSET(ORÇAMENTO!$W$15,ROW(AK85)-ROW(AK$15),0),15-13*ORÇAMENTO!$AF$11)),0)</f>
        <v>0</v>
      </c>
      <c r="AM85" s="215">
        <f ca="1">IF($D85&lt;&gt;"Serviço",0,IF(AND(AUTOEVENTO="Manual",$M85=1),0,IF(OFFSET(CRONOPLE!$F$14,$M85,AM$13)="",10^12,OFFSET(CRONOPLE!$F$14,$M85,AM$13))))</f>
        <v>1000000000000</v>
      </c>
      <c r="AN85" s="215">
        <f ca="1">IF($D85&lt;&gt;"Serviço",0,IF(AND(AUTOEVENTO="Manual",$M85=1),0,IF(OFFSET(CRONOPLE!$F$14,$M85,AN$13)="",10^12,OFFSET(CRONOPLE!$F$14,$M85,AN$13))))</f>
        <v>1000000000000</v>
      </c>
      <c r="AO85" s="215">
        <f ca="1">IF($D85&lt;&gt;"Serviço",0,IF(AND(AUTOEVENTO="Manual",$M85=1),0,IF(OFFSET(CRONOPLE!$F$14,$M85,AO$13)="",10^12,OFFSET(CRONOPLE!$F$14,$M85,AO$13))))</f>
        <v>1000000000000</v>
      </c>
      <c r="AP85" s="215">
        <f ca="1">IF($D85&lt;&gt;"Serviço",0,IF(AND(AUTOEVENTO="Manual",$M85=1),0,IF(OFFSET(CRONOPLE!$F$14,$M85,AP$13)="",10^12,OFFSET(CRONOPLE!$F$14,$M85,AP$13))))</f>
        <v>1000000000000</v>
      </c>
      <c r="AQ85" s="215">
        <f ca="1">IF($D85&lt;&gt;"Serviço",0,IF(AND(AUTOEVENTO="Manual",$M85=1),0,IF(OFFSET(CRONOPLE!$F$14,$M85,AQ$13)="",10^12,OFFSET(CRONOPLE!$F$14,$M85,AQ$13))))</f>
        <v>1000000000000</v>
      </c>
      <c r="AR85" s="215">
        <f ca="1">IF($D85&lt;&gt;"Serviço",0,IF(AND(AUTOEVENTO="Manual",$M85=1),0,IF(OFFSET(CRONOPLE!$F$14,$M85,AR$13)="",10^12,OFFSET(CRONOPLE!$F$14,$M85,AR$13))))</f>
        <v>1000000000000</v>
      </c>
      <c r="AS85" s="215">
        <f ca="1">IF($D85&lt;&gt;"Serviço",0,IF(AND(AUTOEVENTO="Manual",$M85=1),0,IF(OFFSET(CRONOPLE!$F$14,$M85,AS$13)="",10^12,OFFSET(CRONOPLE!$F$14,$M85,AS$13))))</f>
        <v>1000000000000</v>
      </c>
      <c r="AT85" s="215">
        <f ca="1">IF($D85&lt;&gt;"Serviço",0,IF(AND(AUTOEVENTO="Manual",$M85=1),0,IF(OFFSET(CRONOPLE!$F$14,$M85,AT$13)="",10^12,OFFSET(CRONOPLE!$F$14,$M85,AT$13))))</f>
        <v>1000000000000</v>
      </c>
      <c r="AU85" s="215">
        <f ca="1">IF($D85&lt;&gt;"Serviço",0,IF(AND(AUTOEVENTO="Manual",$M85=1),0,IF(OFFSET(CRONOPLE!$F$14,$M85,AU$13)="",10^12,OFFSET(CRONOPLE!$F$14,$M85,AU$13))))</f>
        <v>1000000000000</v>
      </c>
      <c r="AV85" s="215">
        <f ca="1">IF($D85&lt;&gt;"Serviço",0,IF(AND(AUTOEVENTO="Manual",$M85=1),0,IF(OFFSET(CRONOPLE!$F$14,$M85,AV$13)="",10^12,OFFSET(CRONOPLE!$F$14,$M85,AV$13))))</f>
        <v>1000000000000</v>
      </c>
      <c r="AX85" s="216">
        <f ca="1">IF($D85&lt;&gt;"Serviço",0,IF(OR(AND(AUTOEVENTO="Manual",$M85=1),$M85&gt;(ROW(PLE.lastrow)-ROW(PLE.firstrow))),0,IF(OFFSET(PLE!$G$14,$M85,AX$13)="",10^12,OFFSET(PLE!$G$14,$M85,AX$13))))</f>
        <v>1000000000000</v>
      </c>
      <c r="AY85" s="216">
        <f ca="1">IF($D85&lt;&gt;"Serviço",0,IF(OR(AND(AUTOEVENTO="Manual",$M85=1),$M85&gt;(ROW(PLE.lastrow)-ROW(PLE.firstrow))),0,IF(OFFSET(PLE!$G$14,$M85,AY$13)="",10^12,OFFSET(PLE!$G$14,$M85,AY$13))))</f>
        <v>1000000000000</v>
      </c>
      <c r="AZ85" s="216">
        <f ca="1">IF($D85&lt;&gt;"Serviço",0,IF(OR(AND(AUTOEVENTO="Manual",$M85=1),$M85&gt;(ROW(PLE.lastrow)-ROW(PLE.firstrow))),0,IF(OFFSET(PLE!$G$14,$M85,AZ$13)="",10^12,OFFSET(PLE!$G$14,$M85,AZ$13))))</f>
        <v>1000000000000</v>
      </c>
      <c r="BA85" s="216">
        <f ca="1">IF($D85&lt;&gt;"Serviço",0,IF(OR(AND(AUTOEVENTO="Manual",$M85=1),$M85&gt;(ROW(PLE.lastrow)-ROW(PLE.firstrow))),0,IF(OFFSET(PLE!$G$14,$M85,BA$13)="",10^12,OFFSET(PLE!$G$14,$M85,BA$13))))</f>
        <v>1000000000000</v>
      </c>
      <c r="BB85" s="216">
        <f ca="1">IF($D85&lt;&gt;"Serviço",0,IF(OR(AND(AUTOEVENTO="Manual",$M85=1),$M85&gt;(ROW(PLE.lastrow)-ROW(PLE.firstrow))),0,IF(OFFSET(PLE!$G$14,$M85,BB$13)="",10^12,OFFSET(PLE!$G$14,$M85,BB$13))))</f>
        <v>1000000000000</v>
      </c>
      <c r="BC85" s="216">
        <f ca="1">IF($D85&lt;&gt;"Serviço",0,IF(OR(AND(AUTOEVENTO="Manual",$M85=1),$M85&gt;(ROW(PLE.lastrow)-ROW(PLE.firstrow))),0,IF(OFFSET(PLE!$G$14,$M85,BC$13)="",10^12,OFFSET(PLE!$G$14,$M85,BC$13))))</f>
        <v>1000000000000</v>
      </c>
      <c r="BD85" s="216">
        <f ca="1">IF($D85&lt;&gt;"Serviço",0,IF(OR(AND(AUTOEVENTO="Manual",$M85=1),$M85&gt;(ROW(PLE.lastrow)-ROW(PLE.firstrow))),0,IF(OFFSET(PLE!$G$14,$M85,BD$13)="",10^12,OFFSET(PLE!$G$14,$M85,BD$13))))</f>
        <v>1000000000000</v>
      </c>
      <c r="BE85" s="216">
        <f ca="1">IF($D85&lt;&gt;"Serviço",0,IF(OR(AND(AUTOEVENTO="Manual",$M85=1),$M85&gt;(ROW(PLE.lastrow)-ROW(PLE.firstrow))),0,IF(OFFSET(PLE!$G$14,$M85,BE$13)="",10^12,OFFSET(PLE!$G$14,$M85,BE$13))))</f>
        <v>1000000000000</v>
      </c>
      <c r="BF85" s="216">
        <f ca="1">IF($D85&lt;&gt;"Serviço",0,IF(OR(AND(AUTOEVENTO="Manual",$M85=1),$M85&gt;(ROW(PLE.lastrow)-ROW(PLE.firstrow))),0,IF(OFFSET(PLE!$G$14,$M85,BF$13)="",10^12,OFFSET(PLE!$G$14,$M85,BF$13))))</f>
        <v>1000000000000</v>
      </c>
      <c r="BG85" s="216">
        <f ca="1">IF($D85&lt;&gt;"Serviço",0,IF(OR(AND(AUTOEVENTO="Manual",$M85=1),$M85&gt;(ROW(PLE.lastrow)-ROW(PLE.firstrow))),0,IF(OFFSET(PLE!$G$14,$M85,BG$13)="",10^12,OFFSET(PLE!$G$14,$M85,BG$13))))</f>
        <v>1000000000000</v>
      </c>
    </row>
    <row r="86" spans="1:59" ht="38.25" x14ac:dyDescent="0.2">
      <c r="A86" s="9" t="str">
        <f ca="1">IF(AUTOEVENTO="Manual",IF(K86&lt;&gt;"",MIN(VALUE(LEFT(K86,FIND(".",K86)-1)),COUNTA(EVENTOS.Lista)),0),IF(OR($B86&gt;AUTOEVENTO,$B86="S",$B86=0),SUBSTITUTE(OFFSET($A86,-1,0),IF($D86="Serviço",".",""),""),ROW(A86)-ROW($A$15)&amp;"."))</f>
        <v>64</v>
      </c>
      <c r="B86" s="9" t="str">
        <f ca="1">OFFSET(ORÇAMENTO!C$15,ROW(B86)-ROW(B$15),0)</f>
        <v>S</v>
      </c>
      <c r="C86" s="9" t="str">
        <f ca="1">OFFSET(ORÇAMENTO!L$15,ROW(C86)-ROW(C$15),0)</f>
        <v/>
      </c>
      <c r="D86" s="145" t="str">
        <f ca="1">OFFSET(ORÇAMENTO!N$15,ROW(D86)-ROW(D$15),0)</f>
        <v>Serviço</v>
      </c>
      <c r="E86" s="205" t="str">
        <f ca="1">OFFSET(ORÇAMENTO!O$15,ROW(E86)-ROW(E$15),0)</f>
        <v>-</v>
      </c>
      <c r="F86" s="206" t="str">
        <f ca="1">OFFSET(ORÇAMENTO!R$15,ROW(F86)-ROW(F$15),0)</f>
        <v>CURVA 90 GRAUS, PVC, SERIE R, ÁGUA PLUVIAL, DN 100 MM, JUNTA ELÁSTICA, FORNECIDO E INSTALADO EM CONDUTORES VERTICAIS DE ÁGUAS PLUVIAIS. AF_06/2022</v>
      </c>
      <c r="G86" s="207" t="str">
        <f ca="1">IF($D86&lt;&gt;"Serviço","",OFFSET(ORÇAMENTO!S$15,ROW(G86)-ROW(G$15),0))</f>
        <v>UN</v>
      </c>
      <c r="H86" s="151">
        <f ca="1">IF($D86&lt;&gt;"Serviço",0,IF(ACOMPANHAMENTO="BM",ROUND(OFFSET(ORÇAMENTO!AJ$15,ROW(H86)-ROW(H$15),0),15-13*ORÇAMENTO!$AF$7),SUMPRODUCT(($Q$12:$AA$12&lt;&gt;"")*ROUND($Q86:$AA86,15-13*ORÇAMENTO!$AF$7))))</f>
        <v>36</v>
      </c>
      <c r="I86" s="649"/>
      <c r="K86" s="208"/>
      <c r="L86" s="209" t="s">
        <v>255</v>
      </c>
      <c r="M86" s="210">
        <f ca="1">IF($D86&lt;&gt;"Serviço","",IF(AUTOEVENTO="manual",$A86,IF(ISERROR(MATCH($A86,$A$15:OFFSET($A86,-1,0),0)),MAX($M$15:OFFSET(M86,-1,0))+1,INDEX($M$15:OFFSET(M86,-1,0),MATCH($A86,$A$15:OFFSET($A86,-1,0),0)))))</f>
        <v>14</v>
      </c>
      <c r="N86" s="211" t="str">
        <f ca="1">IF($D86&lt;&gt;"Serviço","",IF(AUTOEVENTO="Manual",IF($A86=0,"&lt;-- defina o número do agrupador",OFFSET(EVENTOS!$D$14,$A86,0)),OFFSET($F$15,$A86,0)))</f>
        <v xml:space="preserve">COBERTURA </v>
      </c>
      <c r="O86" s="212"/>
      <c r="Q86" s="212"/>
      <c r="R86" s="213"/>
      <c r="S86" s="213"/>
      <c r="T86" s="213"/>
      <c r="U86" s="213"/>
      <c r="V86" s="213"/>
      <c r="W86" s="213"/>
      <c r="X86" s="213"/>
      <c r="Y86" s="213"/>
      <c r="Z86" s="214"/>
      <c r="AB86" s="630">
        <f ca="1">IF(AND($D86="Serviço",AB$12&lt;&gt;0,$H86&gt;0,OR(AUTOEVENTO&lt;&gt;"manual",$M86&lt;&gt;1)),
IF(Import.TipoArredondamento&lt;&gt;"TransfereGOV",
ROUND(OFFSET($P86,0,AB$13),15-13*ORÇAMENTO!$AF$7)/$H86*OFFSET(ORÇAMENTO!$X$15,ROW(AB86)-ROW(AB$15),0),
ROUND(ROUND(OFFSET($P86,0,AB$13),15-13*ORÇAMENTO!$AF$7)*OFFSET(ORÇAMENTO!$W$15,ROW(AB86)-ROW(AB$15),0),15-13*ORÇAMENTO!$AF$11)),0)</f>
        <v>0</v>
      </c>
      <c r="AC86" s="631">
        <f ca="1">IF(AND($D86="Serviço",AC$12&lt;&gt;0,$H86&gt;0,OR(AUTOEVENTO&lt;&gt;"manual",$M86&lt;&gt;1)),
IF(Import.TipoArredondamento&lt;&gt;"TransfereGOV",
ROUND(OFFSET($P86,0,AC$13),15-13*ORÇAMENTO!$AF$7)/$H86*OFFSET(ORÇAMENTO!$X$15,ROW(AC86)-ROW(AC$15),0),
ROUND(ROUND(OFFSET($P86,0,AC$13),15-13*ORÇAMENTO!$AF$7)*OFFSET(ORÇAMENTO!$W$15,ROW(AC86)-ROW(AC$15),0),15-13*ORÇAMENTO!$AF$11)),0)</f>
        <v>0</v>
      </c>
      <c r="AD86" s="631">
        <f ca="1">IF(AND($D86="Serviço",AD$12&lt;&gt;0,$H86&gt;0,OR(AUTOEVENTO&lt;&gt;"manual",$M86&lt;&gt;1)),
IF(Import.TipoArredondamento&lt;&gt;"TransfereGOV",
ROUND(OFFSET($P86,0,AD$13),15-13*ORÇAMENTO!$AF$7)/$H86*OFFSET(ORÇAMENTO!$X$15,ROW(AD86)-ROW(AD$15),0),
ROUND(ROUND(OFFSET($P86,0,AD$13),15-13*ORÇAMENTO!$AF$7)*OFFSET(ORÇAMENTO!$W$15,ROW(AD86)-ROW(AD$15),0),15-13*ORÇAMENTO!$AF$11)),0)</f>
        <v>0</v>
      </c>
      <c r="AE86" s="631">
        <f ca="1">IF(AND($D86="Serviço",AE$12&lt;&gt;0,$H86&gt;0,OR(AUTOEVENTO&lt;&gt;"manual",$M86&lt;&gt;1)),
IF(Import.TipoArredondamento&lt;&gt;"TransfereGOV",
ROUND(OFFSET($P86,0,AE$13),15-13*ORÇAMENTO!$AF$7)/$H86*OFFSET(ORÇAMENTO!$X$15,ROW(AE86)-ROW(AE$15),0),
ROUND(ROUND(OFFSET($P86,0,AE$13),15-13*ORÇAMENTO!$AF$7)*OFFSET(ORÇAMENTO!$W$15,ROW(AE86)-ROW(AE$15),0),15-13*ORÇAMENTO!$AF$11)),0)</f>
        <v>0</v>
      </c>
      <c r="AF86" s="631">
        <f ca="1">IF(AND($D86="Serviço",AF$12&lt;&gt;0,$H86&gt;0,OR(AUTOEVENTO&lt;&gt;"manual",$M86&lt;&gt;1)),
IF(Import.TipoArredondamento&lt;&gt;"TransfereGOV",
ROUND(OFFSET($P86,0,AF$13),15-13*ORÇAMENTO!$AF$7)/$H86*OFFSET(ORÇAMENTO!$X$15,ROW(AF86)-ROW(AF$15),0),
ROUND(ROUND(OFFSET($P86,0,AF$13),15-13*ORÇAMENTO!$AF$7)*OFFSET(ORÇAMENTO!$W$15,ROW(AF86)-ROW(AF$15),0),15-13*ORÇAMENTO!$AF$11)),0)</f>
        <v>0</v>
      </c>
      <c r="AG86" s="631">
        <f ca="1">IF(AND($D86="Serviço",AG$12&lt;&gt;0,$H86&gt;0,OR(AUTOEVENTO&lt;&gt;"manual",$M86&lt;&gt;1)),
IF(Import.TipoArredondamento&lt;&gt;"TransfereGOV",
ROUND(OFFSET($P86,0,AG$13),15-13*ORÇAMENTO!$AF$7)/$H86*OFFSET(ORÇAMENTO!$X$15,ROW(AG86)-ROW(AG$15),0),
ROUND(ROUND(OFFSET($P86,0,AG$13),15-13*ORÇAMENTO!$AF$7)*OFFSET(ORÇAMENTO!$W$15,ROW(AG86)-ROW(AG$15),0),15-13*ORÇAMENTO!$AF$11)),0)</f>
        <v>0</v>
      </c>
      <c r="AH86" s="631">
        <f ca="1">IF(AND($D86="Serviço",AH$12&lt;&gt;0,$H86&gt;0,OR(AUTOEVENTO&lt;&gt;"manual",$M86&lt;&gt;1)),
IF(Import.TipoArredondamento&lt;&gt;"TransfereGOV",
ROUND(OFFSET($P86,0,AH$13),15-13*ORÇAMENTO!$AF$7)/$H86*OFFSET(ORÇAMENTO!$X$15,ROW(AH86)-ROW(AH$15),0),
ROUND(ROUND(OFFSET($P86,0,AH$13),15-13*ORÇAMENTO!$AF$7)*OFFSET(ORÇAMENTO!$W$15,ROW(AH86)-ROW(AH$15),0),15-13*ORÇAMENTO!$AF$11)),0)</f>
        <v>0</v>
      </c>
      <c r="AI86" s="631">
        <f ca="1">IF(AND($D86="Serviço",AI$12&lt;&gt;0,$H86&gt;0,OR(AUTOEVENTO&lt;&gt;"manual",$M86&lt;&gt;1)),
IF(Import.TipoArredondamento&lt;&gt;"TransfereGOV",
ROUND(OFFSET($P86,0,AI$13),15-13*ORÇAMENTO!$AF$7)/$H86*OFFSET(ORÇAMENTO!$X$15,ROW(AI86)-ROW(AI$15),0),
ROUND(ROUND(OFFSET($P86,0,AI$13),15-13*ORÇAMENTO!$AF$7)*OFFSET(ORÇAMENTO!$W$15,ROW(AI86)-ROW(AI$15),0),15-13*ORÇAMENTO!$AF$11)),0)</f>
        <v>0</v>
      </c>
      <c r="AJ86" s="631">
        <f ca="1">IF(AND($D86="Serviço",AJ$12&lt;&gt;0,$H86&gt;0,OR(AUTOEVENTO&lt;&gt;"manual",$M86&lt;&gt;1)),
IF(Import.TipoArredondamento&lt;&gt;"TransfereGOV",
ROUND(OFFSET($P86,0,AJ$13),15-13*ORÇAMENTO!$AF$7)/$H86*OFFSET(ORÇAMENTO!$X$15,ROW(AJ86)-ROW(AJ$15),0),
ROUND(ROUND(OFFSET($P86,0,AJ$13),15-13*ORÇAMENTO!$AF$7)*OFFSET(ORÇAMENTO!$W$15,ROW(AJ86)-ROW(AJ$15),0),15-13*ORÇAMENTO!$AF$11)),0)</f>
        <v>0</v>
      </c>
      <c r="AK86" s="632">
        <f ca="1">IF(AND($D86="Serviço",AK$12&lt;&gt;0,$H86&gt;0,OR(AUTOEVENTO&lt;&gt;"manual",$M86&lt;&gt;1)),
IF(Import.TipoArredondamento&lt;&gt;"TransfereGOV",
ROUND(OFFSET($P86,0,AK$13),15-13*ORÇAMENTO!$AF$7)/$H86*OFFSET(ORÇAMENTO!$X$15,ROW(AK86)-ROW(AK$15),0),
ROUND(ROUND(OFFSET($P86,0,AK$13),15-13*ORÇAMENTO!$AF$7)*OFFSET(ORÇAMENTO!$W$15,ROW(AK86)-ROW(AK$15),0),15-13*ORÇAMENTO!$AF$11)),0)</f>
        <v>0</v>
      </c>
      <c r="AM86" s="215">
        <f ca="1">IF($D86&lt;&gt;"Serviço",0,IF(AND(AUTOEVENTO="Manual",$M86=1),0,IF(OFFSET(CRONOPLE!$F$14,$M86,AM$13)="",10^12,OFFSET(CRONOPLE!$F$14,$M86,AM$13))))</f>
        <v>1000000000000</v>
      </c>
      <c r="AN86" s="215">
        <f ca="1">IF($D86&lt;&gt;"Serviço",0,IF(AND(AUTOEVENTO="Manual",$M86=1),0,IF(OFFSET(CRONOPLE!$F$14,$M86,AN$13)="",10^12,OFFSET(CRONOPLE!$F$14,$M86,AN$13))))</f>
        <v>1000000000000</v>
      </c>
      <c r="AO86" s="215">
        <f ca="1">IF($D86&lt;&gt;"Serviço",0,IF(AND(AUTOEVENTO="Manual",$M86=1),0,IF(OFFSET(CRONOPLE!$F$14,$M86,AO$13)="",10^12,OFFSET(CRONOPLE!$F$14,$M86,AO$13))))</f>
        <v>1000000000000</v>
      </c>
      <c r="AP86" s="215">
        <f ca="1">IF($D86&lt;&gt;"Serviço",0,IF(AND(AUTOEVENTO="Manual",$M86=1),0,IF(OFFSET(CRONOPLE!$F$14,$M86,AP$13)="",10^12,OFFSET(CRONOPLE!$F$14,$M86,AP$13))))</f>
        <v>1000000000000</v>
      </c>
      <c r="AQ86" s="215">
        <f ca="1">IF($D86&lt;&gt;"Serviço",0,IF(AND(AUTOEVENTO="Manual",$M86=1),0,IF(OFFSET(CRONOPLE!$F$14,$M86,AQ$13)="",10^12,OFFSET(CRONOPLE!$F$14,$M86,AQ$13))))</f>
        <v>1000000000000</v>
      </c>
      <c r="AR86" s="215">
        <f ca="1">IF($D86&lt;&gt;"Serviço",0,IF(AND(AUTOEVENTO="Manual",$M86=1),0,IF(OFFSET(CRONOPLE!$F$14,$M86,AR$13)="",10^12,OFFSET(CRONOPLE!$F$14,$M86,AR$13))))</f>
        <v>1000000000000</v>
      </c>
      <c r="AS86" s="215">
        <f ca="1">IF($D86&lt;&gt;"Serviço",0,IF(AND(AUTOEVENTO="Manual",$M86=1),0,IF(OFFSET(CRONOPLE!$F$14,$M86,AS$13)="",10^12,OFFSET(CRONOPLE!$F$14,$M86,AS$13))))</f>
        <v>1000000000000</v>
      </c>
      <c r="AT86" s="215">
        <f ca="1">IF($D86&lt;&gt;"Serviço",0,IF(AND(AUTOEVENTO="Manual",$M86=1),0,IF(OFFSET(CRONOPLE!$F$14,$M86,AT$13)="",10^12,OFFSET(CRONOPLE!$F$14,$M86,AT$13))))</f>
        <v>1000000000000</v>
      </c>
      <c r="AU86" s="215">
        <f ca="1">IF($D86&lt;&gt;"Serviço",0,IF(AND(AUTOEVENTO="Manual",$M86=1),0,IF(OFFSET(CRONOPLE!$F$14,$M86,AU$13)="",10^12,OFFSET(CRONOPLE!$F$14,$M86,AU$13))))</f>
        <v>1000000000000</v>
      </c>
      <c r="AV86" s="215">
        <f ca="1">IF($D86&lt;&gt;"Serviço",0,IF(AND(AUTOEVENTO="Manual",$M86=1),0,IF(OFFSET(CRONOPLE!$F$14,$M86,AV$13)="",10^12,OFFSET(CRONOPLE!$F$14,$M86,AV$13))))</f>
        <v>1000000000000</v>
      </c>
      <c r="AX86" s="216">
        <f ca="1">IF($D86&lt;&gt;"Serviço",0,IF(OR(AND(AUTOEVENTO="Manual",$M86=1),$M86&gt;(ROW(PLE.lastrow)-ROW(PLE.firstrow))),0,IF(OFFSET(PLE!$G$14,$M86,AX$13)="",10^12,OFFSET(PLE!$G$14,$M86,AX$13))))</f>
        <v>1000000000000</v>
      </c>
      <c r="AY86" s="216">
        <f ca="1">IF($D86&lt;&gt;"Serviço",0,IF(OR(AND(AUTOEVENTO="Manual",$M86=1),$M86&gt;(ROW(PLE.lastrow)-ROW(PLE.firstrow))),0,IF(OFFSET(PLE!$G$14,$M86,AY$13)="",10^12,OFFSET(PLE!$G$14,$M86,AY$13))))</f>
        <v>1000000000000</v>
      </c>
      <c r="AZ86" s="216">
        <f ca="1">IF($D86&lt;&gt;"Serviço",0,IF(OR(AND(AUTOEVENTO="Manual",$M86=1),$M86&gt;(ROW(PLE.lastrow)-ROW(PLE.firstrow))),0,IF(OFFSET(PLE!$G$14,$M86,AZ$13)="",10^12,OFFSET(PLE!$G$14,$M86,AZ$13))))</f>
        <v>1000000000000</v>
      </c>
      <c r="BA86" s="216">
        <f ca="1">IF($D86&lt;&gt;"Serviço",0,IF(OR(AND(AUTOEVENTO="Manual",$M86=1),$M86&gt;(ROW(PLE.lastrow)-ROW(PLE.firstrow))),0,IF(OFFSET(PLE!$G$14,$M86,BA$13)="",10^12,OFFSET(PLE!$G$14,$M86,BA$13))))</f>
        <v>1000000000000</v>
      </c>
      <c r="BB86" s="216">
        <f ca="1">IF($D86&lt;&gt;"Serviço",0,IF(OR(AND(AUTOEVENTO="Manual",$M86=1),$M86&gt;(ROW(PLE.lastrow)-ROW(PLE.firstrow))),0,IF(OFFSET(PLE!$G$14,$M86,BB$13)="",10^12,OFFSET(PLE!$G$14,$M86,BB$13))))</f>
        <v>1000000000000</v>
      </c>
      <c r="BC86" s="216">
        <f ca="1">IF($D86&lt;&gt;"Serviço",0,IF(OR(AND(AUTOEVENTO="Manual",$M86=1),$M86&gt;(ROW(PLE.lastrow)-ROW(PLE.firstrow))),0,IF(OFFSET(PLE!$G$14,$M86,BC$13)="",10^12,OFFSET(PLE!$G$14,$M86,BC$13))))</f>
        <v>1000000000000</v>
      </c>
      <c r="BD86" s="216">
        <f ca="1">IF($D86&lt;&gt;"Serviço",0,IF(OR(AND(AUTOEVENTO="Manual",$M86=1),$M86&gt;(ROW(PLE.lastrow)-ROW(PLE.firstrow))),0,IF(OFFSET(PLE!$G$14,$M86,BD$13)="",10^12,OFFSET(PLE!$G$14,$M86,BD$13))))</f>
        <v>1000000000000</v>
      </c>
      <c r="BE86" s="216">
        <f ca="1">IF($D86&lt;&gt;"Serviço",0,IF(OR(AND(AUTOEVENTO="Manual",$M86=1),$M86&gt;(ROW(PLE.lastrow)-ROW(PLE.firstrow))),0,IF(OFFSET(PLE!$G$14,$M86,BE$13)="",10^12,OFFSET(PLE!$G$14,$M86,BE$13))))</f>
        <v>1000000000000</v>
      </c>
      <c r="BF86" s="216">
        <f ca="1">IF($D86&lt;&gt;"Serviço",0,IF(OR(AND(AUTOEVENTO="Manual",$M86=1),$M86&gt;(ROW(PLE.lastrow)-ROW(PLE.firstrow))),0,IF(OFFSET(PLE!$G$14,$M86,BF$13)="",10^12,OFFSET(PLE!$G$14,$M86,BF$13))))</f>
        <v>1000000000000</v>
      </c>
      <c r="BG86" s="216">
        <f ca="1">IF($D86&lt;&gt;"Serviço",0,IF(OR(AND(AUTOEVENTO="Manual",$M86=1),$M86&gt;(ROW(PLE.lastrow)-ROW(PLE.firstrow))),0,IF(OFFSET(PLE!$G$14,$M86,BG$13)="",10^12,OFFSET(PLE!$G$14,$M86,BG$13))))</f>
        <v>1000000000000</v>
      </c>
    </row>
    <row r="87" spans="1:59" ht="12.75" x14ac:dyDescent="0.2">
      <c r="A87" s="9" t="str">
        <f t="shared" ca="1" si="9"/>
        <v>72.</v>
      </c>
      <c r="B87" s="9">
        <f ca="1">OFFSET(ORÇAMENTO!C$15,ROW(B87)-ROW(B$15),0)</f>
        <v>2</v>
      </c>
      <c r="C87" s="9" t="str">
        <f ca="1">OFFSET(ORÇAMENTO!L$15,ROW(C87)-ROW(C$15),0)</f>
        <v>F</v>
      </c>
      <c r="D87" s="145" t="str">
        <f ca="1">OFFSET(ORÇAMENTO!N$15,ROW(D87)-ROW(D$15),0)</f>
        <v>Nível 2</v>
      </c>
      <c r="E87" s="205" t="str">
        <f ca="1">OFFSET(ORÇAMENTO!O$15,ROW(E87)-ROW(E$15),0)</f>
        <v>1.14.</v>
      </c>
      <c r="F87" s="206" t="str">
        <f ca="1">OFFSET(ORÇAMENTO!R$15,ROW(F87)-ROW(F$15),0)</f>
        <v>SPDA</v>
      </c>
      <c r="G87" s="207" t="str">
        <f ca="1">IF($D87&lt;&gt;"Serviço","",OFFSET(ORÇAMENTO!S$15,ROW(G87)-ROW(G$15),0))</f>
        <v/>
      </c>
      <c r="H87" s="151">
        <f ca="1">IF($D87&lt;&gt;"Serviço",0,IF(ACOMPANHAMENTO="BM",ROUND(OFFSET(ORÇAMENTO!AJ$15,ROW(H87)-ROW(H$15),0),15-13*ORÇAMENTO!$AF$7),SUMPRODUCT(($Q$12:$AA$12&lt;&gt;"")*ROUND($Q87:$AA87,15-13*ORÇAMENTO!$AF$7))))</f>
        <v>0</v>
      </c>
      <c r="I87" s="649"/>
      <c r="K87" s="208"/>
      <c r="L87" s="209" t="s">
        <v>255</v>
      </c>
      <c r="M87" s="210" t="str">
        <f ca="1">IF($D87&lt;&gt;"Serviço","",IF(AUTOEVENTO="manual",$A87,IF(ISERROR(MATCH($A87,$A$15:OFFSET($A87,-1,0),0)),MAX($M$15:OFFSET(M87,-1,0))+1,INDEX($M$15:OFFSET(M87,-1,0),MATCH($A87,$A$15:OFFSET($A87,-1,0),0)))))</f>
        <v/>
      </c>
      <c r="N87" s="211" t="str">
        <f ca="1">IF($D87&lt;&gt;"Serviço","",IF(AUTOEVENTO="Manual",IF($A87=0,"&lt;-- defina o número do agrupador",OFFSET(EVENTOS!$D$14,$A87,0)),OFFSET($F$15,$A87,0)))</f>
        <v/>
      </c>
      <c r="O87" s="212"/>
      <c r="Q87" s="212"/>
      <c r="R87" s="213"/>
      <c r="S87" s="213"/>
      <c r="T87" s="213"/>
      <c r="U87" s="213"/>
      <c r="V87" s="213"/>
      <c r="W87" s="213"/>
      <c r="X87" s="213"/>
      <c r="Y87" s="213"/>
      <c r="Z87" s="214"/>
      <c r="AB87" s="630">
        <f ca="1">IF(AND($D87="Serviço",AB$12&lt;&gt;0,$H87&gt;0,OR(AUTOEVENTO&lt;&gt;"manual",$M87&lt;&gt;1)),
IF(Import.TipoArredondamento&lt;&gt;"TransfereGOV",
ROUND(OFFSET($P87,0,AB$13),15-13*ORÇAMENTO!$AF$7)/$H87*OFFSET(ORÇAMENTO!$X$15,ROW(AB87)-ROW(AB$15),0),
ROUND(ROUND(OFFSET($P87,0,AB$13),15-13*ORÇAMENTO!$AF$7)*OFFSET(ORÇAMENTO!$W$15,ROW(AB87)-ROW(AB$15),0),15-13*ORÇAMENTO!$AF$11)),0)</f>
        <v>0</v>
      </c>
      <c r="AC87" s="631">
        <f ca="1">IF(AND($D87="Serviço",AC$12&lt;&gt;0,$H87&gt;0,OR(AUTOEVENTO&lt;&gt;"manual",$M87&lt;&gt;1)),
IF(Import.TipoArredondamento&lt;&gt;"TransfereGOV",
ROUND(OFFSET($P87,0,AC$13),15-13*ORÇAMENTO!$AF$7)/$H87*OFFSET(ORÇAMENTO!$X$15,ROW(AC87)-ROW(AC$15),0),
ROUND(ROUND(OFFSET($P87,0,AC$13),15-13*ORÇAMENTO!$AF$7)*OFFSET(ORÇAMENTO!$W$15,ROW(AC87)-ROW(AC$15),0),15-13*ORÇAMENTO!$AF$11)),0)</f>
        <v>0</v>
      </c>
      <c r="AD87" s="631">
        <f ca="1">IF(AND($D87="Serviço",AD$12&lt;&gt;0,$H87&gt;0,OR(AUTOEVENTO&lt;&gt;"manual",$M87&lt;&gt;1)),
IF(Import.TipoArredondamento&lt;&gt;"TransfereGOV",
ROUND(OFFSET($P87,0,AD$13),15-13*ORÇAMENTO!$AF$7)/$H87*OFFSET(ORÇAMENTO!$X$15,ROW(AD87)-ROW(AD$15),0),
ROUND(ROUND(OFFSET($P87,0,AD$13),15-13*ORÇAMENTO!$AF$7)*OFFSET(ORÇAMENTO!$W$15,ROW(AD87)-ROW(AD$15),0),15-13*ORÇAMENTO!$AF$11)),0)</f>
        <v>0</v>
      </c>
      <c r="AE87" s="631">
        <f ca="1">IF(AND($D87="Serviço",AE$12&lt;&gt;0,$H87&gt;0,OR(AUTOEVENTO&lt;&gt;"manual",$M87&lt;&gt;1)),
IF(Import.TipoArredondamento&lt;&gt;"TransfereGOV",
ROUND(OFFSET($P87,0,AE$13),15-13*ORÇAMENTO!$AF$7)/$H87*OFFSET(ORÇAMENTO!$X$15,ROW(AE87)-ROW(AE$15),0),
ROUND(ROUND(OFFSET($P87,0,AE$13),15-13*ORÇAMENTO!$AF$7)*OFFSET(ORÇAMENTO!$W$15,ROW(AE87)-ROW(AE$15),0),15-13*ORÇAMENTO!$AF$11)),0)</f>
        <v>0</v>
      </c>
      <c r="AF87" s="631">
        <f ca="1">IF(AND($D87="Serviço",AF$12&lt;&gt;0,$H87&gt;0,OR(AUTOEVENTO&lt;&gt;"manual",$M87&lt;&gt;1)),
IF(Import.TipoArredondamento&lt;&gt;"TransfereGOV",
ROUND(OFFSET($P87,0,AF$13),15-13*ORÇAMENTO!$AF$7)/$H87*OFFSET(ORÇAMENTO!$X$15,ROW(AF87)-ROW(AF$15),0),
ROUND(ROUND(OFFSET($P87,0,AF$13),15-13*ORÇAMENTO!$AF$7)*OFFSET(ORÇAMENTO!$W$15,ROW(AF87)-ROW(AF$15),0),15-13*ORÇAMENTO!$AF$11)),0)</f>
        <v>0</v>
      </c>
      <c r="AG87" s="631">
        <f ca="1">IF(AND($D87="Serviço",AG$12&lt;&gt;0,$H87&gt;0,OR(AUTOEVENTO&lt;&gt;"manual",$M87&lt;&gt;1)),
IF(Import.TipoArredondamento&lt;&gt;"TransfereGOV",
ROUND(OFFSET($P87,0,AG$13),15-13*ORÇAMENTO!$AF$7)/$H87*OFFSET(ORÇAMENTO!$X$15,ROW(AG87)-ROW(AG$15),0),
ROUND(ROUND(OFFSET($P87,0,AG$13),15-13*ORÇAMENTO!$AF$7)*OFFSET(ORÇAMENTO!$W$15,ROW(AG87)-ROW(AG$15),0),15-13*ORÇAMENTO!$AF$11)),0)</f>
        <v>0</v>
      </c>
      <c r="AH87" s="631">
        <f ca="1">IF(AND($D87="Serviço",AH$12&lt;&gt;0,$H87&gt;0,OR(AUTOEVENTO&lt;&gt;"manual",$M87&lt;&gt;1)),
IF(Import.TipoArredondamento&lt;&gt;"TransfereGOV",
ROUND(OFFSET($P87,0,AH$13),15-13*ORÇAMENTO!$AF$7)/$H87*OFFSET(ORÇAMENTO!$X$15,ROW(AH87)-ROW(AH$15),0),
ROUND(ROUND(OFFSET($P87,0,AH$13),15-13*ORÇAMENTO!$AF$7)*OFFSET(ORÇAMENTO!$W$15,ROW(AH87)-ROW(AH$15),0),15-13*ORÇAMENTO!$AF$11)),0)</f>
        <v>0</v>
      </c>
      <c r="AI87" s="631">
        <f ca="1">IF(AND($D87="Serviço",AI$12&lt;&gt;0,$H87&gt;0,OR(AUTOEVENTO&lt;&gt;"manual",$M87&lt;&gt;1)),
IF(Import.TipoArredondamento&lt;&gt;"TransfereGOV",
ROUND(OFFSET($P87,0,AI$13),15-13*ORÇAMENTO!$AF$7)/$H87*OFFSET(ORÇAMENTO!$X$15,ROW(AI87)-ROW(AI$15),0),
ROUND(ROUND(OFFSET($P87,0,AI$13),15-13*ORÇAMENTO!$AF$7)*OFFSET(ORÇAMENTO!$W$15,ROW(AI87)-ROW(AI$15),0),15-13*ORÇAMENTO!$AF$11)),0)</f>
        <v>0</v>
      </c>
      <c r="AJ87" s="631">
        <f ca="1">IF(AND($D87="Serviço",AJ$12&lt;&gt;0,$H87&gt;0,OR(AUTOEVENTO&lt;&gt;"manual",$M87&lt;&gt;1)),
IF(Import.TipoArredondamento&lt;&gt;"TransfereGOV",
ROUND(OFFSET($P87,0,AJ$13),15-13*ORÇAMENTO!$AF$7)/$H87*OFFSET(ORÇAMENTO!$X$15,ROW(AJ87)-ROW(AJ$15),0),
ROUND(ROUND(OFFSET($P87,0,AJ$13),15-13*ORÇAMENTO!$AF$7)*OFFSET(ORÇAMENTO!$W$15,ROW(AJ87)-ROW(AJ$15),0),15-13*ORÇAMENTO!$AF$11)),0)</f>
        <v>0</v>
      </c>
      <c r="AK87" s="632">
        <f ca="1">IF(AND($D87="Serviço",AK$12&lt;&gt;0,$H87&gt;0,OR(AUTOEVENTO&lt;&gt;"manual",$M87&lt;&gt;1)),
IF(Import.TipoArredondamento&lt;&gt;"TransfereGOV",
ROUND(OFFSET($P87,0,AK$13),15-13*ORÇAMENTO!$AF$7)/$H87*OFFSET(ORÇAMENTO!$X$15,ROW(AK87)-ROW(AK$15),0),
ROUND(ROUND(OFFSET($P87,0,AK$13),15-13*ORÇAMENTO!$AF$7)*OFFSET(ORÇAMENTO!$W$15,ROW(AK87)-ROW(AK$15),0),15-13*ORÇAMENTO!$AF$11)),0)</f>
        <v>0</v>
      </c>
      <c r="AM87" s="215">
        <f ca="1">IF($D87&lt;&gt;"Serviço",0,IF(AND(AUTOEVENTO="Manual",$M87=1),0,IF(OFFSET(CRONOPLE!$F$14,$M87,AM$13)="",10^12,OFFSET(CRONOPLE!$F$14,$M87,AM$13))))</f>
        <v>0</v>
      </c>
      <c r="AN87" s="215">
        <f ca="1">IF($D87&lt;&gt;"Serviço",0,IF(AND(AUTOEVENTO="Manual",$M87=1),0,IF(OFFSET(CRONOPLE!$F$14,$M87,AN$13)="",10^12,OFFSET(CRONOPLE!$F$14,$M87,AN$13))))</f>
        <v>0</v>
      </c>
      <c r="AO87" s="215">
        <f ca="1">IF($D87&lt;&gt;"Serviço",0,IF(AND(AUTOEVENTO="Manual",$M87=1),0,IF(OFFSET(CRONOPLE!$F$14,$M87,AO$13)="",10^12,OFFSET(CRONOPLE!$F$14,$M87,AO$13))))</f>
        <v>0</v>
      </c>
      <c r="AP87" s="215">
        <f ca="1">IF($D87&lt;&gt;"Serviço",0,IF(AND(AUTOEVENTO="Manual",$M87=1),0,IF(OFFSET(CRONOPLE!$F$14,$M87,AP$13)="",10^12,OFFSET(CRONOPLE!$F$14,$M87,AP$13))))</f>
        <v>0</v>
      </c>
      <c r="AQ87" s="215">
        <f ca="1">IF($D87&lt;&gt;"Serviço",0,IF(AND(AUTOEVENTO="Manual",$M87=1),0,IF(OFFSET(CRONOPLE!$F$14,$M87,AQ$13)="",10^12,OFFSET(CRONOPLE!$F$14,$M87,AQ$13))))</f>
        <v>0</v>
      </c>
      <c r="AR87" s="215">
        <f ca="1">IF($D87&lt;&gt;"Serviço",0,IF(AND(AUTOEVENTO="Manual",$M87=1),0,IF(OFFSET(CRONOPLE!$F$14,$M87,AR$13)="",10^12,OFFSET(CRONOPLE!$F$14,$M87,AR$13))))</f>
        <v>0</v>
      </c>
      <c r="AS87" s="215">
        <f ca="1">IF($D87&lt;&gt;"Serviço",0,IF(AND(AUTOEVENTO="Manual",$M87=1),0,IF(OFFSET(CRONOPLE!$F$14,$M87,AS$13)="",10^12,OFFSET(CRONOPLE!$F$14,$M87,AS$13))))</f>
        <v>0</v>
      </c>
      <c r="AT87" s="215">
        <f ca="1">IF($D87&lt;&gt;"Serviço",0,IF(AND(AUTOEVENTO="Manual",$M87=1),0,IF(OFFSET(CRONOPLE!$F$14,$M87,AT$13)="",10^12,OFFSET(CRONOPLE!$F$14,$M87,AT$13))))</f>
        <v>0</v>
      </c>
      <c r="AU87" s="215">
        <f ca="1">IF($D87&lt;&gt;"Serviço",0,IF(AND(AUTOEVENTO="Manual",$M87=1),0,IF(OFFSET(CRONOPLE!$F$14,$M87,AU$13)="",10^12,OFFSET(CRONOPLE!$F$14,$M87,AU$13))))</f>
        <v>0</v>
      </c>
      <c r="AV87" s="215">
        <f ca="1">IF($D87&lt;&gt;"Serviço",0,IF(AND(AUTOEVENTO="Manual",$M87=1),0,IF(OFFSET(CRONOPLE!$F$14,$M87,AV$13)="",10^12,OFFSET(CRONOPLE!$F$14,$M87,AV$13))))</f>
        <v>0</v>
      </c>
      <c r="AX87" s="216">
        <f ca="1">IF($D87&lt;&gt;"Serviço",0,IF(OR(AND(AUTOEVENTO="Manual",$M87=1),$M87&gt;(ROW(PLE.lastrow)-ROW(PLE.firstrow))),0,IF(OFFSET(PLE!$G$14,$M87,AX$13)="",10^12,OFFSET(PLE!$G$14,$M87,AX$13))))</f>
        <v>0</v>
      </c>
      <c r="AY87" s="216">
        <f ca="1">IF($D87&lt;&gt;"Serviço",0,IF(OR(AND(AUTOEVENTO="Manual",$M87=1),$M87&gt;(ROW(PLE.lastrow)-ROW(PLE.firstrow))),0,IF(OFFSET(PLE!$G$14,$M87,AY$13)="",10^12,OFFSET(PLE!$G$14,$M87,AY$13))))</f>
        <v>0</v>
      </c>
      <c r="AZ87" s="216">
        <f ca="1">IF($D87&lt;&gt;"Serviço",0,IF(OR(AND(AUTOEVENTO="Manual",$M87=1),$M87&gt;(ROW(PLE.lastrow)-ROW(PLE.firstrow))),0,IF(OFFSET(PLE!$G$14,$M87,AZ$13)="",10^12,OFFSET(PLE!$G$14,$M87,AZ$13))))</f>
        <v>0</v>
      </c>
      <c r="BA87" s="216">
        <f ca="1">IF($D87&lt;&gt;"Serviço",0,IF(OR(AND(AUTOEVENTO="Manual",$M87=1),$M87&gt;(ROW(PLE.lastrow)-ROW(PLE.firstrow))),0,IF(OFFSET(PLE!$G$14,$M87,BA$13)="",10^12,OFFSET(PLE!$G$14,$M87,BA$13))))</f>
        <v>0</v>
      </c>
      <c r="BB87" s="216">
        <f ca="1">IF($D87&lt;&gt;"Serviço",0,IF(OR(AND(AUTOEVENTO="Manual",$M87=1),$M87&gt;(ROW(PLE.lastrow)-ROW(PLE.firstrow))),0,IF(OFFSET(PLE!$G$14,$M87,BB$13)="",10^12,OFFSET(PLE!$G$14,$M87,BB$13))))</f>
        <v>0</v>
      </c>
      <c r="BC87" s="216">
        <f ca="1">IF($D87&lt;&gt;"Serviço",0,IF(OR(AND(AUTOEVENTO="Manual",$M87=1),$M87&gt;(ROW(PLE.lastrow)-ROW(PLE.firstrow))),0,IF(OFFSET(PLE!$G$14,$M87,BC$13)="",10^12,OFFSET(PLE!$G$14,$M87,BC$13))))</f>
        <v>0</v>
      </c>
      <c r="BD87" s="216">
        <f ca="1">IF($D87&lt;&gt;"Serviço",0,IF(OR(AND(AUTOEVENTO="Manual",$M87=1),$M87&gt;(ROW(PLE.lastrow)-ROW(PLE.firstrow))),0,IF(OFFSET(PLE!$G$14,$M87,BD$13)="",10^12,OFFSET(PLE!$G$14,$M87,BD$13))))</f>
        <v>0</v>
      </c>
      <c r="BE87" s="216">
        <f ca="1">IF($D87&lt;&gt;"Serviço",0,IF(OR(AND(AUTOEVENTO="Manual",$M87=1),$M87&gt;(ROW(PLE.lastrow)-ROW(PLE.firstrow))),0,IF(OFFSET(PLE!$G$14,$M87,BE$13)="",10^12,OFFSET(PLE!$G$14,$M87,BE$13))))</f>
        <v>0</v>
      </c>
      <c r="BF87" s="216">
        <f ca="1">IF($D87&lt;&gt;"Serviço",0,IF(OR(AND(AUTOEVENTO="Manual",$M87=1),$M87&gt;(ROW(PLE.lastrow)-ROW(PLE.firstrow))),0,IF(OFFSET(PLE!$G$14,$M87,BF$13)="",10^12,OFFSET(PLE!$G$14,$M87,BF$13))))</f>
        <v>0</v>
      </c>
      <c r="BG87" s="216">
        <f ca="1">IF($D87&lt;&gt;"Serviço",0,IF(OR(AND(AUTOEVENTO="Manual",$M87=1),$M87&gt;(ROW(PLE.lastrow)-ROW(PLE.firstrow))),0,IF(OFFSET(PLE!$G$14,$M87,BG$13)="",10^12,OFFSET(PLE!$G$14,$M87,BG$13))))</f>
        <v>0</v>
      </c>
    </row>
    <row r="88" spans="1:59" ht="12.75" x14ac:dyDescent="0.2">
      <c r="A88" s="9" t="str">
        <f t="shared" ca="1" si="9"/>
        <v>72</v>
      </c>
      <c r="B88" s="9" t="str">
        <f ca="1">OFFSET(ORÇAMENTO!C$15,ROW(B88)-ROW(B$15),0)</f>
        <v>S</v>
      </c>
      <c r="C88" s="9" t="str">
        <f ca="1">OFFSET(ORÇAMENTO!L$15,ROW(C88)-ROW(C$15),0)</f>
        <v/>
      </c>
      <c r="D88" s="145" t="str">
        <f ca="1">OFFSET(ORÇAMENTO!N$15,ROW(D88)-ROW(D$15),0)</f>
        <v>Serviço</v>
      </c>
      <c r="E88" s="205" t="str">
        <f ca="1">OFFSET(ORÇAMENTO!O$15,ROW(E88)-ROW(E$15),0)</f>
        <v>-</v>
      </c>
      <c r="F88" s="206" t="str">
        <f ca="1">OFFSET(ORÇAMENTO!R$15,ROW(F88)-ROW(F$15),0)</f>
        <v>Caixa Equipotencialização 40 x 40 x 10 cm c/ Barramento</v>
      </c>
      <c r="G88" s="207" t="str">
        <f ca="1">IF($D88&lt;&gt;"Serviço","",OFFSET(ORÇAMENTO!S$15,ROW(G88)-ROW(G$15),0))</f>
        <v xml:space="preserve">UNIDADE </v>
      </c>
      <c r="H88" s="151">
        <f ca="1">IF($D88&lt;&gt;"Serviço",0,IF(ACOMPANHAMENTO="BM",ROUND(OFFSET(ORÇAMENTO!AJ$15,ROW(H88)-ROW(H$15),0),15-13*ORÇAMENTO!$AF$7),SUMPRODUCT(($Q$12:$AA$12&lt;&gt;"")*ROUND($Q88:$AA88,15-13*ORÇAMENTO!$AF$7))))</f>
        <v>1</v>
      </c>
      <c r="I88" s="649"/>
      <c r="K88" s="208"/>
      <c r="L88" s="209" t="s">
        <v>255</v>
      </c>
      <c r="M88" s="210">
        <f ca="1">IF($D88&lt;&gt;"Serviço","",IF(AUTOEVENTO="manual",$A88,IF(ISERROR(MATCH($A88,$A$15:OFFSET($A88,-1,0),0)),MAX($M$15:OFFSET(M88,-1,0))+1,INDEX($M$15:OFFSET(M88,-1,0),MATCH($A88,$A$15:OFFSET($A88,-1,0),0)))))</f>
        <v>15</v>
      </c>
      <c r="N88" s="211" t="str">
        <f ca="1">IF($D88&lt;&gt;"Serviço","",IF(AUTOEVENTO="Manual",IF($A88=0,"&lt;-- defina o número do agrupador",OFFSET(EVENTOS!$D$14,$A88,0)),OFFSET($F$15,$A88,0)))</f>
        <v>SPDA</v>
      </c>
      <c r="O88" s="212"/>
      <c r="Q88" s="212"/>
      <c r="R88" s="213"/>
      <c r="S88" s="213"/>
      <c r="T88" s="213"/>
      <c r="U88" s="213"/>
      <c r="V88" s="213"/>
      <c r="W88" s="213"/>
      <c r="X88" s="213"/>
      <c r="Y88" s="213"/>
      <c r="Z88" s="214"/>
      <c r="AB88" s="630">
        <f ca="1">IF(AND($D88="Serviço",AB$12&lt;&gt;0,$H88&gt;0,OR(AUTOEVENTO&lt;&gt;"manual",$M88&lt;&gt;1)),
IF(Import.TipoArredondamento&lt;&gt;"TransfereGOV",
ROUND(OFFSET($P88,0,AB$13),15-13*ORÇAMENTO!$AF$7)/$H88*OFFSET(ORÇAMENTO!$X$15,ROW(AB88)-ROW(AB$15),0),
ROUND(ROUND(OFFSET($P88,0,AB$13),15-13*ORÇAMENTO!$AF$7)*OFFSET(ORÇAMENTO!$W$15,ROW(AB88)-ROW(AB$15),0),15-13*ORÇAMENTO!$AF$11)),0)</f>
        <v>0</v>
      </c>
      <c r="AC88" s="631">
        <f ca="1">IF(AND($D88="Serviço",AC$12&lt;&gt;0,$H88&gt;0,OR(AUTOEVENTO&lt;&gt;"manual",$M88&lt;&gt;1)),
IF(Import.TipoArredondamento&lt;&gt;"TransfereGOV",
ROUND(OFFSET($P88,0,AC$13),15-13*ORÇAMENTO!$AF$7)/$H88*OFFSET(ORÇAMENTO!$X$15,ROW(AC88)-ROW(AC$15),0),
ROUND(ROUND(OFFSET($P88,0,AC$13),15-13*ORÇAMENTO!$AF$7)*OFFSET(ORÇAMENTO!$W$15,ROW(AC88)-ROW(AC$15),0),15-13*ORÇAMENTO!$AF$11)),0)</f>
        <v>0</v>
      </c>
      <c r="AD88" s="631">
        <f ca="1">IF(AND($D88="Serviço",AD$12&lt;&gt;0,$H88&gt;0,OR(AUTOEVENTO&lt;&gt;"manual",$M88&lt;&gt;1)),
IF(Import.TipoArredondamento&lt;&gt;"TransfereGOV",
ROUND(OFFSET($P88,0,AD$13),15-13*ORÇAMENTO!$AF$7)/$H88*OFFSET(ORÇAMENTO!$X$15,ROW(AD88)-ROW(AD$15),0),
ROUND(ROUND(OFFSET($P88,0,AD$13),15-13*ORÇAMENTO!$AF$7)*OFFSET(ORÇAMENTO!$W$15,ROW(AD88)-ROW(AD$15),0),15-13*ORÇAMENTO!$AF$11)),0)</f>
        <v>0</v>
      </c>
      <c r="AE88" s="631">
        <f ca="1">IF(AND($D88="Serviço",AE$12&lt;&gt;0,$H88&gt;0,OR(AUTOEVENTO&lt;&gt;"manual",$M88&lt;&gt;1)),
IF(Import.TipoArredondamento&lt;&gt;"TransfereGOV",
ROUND(OFFSET($P88,0,AE$13),15-13*ORÇAMENTO!$AF$7)/$H88*OFFSET(ORÇAMENTO!$X$15,ROW(AE88)-ROW(AE$15),0),
ROUND(ROUND(OFFSET($P88,0,AE$13),15-13*ORÇAMENTO!$AF$7)*OFFSET(ORÇAMENTO!$W$15,ROW(AE88)-ROW(AE$15),0),15-13*ORÇAMENTO!$AF$11)),0)</f>
        <v>0</v>
      </c>
      <c r="AF88" s="631">
        <f ca="1">IF(AND($D88="Serviço",AF$12&lt;&gt;0,$H88&gt;0,OR(AUTOEVENTO&lt;&gt;"manual",$M88&lt;&gt;1)),
IF(Import.TipoArredondamento&lt;&gt;"TransfereGOV",
ROUND(OFFSET($P88,0,AF$13),15-13*ORÇAMENTO!$AF$7)/$H88*OFFSET(ORÇAMENTO!$X$15,ROW(AF88)-ROW(AF$15),0),
ROUND(ROUND(OFFSET($P88,0,AF$13),15-13*ORÇAMENTO!$AF$7)*OFFSET(ORÇAMENTO!$W$15,ROW(AF88)-ROW(AF$15),0),15-13*ORÇAMENTO!$AF$11)),0)</f>
        <v>0</v>
      </c>
      <c r="AG88" s="631">
        <f ca="1">IF(AND($D88="Serviço",AG$12&lt;&gt;0,$H88&gt;0,OR(AUTOEVENTO&lt;&gt;"manual",$M88&lt;&gt;1)),
IF(Import.TipoArredondamento&lt;&gt;"TransfereGOV",
ROUND(OFFSET($P88,0,AG$13),15-13*ORÇAMENTO!$AF$7)/$H88*OFFSET(ORÇAMENTO!$X$15,ROW(AG88)-ROW(AG$15),0),
ROUND(ROUND(OFFSET($P88,0,AG$13),15-13*ORÇAMENTO!$AF$7)*OFFSET(ORÇAMENTO!$W$15,ROW(AG88)-ROW(AG$15),0),15-13*ORÇAMENTO!$AF$11)),0)</f>
        <v>0</v>
      </c>
      <c r="AH88" s="631">
        <f ca="1">IF(AND($D88="Serviço",AH$12&lt;&gt;0,$H88&gt;0,OR(AUTOEVENTO&lt;&gt;"manual",$M88&lt;&gt;1)),
IF(Import.TipoArredondamento&lt;&gt;"TransfereGOV",
ROUND(OFFSET($P88,0,AH$13),15-13*ORÇAMENTO!$AF$7)/$H88*OFFSET(ORÇAMENTO!$X$15,ROW(AH88)-ROW(AH$15),0),
ROUND(ROUND(OFFSET($P88,0,AH$13),15-13*ORÇAMENTO!$AF$7)*OFFSET(ORÇAMENTO!$W$15,ROW(AH88)-ROW(AH$15),0),15-13*ORÇAMENTO!$AF$11)),0)</f>
        <v>0</v>
      </c>
      <c r="AI88" s="631">
        <f ca="1">IF(AND($D88="Serviço",AI$12&lt;&gt;0,$H88&gt;0,OR(AUTOEVENTO&lt;&gt;"manual",$M88&lt;&gt;1)),
IF(Import.TipoArredondamento&lt;&gt;"TransfereGOV",
ROUND(OFFSET($P88,0,AI$13),15-13*ORÇAMENTO!$AF$7)/$H88*OFFSET(ORÇAMENTO!$X$15,ROW(AI88)-ROW(AI$15),0),
ROUND(ROUND(OFFSET($P88,0,AI$13),15-13*ORÇAMENTO!$AF$7)*OFFSET(ORÇAMENTO!$W$15,ROW(AI88)-ROW(AI$15),0),15-13*ORÇAMENTO!$AF$11)),0)</f>
        <v>0</v>
      </c>
      <c r="AJ88" s="631">
        <f ca="1">IF(AND($D88="Serviço",AJ$12&lt;&gt;0,$H88&gt;0,OR(AUTOEVENTO&lt;&gt;"manual",$M88&lt;&gt;1)),
IF(Import.TipoArredondamento&lt;&gt;"TransfereGOV",
ROUND(OFFSET($P88,0,AJ$13),15-13*ORÇAMENTO!$AF$7)/$H88*OFFSET(ORÇAMENTO!$X$15,ROW(AJ88)-ROW(AJ$15),0),
ROUND(ROUND(OFFSET($P88,0,AJ$13),15-13*ORÇAMENTO!$AF$7)*OFFSET(ORÇAMENTO!$W$15,ROW(AJ88)-ROW(AJ$15),0),15-13*ORÇAMENTO!$AF$11)),0)</f>
        <v>0</v>
      </c>
      <c r="AK88" s="632">
        <f ca="1">IF(AND($D88="Serviço",AK$12&lt;&gt;0,$H88&gt;0,OR(AUTOEVENTO&lt;&gt;"manual",$M88&lt;&gt;1)),
IF(Import.TipoArredondamento&lt;&gt;"TransfereGOV",
ROUND(OFFSET($P88,0,AK$13),15-13*ORÇAMENTO!$AF$7)/$H88*OFFSET(ORÇAMENTO!$X$15,ROW(AK88)-ROW(AK$15),0),
ROUND(ROUND(OFFSET($P88,0,AK$13),15-13*ORÇAMENTO!$AF$7)*OFFSET(ORÇAMENTO!$W$15,ROW(AK88)-ROW(AK$15),0),15-13*ORÇAMENTO!$AF$11)),0)</f>
        <v>0</v>
      </c>
      <c r="AM88" s="215">
        <f ca="1">IF($D88&lt;&gt;"Serviço",0,IF(AND(AUTOEVENTO="Manual",$M88=1),0,IF(OFFSET(CRONOPLE!$F$14,$M88,AM$13)="",10^12,OFFSET(CRONOPLE!$F$14,$M88,AM$13))))</f>
        <v>1000000000000</v>
      </c>
      <c r="AN88" s="215">
        <f ca="1">IF($D88&lt;&gt;"Serviço",0,IF(AND(AUTOEVENTO="Manual",$M88=1),0,IF(OFFSET(CRONOPLE!$F$14,$M88,AN$13)="",10^12,OFFSET(CRONOPLE!$F$14,$M88,AN$13))))</f>
        <v>1000000000000</v>
      </c>
      <c r="AO88" s="215">
        <f ca="1">IF($D88&lt;&gt;"Serviço",0,IF(AND(AUTOEVENTO="Manual",$M88=1),0,IF(OFFSET(CRONOPLE!$F$14,$M88,AO$13)="",10^12,OFFSET(CRONOPLE!$F$14,$M88,AO$13))))</f>
        <v>1000000000000</v>
      </c>
      <c r="AP88" s="215">
        <f ca="1">IF($D88&lt;&gt;"Serviço",0,IF(AND(AUTOEVENTO="Manual",$M88=1),0,IF(OFFSET(CRONOPLE!$F$14,$M88,AP$13)="",10^12,OFFSET(CRONOPLE!$F$14,$M88,AP$13))))</f>
        <v>1000000000000</v>
      </c>
      <c r="AQ88" s="215">
        <f ca="1">IF($D88&lt;&gt;"Serviço",0,IF(AND(AUTOEVENTO="Manual",$M88=1),0,IF(OFFSET(CRONOPLE!$F$14,$M88,AQ$13)="",10^12,OFFSET(CRONOPLE!$F$14,$M88,AQ$13))))</f>
        <v>1000000000000</v>
      </c>
      <c r="AR88" s="215">
        <f ca="1">IF($D88&lt;&gt;"Serviço",0,IF(AND(AUTOEVENTO="Manual",$M88=1),0,IF(OFFSET(CRONOPLE!$F$14,$M88,AR$13)="",10^12,OFFSET(CRONOPLE!$F$14,$M88,AR$13))))</f>
        <v>1000000000000</v>
      </c>
      <c r="AS88" s="215">
        <f ca="1">IF($D88&lt;&gt;"Serviço",0,IF(AND(AUTOEVENTO="Manual",$M88=1),0,IF(OFFSET(CRONOPLE!$F$14,$M88,AS$13)="",10^12,OFFSET(CRONOPLE!$F$14,$M88,AS$13))))</f>
        <v>1000000000000</v>
      </c>
      <c r="AT88" s="215">
        <f ca="1">IF($D88&lt;&gt;"Serviço",0,IF(AND(AUTOEVENTO="Manual",$M88=1),0,IF(OFFSET(CRONOPLE!$F$14,$M88,AT$13)="",10^12,OFFSET(CRONOPLE!$F$14,$M88,AT$13))))</f>
        <v>1000000000000</v>
      </c>
      <c r="AU88" s="215">
        <f ca="1">IF($D88&lt;&gt;"Serviço",0,IF(AND(AUTOEVENTO="Manual",$M88=1),0,IF(OFFSET(CRONOPLE!$F$14,$M88,AU$13)="",10^12,OFFSET(CRONOPLE!$F$14,$M88,AU$13))))</f>
        <v>1000000000000</v>
      </c>
      <c r="AV88" s="215">
        <f ca="1">IF($D88&lt;&gt;"Serviço",0,IF(AND(AUTOEVENTO="Manual",$M88=1),0,IF(OFFSET(CRONOPLE!$F$14,$M88,AV$13)="",10^12,OFFSET(CRONOPLE!$F$14,$M88,AV$13))))</f>
        <v>1000000000000</v>
      </c>
      <c r="AX88" s="216">
        <f ca="1">IF($D88&lt;&gt;"Serviço",0,IF(OR(AND(AUTOEVENTO="Manual",$M88=1),$M88&gt;(ROW(PLE.lastrow)-ROW(PLE.firstrow))),0,IF(OFFSET(PLE!$G$14,$M88,AX$13)="",10^12,OFFSET(PLE!$G$14,$M88,AX$13))))</f>
        <v>1000000000000</v>
      </c>
      <c r="AY88" s="216">
        <f ca="1">IF($D88&lt;&gt;"Serviço",0,IF(OR(AND(AUTOEVENTO="Manual",$M88=1),$M88&gt;(ROW(PLE.lastrow)-ROW(PLE.firstrow))),0,IF(OFFSET(PLE!$G$14,$M88,AY$13)="",10^12,OFFSET(PLE!$G$14,$M88,AY$13))))</f>
        <v>1000000000000</v>
      </c>
      <c r="AZ88" s="216">
        <f ca="1">IF($D88&lt;&gt;"Serviço",0,IF(OR(AND(AUTOEVENTO="Manual",$M88=1),$M88&gt;(ROW(PLE.lastrow)-ROW(PLE.firstrow))),0,IF(OFFSET(PLE!$G$14,$M88,AZ$13)="",10^12,OFFSET(PLE!$G$14,$M88,AZ$13))))</f>
        <v>1000000000000</v>
      </c>
      <c r="BA88" s="216">
        <f ca="1">IF($D88&lt;&gt;"Serviço",0,IF(OR(AND(AUTOEVENTO="Manual",$M88=1),$M88&gt;(ROW(PLE.lastrow)-ROW(PLE.firstrow))),0,IF(OFFSET(PLE!$G$14,$M88,BA$13)="",10^12,OFFSET(PLE!$G$14,$M88,BA$13))))</f>
        <v>1000000000000</v>
      </c>
      <c r="BB88" s="216">
        <f ca="1">IF($D88&lt;&gt;"Serviço",0,IF(OR(AND(AUTOEVENTO="Manual",$M88=1),$M88&gt;(ROW(PLE.lastrow)-ROW(PLE.firstrow))),0,IF(OFFSET(PLE!$G$14,$M88,BB$13)="",10^12,OFFSET(PLE!$G$14,$M88,BB$13))))</f>
        <v>1000000000000</v>
      </c>
      <c r="BC88" s="216">
        <f ca="1">IF($D88&lt;&gt;"Serviço",0,IF(OR(AND(AUTOEVENTO="Manual",$M88=1),$M88&gt;(ROW(PLE.lastrow)-ROW(PLE.firstrow))),0,IF(OFFSET(PLE!$G$14,$M88,BC$13)="",10^12,OFFSET(PLE!$G$14,$M88,BC$13))))</f>
        <v>1000000000000</v>
      </c>
      <c r="BD88" s="216">
        <f ca="1">IF($D88&lt;&gt;"Serviço",0,IF(OR(AND(AUTOEVENTO="Manual",$M88=1),$M88&gt;(ROW(PLE.lastrow)-ROW(PLE.firstrow))),0,IF(OFFSET(PLE!$G$14,$M88,BD$13)="",10^12,OFFSET(PLE!$G$14,$M88,BD$13))))</f>
        <v>1000000000000</v>
      </c>
      <c r="BE88" s="216">
        <f ca="1">IF($D88&lt;&gt;"Serviço",0,IF(OR(AND(AUTOEVENTO="Manual",$M88=1),$M88&gt;(ROW(PLE.lastrow)-ROW(PLE.firstrow))),0,IF(OFFSET(PLE!$G$14,$M88,BE$13)="",10^12,OFFSET(PLE!$G$14,$M88,BE$13))))</f>
        <v>1000000000000</v>
      </c>
      <c r="BF88" s="216">
        <f ca="1">IF($D88&lt;&gt;"Serviço",0,IF(OR(AND(AUTOEVENTO="Manual",$M88=1),$M88&gt;(ROW(PLE.lastrow)-ROW(PLE.firstrow))),0,IF(OFFSET(PLE!$G$14,$M88,BF$13)="",10^12,OFFSET(PLE!$G$14,$M88,BF$13))))</f>
        <v>1000000000000</v>
      </c>
      <c r="BG88" s="216">
        <f ca="1">IF($D88&lt;&gt;"Serviço",0,IF(OR(AND(AUTOEVENTO="Manual",$M88=1),$M88&gt;(ROW(PLE.lastrow)-ROW(PLE.firstrow))),0,IF(OFFSET(PLE!$G$14,$M88,BG$13)="",10^12,OFFSET(PLE!$G$14,$M88,BG$13))))</f>
        <v>1000000000000</v>
      </c>
    </row>
    <row r="89" spans="1:59" ht="25.5" x14ac:dyDescent="0.2">
      <c r="A89" s="9" t="str">
        <f ca="1">IF(AUTOEVENTO="Manual",IF(K89&lt;&gt;"",MIN(VALUE(LEFT(K89,FIND(".",K89)-1)),COUNTA(EVENTOS.Lista)),0),IF(OR($B89&gt;AUTOEVENTO,$B89="S",$B89=0),SUBSTITUTE(OFFSET($A89,-1,0),IF($D89="Serviço",".",""),""),ROW(A89)-ROW($A$15)&amp;"."))</f>
        <v>72</v>
      </c>
      <c r="B89" s="9" t="str">
        <f ca="1">OFFSET(ORÇAMENTO!C$15,ROW(B89)-ROW(B$15),0)</f>
        <v>S</v>
      </c>
      <c r="C89" s="9" t="str">
        <f ca="1">OFFSET(ORÇAMENTO!L$15,ROW(C89)-ROW(C$15),0)</f>
        <v/>
      </c>
      <c r="D89" s="145" t="str">
        <f ca="1">OFFSET(ORÇAMENTO!N$15,ROW(D89)-ROW(D$15),0)</f>
        <v>Serviço</v>
      </c>
      <c r="E89" s="205" t="str">
        <f ca="1">OFFSET(ORÇAMENTO!O$15,ROW(E89)-ROW(E$15),0)</f>
        <v>-</v>
      </c>
      <c r="F89" s="206" t="str">
        <f ca="1">OFFSET(ORÇAMENTO!R$15,ROW(F89)-ROW(F$15),0)</f>
        <v xml:space="preserve">TERMINAL METALICO A PRESSAO PARA 1 CABO DE 300 MM2, COM 1 FURO DE FIXACAO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G89" s="207" t="str">
        <f ca="1">IF($D89&lt;&gt;"Serviço","",OFFSET(ORÇAMENTO!S$15,ROW(G89)-ROW(G$15),0))</f>
        <v xml:space="preserve">UN    </v>
      </c>
      <c r="H89" s="151">
        <f ca="1">IF($D89&lt;&gt;"Serviço",0,IF(ACOMPANHAMENTO="BM",ROUND(OFFSET(ORÇAMENTO!AJ$15,ROW(H89)-ROW(H$15),0),15-13*ORÇAMENTO!$AF$7),SUMPRODUCT(($Q$12:$AA$12&lt;&gt;"")*ROUND($Q89:$AA89,15-13*ORÇAMENTO!$AF$7))))</f>
        <v>12</v>
      </c>
      <c r="I89" s="649"/>
      <c r="K89" s="208"/>
      <c r="L89" s="209" t="s">
        <v>255</v>
      </c>
      <c r="M89" s="210">
        <f ca="1">IF($D89&lt;&gt;"Serviço","",IF(AUTOEVENTO="manual",$A89,IF(ISERROR(MATCH($A89,$A$15:OFFSET($A89,-1,0),0)),MAX($M$15:OFFSET(M89,-1,0))+1,INDEX($M$15:OFFSET(M89,-1,0),MATCH($A89,$A$15:OFFSET($A89,-1,0),0)))))</f>
        <v>15</v>
      </c>
      <c r="N89" s="211" t="str">
        <f ca="1">IF($D89&lt;&gt;"Serviço","",IF(AUTOEVENTO="Manual",IF($A89=0,"&lt;-- defina o número do agrupador",OFFSET(EVENTOS!$D$14,$A89,0)),OFFSET($F$15,$A89,0)))</f>
        <v>SPDA</v>
      </c>
      <c r="O89" s="212"/>
      <c r="Q89" s="212"/>
      <c r="R89" s="213"/>
      <c r="S89" s="213"/>
      <c r="T89" s="213"/>
      <c r="U89" s="213"/>
      <c r="V89" s="213"/>
      <c r="W89" s="213"/>
      <c r="X89" s="213"/>
      <c r="Y89" s="213"/>
      <c r="Z89" s="214"/>
      <c r="AB89" s="630">
        <f ca="1">IF(AND($D89="Serviço",AB$12&lt;&gt;0,$H89&gt;0,OR(AUTOEVENTO&lt;&gt;"manual",$M89&lt;&gt;1)),
IF(Import.TipoArredondamento&lt;&gt;"TransfereGOV",
ROUND(OFFSET($P89,0,AB$13),15-13*ORÇAMENTO!$AF$7)/$H89*OFFSET(ORÇAMENTO!$X$15,ROW(AB89)-ROW(AB$15),0),
ROUND(ROUND(OFFSET($P89,0,AB$13),15-13*ORÇAMENTO!$AF$7)*OFFSET(ORÇAMENTO!$W$15,ROW(AB89)-ROW(AB$15),0),15-13*ORÇAMENTO!$AF$11)),0)</f>
        <v>0</v>
      </c>
      <c r="AC89" s="631">
        <f ca="1">IF(AND($D89="Serviço",AC$12&lt;&gt;0,$H89&gt;0,OR(AUTOEVENTO&lt;&gt;"manual",$M89&lt;&gt;1)),
IF(Import.TipoArredondamento&lt;&gt;"TransfereGOV",
ROUND(OFFSET($P89,0,AC$13),15-13*ORÇAMENTO!$AF$7)/$H89*OFFSET(ORÇAMENTO!$X$15,ROW(AC89)-ROW(AC$15),0),
ROUND(ROUND(OFFSET($P89,0,AC$13),15-13*ORÇAMENTO!$AF$7)*OFFSET(ORÇAMENTO!$W$15,ROW(AC89)-ROW(AC$15),0),15-13*ORÇAMENTO!$AF$11)),0)</f>
        <v>0</v>
      </c>
      <c r="AD89" s="631">
        <f ca="1">IF(AND($D89="Serviço",AD$12&lt;&gt;0,$H89&gt;0,OR(AUTOEVENTO&lt;&gt;"manual",$M89&lt;&gt;1)),
IF(Import.TipoArredondamento&lt;&gt;"TransfereGOV",
ROUND(OFFSET($P89,0,AD$13),15-13*ORÇAMENTO!$AF$7)/$H89*OFFSET(ORÇAMENTO!$X$15,ROW(AD89)-ROW(AD$15),0),
ROUND(ROUND(OFFSET($P89,0,AD$13),15-13*ORÇAMENTO!$AF$7)*OFFSET(ORÇAMENTO!$W$15,ROW(AD89)-ROW(AD$15),0),15-13*ORÇAMENTO!$AF$11)),0)</f>
        <v>0</v>
      </c>
      <c r="AE89" s="631">
        <f ca="1">IF(AND($D89="Serviço",AE$12&lt;&gt;0,$H89&gt;0,OR(AUTOEVENTO&lt;&gt;"manual",$M89&lt;&gt;1)),
IF(Import.TipoArredondamento&lt;&gt;"TransfereGOV",
ROUND(OFFSET($P89,0,AE$13),15-13*ORÇAMENTO!$AF$7)/$H89*OFFSET(ORÇAMENTO!$X$15,ROW(AE89)-ROW(AE$15),0),
ROUND(ROUND(OFFSET($P89,0,AE$13),15-13*ORÇAMENTO!$AF$7)*OFFSET(ORÇAMENTO!$W$15,ROW(AE89)-ROW(AE$15),0),15-13*ORÇAMENTO!$AF$11)),0)</f>
        <v>0</v>
      </c>
      <c r="AF89" s="631">
        <f ca="1">IF(AND($D89="Serviço",AF$12&lt;&gt;0,$H89&gt;0,OR(AUTOEVENTO&lt;&gt;"manual",$M89&lt;&gt;1)),
IF(Import.TipoArredondamento&lt;&gt;"TransfereGOV",
ROUND(OFFSET($P89,0,AF$13),15-13*ORÇAMENTO!$AF$7)/$H89*OFFSET(ORÇAMENTO!$X$15,ROW(AF89)-ROW(AF$15),0),
ROUND(ROUND(OFFSET($P89,0,AF$13),15-13*ORÇAMENTO!$AF$7)*OFFSET(ORÇAMENTO!$W$15,ROW(AF89)-ROW(AF$15),0),15-13*ORÇAMENTO!$AF$11)),0)</f>
        <v>0</v>
      </c>
      <c r="AG89" s="631">
        <f ca="1">IF(AND($D89="Serviço",AG$12&lt;&gt;0,$H89&gt;0,OR(AUTOEVENTO&lt;&gt;"manual",$M89&lt;&gt;1)),
IF(Import.TipoArredondamento&lt;&gt;"TransfereGOV",
ROUND(OFFSET($P89,0,AG$13),15-13*ORÇAMENTO!$AF$7)/$H89*OFFSET(ORÇAMENTO!$X$15,ROW(AG89)-ROW(AG$15),0),
ROUND(ROUND(OFFSET($P89,0,AG$13),15-13*ORÇAMENTO!$AF$7)*OFFSET(ORÇAMENTO!$W$15,ROW(AG89)-ROW(AG$15),0),15-13*ORÇAMENTO!$AF$11)),0)</f>
        <v>0</v>
      </c>
      <c r="AH89" s="631">
        <f ca="1">IF(AND($D89="Serviço",AH$12&lt;&gt;0,$H89&gt;0,OR(AUTOEVENTO&lt;&gt;"manual",$M89&lt;&gt;1)),
IF(Import.TipoArredondamento&lt;&gt;"TransfereGOV",
ROUND(OFFSET($P89,0,AH$13),15-13*ORÇAMENTO!$AF$7)/$H89*OFFSET(ORÇAMENTO!$X$15,ROW(AH89)-ROW(AH$15),0),
ROUND(ROUND(OFFSET($P89,0,AH$13),15-13*ORÇAMENTO!$AF$7)*OFFSET(ORÇAMENTO!$W$15,ROW(AH89)-ROW(AH$15),0),15-13*ORÇAMENTO!$AF$11)),0)</f>
        <v>0</v>
      </c>
      <c r="AI89" s="631">
        <f ca="1">IF(AND($D89="Serviço",AI$12&lt;&gt;0,$H89&gt;0,OR(AUTOEVENTO&lt;&gt;"manual",$M89&lt;&gt;1)),
IF(Import.TipoArredondamento&lt;&gt;"TransfereGOV",
ROUND(OFFSET($P89,0,AI$13),15-13*ORÇAMENTO!$AF$7)/$H89*OFFSET(ORÇAMENTO!$X$15,ROW(AI89)-ROW(AI$15),0),
ROUND(ROUND(OFFSET($P89,0,AI$13),15-13*ORÇAMENTO!$AF$7)*OFFSET(ORÇAMENTO!$W$15,ROW(AI89)-ROW(AI$15),0),15-13*ORÇAMENTO!$AF$11)),0)</f>
        <v>0</v>
      </c>
      <c r="AJ89" s="631">
        <f ca="1">IF(AND($D89="Serviço",AJ$12&lt;&gt;0,$H89&gt;0,OR(AUTOEVENTO&lt;&gt;"manual",$M89&lt;&gt;1)),
IF(Import.TipoArredondamento&lt;&gt;"TransfereGOV",
ROUND(OFFSET($P89,0,AJ$13),15-13*ORÇAMENTO!$AF$7)/$H89*OFFSET(ORÇAMENTO!$X$15,ROW(AJ89)-ROW(AJ$15),0),
ROUND(ROUND(OFFSET($P89,0,AJ$13),15-13*ORÇAMENTO!$AF$7)*OFFSET(ORÇAMENTO!$W$15,ROW(AJ89)-ROW(AJ$15),0),15-13*ORÇAMENTO!$AF$11)),0)</f>
        <v>0</v>
      </c>
      <c r="AK89" s="632">
        <f ca="1">IF(AND($D89="Serviço",AK$12&lt;&gt;0,$H89&gt;0,OR(AUTOEVENTO&lt;&gt;"manual",$M89&lt;&gt;1)),
IF(Import.TipoArredondamento&lt;&gt;"TransfereGOV",
ROUND(OFFSET($P89,0,AK$13),15-13*ORÇAMENTO!$AF$7)/$H89*OFFSET(ORÇAMENTO!$X$15,ROW(AK89)-ROW(AK$15),0),
ROUND(ROUND(OFFSET($P89,0,AK$13),15-13*ORÇAMENTO!$AF$7)*OFFSET(ORÇAMENTO!$W$15,ROW(AK89)-ROW(AK$15),0),15-13*ORÇAMENTO!$AF$11)),0)</f>
        <v>0</v>
      </c>
      <c r="AM89" s="215">
        <f ca="1">IF($D89&lt;&gt;"Serviço",0,IF(AND(AUTOEVENTO="Manual",$M89=1),0,IF(OFFSET(CRONOPLE!$F$14,$M89,AM$13)="",10^12,OFFSET(CRONOPLE!$F$14,$M89,AM$13))))</f>
        <v>1000000000000</v>
      </c>
      <c r="AN89" s="215">
        <f ca="1">IF($D89&lt;&gt;"Serviço",0,IF(AND(AUTOEVENTO="Manual",$M89=1),0,IF(OFFSET(CRONOPLE!$F$14,$M89,AN$13)="",10^12,OFFSET(CRONOPLE!$F$14,$M89,AN$13))))</f>
        <v>1000000000000</v>
      </c>
      <c r="AO89" s="215">
        <f ca="1">IF($D89&lt;&gt;"Serviço",0,IF(AND(AUTOEVENTO="Manual",$M89=1),0,IF(OFFSET(CRONOPLE!$F$14,$M89,AO$13)="",10^12,OFFSET(CRONOPLE!$F$14,$M89,AO$13))))</f>
        <v>1000000000000</v>
      </c>
      <c r="AP89" s="215">
        <f ca="1">IF($D89&lt;&gt;"Serviço",0,IF(AND(AUTOEVENTO="Manual",$M89=1),0,IF(OFFSET(CRONOPLE!$F$14,$M89,AP$13)="",10^12,OFFSET(CRONOPLE!$F$14,$M89,AP$13))))</f>
        <v>1000000000000</v>
      </c>
      <c r="AQ89" s="215">
        <f ca="1">IF($D89&lt;&gt;"Serviço",0,IF(AND(AUTOEVENTO="Manual",$M89=1),0,IF(OFFSET(CRONOPLE!$F$14,$M89,AQ$13)="",10^12,OFFSET(CRONOPLE!$F$14,$M89,AQ$13))))</f>
        <v>1000000000000</v>
      </c>
      <c r="AR89" s="215">
        <f ca="1">IF($D89&lt;&gt;"Serviço",0,IF(AND(AUTOEVENTO="Manual",$M89=1),0,IF(OFFSET(CRONOPLE!$F$14,$M89,AR$13)="",10^12,OFFSET(CRONOPLE!$F$14,$M89,AR$13))))</f>
        <v>1000000000000</v>
      </c>
      <c r="AS89" s="215">
        <f ca="1">IF($D89&lt;&gt;"Serviço",0,IF(AND(AUTOEVENTO="Manual",$M89=1),0,IF(OFFSET(CRONOPLE!$F$14,$M89,AS$13)="",10^12,OFFSET(CRONOPLE!$F$14,$M89,AS$13))))</f>
        <v>1000000000000</v>
      </c>
      <c r="AT89" s="215">
        <f ca="1">IF($D89&lt;&gt;"Serviço",0,IF(AND(AUTOEVENTO="Manual",$M89=1),0,IF(OFFSET(CRONOPLE!$F$14,$M89,AT$13)="",10^12,OFFSET(CRONOPLE!$F$14,$M89,AT$13))))</f>
        <v>1000000000000</v>
      </c>
      <c r="AU89" s="215">
        <f ca="1">IF($D89&lt;&gt;"Serviço",0,IF(AND(AUTOEVENTO="Manual",$M89=1),0,IF(OFFSET(CRONOPLE!$F$14,$M89,AU$13)="",10^12,OFFSET(CRONOPLE!$F$14,$M89,AU$13))))</f>
        <v>1000000000000</v>
      </c>
      <c r="AV89" s="215">
        <f ca="1">IF($D89&lt;&gt;"Serviço",0,IF(AND(AUTOEVENTO="Manual",$M89=1),0,IF(OFFSET(CRONOPLE!$F$14,$M89,AV$13)="",10^12,OFFSET(CRONOPLE!$F$14,$M89,AV$13))))</f>
        <v>1000000000000</v>
      </c>
      <c r="AX89" s="216">
        <f ca="1">IF($D89&lt;&gt;"Serviço",0,IF(OR(AND(AUTOEVENTO="Manual",$M89=1),$M89&gt;(ROW(PLE.lastrow)-ROW(PLE.firstrow))),0,IF(OFFSET(PLE!$G$14,$M89,AX$13)="",10^12,OFFSET(PLE!$G$14,$M89,AX$13))))</f>
        <v>1000000000000</v>
      </c>
      <c r="AY89" s="216">
        <f ca="1">IF($D89&lt;&gt;"Serviço",0,IF(OR(AND(AUTOEVENTO="Manual",$M89=1),$M89&gt;(ROW(PLE.lastrow)-ROW(PLE.firstrow))),0,IF(OFFSET(PLE!$G$14,$M89,AY$13)="",10^12,OFFSET(PLE!$G$14,$M89,AY$13))))</f>
        <v>1000000000000</v>
      </c>
      <c r="AZ89" s="216">
        <f ca="1">IF($D89&lt;&gt;"Serviço",0,IF(OR(AND(AUTOEVENTO="Manual",$M89=1),$M89&gt;(ROW(PLE.lastrow)-ROW(PLE.firstrow))),0,IF(OFFSET(PLE!$G$14,$M89,AZ$13)="",10^12,OFFSET(PLE!$G$14,$M89,AZ$13))))</f>
        <v>1000000000000</v>
      </c>
      <c r="BA89" s="216">
        <f ca="1">IF($D89&lt;&gt;"Serviço",0,IF(OR(AND(AUTOEVENTO="Manual",$M89=1),$M89&gt;(ROW(PLE.lastrow)-ROW(PLE.firstrow))),0,IF(OFFSET(PLE!$G$14,$M89,BA$13)="",10^12,OFFSET(PLE!$G$14,$M89,BA$13))))</f>
        <v>1000000000000</v>
      </c>
      <c r="BB89" s="216">
        <f ca="1">IF($D89&lt;&gt;"Serviço",0,IF(OR(AND(AUTOEVENTO="Manual",$M89=1),$M89&gt;(ROW(PLE.lastrow)-ROW(PLE.firstrow))),0,IF(OFFSET(PLE!$G$14,$M89,BB$13)="",10^12,OFFSET(PLE!$G$14,$M89,BB$13))))</f>
        <v>1000000000000</v>
      </c>
      <c r="BC89" s="216">
        <f ca="1">IF($D89&lt;&gt;"Serviço",0,IF(OR(AND(AUTOEVENTO="Manual",$M89=1),$M89&gt;(ROW(PLE.lastrow)-ROW(PLE.firstrow))),0,IF(OFFSET(PLE!$G$14,$M89,BC$13)="",10^12,OFFSET(PLE!$G$14,$M89,BC$13))))</f>
        <v>1000000000000</v>
      </c>
      <c r="BD89" s="216">
        <f ca="1">IF($D89&lt;&gt;"Serviço",0,IF(OR(AND(AUTOEVENTO="Manual",$M89=1),$M89&gt;(ROW(PLE.lastrow)-ROW(PLE.firstrow))),0,IF(OFFSET(PLE!$G$14,$M89,BD$13)="",10^12,OFFSET(PLE!$G$14,$M89,BD$13))))</f>
        <v>1000000000000</v>
      </c>
      <c r="BE89" s="216">
        <f ca="1">IF($D89&lt;&gt;"Serviço",0,IF(OR(AND(AUTOEVENTO="Manual",$M89=1),$M89&gt;(ROW(PLE.lastrow)-ROW(PLE.firstrow))),0,IF(OFFSET(PLE!$G$14,$M89,BE$13)="",10^12,OFFSET(PLE!$G$14,$M89,BE$13))))</f>
        <v>1000000000000</v>
      </c>
      <c r="BF89" s="216">
        <f ca="1">IF($D89&lt;&gt;"Serviço",0,IF(OR(AND(AUTOEVENTO="Manual",$M89=1),$M89&gt;(ROW(PLE.lastrow)-ROW(PLE.firstrow))),0,IF(OFFSET(PLE!$G$14,$M89,BF$13)="",10^12,OFFSET(PLE!$G$14,$M89,BF$13))))</f>
        <v>1000000000000</v>
      </c>
      <c r="BG89" s="216">
        <f ca="1">IF($D89&lt;&gt;"Serviço",0,IF(OR(AND(AUTOEVENTO="Manual",$M89=1),$M89&gt;(ROW(PLE.lastrow)-ROW(PLE.firstrow))),0,IF(OFFSET(PLE!$G$14,$M89,BG$13)="",10^12,OFFSET(PLE!$G$14,$M89,BG$13))))</f>
        <v>1000000000000</v>
      </c>
    </row>
    <row r="90" spans="1:59" ht="12.75" x14ac:dyDescent="0.2">
      <c r="A90" s="9" t="str">
        <f t="shared" ca="1" si="9"/>
        <v>72</v>
      </c>
      <c r="B90" s="9" t="str">
        <f ca="1">OFFSET(ORÇAMENTO!C$15,ROW(B90)-ROW(B$15),0)</f>
        <v>S</v>
      </c>
      <c r="C90" s="9" t="str">
        <f ca="1">OFFSET(ORÇAMENTO!L$15,ROW(C90)-ROW(C$15),0)</f>
        <v/>
      </c>
      <c r="D90" s="145" t="str">
        <f ca="1">OFFSET(ORÇAMENTO!N$15,ROW(D90)-ROW(D$15),0)</f>
        <v>Serviço</v>
      </c>
      <c r="E90" s="205" t="str">
        <f ca="1">OFFSET(ORÇAMENTO!O$15,ROW(E90)-ROW(E$15),0)</f>
        <v>-</v>
      </c>
      <c r="F90" s="206" t="str">
        <f ca="1">OFFSET(ORÇAMENTO!R$15,ROW(F90)-ROW(F$15),0)</f>
        <v xml:space="preserve">CABO DE COBRE NU 35 MM2 MEIO-DURO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G90" s="207" t="str">
        <f ca="1">IF($D90&lt;&gt;"Serviço","",OFFSET(ORÇAMENTO!S$15,ROW(G90)-ROW(G$15),0))</f>
        <v xml:space="preserve">M     </v>
      </c>
      <c r="H90" s="151">
        <f ca="1">IF($D90&lt;&gt;"Serviço",0,IF(ACOMPANHAMENTO="BM",ROUND(OFFSET(ORÇAMENTO!AJ$15,ROW(H90)-ROW(H$15),0),15-13*ORÇAMENTO!$AF$7),SUMPRODUCT(($Q$12:$AA$12&lt;&gt;"")*ROUND($Q90:$AA90,15-13*ORÇAMENTO!$AF$7))))</f>
        <v>345</v>
      </c>
      <c r="I90" s="649"/>
      <c r="K90" s="208"/>
      <c r="L90" s="209" t="s">
        <v>255</v>
      </c>
      <c r="M90" s="210">
        <f ca="1">IF($D90&lt;&gt;"Serviço","",IF(AUTOEVENTO="manual",$A90,IF(ISERROR(MATCH($A90,$A$15:OFFSET($A90,-1,0),0)),MAX($M$15:OFFSET(M90,-1,0))+1,INDEX($M$15:OFFSET(M90,-1,0),MATCH($A90,$A$15:OFFSET($A90,-1,0),0)))))</f>
        <v>15</v>
      </c>
      <c r="N90" s="211" t="str">
        <f ca="1">IF($D90&lt;&gt;"Serviço","",IF(AUTOEVENTO="Manual",IF($A90=0,"&lt;-- defina o número do agrupador",OFFSET(EVENTOS!$D$14,$A90,0)),OFFSET($F$15,$A90,0)))</f>
        <v>SPDA</v>
      </c>
      <c r="O90" s="212"/>
      <c r="Q90" s="212"/>
      <c r="R90" s="213"/>
      <c r="S90" s="213"/>
      <c r="T90" s="213"/>
      <c r="U90" s="213"/>
      <c r="V90" s="213"/>
      <c r="W90" s="213"/>
      <c r="X90" s="213"/>
      <c r="Y90" s="213"/>
      <c r="Z90" s="214"/>
      <c r="AB90" s="630">
        <f ca="1">IF(AND($D90="Serviço",AB$12&lt;&gt;0,$H90&gt;0,OR(AUTOEVENTO&lt;&gt;"manual",$M90&lt;&gt;1)),
IF(Import.TipoArredondamento&lt;&gt;"TransfereGOV",
ROUND(OFFSET($P90,0,AB$13),15-13*ORÇAMENTO!$AF$7)/$H90*OFFSET(ORÇAMENTO!$X$15,ROW(AB90)-ROW(AB$15),0),
ROUND(ROUND(OFFSET($P90,0,AB$13),15-13*ORÇAMENTO!$AF$7)*OFFSET(ORÇAMENTO!$W$15,ROW(AB90)-ROW(AB$15),0),15-13*ORÇAMENTO!$AF$11)),0)</f>
        <v>0</v>
      </c>
      <c r="AC90" s="631">
        <f ca="1">IF(AND($D90="Serviço",AC$12&lt;&gt;0,$H90&gt;0,OR(AUTOEVENTO&lt;&gt;"manual",$M90&lt;&gt;1)),
IF(Import.TipoArredondamento&lt;&gt;"TransfereGOV",
ROUND(OFFSET($P90,0,AC$13),15-13*ORÇAMENTO!$AF$7)/$H90*OFFSET(ORÇAMENTO!$X$15,ROW(AC90)-ROW(AC$15),0),
ROUND(ROUND(OFFSET($P90,0,AC$13),15-13*ORÇAMENTO!$AF$7)*OFFSET(ORÇAMENTO!$W$15,ROW(AC90)-ROW(AC$15),0),15-13*ORÇAMENTO!$AF$11)),0)</f>
        <v>0</v>
      </c>
      <c r="AD90" s="631">
        <f ca="1">IF(AND($D90="Serviço",AD$12&lt;&gt;0,$H90&gt;0,OR(AUTOEVENTO&lt;&gt;"manual",$M90&lt;&gt;1)),
IF(Import.TipoArredondamento&lt;&gt;"TransfereGOV",
ROUND(OFFSET($P90,0,AD$13),15-13*ORÇAMENTO!$AF$7)/$H90*OFFSET(ORÇAMENTO!$X$15,ROW(AD90)-ROW(AD$15),0),
ROUND(ROUND(OFFSET($P90,0,AD$13),15-13*ORÇAMENTO!$AF$7)*OFFSET(ORÇAMENTO!$W$15,ROW(AD90)-ROW(AD$15),0),15-13*ORÇAMENTO!$AF$11)),0)</f>
        <v>0</v>
      </c>
      <c r="AE90" s="631">
        <f ca="1">IF(AND($D90="Serviço",AE$12&lt;&gt;0,$H90&gt;0,OR(AUTOEVENTO&lt;&gt;"manual",$M90&lt;&gt;1)),
IF(Import.TipoArredondamento&lt;&gt;"TransfereGOV",
ROUND(OFFSET($P90,0,AE$13),15-13*ORÇAMENTO!$AF$7)/$H90*OFFSET(ORÇAMENTO!$X$15,ROW(AE90)-ROW(AE$15),0),
ROUND(ROUND(OFFSET($P90,0,AE$13),15-13*ORÇAMENTO!$AF$7)*OFFSET(ORÇAMENTO!$W$15,ROW(AE90)-ROW(AE$15),0),15-13*ORÇAMENTO!$AF$11)),0)</f>
        <v>0</v>
      </c>
      <c r="AF90" s="631">
        <f ca="1">IF(AND($D90="Serviço",AF$12&lt;&gt;0,$H90&gt;0,OR(AUTOEVENTO&lt;&gt;"manual",$M90&lt;&gt;1)),
IF(Import.TipoArredondamento&lt;&gt;"TransfereGOV",
ROUND(OFFSET($P90,0,AF$13),15-13*ORÇAMENTO!$AF$7)/$H90*OFFSET(ORÇAMENTO!$X$15,ROW(AF90)-ROW(AF$15),0),
ROUND(ROUND(OFFSET($P90,0,AF$13),15-13*ORÇAMENTO!$AF$7)*OFFSET(ORÇAMENTO!$W$15,ROW(AF90)-ROW(AF$15),0),15-13*ORÇAMENTO!$AF$11)),0)</f>
        <v>0</v>
      </c>
      <c r="AG90" s="631">
        <f ca="1">IF(AND($D90="Serviço",AG$12&lt;&gt;0,$H90&gt;0,OR(AUTOEVENTO&lt;&gt;"manual",$M90&lt;&gt;1)),
IF(Import.TipoArredondamento&lt;&gt;"TransfereGOV",
ROUND(OFFSET($P90,0,AG$13),15-13*ORÇAMENTO!$AF$7)/$H90*OFFSET(ORÇAMENTO!$X$15,ROW(AG90)-ROW(AG$15),0),
ROUND(ROUND(OFFSET($P90,0,AG$13),15-13*ORÇAMENTO!$AF$7)*OFFSET(ORÇAMENTO!$W$15,ROW(AG90)-ROW(AG$15),0),15-13*ORÇAMENTO!$AF$11)),0)</f>
        <v>0</v>
      </c>
      <c r="AH90" s="631">
        <f ca="1">IF(AND($D90="Serviço",AH$12&lt;&gt;0,$H90&gt;0,OR(AUTOEVENTO&lt;&gt;"manual",$M90&lt;&gt;1)),
IF(Import.TipoArredondamento&lt;&gt;"TransfereGOV",
ROUND(OFFSET($P90,0,AH$13),15-13*ORÇAMENTO!$AF$7)/$H90*OFFSET(ORÇAMENTO!$X$15,ROW(AH90)-ROW(AH$15),0),
ROUND(ROUND(OFFSET($P90,0,AH$13),15-13*ORÇAMENTO!$AF$7)*OFFSET(ORÇAMENTO!$W$15,ROW(AH90)-ROW(AH$15),0),15-13*ORÇAMENTO!$AF$11)),0)</f>
        <v>0</v>
      </c>
      <c r="AI90" s="631">
        <f ca="1">IF(AND($D90="Serviço",AI$12&lt;&gt;0,$H90&gt;0,OR(AUTOEVENTO&lt;&gt;"manual",$M90&lt;&gt;1)),
IF(Import.TipoArredondamento&lt;&gt;"TransfereGOV",
ROUND(OFFSET($P90,0,AI$13),15-13*ORÇAMENTO!$AF$7)/$H90*OFFSET(ORÇAMENTO!$X$15,ROW(AI90)-ROW(AI$15),0),
ROUND(ROUND(OFFSET($P90,0,AI$13),15-13*ORÇAMENTO!$AF$7)*OFFSET(ORÇAMENTO!$W$15,ROW(AI90)-ROW(AI$15),0),15-13*ORÇAMENTO!$AF$11)),0)</f>
        <v>0</v>
      </c>
      <c r="AJ90" s="631">
        <f ca="1">IF(AND($D90="Serviço",AJ$12&lt;&gt;0,$H90&gt;0,OR(AUTOEVENTO&lt;&gt;"manual",$M90&lt;&gt;1)),
IF(Import.TipoArredondamento&lt;&gt;"TransfereGOV",
ROUND(OFFSET($P90,0,AJ$13),15-13*ORÇAMENTO!$AF$7)/$H90*OFFSET(ORÇAMENTO!$X$15,ROW(AJ90)-ROW(AJ$15),0),
ROUND(ROUND(OFFSET($P90,0,AJ$13),15-13*ORÇAMENTO!$AF$7)*OFFSET(ORÇAMENTO!$W$15,ROW(AJ90)-ROW(AJ$15),0),15-13*ORÇAMENTO!$AF$11)),0)</f>
        <v>0</v>
      </c>
      <c r="AK90" s="632">
        <f ca="1">IF(AND($D90="Serviço",AK$12&lt;&gt;0,$H90&gt;0,OR(AUTOEVENTO&lt;&gt;"manual",$M90&lt;&gt;1)),
IF(Import.TipoArredondamento&lt;&gt;"TransfereGOV",
ROUND(OFFSET($P90,0,AK$13),15-13*ORÇAMENTO!$AF$7)/$H90*OFFSET(ORÇAMENTO!$X$15,ROW(AK90)-ROW(AK$15),0),
ROUND(ROUND(OFFSET($P90,0,AK$13),15-13*ORÇAMENTO!$AF$7)*OFFSET(ORÇAMENTO!$W$15,ROW(AK90)-ROW(AK$15),0),15-13*ORÇAMENTO!$AF$11)),0)</f>
        <v>0</v>
      </c>
      <c r="AM90" s="215">
        <f ca="1">IF($D90&lt;&gt;"Serviço",0,IF(AND(AUTOEVENTO="Manual",$M90=1),0,IF(OFFSET(CRONOPLE!$F$14,$M90,AM$13)="",10^12,OFFSET(CRONOPLE!$F$14,$M90,AM$13))))</f>
        <v>1000000000000</v>
      </c>
      <c r="AN90" s="215">
        <f ca="1">IF($D90&lt;&gt;"Serviço",0,IF(AND(AUTOEVENTO="Manual",$M90=1),0,IF(OFFSET(CRONOPLE!$F$14,$M90,AN$13)="",10^12,OFFSET(CRONOPLE!$F$14,$M90,AN$13))))</f>
        <v>1000000000000</v>
      </c>
      <c r="AO90" s="215">
        <f ca="1">IF($D90&lt;&gt;"Serviço",0,IF(AND(AUTOEVENTO="Manual",$M90=1),0,IF(OFFSET(CRONOPLE!$F$14,$M90,AO$13)="",10^12,OFFSET(CRONOPLE!$F$14,$M90,AO$13))))</f>
        <v>1000000000000</v>
      </c>
      <c r="AP90" s="215">
        <f ca="1">IF($D90&lt;&gt;"Serviço",0,IF(AND(AUTOEVENTO="Manual",$M90=1),0,IF(OFFSET(CRONOPLE!$F$14,$M90,AP$13)="",10^12,OFFSET(CRONOPLE!$F$14,$M90,AP$13))))</f>
        <v>1000000000000</v>
      </c>
      <c r="AQ90" s="215">
        <f ca="1">IF($D90&lt;&gt;"Serviço",0,IF(AND(AUTOEVENTO="Manual",$M90=1),0,IF(OFFSET(CRONOPLE!$F$14,$M90,AQ$13)="",10^12,OFFSET(CRONOPLE!$F$14,$M90,AQ$13))))</f>
        <v>1000000000000</v>
      </c>
      <c r="AR90" s="215">
        <f ca="1">IF($D90&lt;&gt;"Serviço",0,IF(AND(AUTOEVENTO="Manual",$M90=1),0,IF(OFFSET(CRONOPLE!$F$14,$M90,AR$13)="",10^12,OFFSET(CRONOPLE!$F$14,$M90,AR$13))))</f>
        <v>1000000000000</v>
      </c>
      <c r="AS90" s="215">
        <f ca="1">IF($D90&lt;&gt;"Serviço",0,IF(AND(AUTOEVENTO="Manual",$M90=1),0,IF(OFFSET(CRONOPLE!$F$14,$M90,AS$13)="",10^12,OFFSET(CRONOPLE!$F$14,$M90,AS$13))))</f>
        <v>1000000000000</v>
      </c>
      <c r="AT90" s="215">
        <f ca="1">IF($D90&lt;&gt;"Serviço",0,IF(AND(AUTOEVENTO="Manual",$M90=1),0,IF(OFFSET(CRONOPLE!$F$14,$M90,AT$13)="",10^12,OFFSET(CRONOPLE!$F$14,$M90,AT$13))))</f>
        <v>1000000000000</v>
      </c>
      <c r="AU90" s="215">
        <f ca="1">IF($D90&lt;&gt;"Serviço",0,IF(AND(AUTOEVENTO="Manual",$M90=1),0,IF(OFFSET(CRONOPLE!$F$14,$M90,AU$13)="",10^12,OFFSET(CRONOPLE!$F$14,$M90,AU$13))))</f>
        <v>1000000000000</v>
      </c>
      <c r="AV90" s="215">
        <f ca="1">IF($D90&lt;&gt;"Serviço",0,IF(AND(AUTOEVENTO="Manual",$M90=1),0,IF(OFFSET(CRONOPLE!$F$14,$M90,AV$13)="",10^12,OFFSET(CRONOPLE!$F$14,$M90,AV$13))))</f>
        <v>1000000000000</v>
      </c>
      <c r="AX90" s="216">
        <f ca="1">IF($D90&lt;&gt;"Serviço",0,IF(OR(AND(AUTOEVENTO="Manual",$M90=1),$M90&gt;(ROW(PLE.lastrow)-ROW(PLE.firstrow))),0,IF(OFFSET(PLE!$G$14,$M90,AX$13)="",10^12,OFFSET(PLE!$G$14,$M90,AX$13))))</f>
        <v>1000000000000</v>
      </c>
      <c r="AY90" s="216">
        <f ca="1">IF($D90&lt;&gt;"Serviço",0,IF(OR(AND(AUTOEVENTO="Manual",$M90=1),$M90&gt;(ROW(PLE.lastrow)-ROW(PLE.firstrow))),0,IF(OFFSET(PLE!$G$14,$M90,AY$13)="",10^12,OFFSET(PLE!$G$14,$M90,AY$13))))</f>
        <v>1000000000000</v>
      </c>
      <c r="AZ90" s="216">
        <f ca="1">IF($D90&lt;&gt;"Serviço",0,IF(OR(AND(AUTOEVENTO="Manual",$M90=1),$M90&gt;(ROW(PLE.lastrow)-ROW(PLE.firstrow))),0,IF(OFFSET(PLE!$G$14,$M90,AZ$13)="",10^12,OFFSET(PLE!$G$14,$M90,AZ$13))))</f>
        <v>1000000000000</v>
      </c>
      <c r="BA90" s="216">
        <f ca="1">IF($D90&lt;&gt;"Serviço",0,IF(OR(AND(AUTOEVENTO="Manual",$M90=1),$M90&gt;(ROW(PLE.lastrow)-ROW(PLE.firstrow))),0,IF(OFFSET(PLE!$G$14,$M90,BA$13)="",10^12,OFFSET(PLE!$G$14,$M90,BA$13))))</f>
        <v>1000000000000</v>
      </c>
      <c r="BB90" s="216">
        <f ca="1">IF($D90&lt;&gt;"Serviço",0,IF(OR(AND(AUTOEVENTO="Manual",$M90=1),$M90&gt;(ROW(PLE.lastrow)-ROW(PLE.firstrow))),0,IF(OFFSET(PLE!$G$14,$M90,BB$13)="",10^12,OFFSET(PLE!$G$14,$M90,BB$13))))</f>
        <v>1000000000000</v>
      </c>
      <c r="BC90" s="216">
        <f ca="1">IF($D90&lt;&gt;"Serviço",0,IF(OR(AND(AUTOEVENTO="Manual",$M90=1),$M90&gt;(ROW(PLE.lastrow)-ROW(PLE.firstrow))),0,IF(OFFSET(PLE!$G$14,$M90,BC$13)="",10^12,OFFSET(PLE!$G$14,$M90,BC$13))))</f>
        <v>1000000000000</v>
      </c>
      <c r="BD90" s="216">
        <f ca="1">IF($D90&lt;&gt;"Serviço",0,IF(OR(AND(AUTOEVENTO="Manual",$M90=1),$M90&gt;(ROW(PLE.lastrow)-ROW(PLE.firstrow))),0,IF(OFFSET(PLE!$G$14,$M90,BD$13)="",10^12,OFFSET(PLE!$G$14,$M90,BD$13))))</f>
        <v>1000000000000</v>
      </c>
      <c r="BE90" s="216">
        <f ca="1">IF($D90&lt;&gt;"Serviço",0,IF(OR(AND(AUTOEVENTO="Manual",$M90=1),$M90&gt;(ROW(PLE.lastrow)-ROW(PLE.firstrow))),0,IF(OFFSET(PLE!$G$14,$M90,BE$13)="",10^12,OFFSET(PLE!$G$14,$M90,BE$13))))</f>
        <v>1000000000000</v>
      </c>
      <c r="BF90" s="216">
        <f ca="1">IF($D90&lt;&gt;"Serviço",0,IF(OR(AND(AUTOEVENTO="Manual",$M90=1),$M90&gt;(ROW(PLE.lastrow)-ROW(PLE.firstrow))),0,IF(OFFSET(PLE!$G$14,$M90,BF$13)="",10^12,OFFSET(PLE!$G$14,$M90,BF$13))))</f>
        <v>1000000000000</v>
      </c>
      <c r="BG90" s="216">
        <f ca="1">IF($D90&lt;&gt;"Serviço",0,IF(OR(AND(AUTOEVENTO="Manual",$M90=1),$M90&gt;(ROW(PLE.lastrow)-ROW(PLE.firstrow))),0,IF(OFFSET(PLE!$G$14,$M90,BG$13)="",10^12,OFFSET(PLE!$G$14,$M90,BG$13))))</f>
        <v>1000000000000</v>
      </c>
    </row>
    <row r="91" spans="1:59" ht="25.5" x14ac:dyDescent="0.2">
      <c r="A91" s="9" t="str">
        <f t="shared" ca="1" si="9"/>
        <v>72</v>
      </c>
      <c r="B91" s="9" t="str">
        <f ca="1">OFFSET(ORÇAMENTO!C$15,ROW(B91)-ROW(B$15),0)</f>
        <v>S</v>
      </c>
      <c r="C91" s="9" t="str">
        <f ca="1">OFFSET(ORÇAMENTO!L$15,ROW(C91)-ROW(C$15),0)</f>
        <v/>
      </c>
      <c r="D91" s="145" t="str">
        <f ca="1">OFFSET(ORÇAMENTO!N$15,ROW(D91)-ROW(D$15),0)</f>
        <v>Serviço</v>
      </c>
      <c r="E91" s="205" t="str">
        <f ca="1">OFFSET(ORÇAMENTO!O$15,ROW(E91)-ROW(E$15),0)</f>
        <v>-</v>
      </c>
      <c r="F91" s="206" t="str">
        <f ca="1">OFFSET(ORÇAMENTO!R$15,ROW(F91)-ROW(F$15),0)</f>
        <v xml:space="preserve">CAIXA DE ATERRAMENTO EM CONCRETO PRE-MOLDADO, DIAMETRO DE 0,30 M E ALTURA DE 0,35 M, SEM FUNDO E COM TAMPA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G91" s="207" t="str">
        <f ca="1">IF($D91&lt;&gt;"Serviço","",OFFSET(ORÇAMENTO!S$15,ROW(G91)-ROW(G$15),0))</f>
        <v xml:space="preserve">UN    </v>
      </c>
      <c r="H91" s="151">
        <f ca="1">IF($D91&lt;&gt;"Serviço",0,IF(ACOMPANHAMENTO="BM",ROUND(OFFSET(ORÇAMENTO!AJ$15,ROW(H91)-ROW(H$15),0),15-13*ORÇAMENTO!$AF$7),SUMPRODUCT(($Q$12:$AA$12&lt;&gt;"")*ROUND($Q91:$AA91,15-13*ORÇAMENTO!$AF$7))))</f>
        <v>6</v>
      </c>
      <c r="I91" s="649"/>
      <c r="K91" s="208"/>
      <c r="L91" s="209" t="s">
        <v>255</v>
      </c>
      <c r="M91" s="210">
        <f ca="1">IF($D91&lt;&gt;"Serviço","",IF(AUTOEVENTO="manual",$A91,IF(ISERROR(MATCH($A91,$A$15:OFFSET($A91,-1,0),0)),MAX($M$15:OFFSET(M91,-1,0))+1,INDEX($M$15:OFFSET(M91,-1,0),MATCH($A91,$A$15:OFFSET($A91,-1,0),0)))))</f>
        <v>15</v>
      </c>
      <c r="N91" s="211" t="str">
        <f ca="1">IF($D91&lt;&gt;"Serviço","",IF(AUTOEVENTO="Manual",IF($A91=0,"&lt;-- defina o número do agrupador",OFFSET(EVENTOS!$D$14,$A91,0)),OFFSET($F$15,$A91,0)))</f>
        <v>SPDA</v>
      </c>
      <c r="O91" s="212"/>
      <c r="Q91" s="212"/>
      <c r="R91" s="213"/>
      <c r="S91" s="213"/>
      <c r="T91" s="213"/>
      <c r="U91" s="213"/>
      <c r="V91" s="213"/>
      <c r="W91" s="213"/>
      <c r="X91" s="213"/>
      <c r="Y91" s="213"/>
      <c r="Z91" s="214"/>
      <c r="AB91" s="630">
        <f ca="1">IF(AND($D91="Serviço",AB$12&lt;&gt;0,$H91&gt;0,OR(AUTOEVENTO&lt;&gt;"manual",$M91&lt;&gt;1)),
IF(Import.TipoArredondamento&lt;&gt;"TransfereGOV",
ROUND(OFFSET($P91,0,AB$13),15-13*ORÇAMENTO!$AF$7)/$H91*OFFSET(ORÇAMENTO!$X$15,ROW(AB91)-ROW(AB$15),0),
ROUND(ROUND(OFFSET($P91,0,AB$13),15-13*ORÇAMENTO!$AF$7)*OFFSET(ORÇAMENTO!$W$15,ROW(AB91)-ROW(AB$15),0),15-13*ORÇAMENTO!$AF$11)),0)</f>
        <v>0</v>
      </c>
      <c r="AC91" s="631">
        <f ca="1">IF(AND($D91="Serviço",AC$12&lt;&gt;0,$H91&gt;0,OR(AUTOEVENTO&lt;&gt;"manual",$M91&lt;&gt;1)),
IF(Import.TipoArredondamento&lt;&gt;"TransfereGOV",
ROUND(OFFSET($P91,0,AC$13),15-13*ORÇAMENTO!$AF$7)/$H91*OFFSET(ORÇAMENTO!$X$15,ROW(AC91)-ROW(AC$15),0),
ROUND(ROUND(OFFSET($P91,0,AC$13),15-13*ORÇAMENTO!$AF$7)*OFFSET(ORÇAMENTO!$W$15,ROW(AC91)-ROW(AC$15),0),15-13*ORÇAMENTO!$AF$11)),0)</f>
        <v>0</v>
      </c>
      <c r="AD91" s="631">
        <f ca="1">IF(AND($D91="Serviço",AD$12&lt;&gt;0,$H91&gt;0,OR(AUTOEVENTO&lt;&gt;"manual",$M91&lt;&gt;1)),
IF(Import.TipoArredondamento&lt;&gt;"TransfereGOV",
ROUND(OFFSET($P91,0,AD$13),15-13*ORÇAMENTO!$AF$7)/$H91*OFFSET(ORÇAMENTO!$X$15,ROW(AD91)-ROW(AD$15),0),
ROUND(ROUND(OFFSET($P91,0,AD$13),15-13*ORÇAMENTO!$AF$7)*OFFSET(ORÇAMENTO!$W$15,ROW(AD91)-ROW(AD$15),0),15-13*ORÇAMENTO!$AF$11)),0)</f>
        <v>0</v>
      </c>
      <c r="AE91" s="631">
        <f ca="1">IF(AND($D91="Serviço",AE$12&lt;&gt;0,$H91&gt;0,OR(AUTOEVENTO&lt;&gt;"manual",$M91&lt;&gt;1)),
IF(Import.TipoArredondamento&lt;&gt;"TransfereGOV",
ROUND(OFFSET($P91,0,AE$13),15-13*ORÇAMENTO!$AF$7)/$H91*OFFSET(ORÇAMENTO!$X$15,ROW(AE91)-ROW(AE$15),0),
ROUND(ROUND(OFFSET($P91,0,AE$13),15-13*ORÇAMENTO!$AF$7)*OFFSET(ORÇAMENTO!$W$15,ROW(AE91)-ROW(AE$15),0),15-13*ORÇAMENTO!$AF$11)),0)</f>
        <v>0</v>
      </c>
      <c r="AF91" s="631">
        <f ca="1">IF(AND($D91="Serviço",AF$12&lt;&gt;0,$H91&gt;0,OR(AUTOEVENTO&lt;&gt;"manual",$M91&lt;&gt;1)),
IF(Import.TipoArredondamento&lt;&gt;"TransfereGOV",
ROUND(OFFSET($P91,0,AF$13),15-13*ORÇAMENTO!$AF$7)/$H91*OFFSET(ORÇAMENTO!$X$15,ROW(AF91)-ROW(AF$15),0),
ROUND(ROUND(OFFSET($P91,0,AF$13),15-13*ORÇAMENTO!$AF$7)*OFFSET(ORÇAMENTO!$W$15,ROW(AF91)-ROW(AF$15),0),15-13*ORÇAMENTO!$AF$11)),0)</f>
        <v>0</v>
      </c>
      <c r="AG91" s="631">
        <f ca="1">IF(AND($D91="Serviço",AG$12&lt;&gt;0,$H91&gt;0,OR(AUTOEVENTO&lt;&gt;"manual",$M91&lt;&gt;1)),
IF(Import.TipoArredondamento&lt;&gt;"TransfereGOV",
ROUND(OFFSET($P91,0,AG$13),15-13*ORÇAMENTO!$AF$7)/$H91*OFFSET(ORÇAMENTO!$X$15,ROW(AG91)-ROW(AG$15),0),
ROUND(ROUND(OFFSET($P91,0,AG$13),15-13*ORÇAMENTO!$AF$7)*OFFSET(ORÇAMENTO!$W$15,ROW(AG91)-ROW(AG$15),0),15-13*ORÇAMENTO!$AF$11)),0)</f>
        <v>0</v>
      </c>
      <c r="AH91" s="631">
        <f ca="1">IF(AND($D91="Serviço",AH$12&lt;&gt;0,$H91&gt;0,OR(AUTOEVENTO&lt;&gt;"manual",$M91&lt;&gt;1)),
IF(Import.TipoArredondamento&lt;&gt;"TransfereGOV",
ROUND(OFFSET($P91,0,AH$13),15-13*ORÇAMENTO!$AF$7)/$H91*OFFSET(ORÇAMENTO!$X$15,ROW(AH91)-ROW(AH$15),0),
ROUND(ROUND(OFFSET($P91,0,AH$13),15-13*ORÇAMENTO!$AF$7)*OFFSET(ORÇAMENTO!$W$15,ROW(AH91)-ROW(AH$15),0),15-13*ORÇAMENTO!$AF$11)),0)</f>
        <v>0</v>
      </c>
      <c r="AI91" s="631">
        <f ca="1">IF(AND($D91="Serviço",AI$12&lt;&gt;0,$H91&gt;0,OR(AUTOEVENTO&lt;&gt;"manual",$M91&lt;&gt;1)),
IF(Import.TipoArredondamento&lt;&gt;"TransfereGOV",
ROUND(OFFSET($P91,0,AI$13),15-13*ORÇAMENTO!$AF$7)/$H91*OFFSET(ORÇAMENTO!$X$15,ROW(AI91)-ROW(AI$15),0),
ROUND(ROUND(OFFSET($P91,0,AI$13),15-13*ORÇAMENTO!$AF$7)*OFFSET(ORÇAMENTO!$W$15,ROW(AI91)-ROW(AI$15),0),15-13*ORÇAMENTO!$AF$11)),0)</f>
        <v>0</v>
      </c>
      <c r="AJ91" s="631">
        <f ca="1">IF(AND($D91="Serviço",AJ$12&lt;&gt;0,$H91&gt;0,OR(AUTOEVENTO&lt;&gt;"manual",$M91&lt;&gt;1)),
IF(Import.TipoArredondamento&lt;&gt;"TransfereGOV",
ROUND(OFFSET($P91,0,AJ$13),15-13*ORÇAMENTO!$AF$7)/$H91*OFFSET(ORÇAMENTO!$X$15,ROW(AJ91)-ROW(AJ$15),0),
ROUND(ROUND(OFFSET($P91,0,AJ$13),15-13*ORÇAMENTO!$AF$7)*OFFSET(ORÇAMENTO!$W$15,ROW(AJ91)-ROW(AJ$15),0),15-13*ORÇAMENTO!$AF$11)),0)</f>
        <v>0</v>
      </c>
      <c r="AK91" s="632">
        <f ca="1">IF(AND($D91="Serviço",AK$12&lt;&gt;0,$H91&gt;0,OR(AUTOEVENTO&lt;&gt;"manual",$M91&lt;&gt;1)),
IF(Import.TipoArredondamento&lt;&gt;"TransfereGOV",
ROUND(OFFSET($P91,0,AK$13),15-13*ORÇAMENTO!$AF$7)/$H91*OFFSET(ORÇAMENTO!$X$15,ROW(AK91)-ROW(AK$15),0),
ROUND(ROUND(OFFSET($P91,0,AK$13),15-13*ORÇAMENTO!$AF$7)*OFFSET(ORÇAMENTO!$W$15,ROW(AK91)-ROW(AK$15),0),15-13*ORÇAMENTO!$AF$11)),0)</f>
        <v>0</v>
      </c>
      <c r="AM91" s="215">
        <f ca="1">IF($D91&lt;&gt;"Serviço",0,IF(AND(AUTOEVENTO="Manual",$M91=1),0,IF(OFFSET(CRONOPLE!$F$14,$M91,AM$13)="",10^12,OFFSET(CRONOPLE!$F$14,$M91,AM$13))))</f>
        <v>1000000000000</v>
      </c>
      <c r="AN91" s="215">
        <f ca="1">IF($D91&lt;&gt;"Serviço",0,IF(AND(AUTOEVENTO="Manual",$M91=1),0,IF(OFFSET(CRONOPLE!$F$14,$M91,AN$13)="",10^12,OFFSET(CRONOPLE!$F$14,$M91,AN$13))))</f>
        <v>1000000000000</v>
      </c>
      <c r="AO91" s="215">
        <f ca="1">IF($D91&lt;&gt;"Serviço",0,IF(AND(AUTOEVENTO="Manual",$M91=1),0,IF(OFFSET(CRONOPLE!$F$14,$M91,AO$13)="",10^12,OFFSET(CRONOPLE!$F$14,$M91,AO$13))))</f>
        <v>1000000000000</v>
      </c>
      <c r="AP91" s="215">
        <f ca="1">IF($D91&lt;&gt;"Serviço",0,IF(AND(AUTOEVENTO="Manual",$M91=1),0,IF(OFFSET(CRONOPLE!$F$14,$M91,AP$13)="",10^12,OFFSET(CRONOPLE!$F$14,$M91,AP$13))))</f>
        <v>1000000000000</v>
      </c>
      <c r="AQ91" s="215">
        <f ca="1">IF($D91&lt;&gt;"Serviço",0,IF(AND(AUTOEVENTO="Manual",$M91=1),0,IF(OFFSET(CRONOPLE!$F$14,$M91,AQ$13)="",10^12,OFFSET(CRONOPLE!$F$14,$M91,AQ$13))))</f>
        <v>1000000000000</v>
      </c>
      <c r="AR91" s="215">
        <f ca="1">IF($D91&lt;&gt;"Serviço",0,IF(AND(AUTOEVENTO="Manual",$M91=1),0,IF(OFFSET(CRONOPLE!$F$14,$M91,AR$13)="",10^12,OFFSET(CRONOPLE!$F$14,$M91,AR$13))))</f>
        <v>1000000000000</v>
      </c>
      <c r="AS91" s="215">
        <f ca="1">IF($D91&lt;&gt;"Serviço",0,IF(AND(AUTOEVENTO="Manual",$M91=1),0,IF(OFFSET(CRONOPLE!$F$14,$M91,AS$13)="",10^12,OFFSET(CRONOPLE!$F$14,$M91,AS$13))))</f>
        <v>1000000000000</v>
      </c>
      <c r="AT91" s="215">
        <f ca="1">IF($D91&lt;&gt;"Serviço",0,IF(AND(AUTOEVENTO="Manual",$M91=1),0,IF(OFFSET(CRONOPLE!$F$14,$M91,AT$13)="",10^12,OFFSET(CRONOPLE!$F$14,$M91,AT$13))))</f>
        <v>1000000000000</v>
      </c>
      <c r="AU91" s="215">
        <f ca="1">IF($D91&lt;&gt;"Serviço",0,IF(AND(AUTOEVENTO="Manual",$M91=1),0,IF(OFFSET(CRONOPLE!$F$14,$M91,AU$13)="",10^12,OFFSET(CRONOPLE!$F$14,$M91,AU$13))))</f>
        <v>1000000000000</v>
      </c>
      <c r="AV91" s="215">
        <f ca="1">IF($D91&lt;&gt;"Serviço",0,IF(AND(AUTOEVENTO="Manual",$M91=1),0,IF(OFFSET(CRONOPLE!$F$14,$M91,AV$13)="",10^12,OFFSET(CRONOPLE!$F$14,$M91,AV$13))))</f>
        <v>1000000000000</v>
      </c>
      <c r="AX91" s="216">
        <f ca="1">IF($D91&lt;&gt;"Serviço",0,IF(OR(AND(AUTOEVENTO="Manual",$M91=1),$M91&gt;(ROW(PLE.lastrow)-ROW(PLE.firstrow))),0,IF(OFFSET(PLE!$G$14,$M91,AX$13)="",10^12,OFFSET(PLE!$G$14,$M91,AX$13))))</f>
        <v>1000000000000</v>
      </c>
      <c r="AY91" s="216">
        <f ca="1">IF($D91&lt;&gt;"Serviço",0,IF(OR(AND(AUTOEVENTO="Manual",$M91=1),$M91&gt;(ROW(PLE.lastrow)-ROW(PLE.firstrow))),0,IF(OFFSET(PLE!$G$14,$M91,AY$13)="",10^12,OFFSET(PLE!$G$14,$M91,AY$13))))</f>
        <v>1000000000000</v>
      </c>
      <c r="AZ91" s="216">
        <f ca="1">IF($D91&lt;&gt;"Serviço",0,IF(OR(AND(AUTOEVENTO="Manual",$M91=1),$M91&gt;(ROW(PLE.lastrow)-ROW(PLE.firstrow))),0,IF(OFFSET(PLE!$G$14,$M91,AZ$13)="",10^12,OFFSET(PLE!$G$14,$M91,AZ$13))))</f>
        <v>1000000000000</v>
      </c>
      <c r="BA91" s="216">
        <f ca="1">IF($D91&lt;&gt;"Serviço",0,IF(OR(AND(AUTOEVENTO="Manual",$M91=1),$M91&gt;(ROW(PLE.lastrow)-ROW(PLE.firstrow))),0,IF(OFFSET(PLE!$G$14,$M91,BA$13)="",10^12,OFFSET(PLE!$G$14,$M91,BA$13))))</f>
        <v>1000000000000</v>
      </c>
      <c r="BB91" s="216">
        <f ca="1">IF($D91&lt;&gt;"Serviço",0,IF(OR(AND(AUTOEVENTO="Manual",$M91=1),$M91&gt;(ROW(PLE.lastrow)-ROW(PLE.firstrow))),0,IF(OFFSET(PLE!$G$14,$M91,BB$13)="",10^12,OFFSET(PLE!$G$14,$M91,BB$13))))</f>
        <v>1000000000000</v>
      </c>
      <c r="BC91" s="216">
        <f ca="1">IF($D91&lt;&gt;"Serviço",0,IF(OR(AND(AUTOEVENTO="Manual",$M91=1),$M91&gt;(ROW(PLE.lastrow)-ROW(PLE.firstrow))),0,IF(OFFSET(PLE!$G$14,$M91,BC$13)="",10^12,OFFSET(PLE!$G$14,$M91,BC$13))))</f>
        <v>1000000000000</v>
      </c>
      <c r="BD91" s="216">
        <f ca="1">IF($D91&lt;&gt;"Serviço",0,IF(OR(AND(AUTOEVENTO="Manual",$M91=1),$M91&gt;(ROW(PLE.lastrow)-ROW(PLE.firstrow))),0,IF(OFFSET(PLE!$G$14,$M91,BD$13)="",10^12,OFFSET(PLE!$G$14,$M91,BD$13))))</f>
        <v>1000000000000</v>
      </c>
      <c r="BE91" s="216">
        <f ca="1">IF($D91&lt;&gt;"Serviço",0,IF(OR(AND(AUTOEVENTO="Manual",$M91=1),$M91&gt;(ROW(PLE.lastrow)-ROW(PLE.firstrow))),0,IF(OFFSET(PLE!$G$14,$M91,BE$13)="",10^12,OFFSET(PLE!$G$14,$M91,BE$13))))</f>
        <v>1000000000000</v>
      </c>
      <c r="BF91" s="216">
        <f ca="1">IF($D91&lt;&gt;"Serviço",0,IF(OR(AND(AUTOEVENTO="Manual",$M91=1),$M91&gt;(ROW(PLE.lastrow)-ROW(PLE.firstrow))),0,IF(OFFSET(PLE!$G$14,$M91,BF$13)="",10^12,OFFSET(PLE!$G$14,$M91,BF$13))))</f>
        <v>1000000000000</v>
      </c>
      <c r="BG91" s="216">
        <f ca="1">IF($D91&lt;&gt;"Serviço",0,IF(OR(AND(AUTOEVENTO="Manual",$M91=1),$M91&gt;(ROW(PLE.lastrow)-ROW(PLE.firstrow))),0,IF(OFFSET(PLE!$G$14,$M91,BG$13)="",10^12,OFFSET(PLE!$G$14,$M91,BG$13))))</f>
        <v>1000000000000</v>
      </c>
    </row>
    <row r="92" spans="1:59" ht="38.25" x14ac:dyDescent="0.2">
      <c r="A92" s="9" t="str">
        <f t="shared" ca="1" si="9"/>
        <v>72</v>
      </c>
      <c r="B92" s="9" t="str">
        <f ca="1">OFFSET(ORÇAMENTO!C$15,ROW(B92)-ROW(B$15),0)</f>
        <v>S</v>
      </c>
      <c r="C92" s="9" t="str">
        <f ca="1">OFFSET(ORÇAMENTO!L$15,ROW(C92)-ROW(C$15),0)</f>
        <v/>
      </c>
      <c r="D92" s="145" t="str">
        <f ca="1">OFFSET(ORÇAMENTO!N$15,ROW(D92)-ROW(D$15),0)</f>
        <v>Serviço</v>
      </c>
      <c r="E92" s="205" t="str">
        <f ca="1">OFFSET(ORÇAMENTO!O$15,ROW(E92)-ROW(E$15),0)</f>
        <v>-</v>
      </c>
      <c r="F92" s="206" t="str">
        <f ca="1">OFFSET(ORÇAMENTO!R$15,ROW(F92)-ROW(F$15),0)</f>
        <v>CONECTOR GRAMPO METÁLICO TIPO OLHAL, PARA SPDA, PARA HASTE DE ATERRAMENTO DE 5/8'' E CABOS DE 10 A 50 MM2 - FORNECIMENTO E INSTALAÇÃO. AF_08/2023</v>
      </c>
      <c r="G92" s="207" t="str">
        <f ca="1">IF($D92&lt;&gt;"Serviço","",OFFSET(ORÇAMENTO!S$15,ROW(G92)-ROW(G$15),0))</f>
        <v>UN</v>
      </c>
      <c r="H92" s="151">
        <f ca="1">IF($D92&lt;&gt;"Serviço",0,IF(ACOMPANHAMENTO="BM",ROUND(OFFSET(ORÇAMENTO!AJ$15,ROW(H92)-ROW(H$15),0),15-13*ORÇAMENTO!$AF$7),SUMPRODUCT(($Q$12:$AA$12&lt;&gt;"")*ROUND($Q92:$AA92,15-13*ORÇAMENTO!$AF$7))))</f>
        <v>35</v>
      </c>
      <c r="I92" s="649"/>
      <c r="K92" s="208"/>
      <c r="L92" s="209" t="s">
        <v>255</v>
      </c>
      <c r="M92" s="210">
        <f ca="1">IF($D92&lt;&gt;"Serviço","",IF(AUTOEVENTO="manual",$A92,IF(ISERROR(MATCH($A92,$A$15:OFFSET($A92,-1,0),0)),MAX($M$15:OFFSET(M92,-1,0))+1,INDEX($M$15:OFFSET(M92,-1,0),MATCH($A92,$A$15:OFFSET($A92,-1,0),0)))))</f>
        <v>15</v>
      </c>
      <c r="N92" s="211" t="str">
        <f ca="1">IF($D92&lt;&gt;"Serviço","",IF(AUTOEVENTO="Manual",IF($A92=0,"&lt;-- defina o número do agrupador",OFFSET(EVENTOS!$D$14,$A92,0)),OFFSET($F$15,$A92,0)))</f>
        <v>SPDA</v>
      </c>
      <c r="O92" s="212"/>
      <c r="Q92" s="212"/>
      <c r="R92" s="213"/>
      <c r="S92" s="213"/>
      <c r="T92" s="213"/>
      <c r="U92" s="213"/>
      <c r="V92" s="213"/>
      <c r="W92" s="213"/>
      <c r="X92" s="213"/>
      <c r="Y92" s="213"/>
      <c r="Z92" s="214"/>
      <c r="AB92" s="630">
        <f ca="1">IF(AND($D92="Serviço",AB$12&lt;&gt;0,$H92&gt;0,OR(AUTOEVENTO&lt;&gt;"manual",$M92&lt;&gt;1)),
IF(Import.TipoArredondamento&lt;&gt;"TransfereGOV",
ROUND(OFFSET($P92,0,AB$13),15-13*ORÇAMENTO!$AF$7)/$H92*OFFSET(ORÇAMENTO!$X$15,ROW(AB92)-ROW(AB$15),0),
ROUND(ROUND(OFFSET($P92,0,AB$13),15-13*ORÇAMENTO!$AF$7)*OFFSET(ORÇAMENTO!$W$15,ROW(AB92)-ROW(AB$15),0),15-13*ORÇAMENTO!$AF$11)),0)</f>
        <v>0</v>
      </c>
      <c r="AC92" s="631">
        <f ca="1">IF(AND($D92="Serviço",AC$12&lt;&gt;0,$H92&gt;0,OR(AUTOEVENTO&lt;&gt;"manual",$M92&lt;&gt;1)),
IF(Import.TipoArredondamento&lt;&gt;"TransfereGOV",
ROUND(OFFSET($P92,0,AC$13),15-13*ORÇAMENTO!$AF$7)/$H92*OFFSET(ORÇAMENTO!$X$15,ROW(AC92)-ROW(AC$15),0),
ROUND(ROUND(OFFSET($P92,0,AC$13),15-13*ORÇAMENTO!$AF$7)*OFFSET(ORÇAMENTO!$W$15,ROW(AC92)-ROW(AC$15),0),15-13*ORÇAMENTO!$AF$11)),0)</f>
        <v>0</v>
      </c>
      <c r="AD92" s="631">
        <f ca="1">IF(AND($D92="Serviço",AD$12&lt;&gt;0,$H92&gt;0,OR(AUTOEVENTO&lt;&gt;"manual",$M92&lt;&gt;1)),
IF(Import.TipoArredondamento&lt;&gt;"TransfereGOV",
ROUND(OFFSET($P92,0,AD$13),15-13*ORÇAMENTO!$AF$7)/$H92*OFFSET(ORÇAMENTO!$X$15,ROW(AD92)-ROW(AD$15),0),
ROUND(ROUND(OFFSET($P92,0,AD$13),15-13*ORÇAMENTO!$AF$7)*OFFSET(ORÇAMENTO!$W$15,ROW(AD92)-ROW(AD$15),0),15-13*ORÇAMENTO!$AF$11)),0)</f>
        <v>0</v>
      </c>
      <c r="AE92" s="631">
        <f ca="1">IF(AND($D92="Serviço",AE$12&lt;&gt;0,$H92&gt;0,OR(AUTOEVENTO&lt;&gt;"manual",$M92&lt;&gt;1)),
IF(Import.TipoArredondamento&lt;&gt;"TransfereGOV",
ROUND(OFFSET($P92,0,AE$13),15-13*ORÇAMENTO!$AF$7)/$H92*OFFSET(ORÇAMENTO!$X$15,ROW(AE92)-ROW(AE$15),0),
ROUND(ROUND(OFFSET($P92,0,AE$13),15-13*ORÇAMENTO!$AF$7)*OFFSET(ORÇAMENTO!$W$15,ROW(AE92)-ROW(AE$15),0),15-13*ORÇAMENTO!$AF$11)),0)</f>
        <v>0</v>
      </c>
      <c r="AF92" s="631">
        <f ca="1">IF(AND($D92="Serviço",AF$12&lt;&gt;0,$H92&gt;0,OR(AUTOEVENTO&lt;&gt;"manual",$M92&lt;&gt;1)),
IF(Import.TipoArredondamento&lt;&gt;"TransfereGOV",
ROUND(OFFSET($P92,0,AF$13),15-13*ORÇAMENTO!$AF$7)/$H92*OFFSET(ORÇAMENTO!$X$15,ROW(AF92)-ROW(AF$15),0),
ROUND(ROUND(OFFSET($P92,0,AF$13),15-13*ORÇAMENTO!$AF$7)*OFFSET(ORÇAMENTO!$W$15,ROW(AF92)-ROW(AF$15),0),15-13*ORÇAMENTO!$AF$11)),0)</f>
        <v>0</v>
      </c>
      <c r="AG92" s="631">
        <f ca="1">IF(AND($D92="Serviço",AG$12&lt;&gt;0,$H92&gt;0,OR(AUTOEVENTO&lt;&gt;"manual",$M92&lt;&gt;1)),
IF(Import.TipoArredondamento&lt;&gt;"TransfereGOV",
ROUND(OFFSET($P92,0,AG$13),15-13*ORÇAMENTO!$AF$7)/$H92*OFFSET(ORÇAMENTO!$X$15,ROW(AG92)-ROW(AG$15),0),
ROUND(ROUND(OFFSET($P92,0,AG$13),15-13*ORÇAMENTO!$AF$7)*OFFSET(ORÇAMENTO!$W$15,ROW(AG92)-ROW(AG$15),0),15-13*ORÇAMENTO!$AF$11)),0)</f>
        <v>0</v>
      </c>
      <c r="AH92" s="631">
        <f ca="1">IF(AND($D92="Serviço",AH$12&lt;&gt;0,$H92&gt;0,OR(AUTOEVENTO&lt;&gt;"manual",$M92&lt;&gt;1)),
IF(Import.TipoArredondamento&lt;&gt;"TransfereGOV",
ROUND(OFFSET($P92,0,AH$13),15-13*ORÇAMENTO!$AF$7)/$H92*OFFSET(ORÇAMENTO!$X$15,ROW(AH92)-ROW(AH$15),0),
ROUND(ROUND(OFFSET($P92,0,AH$13),15-13*ORÇAMENTO!$AF$7)*OFFSET(ORÇAMENTO!$W$15,ROW(AH92)-ROW(AH$15),0),15-13*ORÇAMENTO!$AF$11)),0)</f>
        <v>0</v>
      </c>
      <c r="AI92" s="631">
        <f ca="1">IF(AND($D92="Serviço",AI$12&lt;&gt;0,$H92&gt;0,OR(AUTOEVENTO&lt;&gt;"manual",$M92&lt;&gt;1)),
IF(Import.TipoArredondamento&lt;&gt;"TransfereGOV",
ROUND(OFFSET($P92,0,AI$13),15-13*ORÇAMENTO!$AF$7)/$H92*OFFSET(ORÇAMENTO!$X$15,ROW(AI92)-ROW(AI$15),0),
ROUND(ROUND(OFFSET($P92,0,AI$13),15-13*ORÇAMENTO!$AF$7)*OFFSET(ORÇAMENTO!$W$15,ROW(AI92)-ROW(AI$15),0),15-13*ORÇAMENTO!$AF$11)),0)</f>
        <v>0</v>
      </c>
      <c r="AJ92" s="631">
        <f ca="1">IF(AND($D92="Serviço",AJ$12&lt;&gt;0,$H92&gt;0,OR(AUTOEVENTO&lt;&gt;"manual",$M92&lt;&gt;1)),
IF(Import.TipoArredondamento&lt;&gt;"TransfereGOV",
ROUND(OFFSET($P92,0,AJ$13),15-13*ORÇAMENTO!$AF$7)/$H92*OFFSET(ORÇAMENTO!$X$15,ROW(AJ92)-ROW(AJ$15),0),
ROUND(ROUND(OFFSET($P92,0,AJ$13),15-13*ORÇAMENTO!$AF$7)*OFFSET(ORÇAMENTO!$W$15,ROW(AJ92)-ROW(AJ$15),0),15-13*ORÇAMENTO!$AF$11)),0)</f>
        <v>0</v>
      </c>
      <c r="AK92" s="632">
        <f ca="1">IF(AND($D92="Serviço",AK$12&lt;&gt;0,$H92&gt;0,OR(AUTOEVENTO&lt;&gt;"manual",$M92&lt;&gt;1)),
IF(Import.TipoArredondamento&lt;&gt;"TransfereGOV",
ROUND(OFFSET($P92,0,AK$13),15-13*ORÇAMENTO!$AF$7)/$H92*OFFSET(ORÇAMENTO!$X$15,ROW(AK92)-ROW(AK$15),0),
ROUND(ROUND(OFFSET($P92,0,AK$13),15-13*ORÇAMENTO!$AF$7)*OFFSET(ORÇAMENTO!$W$15,ROW(AK92)-ROW(AK$15),0),15-13*ORÇAMENTO!$AF$11)),0)</f>
        <v>0</v>
      </c>
      <c r="AM92" s="215">
        <f ca="1">IF($D92&lt;&gt;"Serviço",0,IF(AND(AUTOEVENTO="Manual",$M92=1),0,IF(OFFSET(CRONOPLE!$F$14,$M92,AM$13)="",10^12,OFFSET(CRONOPLE!$F$14,$M92,AM$13))))</f>
        <v>1000000000000</v>
      </c>
      <c r="AN92" s="215">
        <f ca="1">IF($D92&lt;&gt;"Serviço",0,IF(AND(AUTOEVENTO="Manual",$M92=1),0,IF(OFFSET(CRONOPLE!$F$14,$M92,AN$13)="",10^12,OFFSET(CRONOPLE!$F$14,$M92,AN$13))))</f>
        <v>1000000000000</v>
      </c>
      <c r="AO92" s="215">
        <f ca="1">IF($D92&lt;&gt;"Serviço",0,IF(AND(AUTOEVENTO="Manual",$M92=1),0,IF(OFFSET(CRONOPLE!$F$14,$M92,AO$13)="",10^12,OFFSET(CRONOPLE!$F$14,$M92,AO$13))))</f>
        <v>1000000000000</v>
      </c>
      <c r="AP92" s="215">
        <f ca="1">IF($D92&lt;&gt;"Serviço",0,IF(AND(AUTOEVENTO="Manual",$M92=1),0,IF(OFFSET(CRONOPLE!$F$14,$M92,AP$13)="",10^12,OFFSET(CRONOPLE!$F$14,$M92,AP$13))))</f>
        <v>1000000000000</v>
      </c>
      <c r="AQ92" s="215">
        <f ca="1">IF($D92&lt;&gt;"Serviço",0,IF(AND(AUTOEVENTO="Manual",$M92=1),0,IF(OFFSET(CRONOPLE!$F$14,$M92,AQ$13)="",10^12,OFFSET(CRONOPLE!$F$14,$M92,AQ$13))))</f>
        <v>1000000000000</v>
      </c>
      <c r="AR92" s="215">
        <f ca="1">IF($D92&lt;&gt;"Serviço",0,IF(AND(AUTOEVENTO="Manual",$M92=1),0,IF(OFFSET(CRONOPLE!$F$14,$M92,AR$13)="",10^12,OFFSET(CRONOPLE!$F$14,$M92,AR$13))))</f>
        <v>1000000000000</v>
      </c>
      <c r="AS92" s="215">
        <f ca="1">IF($D92&lt;&gt;"Serviço",0,IF(AND(AUTOEVENTO="Manual",$M92=1),0,IF(OFFSET(CRONOPLE!$F$14,$M92,AS$13)="",10^12,OFFSET(CRONOPLE!$F$14,$M92,AS$13))))</f>
        <v>1000000000000</v>
      </c>
      <c r="AT92" s="215">
        <f ca="1">IF($D92&lt;&gt;"Serviço",0,IF(AND(AUTOEVENTO="Manual",$M92=1),0,IF(OFFSET(CRONOPLE!$F$14,$M92,AT$13)="",10^12,OFFSET(CRONOPLE!$F$14,$M92,AT$13))))</f>
        <v>1000000000000</v>
      </c>
      <c r="AU92" s="215">
        <f ca="1">IF($D92&lt;&gt;"Serviço",0,IF(AND(AUTOEVENTO="Manual",$M92=1),0,IF(OFFSET(CRONOPLE!$F$14,$M92,AU$13)="",10^12,OFFSET(CRONOPLE!$F$14,$M92,AU$13))))</f>
        <v>1000000000000</v>
      </c>
      <c r="AV92" s="215">
        <f ca="1">IF($D92&lt;&gt;"Serviço",0,IF(AND(AUTOEVENTO="Manual",$M92=1),0,IF(OFFSET(CRONOPLE!$F$14,$M92,AV$13)="",10^12,OFFSET(CRONOPLE!$F$14,$M92,AV$13))))</f>
        <v>1000000000000</v>
      </c>
      <c r="AX92" s="216">
        <f ca="1">IF($D92&lt;&gt;"Serviço",0,IF(OR(AND(AUTOEVENTO="Manual",$M92=1),$M92&gt;(ROW(PLE.lastrow)-ROW(PLE.firstrow))),0,IF(OFFSET(PLE!$G$14,$M92,AX$13)="",10^12,OFFSET(PLE!$G$14,$M92,AX$13))))</f>
        <v>1000000000000</v>
      </c>
      <c r="AY92" s="216">
        <f ca="1">IF($D92&lt;&gt;"Serviço",0,IF(OR(AND(AUTOEVENTO="Manual",$M92=1),$M92&gt;(ROW(PLE.lastrow)-ROW(PLE.firstrow))),0,IF(OFFSET(PLE!$G$14,$M92,AY$13)="",10^12,OFFSET(PLE!$G$14,$M92,AY$13))))</f>
        <v>1000000000000</v>
      </c>
      <c r="AZ92" s="216">
        <f ca="1">IF($D92&lt;&gt;"Serviço",0,IF(OR(AND(AUTOEVENTO="Manual",$M92=1),$M92&gt;(ROW(PLE.lastrow)-ROW(PLE.firstrow))),0,IF(OFFSET(PLE!$G$14,$M92,AZ$13)="",10^12,OFFSET(PLE!$G$14,$M92,AZ$13))))</f>
        <v>1000000000000</v>
      </c>
      <c r="BA92" s="216">
        <f ca="1">IF($D92&lt;&gt;"Serviço",0,IF(OR(AND(AUTOEVENTO="Manual",$M92=1),$M92&gt;(ROW(PLE.lastrow)-ROW(PLE.firstrow))),0,IF(OFFSET(PLE!$G$14,$M92,BA$13)="",10^12,OFFSET(PLE!$G$14,$M92,BA$13))))</f>
        <v>1000000000000</v>
      </c>
      <c r="BB92" s="216">
        <f ca="1">IF($D92&lt;&gt;"Serviço",0,IF(OR(AND(AUTOEVENTO="Manual",$M92=1),$M92&gt;(ROW(PLE.lastrow)-ROW(PLE.firstrow))),0,IF(OFFSET(PLE!$G$14,$M92,BB$13)="",10^12,OFFSET(PLE!$G$14,$M92,BB$13))))</f>
        <v>1000000000000</v>
      </c>
      <c r="BC92" s="216">
        <f ca="1">IF($D92&lt;&gt;"Serviço",0,IF(OR(AND(AUTOEVENTO="Manual",$M92=1),$M92&gt;(ROW(PLE.lastrow)-ROW(PLE.firstrow))),0,IF(OFFSET(PLE!$G$14,$M92,BC$13)="",10^12,OFFSET(PLE!$G$14,$M92,BC$13))))</f>
        <v>1000000000000</v>
      </c>
      <c r="BD92" s="216">
        <f ca="1">IF($D92&lt;&gt;"Serviço",0,IF(OR(AND(AUTOEVENTO="Manual",$M92=1),$M92&gt;(ROW(PLE.lastrow)-ROW(PLE.firstrow))),0,IF(OFFSET(PLE!$G$14,$M92,BD$13)="",10^12,OFFSET(PLE!$G$14,$M92,BD$13))))</f>
        <v>1000000000000</v>
      </c>
      <c r="BE92" s="216">
        <f ca="1">IF($D92&lt;&gt;"Serviço",0,IF(OR(AND(AUTOEVENTO="Manual",$M92=1),$M92&gt;(ROW(PLE.lastrow)-ROW(PLE.firstrow))),0,IF(OFFSET(PLE!$G$14,$M92,BE$13)="",10^12,OFFSET(PLE!$G$14,$M92,BE$13))))</f>
        <v>1000000000000</v>
      </c>
      <c r="BF92" s="216">
        <f ca="1">IF($D92&lt;&gt;"Serviço",0,IF(OR(AND(AUTOEVENTO="Manual",$M92=1),$M92&gt;(ROW(PLE.lastrow)-ROW(PLE.firstrow))),0,IF(OFFSET(PLE!$G$14,$M92,BF$13)="",10^12,OFFSET(PLE!$G$14,$M92,BF$13))))</f>
        <v>1000000000000</v>
      </c>
      <c r="BG92" s="216">
        <f ca="1">IF($D92&lt;&gt;"Serviço",0,IF(OR(AND(AUTOEVENTO="Manual",$M92=1),$M92&gt;(ROW(PLE.lastrow)-ROW(PLE.firstrow))),0,IF(OFFSET(PLE!$G$14,$M92,BG$13)="",10^12,OFFSET(PLE!$G$14,$M92,BG$13))))</f>
        <v>1000000000000</v>
      </c>
    </row>
    <row r="93" spans="1:59" ht="25.5" x14ac:dyDescent="0.2">
      <c r="A93" s="9" t="str">
        <f t="shared" ca="1" si="9"/>
        <v>72</v>
      </c>
      <c r="B93" s="9" t="str">
        <f ca="1">OFFSET(ORÇAMENTO!C$15,ROW(B93)-ROW(B$15),0)</f>
        <v>S</v>
      </c>
      <c r="C93" s="9" t="str">
        <f ca="1">OFFSET(ORÇAMENTO!L$15,ROW(C93)-ROW(C$15),0)</f>
        <v/>
      </c>
      <c r="D93" s="145" t="str">
        <f ca="1">OFFSET(ORÇAMENTO!N$15,ROW(D93)-ROW(D$15),0)</f>
        <v>Serviço</v>
      </c>
      <c r="E93" s="205" t="str">
        <f ca="1">OFFSET(ORÇAMENTO!O$15,ROW(E93)-ROW(E$15),0)</f>
        <v>-</v>
      </c>
      <c r="F93" s="206" t="str">
        <f ca="1">OFFSET(ORÇAMENTO!R$15,ROW(F93)-ROW(F$15),0)</f>
        <v>HASTE DE ATERRAMENTO, DIÂMETRO 5/8", COM 3 METROS - FORNECIMENTO E INSTALAÇÃO. AF_08/2023</v>
      </c>
      <c r="G93" s="207" t="str">
        <f ca="1">IF($D93&lt;&gt;"Serviço","",OFFSET(ORÇAMENTO!S$15,ROW(G93)-ROW(G$15),0))</f>
        <v>UN</v>
      </c>
      <c r="H93" s="151">
        <f ca="1">IF($D93&lt;&gt;"Serviço",0,IF(ACOMPANHAMENTO="BM",ROUND(OFFSET(ORÇAMENTO!AJ$15,ROW(H93)-ROW(H$15),0),15-13*ORÇAMENTO!$AF$7),SUMPRODUCT(($Q$12:$AA$12&lt;&gt;"")*ROUND($Q93:$AA93,15-13*ORÇAMENTO!$AF$7))))</f>
        <v>35</v>
      </c>
      <c r="I93" s="649"/>
      <c r="K93" s="208"/>
      <c r="L93" s="209" t="s">
        <v>255</v>
      </c>
      <c r="M93" s="210">
        <f ca="1">IF($D93&lt;&gt;"Serviço","",IF(AUTOEVENTO="manual",$A93,IF(ISERROR(MATCH($A93,$A$15:OFFSET($A93,-1,0),0)),MAX($M$15:OFFSET(M93,-1,0))+1,INDEX($M$15:OFFSET(M93,-1,0),MATCH($A93,$A$15:OFFSET($A93,-1,0),0)))))</f>
        <v>15</v>
      </c>
      <c r="N93" s="211" t="str">
        <f ca="1">IF($D93&lt;&gt;"Serviço","",IF(AUTOEVENTO="Manual",IF($A93=0,"&lt;-- defina o número do agrupador",OFFSET(EVENTOS!$D$14,$A93,0)),OFFSET($F$15,$A93,0)))</f>
        <v>SPDA</v>
      </c>
      <c r="O93" s="212"/>
      <c r="Q93" s="212"/>
      <c r="R93" s="213"/>
      <c r="S93" s="213"/>
      <c r="T93" s="213"/>
      <c r="U93" s="213"/>
      <c r="V93" s="213"/>
      <c r="W93" s="213"/>
      <c r="X93" s="213"/>
      <c r="Y93" s="213"/>
      <c r="Z93" s="214"/>
      <c r="AB93" s="630">
        <f ca="1">IF(AND($D93="Serviço",AB$12&lt;&gt;0,$H93&gt;0,OR(AUTOEVENTO&lt;&gt;"manual",$M93&lt;&gt;1)),
IF(Import.TipoArredondamento&lt;&gt;"TransfereGOV",
ROUND(OFFSET($P93,0,AB$13),15-13*ORÇAMENTO!$AF$7)/$H93*OFFSET(ORÇAMENTO!$X$15,ROW(AB93)-ROW(AB$15),0),
ROUND(ROUND(OFFSET($P93,0,AB$13),15-13*ORÇAMENTO!$AF$7)*OFFSET(ORÇAMENTO!$W$15,ROW(AB93)-ROW(AB$15),0),15-13*ORÇAMENTO!$AF$11)),0)</f>
        <v>0</v>
      </c>
      <c r="AC93" s="631">
        <f ca="1">IF(AND($D93="Serviço",AC$12&lt;&gt;0,$H93&gt;0,OR(AUTOEVENTO&lt;&gt;"manual",$M93&lt;&gt;1)),
IF(Import.TipoArredondamento&lt;&gt;"TransfereGOV",
ROUND(OFFSET($P93,0,AC$13),15-13*ORÇAMENTO!$AF$7)/$H93*OFFSET(ORÇAMENTO!$X$15,ROW(AC93)-ROW(AC$15),0),
ROUND(ROUND(OFFSET($P93,0,AC$13),15-13*ORÇAMENTO!$AF$7)*OFFSET(ORÇAMENTO!$W$15,ROW(AC93)-ROW(AC$15),0),15-13*ORÇAMENTO!$AF$11)),0)</f>
        <v>0</v>
      </c>
      <c r="AD93" s="631">
        <f ca="1">IF(AND($D93="Serviço",AD$12&lt;&gt;0,$H93&gt;0,OR(AUTOEVENTO&lt;&gt;"manual",$M93&lt;&gt;1)),
IF(Import.TipoArredondamento&lt;&gt;"TransfereGOV",
ROUND(OFFSET($P93,0,AD$13),15-13*ORÇAMENTO!$AF$7)/$H93*OFFSET(ORÇAMENTO!$X$15,ROW(AD93)-ROW(AD$15),0),
ROUND(ROUND(OFFSET($P93,0,AD$13),15-13*ORÇAMENTO!$AF$7)*OFFSET(ORÇAMENTO!$W$15,ROW(AD93)-ROW(AD$15),0),15-13*ORÇAMENTO!$AF$11)),0)</f>
        <v>0</v>
      </c>
      <c r="AE93" s="631">
        <f ca="1">IF(AND($D93="Serviço",AE$12&lt;&gt;0,$H93&gt;0,OR(AUTOEVENTO&lt;&gt;"manual",$M93&lt;&gt;1)),
IF(Import.TipoArredondamento&lt;&gt;"TransfereGOV",
ROUND(OFFSET($P93,0,AE$13),15-13*ORÇAMENTO!$AF$7)/$H93*OFFSET(ORÇAMENTO!$X$15,ROW(AE93)-ROW(AE$15),0),
ROUND(ROUND(OFFSET($P93,0,AE$13),15-13*ORÇAMENTO!$AF$7)*OFFSET(ORÇAMENTO!$W$15,ROW(AE93)-ROW(AE$15),0),15-13*ORÇAMENTO!$AF$11)),0)</f>
        <v>0</v>
      </c>
      <c r="AF93" s="631">
        <f ca="1">IF(AND($D93="Serviço",AF$12&lt;&gt;0,$H93&gt;0,OR(AUTOEVENTO&lt;&gt;"manual",$M93&lt;&gt;1)),
IF(Import.TipoArredondamento&lt;&gt;"TransfereGOV",
ROUND(OFFSET($P93,0,AF$13),15-13*ORÇAMENTO!$AF$7)/$H93*OFFSET(ORÇAMENTO!$X$15,ROW(AF93)-ROW(AF$15),0),
ROUND(ROUND(OFFSET($P93,0,AF$13),15-13*ORÇAMENTO!$AF$7)*OFFSET(ORÇAMENTO!$W$15,ROW(AF93)-ROW(AF$15),0),15-13*ORÇAMENTO!$AF$11)),0)</f>
        <v>0</v>
      </c>
      <c r="AG93" s="631">
        <f ca="1">IF(AND($D93="Serviço",AG$12&lt;&gt;0,$H93&gt;0,OR(AUTOEVENTO&lt;&gt;"manual",$M93&lt;&gt;1)),
IF(Import.TipoArredondamento&lt;&gt;"TransfereGOV",
ROUND(OFFSET($P93,0,AG$13),15-13*ORÇAMENTO!$AF$7)/$H93*OFFSET(ORÇAMENTO!$X$15,ROW(AG93)-ROW(AG$15),0),
ROUND(ROUND(OFFSET($P93,0,AG$13),15-13*ORÇAMENTO!$AF$7)*OFFSET(ORÇAMENTO!$W$15,ROW(AG93)-ROW(AG$15),0),15-13*ORÇAMENTO!$AF$11)),0)</f>
        <v>0</v>
      </c>
      <c r="AH93" s="631">
        <f ca="1">IF(AND($D93="Serviço",AH$12&lt;&gt;0,$H93&gt;0,OR(AUTOEVENTO&lt;&gt;"manual",$M93&lt;&gt;1)),
IF(Import.TipoArredondamento&lt;&gt;"TransfereGOV",
ROUND(OFFSET($P93,0,AH$13),15-13*ORÇAMENTO!$AF$7)/$H93*OFFSET(ORÇAMENTO!$X$15,ROW(AH93)-ROW(AH$15),0),
ROUND(ROUND(OFFSET($P93,0,AH$13),15-13*ORÇAMENTO!$AF$7)*OFFSET(ORÇAMENTO!$W$15,ROW(AH93)-ROW(AH$15),0),15-13*ORÇAMENTO!$AF$11)),0)</f>
        <v>0</v>
      </c>
      <c r="AI93" s="631">
        <f ca="1">IF(AND($D93="Serviço",AI$12&lt;&gt;0,$H93&gt;0,OR(AUTOEVENTO&lt;&gt;"manual",$M93&lt;&gt;1)),
IF(Import.TipoArredondamento&lt;&gt;"TransfereGOV",
ROUND(OFFSET($P93,0,AI$13),15-13*ORÇAMENTO!$AF$7)/$H93*OFFSET(ORÇAMENTO!$X$15,ROW(AI93)-ROW(AI$15),0),
ROUND(ROUND(OFFSET($P93,0,AI$13),15-13*ORÇAMENTO!$AF$7)*OFFSET(ORÇAMENTO!$W$15,ROW(AI93)-ROW(AI$15),0),15-13*ORÇAMENTO!$AF$11)),0)</f>
        <v>0</v>
      </c>
      <c r="AJ93" s="631">
        <f ca="1">IF(AND($D93="Serviço",AJ$12&lt;&gt;0,$H93&gt;0,OR(AUTOEVENTO&lt;&gt;"manual",$M93&lt;&gt;1)),
IF(Import.TipoArredondamento&lt;&gt;"TransfereGOV",
ROUND(OFFSET($P93,0,AJ$13),15-13*ORÇAMENTO!$AF$7)/$H93*OFFSET(ORÇAMENTO!$X$15,ROW(AJ93)-ROW(AJ$15),0),
ROUND(ROUND(OFFSET($P93,0,AJ$13),15-13*ORÇAMENTO!$AF$7)*OFFSET(ORÇAMENTO!$W$15,ROW(AJ93)-ROW(AJ$15),0),15-13*ORÇAMENTO!$AF$11)),0)</f>
        <v>0</v>
      </c>
      <c r="AK93" s="632">
        <f ca="1">IF(AND($D93="Serviço",AK$12&lt;&gt;0,$H93&gt;0,OR(AUTOEVENTO&lt;&gt;"manual",$M93&lt;&gt;1)),
IF(Import.TipoArredondamento&lt;&gt;"TransfereGOV",
ROUND(OFFSET($P93,0,AK$13),15-13*ORÇAMENTO!$AF$7)/$H93*OFFSET(ORÇAMENTO!$X$15,ROW(AK93)-ROW(AK$15),0),
ROUND(ROUND(OFFSET($P93,0,AK$13),15-13*ORÇAMENTO!$AF$7)*OFFSET(ORÇAMENTO!$W$15,ROW(AK93)-ROW(AK$15),0),15-13*ORÇAMENTO!$AF$11)),0)</f>
        <v>0</v>
      </c>
      <c r="AM93" s="215">
        <f ca="1">IF($D93&lt;&gt;"Serviço",0,IF(AND(AUTOEVENTO="Manual",$M93=1),0,IF(OFFSET(CRONOPLE!$F$14,$M93,AM$13)="",10^12,OFFSET(CRONOPLE!$F$14,$M93,AM$13))))</f>
        <v>1000000000000</v>
      </c>
      <c r="AN93" s="215">
        <f ca="1">IF($D93&lt;&gt;"Serviço",0,IF(AND(AUTOEVENTO="Manual",$M93=1),0,IF(OFFSET(CRONOPLE!$F$14,$M93,AN$13)="",10^12,OFFSET(CRONOPLE!$F$14,$M93,AN$13))))</f>
        <v>1000000000000</v>
      </c>
      <c r="AO93" s="215">
        <f ca="1">IF($D93&lt;&gt;"Serviço",0,IF(AND(AUTOEVENTO="Manual",$M93=1),0,IF(OFFSET(CRONOPLE!$F$14,$M93,AO$13)="",10^12,OFFSET(CRONOPLE!$F$14,$M93,AO$13))))</f>
        <v>1000000000000</v>
      </c>
      <c r="AP93" s="215">
        <f ca="1">IF($D93&lt;&gt;"Serviço",0,IF(AND(AUTOEVENTO="Manual",$M93=1),0,IF(OFFSET(CRONOPLE!$F$14,$M93,AP$13)="",10^12,OFFSET(CRONOPLE!$F$14,$M93,AP$13))))</f>
        <v>1000000000000</v>
      </c>
      <c r="AQ93" s="215">
        <f ca="1">IF($D93&lt;&gt;"Serviço",0,IF(AND(AUTOEVENTO="Manual",$M93=1),0,IF(OFFSET(CRONOPLE!$F$14,$M93,AQ$13)="",10^12,OFFSET(CRONOPLE!$F$14,$M93,AQ$13))))</f>
        <v>1000000000000</v>
      </c>
      <c r="AR93" s="215">
        <f ca="1">IF($D93&lt;&gt;"Serviço",0,IF(AND(AUTOEVENTO="Manual",$M93=1),0,IF(OFFSET(CRONOPLE!$F$14,$M93,AR$13)="",10^12,OFFSET(CRONOPLE!$F$14,$M93,AR$13))))</f>
        <v>1000000000000</v>
      </c>
      <c r="AS93" s="215">
        <f ca="1">IF($D93&lt;&gt;"Serviço",0,IF(AND(AUTOEVENTO="Manual",$M93=1),0,IF(OFFSET(CRONOPLE!$F$14,$M93,AS$13)="",10^12,OFFSET(CRONOPLE!$F$14,$M93,AS$13))))</f>
        <v>1000000000000</v>
      </c>
      <c r="AT93" s="215">
        <f ca="1">IF($D93&lt;&gt;"Serviço",0,IF(AND(AUTOEVENTO="Manual",$M93=1),0,IF(OFFSET(CRONOPLE!$F$14,$M93,AT$13)="",10^12,OFFSET(CRONOPLE!$F$14,$M93,AT$13))))</f>
        <v>1000000000000</v>
      </c>
      <c r="AU93" s="215">
        <f ca="1">IF($D93&lt;&gt;"Serviço",0,IF(AND(AUTOEVENTO="Manual",$M93=1),0,IF(OFFSET(CRONOPLE!$F$14,$M93,AU$13)="",10^12,OFFSET(CRONOPLE!$F$14,$M93,AU$13))))</f>
        <v>1000000000000</v>
      </c>
      <c r="AV93" s="215">
        <f ca="1">IF($D93&lt;&gt;"Serviço",0,IF(AND(AUTOEVENTO="Manual",$M93=1),0,IF(OFFSET(CRONOPLE!$F$14,$M93,AV$13)="",10^12,OFFSET(CRONOPLE!$F$14,$M93,AV$13))))</f>
        <v>1000000000000</v>
      </c>
      <c r="AX93" s="216">
        <f ca="1">IF($D93&lt;&gt;"Serviço",0,IF(OR(AND(AUTOEVENTO="Manual",$M93=1),$M93&gt;(ROW(PLE.lastrow)-ROW(PLE.firstrow))),0,IF(OFFSET(PLE!$G$14,$M93,AX$13)="",10^12,OFFSET(PLE!$G$14,$M93,AX$13))))</f>
        <v>1000000000000</v>
      </c>
      <c r="AY93" s="216">
        <f ca="1">IF($D93&lt;&gt;"Serviço",0,IF(OR(AND(AUTOEVENTO="Manual",$M93=1),$M93&gt;(ROW(PLE.lastrow)-ROW(PLE.firstrow))),0,IF(OFFSET(PLE!$G$14,$M93,AY$13)="",10^12,OFFSET(PLE!$G$14,$M93,AY$13))))</f>
        <v>1000000000000</v>
      </c>
      <c r="AZ93" s="216">
        <f ca="1">IF($D93&lt;&gt;"Serviço",0,IF(OR(AND(AUTOEVENTO="Manual",$M93=1),$M93&gt;(ROW(PLE.lastrow)-ROW(PLE.firstrow))),0,IF(OFFSET(PLE!$G$14,$M93,AZ$13)="",10^12,OFFSET(PLE!$G$14,$M93,AZ$13))))</f>
        <v>1000000000000</v>
      </c>
      <c r="BA93" s="216">
        <f ca="1">IF($D93&lt;&gt;"Serviço",0,IF(OR(AND(AUTOEVENTO="Manual",$M93=1),$M93&gt;(ROW(PLE.lastrow)-ROW(PLE.firstrow))),0,IF(OFFSET(PLE!$G$14,$M93,BA$13)="",10^12,OFFSET(PLE!$G$14,$M93,BA$13))))</f>
        <v>1000000000000</v>
      </c>
      <c r="BB93" s="216">
        <f ca="1">IF($D93&lt;&gt;"Serviço",0,IF(OR(AND(AUTOEVENTO="Manual",$M93=1),$M93&gt;(ROW(PLE.lastrow)-ROW(PLE.firstrow))),0,IF(OFFSET(PLE!$G$14,$M93,BB$13)="",10^12,OFFSET(PLE!$G$14,$M93,BB$13))))</f>
        <v>1000000000000</v>
      </c>
      <c r="BC93" s="216">
        <f ca="1">IF($D93&lt;&gt;"Serviço",0,IF(OR(AND(AUTOEVENTO="Manual",$M93=1),$M93&gt;(ROW(PLE.lastrow)-ROW(PLE.firstrow))),0,IF(OFFSET(PLE!$G$14,$M93,BC$13)="",10^12,OFFSET(PLE!$G$14,$M93,BC$13))))</f>
        <v>1000000000000</v>
      </c>
      <c r="BD93" s="216">
        <f ca="1">IF($D93&lt;&gt;"Serviço",0,IF(OR(AND(AUTOEVENTO="Manual",$M93=1),$M93&gt;(ROW(PLE.lastrow)-ROW(PLE.firstrow))),0,IF(OFFSET(PLE!$G$14,$M93,BD$13)="",10^12,OFFSET(PLE!$G$14,$M93,BD$13))))</f>
        <v>1000000000000</v>
      </c>
      <c r="BE93" s="216">
        <f ca="1">IF($D93&lt;&gt;"Serviço",0,IF(OR(AND(AUTOEVENTO="Manual",$M93=1),$M93&gt;(ROW(PLE.lastrow)-ROW(PLE.firstrow))),0,IF(OFFSET(PLE!$G$14,$M93,BE$13)="",10^12,OFFSET(PLE!$G$14,$M93,BE$13))))</f>
        <v>1000000000000</v>
      </c>
      <c r="BF93" s="216">
        <f ca="1">IF($D93&lt;&gt;"Serviço",0,IF(OR(AND(AUTOEVENTO="Manual",$M93=1),$M93&gt;(ROW(PLE.lastrow)-ROW(PLE.firstrow))),0,IF(OFFSET(PLE!$G$14,$M93,BF$13)="",10^12,OFFSET(PLE!$G$14,$M93,BF$13))))</f>
        <v>1000000000000</v>
      </c>
      <c r="BG93" s="216">
        <f ca="1">IF($D93&lt;&gt;"Serviço",0,IF(OR(AND(AUTOEVENTO="Manual",$M93=1),$M93&gt;(ROW(PLE.lastrow)-ROW(PLE.firstrow))),0,IF(OFFSET(PLE!$G$14,$M93,BG$13)="",10^12,OFFSET(PLE!$G$14,$M93,BG$13))))</f>
        <v>1000000000000</v>
      </c>
    </row>
    <row r="94" spans="1:59" ht="12.75" x14ac:dyDescent="0.2">
      <c r="A94" s="9" t="str">
        <f t="shared" ca="1" si="9"/>
        <v>79.</v>
      </c>
      <c r="B94" s="9">
        <f ca="1">OFFSET(ORÇAMENTO!C$15,ROW(B94)-ROW(B$15),0)</f>
        <v>2</v>
      </c>
      <c r="C94" s="9" t="str">
        <f ca="1">OFFSET(ORÇAMENTO!L$15,ROW(C94)-ROW(C$15),0)</f>
        <v>F</v>
      </c>
      <c r="D94" s="145" t="str">
        <f ca="1">OFFSET(ORÇAMENTO!N$15,ROW(D94)-ROW(D$15),0)</f>
        <v>Nível 2</v>
      </c>
      <c r="E94" s="205" t="str">
        <f ca="1">OFFSET(ORÇAMENTO!O$15,ROW(E94)-ROW(E$15),0)</f>
        <v>1.15.</v>
      </c>
      <c r="F94" s="206" t="str">
        <f ca="1">OFFSET(ORÇAMENTO!R$15,ROW(F94)-ROW(F$15),0)</f>
        <v xml:space="preserve">ESQUADRIAS </v>
      </c>
      <c r="G94" s="207" t="str">
        <f ca="1">IF($D94&lt;&gt;"Serviço","",OFFSET(ORÇAMENTO!S$15,ROW(G94)-ROW(G$15),0))</f>
        <v/>
      </c>
      <c r="H94" s="151">
        <f ca="1">IF($D94&lt;&gt;"Serviço",0,IF(ACOMPANHAMENTO="BM",ROUND(OFFSET(ORÇAMENTO!AJ$15,ROW(H94)-ROW(H$15),0),15-13*ORÇAMENTO!$AF$7),SUMPRODUCT(($Q$12:$AA$12&lt;&gt;"")*ROUND($Q94:$AA94,15-13*ORÇAMENTO!$AF$7))))</f>
        <v>0</v>
      </c>
      <c r="I94" s="649"/>
      <c r="K94" s="208"/>
      <c r="L94" s="209" t="s">
        <v>255</v>
      </c>
      <c r="M94" s="210" t="str">
        <f ca="1">IF($D94&lt;&gt;"Serviço","",IF(AUTOEVENTO="manual",$A94,IF(ISERROR(MATCH($A94,$A$15:OFFSET($A94,-1,0),0)),MAX($M$15:OFFSET(M94,-1,0))+1,INDEX($M$15:OFFSET(M94,-1,0),MATCH($A94,$A$15:OFFSET($A94,-1,0),0)))))</f>
        <v/>
      </c>
      <c r="N94" s="211" t="str">
        <f ca="1">IF($D94&lt;&gt;"Serviço","",IF(AUTOEVENTO="Manual",IF($A94=0,"&lt;-- defina o número do agrupador",OFFSET(EVENTOS!$D$14,$A94,0)),OFFSET($F$15,$A94,0)))</f>
        <v/>
      </c>
      <c r="O94" s="212"/>
      <c r="Q94" s="212"/>
      <c r="R94" s="213"/>
      <c r="S94" s="213"/>
      <c r="T94" s="213"/>
      <c r="U94" s="213"/>
      <c r="V94" s="213"/>
      <c r="W94" s="213"/>
      <c r="X94" s="213"/>
      <c r="Y94" s="213"/>
      <c r="Z94" s="214"/>
      <c r="AB94" s="630">
        <f ca="1">IF(AND($D94="Serviço",AB$12&lt;&gt;0,$H94&gt;0,OR(AUTOEVENTO&lt;&gt;"manual",$M94&lt;&gt;1)),
IF(Import.TipoArredondamento&lt;&gt;"TransfereGOV",
ROUND(OFFSET($P94,0,AB$13),15-13*ORÇAMENTO!$AF$7)/$H94*OFFSET(ORÇAMENTO!$X$15,ROW(AB94)-ROW(AB$15),0),
ROUND(ROUND(OFFSET($P94,0,AB$13),15-13*ORÇAMENTO!$AF$7)*OFFSET(ORÇAMENTO!$W$15,ROW(AB94)-ROW(AB$15),0),15-13*ORÇAMENTO!$AF$11)),0)</f>
        <v>0</v>
      </c>
      <c r="AC94" s="631">
        <f ca="1">IF(AND($D94="Serviço",AC$12&lt;&gt;0,$H94&gt;0,OR(AUTOEVENTO&lt;&gt;"manual",$M94&lt;&gt;1)),
IF(Import.TipoArredondamento&lt;&gt;"TransfereGOV",
ROUND(OFFSET($P94,0,AC$13),15-13*ORÇAMENTO!$AF$7)/$H94*OFFSET(ORÇAMENTO!$X$15,ROW(AC94)-ROW(AC$15),0),
ROUND(ROUND(OFFSET($P94,0,AC$13),15-13*ORÇAMENTO!$AF$7)*OFFSET(ORÇAMENTO!$W$15,ROW(AC94)-ROW(AC$15),0),15-13*ORÇAMENTO!$AF$11)),0)</f>
        <v>0</v>
      </c>
      <c r="AD94" s="631">
        <f ca="1">IF(AND($D94="Serviço",AD$12&lt;&gt;0,$H94&gt;0,OR(AUTOEVENTO&lt;&gt;"manual",$M94&lt;&gt;1)),
IF(Import.TipoArredondamento&lt;&gt;"TransfereGOV",
ROUND(OFFSET($P94,0,AD$13),15-13*ORÇAMENTO!$AF$7)/$H94*OFFSET(ORÇAMENTO!$X$15,ROW(AD94)-ROW(AD$15),0),
ROUND(ROUND(OFFSET($P94,0,AD$13),15-13*ORÇAMENTO!$AF$7)*OFFSET(ORÇAMENTO!$W$15,ROW(AD94)-ROW(AD$15),0),15-13*ORÇAMENTO!$AF$11)),0)</f>
        <v>0</v>
      </c>
      <c r="AE94" s="631">
        <f ca="1">IF(AND($D94="Serviço",AE$12&lt;&gt;0,$H94&gt;0,OR(AUTOEVENTO&lt;&gt;"manual",$M94&lt;&gt;1)),
IF(Import.TipoArredondamento&lt;&gt;"TransfereGOV",
ROUND(OFFSET($P94,0,AE$13),15-13*ORÇAMENTO!$AF$7)/$H94*OFFSET(ORÇAMENTO!$X$15,ROW(AE94)-ROW(AE$15),0),
ROUND(ROUND(OFFSET($P94,0,AE$13),15-13*ORÇAMENTO!$AF$7)*OFFSET(ORÇAMENTO!$W$15,ROW(AE94)-ROW(AE$15),0),15-13*ORÇAMENTO!$AF$11)),0)</f>
        <v>0</v>
      </c>
      <c r="AF94" s="631">
        <f ca="1">IF(AND($D94="Serviço",AF$12&lt;&gt;0,$H94&gt;0,OR(AUTOEVENTO&lt;&gt;"manual",$M94&lt;&gt;1)),
IF(Import.TipoArredondamento&lt;&gt;"TransfereGOV",
ROUND(OFFSET($P94,0,AF$13),15-13*ORÇAMENTO!$AF$7)/$H94*OFFSET(ORÇAMENTO!$X$15,ROW(AF94)-ROW(AF$15),0),
ROUND(ROUND(OFFSET($P94,0,AF$13),15-13*ORÇAMENTO!$AF$7)*OFFSET(ORÇAMENTO!$W$15,ROW(AF94)-ROW(AF$15),0),15-13*ORÇAMENTO!$AF$11)),0)</f>
        <v>0</v>
      </c>
      <c r="AG94" s="631">
        <f ca="1">IF(AND($D94="Serviço",AG$12&lt;&gt;0,$H94&gt;0,OR(AUTOEVENTO&lt;&gt;"manual",$M94&lt;&gt;1)),
IF(Import.TipoArredondamento&lt;&gt;"TransfereGOV",
ROUND(OFFSET($P94,0,AG$13),15-13*ORÇAMENTO!$AF$7)/$H94*OFFSET(ORÇAMENTO!$X$15,ROW(AG94)-ROW(AG$15),0),
ROUND(ROUND(OFFSET($P94,0,AG$13),15-13*ORÇAMENTO!$AF$7)*OFFSET(ORÇAMENTO!$W$15,ROW(AG94)-ROW(AG$15),0),15-13*ORÇAMENTO!$AF$11)),0)</f>
        <v>0</v>
      </c>
      <c r="AH94" s="631">
        <f ca="1">IF(AND($D94="Serviço",AH$12&lt;&gt;0,$H94&gt;0,OR(AUTOEVENTO&lt;&gt;"manual",$M94&lt;&gt;1)),
IF(Import.TipoArredondamento&lt;&gt;"TransfereGOV",
ROUND(OFFSET($P94,0,AH$13),15-13*ORÇAMENTO!$AF$7)/$H94*OFFSET(ORÇAMENTO!$X$15,ROW(AH94)-ROW(AH$15),0),
ROUND(ROUND(OFFSET($P94,0,AH$13),15-13*ORÇAMENTO!$AF$7)*OFFSET(ORÇAMENTO!$W$15,ROW(AH94)-ROW(AH$15),0),15-13*ORÇAMENTO!$AF$11)),0)</f>
        <v>0</v>
      </c>
      <c r="AI94" s="631">
        <f ca="1">IF(AND($D94="Serviço",AI$12&lt;&gt;0,$H94&gt;0,OR(AUTOEVENTO&lt;&gt;"manual",$M94&lt;&gt;1)),
IF(Import.TipoArredondamento&lt;&gt;"TransfereGOV",
ROUND(OFFSET($P94,0,AI$13),15-13*ORÇAMENTO!$AF$7)/$H94*OFFSET(ORÇAMENTO!$X$15,ROW(AI94)-ROW(AI$15),0),
ROUND(ROUND(OFFSET($P94,0,AI$13),15-13*ORÇAMENTO!$AF$7)*OFFSET(ORÇAMENTO!$W$15,ROW(AI94)-ROW(AI$15),0),15-13*ORÇAMENTO!$AF$11)),0)</f>
        <v>0</v>
      </c>
      <c r="AJ94" s="631">
        <f ca="1">IF(AND($D94="Serviço",AJ$12&lt;&gt;0,$H94&gt;0,OR(AUTOEVENTO&lt;&gt;"manual",$M94&lt;&gt;1)),
IF(Import.TipoArredondamento&lt;&gt;"TransfereGOV",
ROUND(OFFSET($P94,0,AJ$13),15-13*ORÇAMENTO!$AF$7)/$H94*OFFSET(ORÇAMENTO!$X$15,ROW(AJ94)-ROW(AJ$15),0),
ROUND(ROUND(OFFSET($P94,0,AJ$13),15-13*ORÇAMENTO!$AF$7)*OFFSET(ORÇAMENTO!$W$15,ROW(AJ94)-ROW(AJ$15),0),15-13*ORÇAMENTO!$AF$11)),0)</f>
        <v>0</v>
      </c>
      <c r="AK94" s="632">
        <f ca="1">IF(AND($D94="Serviço",AK$12&lt;&gt;0,$H94&gt;0,OR(AUTOEVENTO&lt;&gt;"manual",$M94&lt;&gt;1)),
IF(Import.TipoArredondamento&lt;&gt;"TransfereGOV",
ROUND(OFFSET($P94,0,AK$13),15-13*ORÇAMENTO!$AF$7)/$H94*OFFSET(ORÇAMENTO!$X$15,ROW(AK94)-ROW(AK$15),0),
ROUND(ROUND(OFFSET($P94,0,AK$13),15-13*ORÇAMENTO!$AF$7)*OFFSET(ORÇAMENTO!$W$15,ROW(AK94)-ROW(AK$15),0),15-13*ORÇAMENTO!$AF$11)),0)</f>
        <v>0</v>
      </c>
      <c r="AM94" s="215">
        <f ca="1">IF($D94&lt;&gt;"Serviço",0,IF(AND(AUTOEVENTO="Manual",$M94=1),0,IF(OFFSET(CRONOPLE!$F$14,$M94,AM$13)="",10^12,OFFSET(CRONOPLE!$F$14,$M94,AM$13))))</f>
        <v>0</v>
      </c>
      <c r="AN94" s="215">
        <f ca="1">IF($D94&lt;&gt;"Serviço",0,IF(AND(AUTOEVENTO="Manual",$M94=1),0,IF(OFFSET(CRONOPLE!$F$14,$M94,AN$13)="",10^12,OFFSET(CRONOPLE!$F$14,$M94,AN$13))))</f>
        <v>0</v>
      </c>
      <c r="AO94" s="215">
        <f ca="1">IF($D94&lt;&gt;"Serviço",0,IF(AND(AUTOEVENTO="Manual",$M94=1),0,IF(OFFSET(CRONOPLE!$F$14,$M94,AO$13)="",10^12,OFFSET(CRONOPLE!$F$14,$M94,AO$13))))</f>
        <v>0</v>
      </c>
      <c r="AP94" s="215">
        <f ca="1">IF($D94&lt;&gt;"Serviço",0,IF(AND(AUTOEVENTO="Manual",$M94=1),0,IF(OFFSET(CRONOPLE!$F$14,$M94,AP$13)="",10^12,OFFSET(CRONOPLE!$F$14,$M94,AP$13))))</f>
        <v>0</v>
      </c>
      <c r="AQ94" s="215">
        <f ca="1">IF($D94&lt;&gt;"Serviço",0,IF(AND(AUTOEVENTO="Manual",$M94=1),0,IF(OFFSET(CRONOPLE!$F$14,$M94,AQ$13)="",10^12,OFFSET(CRONOPLE!$F$14,$M94,AQ$13))))</f>
        <v>0</v>
      </c>
      <c r="AR94" s="215">
        <f ca="1">IF($D94&lt;&gt;"Serviço",0,IF(AND(AUTOEVENTO="Manual",$M94=1),0,IF(OFFSET(CRONOPLE!$F$14,$M94,AR$13)="",10^12,OFFSET(CRONOPLE!$F$14,$M94,AR$13))))</f>
        <v>0</v>
      </c>
      <c r="AS94" s="215">
        <f ca="1">IF($D94&lt;&gt;"Serviço",0,IF(AND(AUTOEVENTO="Manual",$M94=1),0,IF(OFFSET(CRONOPLE!$F$14,$M94,AS$13)="",10^12,OFFSET(CRONOPLE!$F$14,$M94,AS$13))))</f>
        <v>0</v>
      </c>
      <c r="AT94" s="215">
        <f ca="1">IF($D94&lt;&gt;"Serviço",0,IF(AND(AUTOEVENTO="Manual",$M94=1),0,IF(OFFSET(CRONOPLE!$F$14,$M94,AT$13)="",10^12,OFFSET(CRONOPLE!$F$14,$M94,AT$13))))</f>
        <v>0</v>
      </c>
      <c r="AU94" s="215">
        <f ca="1">IF($D94&lt;&gt;"Serviço",0,IF(AND(AUTOEVENTO="Manual",$M94=1),0,IF(OFFSET(CRONOPLE!$F$14,$M94,AU$13)="",10^12,OFFSET(CRONOPLE!$F$14,$M94,AU$13))))</f>
        <v>0</v>
      </c>
      <c r="AV94" s="215">
        <f ca="1">IF($D94&lt;&gt;"Serviço",0,IF(AND(AUTOEVENTO="Manual",$M94=1),0,IF(OFFSET(CRONOPLE!$F$14,$M94,AV$13)="",10^12,OFFSET(CRONOPLE!$F$14,$M94,AV$13))))</f>
        <v>0</v>
      </c>
      <c r="AX94" s="216">
        <f ca="1">IF($D94&lt;&gt;"Serviço",0,IF(OR(AND(AUTOEVENTO="Manual",$M94=1),$M94&gt;(ROW(PLE.lastrow)-ROW(PLE.firstrow))),0,IF(OFFSET(PLE!$G$14,$M94,AX$13)="",10^12,OFFSET(PLE!$G$14,$M94,AX$13))))</f>
        <v>0</v>
      </c>
      <c r="AY94" s="216">
        <f ca="1">IF($D94&lt;&gt;"Serviço",0,IF(OR(AND(AUTOEVENTO="Manual",$M94=1),$M94&gt;(ROW(PLE.lastrow)-ROW(PLE.firstrow))),0,IF(OFFSET(PLE!$G$14,$M94,AY$13)="",10^12,OFFSET(PLE!$G$14,$M94,AY$13))))</f>
        <v>0</v>
      </c>
      <c r="AZ94" s="216">
        <f ca="1">IF($D94&lt;&gt;"Serviço",0,IF(OR(AND(AUTOEVENTO="Manual",$M94=1),$M94&gt;(ROW(PLE.lastrow)-ROW(PLE.firstrow))),0,IF(OFFSET(PLE!$G$14,$M94,AZ$13)="",10^12,OFFSET(PLE!$G$14,$M94,AZ$13))))</f>
        <v>0</v>
      </c>
      <c r="BA94" s="216">
        <f ca="1">IF($D94&lt;&gt;"Serviço",0,IF(OR(AND(AUTOEVENTO="Manual",$M94=1),$M94&gt;(ROW(PLE.lastrow)-ROW(PLE.firstrow))),0,IF(OFFSET(PLE!$G$14,$M94,BA$13)="",10^12,OFFSET(PLE!$G$14,$M94,BA$13))))</f>
        <v>0</v>
      </c>
      <c r="BB94" s="216">
        <f ca="1">IF($D94&lt;&gt;"Serviço",0,IF(OR(AND(AUTOEVENTO="Manual",$M94=1),$M94&gt;(ROW(PLE.lastrow)-ROW(PLE.firstrow))),0,IF(OFFSET(PLE!$G$14,$M94,BB$13)="",10^12,OFFSET(PLE!$G$14,$M94,BB$13))))</f>
        <v>0</v>
      </c>
      <c r="BC94" s="216">
        <f ca="1">IF($D94&lt;&gt;"Serviço",0,IF(OR(AND(AUTOEVENTO="Manual",$M94=1),$M94&gt;(ROW(PLE.lastrow)-ROW(PLE.firstrow))),0,IF(OFFSET(PLE!$G$14,$M94,BC$13)="",10^12,OFFSET(PLE!$G$14,$M94,BC$13))))</f>
        <v>0</v>
      </c>
      <c r="BD94" s="216">
        <f ca="1">IF($D94&lt;&gt;"Serviço",0,IF(OR(AND(AUTOEVENTO="Manual",$M94=1),$M94&gt;(ROW(PLE.lastrow)-ROW(PLE.firstrow))),0,IF(OFFSET(PLE!$G$14,$M94,BD$13)="",10^12,OFFSET(PLE!$G$14,$M94,BD$13))))</f>
        <v>0</v>
      </c>
      <c r="BE94" s="216">
        <f ca="1">IF($D94&lt;&gt;"Serviço",0,IF(OR(AND(AUTOEVENTO="Manual",$M94=1),$M94&gt;(ROW(PLE.lastrow)-ROW(PLE.firstrow))),0,IF(OFFSET(PLE!$G$14,$M94,BE$13)="",10^12,OFFSET(PLE!$G$14,$M94,BE$13))))</f>
        <v>0</v>
      </c>
      <c r="BF94" s="216">
        <f ca="1">IF($D94&lt;&gt;"Serviço",0,IF(OR(AND(AUTOEVENTO="Manual",$M94=1),$M94&gt;(ROW(PLE.lastrow)-ROW(PLE.firstrow))),0,IF(OFFSET(PLE!$G$14,$M94,BF$13)="",10^12,OFFSET(PLE!$G$14,$M94,BF$13))))</f>
        <v>0</v>
      </c>
      <c r="BG94" s="216">
        <f ca="1">IF($D94&lt;&gt;"Serviço",0,IF(OR(AND(AUTOEVENTO="Manual",$M94=1),$M94&gt;(ROW(PLE.lastrow)-ROW(PLE.firstrow))),0,IF(OFFSET(PLE!$G$14,$M94,BG$13)="",10^12,OFFSET(PLE!$G$14,$M94,BG$13))))</f>
        <v>0</v>
      </c>
    </row>
    <row r="95" spans="1:59" ht="38.25" x14ac:dyDescent="0.2">
      <c r="A95" s="9" t="str">
        <f t="shared" ca="1" si="9"/>
        <v>79</v>
      </c>
      <c r="B95" s="9" t="str">
        <f ca="1">OFFSET(ORÇAMENTO!C$15,ROW(B95)-ROW(B$15),0)</f>
        <v>S</v>
      </c>
      <c r="C95" s="9" t="str">
        <f ca="1">OFFSET(ORÇAMENTO!L$15,ROW(C95)-ROW(C$15),0)</f>
        <v/>
      </c>
      <c r="D95" s="145" t="str">
        <f ca="1">OFFSET(ORÇAMENTO!N$15,ROW(D95)-ROW(D$15),0)</f>
        <v>Serviço</v>
      </c>
      <c r="E95" s="205" t="str">
        <f ca="1">OFFSET(ORÇAMENTO!O$15,ROW(E95)-ROW(E$15),0)</f>
        <v>-</v>
      </c>
      <c r="F95" s="206" t="str">
        <f ca="1">OFFSET(ORÇAMENTO!R$15,ROW(F95)-ROW(F$15),0)</f>
        <v>JANELA DE ALUMÍNIO TIPO MAXIM-AR, COM VIDROS, BATENTE E FERRAGENS. EXCLUSIVE ALIZAR, ACABAMENTO E CONTRAMARCO. FORNECIMENTO E INSTALAÇÃO. AF_12/2019</v>
      </c>
      <c r="G95" s="207" t="str">
        <f ca="1">IF($D95&lt;&gt;"Serviço","",OFFSET(ORÇAMENTO!S$15,ROW(G95)-ROW(G$15),0))</f>
        <v>M2</v>
      </c>
      <c r="H95" s="151">
        <f ca="1">IF($D95&lt;&gt;"Serviço",0,IF(ACOMPANHAMENTO="BM",ROUND(OFFSET(ORÇAMENTO!AJ$15,ROW(H95)-ROW(H$15),0),15-13*ORÇAMENTO!$AF$7),SUMPRODUCT(($Q$12:$AA$12&lt;&gt;"")*ROUND($Q95:$AA95,15-13*ORÇAMENTO!$AF$7))))</f>
        <v>52.32</v>
      </c>
      <c r="I95" s="649"/>
      <c r="K95" s="208"/>
      <c r="L95" s="209" t="s">
        <v>255</v>
      </c>
      <c r="M95" s="210">
        <f ca="1">IF($D95&lt;&gt;"Serviço","",IF(AUTOEVENTO="manual",$A95,IF(ISERROR(MATCH($A95,$A$15:OFFSET($A95,-1,0),0)),MAX($M$15:OFFSET(M95,-1,0))+1,INDEX($M$15:OFFSET(M95,-1,0),MATCH($A95,$A$15:OFFSET($A95,-1,0),0)))))</f>
        <v>16</v>
      </c>
      <c r="N95" s="211" t="str">
        <f ca="1">IF($D95&lt;&gt;"Serviço","",IF(AUTOEVENTO="Manual",IF($A95=0,"&lt;-- defina o número do agrupador",OFFSET(EVENTOS!$D$14,$A95,0)),OFFSET($F$15,$A95,0)))</f>
        <v xml:space="preserve">ESQUADRIAS </v>
      </c>
      <c r="O95" s="212"/>
      <c r="Q95" s="212"/>
      <c r="R95" s="213"/>
      <c r="S95" s="213"/>
      <c r="T95" s="213"/>
      <c r="U95" s="213"/>
      <c r="V95" s="213"/>
      <c r="W95" s="213"/>
      <c r="X95" s="213"/>
      <c r="Y95" s="213"/>
      <c r="Z95" s="214"/>
      <c r="AB95" s="630">
        <f ca="1">IF(AND($D95="Serviço",AB$12&lt;&gt;0,$H95&gt;0,OR(AUTOEVENTO&lt;&gt;"manual",$M95&lt;&gt;1)),
IF(Import.TipoArredondamento&lt;&gt;"TransfereGOV",
ROUND(OFFSET($P95,0,AB$13),15-13*ORÇAMENTO!$AF$7)/$H95*OFFSET(ORÇAMENTO!$X$15,ROW(AB95)-ROW(AB$15),0),
ROUND(ROUND(OFFSET($P95,0,AB$13),15-13*ORÇAMENTO!$AF$7)*OFFSET(ORÇAMENTO!$W$15,ROW(AB95)-ROW(AB$15),0),15-13*ORÇAMENTO!$AF$11)),0)</f>
        <v>0</v>
      </c>
      <c r="AC95" s="631">
        <f ca="1">IF(AND($D95="Serviço",AC$12&lt;&gt;0,$H95&gt;0,OR(AUTOEVENTO&lt;&gt;"manual",$M95&lt;&gt;1)),
IF(Import.TipoArredondamento&lt;&gt;"TransfereGOV",
ROUND(OFFSET($P95,0,AC$13),15-13*ORÇAMENTO!$AF$7)/$H95*OFFSET(ORÇAMENTO!$X$15,ROW(AC95)-ROW(AC$15),0),
ROUND(ROUND(OFFSET($P95,0,AC$13),15-13*ORÇAMENTO!$AF$7)*OFFSET(ORÇAMENTO!$W$15,ROW(AC95)-ROW(AC$15),0),15-13*ORÇAMENTO!$AF$11)),0)</f>
        <v>0</v>
      </c>
      <c r="AD95" s="631">
        <f ca="1">IF(AND($D95="Serviço",AD$12&lt;&gt;0,$H95&gt;0,OR(AUTOEVENTO&lt;&gt;"manual",$M95&lt;&gt;1)),
IF(Import.TipoArredondamento&lt;&gt;"TransfereGOV",
ROUND(OFFSET($P95,0,AD$13),15-13*ORÇAMENTO!$AF$7)/$H95*OFFSET(ORÇAMENTO!$X$15,ROW(AD95)-ROW(AD$15),0),
ROUND(ROUND(OFFSET($P95,0,AD$13),15-13*ORÇAMENTO!$AF$7)*OFFSET(ORÇAMENTO!$W$15,ROW(AD95)-ROW(AD$15),0),15-13*ORÇAMENTO!$AF$11)),0)</f>
        <v>0</v>
      </c>
      <c r="AE95" s="631">
        <f ca="1">IF(AND($D95="Serviço",AE$12&lt;&gt;0,$H95&gt;0,OR(AUTOEVENTO&lt;&gt;"manual",$M95&lt;&gt;1)),
IF(Import.TipoArredondamento&lt;&gt;"TransfereGOV",
ROUND(OFFSET($P95,0,AE$13),15-13*ORÇAMENTO!$AF$7)/$H95*OFFSET(ORÇAMENTO!$X$15,ROW(AE95)-ROW(AE$15),0),
ROUND(ROUND(OFFSET($P95,0,AE$13),15-13*ORÇAMENTO!$AF$7)*OFFSET(ORÇAMENTO!$W$15,ROW(AE95)-ROW(AE$15),0),15-13*ORÇAMENTO!$AF$11)),0)</f>
        <v>0</v>
      </c>
      <c r="AF95" s="631">
        <f ca="1">IF(AND($D95="Serviço",AF$12&lt;&gt;0,$H95&gt;0,OR(AUTOEVENTO&lt;&gt;"manual",$M95&lt;&gt;1)),
IF(Import.TipoArredondamento&lt;&gt;"TransfereGOV",
ROUND(OFFSET($P95,0,AF$13),15-13*ORÇAMENTO!$AF$7)/$H95*OFFSET(ORÇAMENTO!$X$15,ROW(AF95)-ROW(AF$15),0),
ROUND(ROUND(OFFSET($P95,0,AF$13),15-13*ORÇAMENTO!$AF$7)*OFFSET(ORÇAMENTO!$W$15,ROW(AF95)-ROW(AF$15),0),15-13*ORÇAMENTO!$AF$11)),0)</f>
        <v>0</v>
      </c>
      <c r="AG95" s="631">
        <f ca="1">IF(AND($D95="Serviço",AG$12&lt;&gt;0,$H95&gt;0,OR(AUTOEVENTO&lt;&gt;"manual",$M95&lt;&gt;1)),
IF(Import.TipoArredondamento&lt;&gt;"TransfereGOV",
ROUND(OFFSET($P95,0,AG$13),15-13*ORÇAMENTO!$AF$7)/$H95*OFFSET(ORÇAMENTO!$X$15,ROW(AG95)-ROW(AG$15),0),
ROUND(ROUND(OFFSET($P95,0,AG$13),15-13*ORÇAMENTO!$AF$7)*OFFSET(ORÇAMENTO!$W$15,ROW(AG95)-ROW(AG$15),0),15-13*ORÇAMENTO!$AF$11)),0)</f>
        <v>0</v>
      </c>
      <c r="AH95" s="631">
        <f ca="1">IF(AND($D95="Serviço",AH$12&lt;&gt;0,$H95&gt;0,OR(AUTOEVENTO&lt;&gt;"manual",$M95&lt;&gt;1)),
IF(Import.TipoArredondamento&lt;&gt;"TransfereGOV",
ROUND(OFFSET($P95,0,AH$13),15-13*ORÇAMENTO!$AF$7)/$H95*OFFSET(ORÇAMENTO!$X$15,ROW(AH95)-ROW(AH$15),0),
ROUND(ROUND(OFFSET($P95,0,AH$13),15-13*ORÇAMENTO!$AF$7)*OFFSET(ORÇAMENTO!$W$15,ROW(AH95)-ROW(AH$15),0),15-13*ORÇAMENTO!$AF$11)),0)</f>
        <v>0</v>
      </c>
      <c r="AI95" s="631">
        <f ca="1">IF(AND($D95="Serviço",AI$12&lt;&gt;0,$H95&gt;0,OR(AUTOEVENTO&lt;&gt;"manual",$M95&lt;&gt;1)),
IF(Import.TipoArredondamento&lt;&gt;"TransfereGOV",
ROUND(OFFSET($P95,0,AI$13),15-13*ORÇAMENTO!$AF$7)/$H95*OFFSET(ORÇAMENTO!$X$15,ROW(AI95)-ROW(AI$15),0),
ROUND(ROUND(OFFSET($P95,0,AI$13),15-13*ORÇAMENTO!$AF$7)*OFFSET(ORÇAMENTO!$W$15,ROW(AI95)-ROW(AI$15),0),15-13*ORÇAMENTO!$AF$11)),0)</f>
        <v>0</v>
      </c>
      <c r="AJ95" s="631">
        <f ca="1">IF(AND($D95="Serviço",AJ$12&lt;&gt;0,$H95&gt;0,OR(AUTOEVENTO&lt;&gt;"manual",$M95&lt;&gt;1)),
IF(Import.TipoArredondamento&lt;&gt;"TransfereGOV",
ROUND(OFFSET($P95,0,AJ$13),15-13*ORÇAMENTO!$AF$7)/$H95*OFFSET(ORÇAMENTO!$X$15,ROW(AJ95)-ROW(AJ$15),0),
ROUND(ROUND(OFFSET($P95,0,AJ$13),15-13*ORÇAMENTO!$AF$7)*OFFSET(ORÇAMENTO!$W$15,ROW(AJ95)-ROW(AJ$15),0),15-13*ORÇAMENTO!$AF$11)),0)</f>
        <v>0</v>
      </c>
      <c r="AK95" s="632">
        <f ca="1">IF(AND($D95="Serviço",AK$12&lt;&gt;0,$H95&gt;0,OR(AUTOEVENTO&lt;&gt;"manual",$M95&lt;&gt;1)),
IF(Import.TipoArredondamento&lt;&gt;"TransfereGOV",
ROUND(OFFSET($P95,0,AK$13),15-13*ORÇAMENTO!$AF$7)/$H95*OFFSET(ORÇAMENTO!$X$15,ROW(AK95)-ROW(AK$15),0),
ROUND(ROUND(OFFSET($P95,0,AK$13),15-13*ORÇAMENTO!$AF$7)*OFFSET(ORÇAMENTO!$W$15,ROW(AK95)-ROW(AK$15),0),15-13*ORÇAMENTO!$AF$11)),0)</f>
        <v>0</v>
      </c>
      <c r="AM95" s="215">
        <f ca="1">IF($D95&lt;&gt;"Serviço",0,IF(AND(AUTOEVENTO="Manual",$M95=1),0,IF(OFFSET(CRONOPLE!$F$14,$M95,AM$13)="",10^12,OFFSET(CRONOPLE!$F$14,$M95,AM$13))))</f>
        <v>1000000000000</v>
      </c>
      <c r="AN95" s="215">
        <f ca="1">IF($D95&lt;&gt;"Serviço",0,IF(AND(AUTOEVENTO="Manual",$M95=1),0,IF(OFFSET(CRONOPLE!$F$14,$M95,AN$13)="",10^12,OFFSET(CRONOPLE!$F$14,$M95,AN$13))))</f>
        <v>1000000000000</v>
      </c>
      <c r="AO95" s="215">
        <f ca="1">IF($D95&lt;&gt;"Serviço",0,IF(AND(AUTOEVENTO="Manual",$M95=1),0,IF(OFFSET(CRONOPLE!$F$14,$M95,AO$13)="",10^12,OFFSET(CRONOPLE!$F$14,$M95,AO$13))))</f>
        <v>1000000000000</v>
      </c>
      <c r="AP95" s="215">
        <f ca="1">IF($D95&lt;&gt;"Serviço",0,IF(AND(AUTOEVENTO="Manual",$M95=1),0,IF(OFFSET(CRONOPLE!$F$14,$M95,AP$13)="",10^12,OFFSET(CRONOPLE!$F$14,$M95,AP$13))))</f>
        <v>1000000000000</v>
      </c>
      <c r="AQ95" s="215">
        <f ca="1">IF($D95&lt;&gt;"Serviço",0,IF(AND(AUTOEVENTO="Manual",$M95=1),0,IF(OFFSET(CRONOPLE!$F$14,$M95,AQ$13)="",10^12,OFFSET(CRONOPLE!$F$14,$M95,AQ$13))))</f>
        <v>1000000000000</v>
      </c>
      <c r="AR95" s="215">
        <f ca="1">IF($D95&lt;&gt;"Serviço",0,IF(AND(AUTOEVENTO="Manual",$M95=1),0,IF(OFFSET(CRONOPLE!$F$14,$M95,AR$13)="",10^12,OFFSET(CRONOPLE!$F$14,$M95,AR$13))))</f>
        <v>1000000000000</v>
      </c>
      <c r="AS95" s="215">
        <f ca="1">IF($D95&lt;&gt;"Serviço",0,IF(AND(AUTOEVENTO="Manual",$M95=1),0,IF(OFFSET(CRONOPLE!$F$14,$M95,AS$13)="",10^12,OFFSET(CRONOPLE!$F$14,$M95,AS$13))))</f>
        <v>1000000000000</v>
      </c>
      <c r="AT95" s="215">
        <f ca="1">IF($D95&lt;&gt;"Serviço",0,IF(AND(AUTOEVENTO="Manual",$M95=1),0,IF(OFFSET(CRONOPLE!$F$14,$M95,AT$13)="",10^12,OFFSET(CRONOPLE!$F$14,$M95,AT$13))))</f>
        <v>1000000000000</v>
      </c>
      <c r="AU95" s="215">
        <f ca="1">IF($D95&lt;&gt;"Serviço",0,IF(AND(AUTOEVENTO="Manual",$M95=1),0,IF(OFFSET(CRONOPLE!$F$14,$M95,AU$13)="",10^12,OFFSET(CRONOPLE!$F$14,$M95,AU$13))))</f>
        <v>1000000000000</v>
      </c>
      <c r="AV95" s="215">
        <f ca="1">IF($D95&lt;&gt;"Serviço",0,IF(AND(AUTOEVENTO="Manual",$M95=1),0,IF(OFFSET(CRONOPLE!$F$14,$M95,AV$13)="",10^12,OFFSET(CRONOPLE!$F$14,$M95,AV$13))))</f>
        <v>1000000000000</v>
      </c>
      <c r="AX95" s="216">
        <f ca="1">IF($D95&lt;&gt;"Serviço",0,IF(OR(AND(AUTOEVENTO="Manual",$M95=1),$M95&gt;(ROW(PLE.lastrow)-ROW(PLE.firstrow))),0,IF(OFFSET(PLE!$G$14,$M95,AX$13)="",10^12,OFFSET(PLE!$G$14,$M95,AX$13))))</f>
        <v>1000000000000</v>
      </c>
      <c r="AY95" s="216">
        <f ca="1">IF($D95&lt;&gt;"Serviço",0,IF(OR(AND(AUTOEVENTO="Manual",$M95=1),$M95&gt;(ROW(PLE.lastrow)-ROW(PLE.firstrow))),0,IF(OFFSET(PLE!$G$14,$M95,AY$13)="",10^12,OFFSET(PLE!$G$14,$M95,AY$13))))</f>
        <v>1000000000000</v>
      </c>
      <c r="AZ95" s="216">
        <f ca="1">IF($D95&lt;&gt;"Serviço",0,IF(OR(AND(AUTOEVENTO="Manual",$M95=1),$M95&gt;(ROW(PLE.lastrow)-ROW(PLE.firstrow))),0,IF(OFFSET(PLE!$G$14,$M95,AZ$13)="",10^12,OFFSET(PLE!$G$14,$M95,AZ$13))))</f>
        <v>1000000000000</v>
      </c>
      <c r="BA95" s="216">
        <f ca="1">IF($D95&lt;&gt;"Serviço",0,IF(OR(AND(AUTOEVENTO="Manual",$M95=1),$M95&gt;(ROW(PLE.lastrow)-ROW(PLE.firstrow))),0,IF(OFFSET(PLE!$G$14,$M95,BA$13)="",10^12,OFFSET(PLE!$G$14,$M95,BA$13))))</f>
        <v>1000000000000</v>
      </c>
      <c r="BB95" s="216">
        <f ca="1">IF($D95&lt;&gt;"Serviço",0,IF(OR(AND(AUTOEVENTO="Manual",$M95=1),$M95&gt;(ROW(PLE.lastrow)-ROW(PLE.firstrow))),0,IF(OFFSET(PLE!$G$14,$M95,BB$13)="",10^12,OFFSET(PLE!$G$14,$M95,BB$13))))</f>
        <v>1000000000000</v>
      </c>
      <c r="BC95" s="216">
        <f ca="1">IF($D95&lt;&gt;"Serviço",0,IF(OR(AND(AUTOEVENTO="Manual",$M95=1),$M95&gt;(ROW(PLE.lastrow)-ROW(PLE.firstrow))),0,IF(OFFSET(PLE!$G$14,$M95,BC$13)="",10^12,OFFSET(PLE!$G$14,$M95,BC$13))))</f>
        <v>1000000000000</v>
      </c>
      <c r="BD95" s="216">
        <f ca="1">IF($D95&lt;&gt;"Serviço",0,IF(OR(AND(AUTOEVENTO="Manual",$M95=1),$M95&gt;(ROW(PLE.lastrow)-ROW(PLE.firstrow))),0,IF(OFFSET(PLE!$G$14,$M95,BD$13)="",10^12,OFFSET(PLE!$G$14,$M95,BD$13))))</f>
        <v>1000000000000</v>
      </c>
      <c r="BE95" s="216">
        <f ca="1">IF($D95&lt;&gt;"Serviço",0,IF(OR(AND(AUTOEVENTO="Manual",$M95=1),$M95&gt;(ROW(PLE.lastrow)-ROW(PLE.firstrow))),0,IF(OFFSET(PLE!$G$14,$M95,BE$13)="",10^12,OFFSET(PLE!$G$14,$M95,BE$13))))</f>
        <v>1000000000000</v>
      </c>
      <c r="BF95" s="216">
        <f ca="1">IF($D95&lt;&gt;"Serviço",0,IF(OR(AND(AUTOEVENTO="Manual",$M95=1),$M95&gt;(ROW(PLE.lastrow)-ROW(PLE.firstrow))),0,IF(OFFSET(PLE!$G$14,$M95,BF$13)="",10^12,OFFSET(PLE!$G$14,$M95,BF$13))))</f>
        <v>1000000000000</v>
      </c>
      <c r="BG95" s="216">
        <f ca="1">IF($D95&lt;&gt;"Serviço",0,IF(OR(AND(AUTOEVENTO="Manual",$M95=1),$M95&gt;(ROW(PLE.lastrow)-ROW(PLE.firstrow))),0,IF(OFFSET(PLE!$G$14,$M95,BG$13)="",10^12,OFFSET(PLE!$G$14,$M95,BG$13))))</f>
        <v>1000000000000</v>
      </c>
    </row>
    <row r="96" spans="1:59" ht="38.25" x14ac:dyDescent="0.2">
      <c r="A96" s="9" t="str">
        <f t="shared" ca="1" si="9"/>
        <v>79</v>
      </c>
      <c r="B96" s="9" t="str">
        <f ca="1">OFFSET(ORÇAMENTO!C$15,ROW(B96)-ROW(B$15),0)</f>
        <v>S</v>
      </c>
      <c r="C96" s="9" t="str">
        <f ca="1">OFFSET(ORÇAMENTO!L$15,ROW(C96)-ROW(C$15),0)</f>
        <v/>
      </c>
      <c r="D96" s="145" t="str">
        <f ca="1">OFFSET(ORÇAMENTO!N$15,ROW(D96)-ROW(D$15),0)</f>
        <v>Serviço</v>
      </c>
      <c r="E96" s="205" t="str">
        <f ca="1">OFFSET(ORÇAMENTO!O$15,ROW(E96)-ROW(E$15),0)</f>
        <v>-</v>
      </c>
      <c r="F96" s="206" t="str">
        <f ca="1">OFFSET(ORÇAMENTO!R$15,ROW(F96)-ROW(F$15),0)</f>
        <v>JANELA FIXA DE ALUMÍNIO PARA VIDRO, COM VIDRO, BATENTE E FERRAGENS. EXCLUSIVE ACABAMENTO, ALIZAR E CONTRAMARCO. FORNECIMENTO E INSTALAÇÃO. AF_12/2019</v>
      </c>
      <c r="G96" s="207" t="str">
        <f ca="1">IF($D96&lt;&gt;"Serviço","",OFFSET(ORÇAMENTO!S$15,ROW(G96)-ROW(G$15),0))</f>
        <v>M2</v>
      </c>
      <c r="H96" s="151">
        <f ca="1">IF($D96&lt;&gt;"Serviço",0,IF(ACOMPANHAMENTO="BM",ROUND(OFFSET(ORÇAMENTO!AJ$15,ROW(H96)-ROW(H$15),0),15-13*ORÇAMENTO!$AF$7),SUMPRODUCT(($Q$12:$AA$12&lt;&gt;"")*ROUND($Q96:$AA96,15-13*ORÇAMENTO!$AF$7))))</f>
        <v>71.400000000000006</v>
      </c>
      <c r="I96" s="649"/>
      <c r="K96" s="208"/>
      <c r="L96" s="209" t="s">
        <v>255</v>
      </c>
      <c r="M96" s="210">
        <f ca="1">IF($D96&lt;&gt;"Serviço","",IF(AUTOEVENTO="manual",$A96,IF(ISERROR(MATCH($A96,$A$15:OFFSET($A96,-1,0),0)),MAX($M$15:OFFSET(M96,-1,0))+1,INDEX($M$15:OFFSET(M96,-1,0),MATCH($A96,$A$15:OFFSET($A96,-1,0),0)))))</f>
        <v>16</v>
      </c>
      <c r="N96" s="211" t="str">
        <f ca="1">IF($D96&lt;&gt;"Serviço","",IF(AUTOEVENTO="Manual",IF($A96=0,"&lt;-- defina o número do agrupador",OFFSET(EVENTOS!$D$14,$A96,0)),OFFSET($F$15,$A96,0)))</f>
        <v xml:space="preserve">ESQUADRIAS </v>
      </c>
      <c r="O96" s="212"/>
      <c r="Q96" s="212"/>
      <c r="R96" s="213"/>
      <c r="S96" s="213"/>
      <c r="T96" s="213"/>
      <c r="U96" s="213"/>
      <c r="V96" s="213"/>
      <c r="W96" s="213"/>
      <c r="X96" s="213"/>
      <c r="Y96" s="213"/>
      <c r="Z96" s="214"/>
      <c r="AB96" s="630">
        <f ca="1">IF(AND($D96="Serviço",AB$12&lt;&gt;0,$H96&gt;0,OR(AUTOEVENTO&lt;&gt;"manual",$M96&lt;&gt;1)),
IF(Import.TipoArredondamento&lt;&gt;"TransfereGOV",
ROUND(OFFSET($P96,0,AB$13),15-13*ORÇAMENTO!$AF$7)/$H96*OFFSET(ORÇAMENTO!$X$15,ROW(AB96)-ROW(AB$15),0),
ROUND(ROUND(OFFSET($P96,0,AB$13),15-13*ORÇAMENTO!$AF$7)*OFFSET(ORÇAMENTO!$W$15,ROW(AB96)-ROW(AB$15),0),15-13*ORÇAMENTO!$AF$11)),0)</f>
        <v>0</v>
      </c>
      <c r="AC96" s="631">
        <f ca="1">IF(AND($D96="Serviço",AC$12&lt;&gt;0,$H96&gt;0,OR(AUTOEVENTO&lt;&gt;"manual",$M96&lt;&gt;1)),
IF(Import.TipoArredondamento&lt;&gt;"TransfereGOV",
ROUND(OFFSET($P96,0,AC$13),15-13*ORÇAMENTO!$AF$7)/$H96*OFFSET(ORÇAMENTO!$X$15,ROW(AC96)-ROW(AC$15),0),
ROUND(ROUND(OFFSET($P96,0,AC$13),15-13*ORÇAMENTO!$AF$7)*OFFSET(ORÇAMENTO!$W$15,ROW(AC96)-ROW(AC$15),0),15-13*ORÇAMENTO!$AF$11)),0)</f>
        <v>0</v>
      </c>
      <c r="AD96" s="631">
        <f ca="1">IF(AND($D96="Serviço",AD$12&lt;&gt;0,$H96&gt;0,OR(AUTOEVENTO&lt;&gt;"manual",$M96&lt;&gt;1)),
IF(Import.TipoArredondamento&lt;&gt;"TransfereGOV",
ROUND(OFFSET($P96,0,AD$13),15-13*ORÇAMENTO!$AF$7)/$H96*OFFSET(ORÇAMENTO!$X$15,ROW(AD96)-ROW(AD$15),0),
ROUND(ROUND(OFFSET($P96,0,AD$13),15-13*ORÇAMENTO!$AF$7)*OFFSET(ORÇAMENTO!$W$15,ROW(AD96)-ROW(AD$15),0),15-13*ORÇAMENTO!$AF$11)),0)</f>
        <v>0</v>
      </c>
      <c r="AE96" s="631">
        <f ca="1">IF(AND($D96="Serviço",AE$12&lt;&gt;0,$H96&gt;0,OR(AUTOEVENTO&lt;&gt;"manual",$M96&lt;&gt;1)),
IF(Import.TipoArredondamento&lt;&gt;"TransfereGOV",
ROUND(OFFSET($P96,0,AE$13),15-13*ORÇAMENTO!$AF$7)/$H96*OFFSET(ORÇAMENTO!$X$15,ROW(AE96)-ROW(AE$15),0),
ROUND(ROUND(OFFSET($P96,0,AE$13),15-13*ORÇAMENTO!$AF$7)*OFFSET(ORÇAMENTO!$W$15,ROW(AE96)-ROW(AE$15),0),15-13*ORÇAMENTO!$AF$11)),0)</f>
        <v>0</v>
      </c>
      <c r="AF96" s="631">
        <f ca="1">IF(AND($D96="Serviço",AF$12&lt;&gt;0,$H96&gt;0,OR(AUTOEVENTO&lt;&gt;"manual",$M96&lt;&gt;1)),
IF(Import.TipoArredondamento&lt;&gt;"TransfereGOV",
ROUND(OFFSET($P96,0,AF$13),15-13*ORÇAMENTO!$AF$7)/$H96*OFFSET(ORÇAMENTO!$X$15,ROW(AF96)-ROW(AF$15),0),
ROUND(ROUND(OFFSET($P96,0,AF$13),15-13*ORÇAMENTO!$AF$7)*OFFSET(ORÇAMENTO!$W$15,ROW(AF96)-ROW(AF$15),0),15-13*ORÇAMENTO!$AF$11)),0)</f>
        <v>0</v>
      </c>
      <c r="AG96" s="631">
        <f ca="1">IF(AND($D96="Serviço",AG$12&lt;&gt;0,$H96&gt;0,OR(AUTOEVENTO&lt;&gt;"manual",$M96&lt;&gt;1)),
IF(Import.TipoArredondamento&lt;&gt;"TransfereGOV",
ROUND(OFFSET($P96,0,AG$13),15-13*ORÇAMENTO!$AF$7)/$H96*OFFSET(ORÇAMENTO!$X$15,ROW(AG96)-ROW(AG$15),0),
ROUND(ROUND(OFFSET($P96,0,AG$13),15-13*ORÇAMENTO!$AF$7)*OFFSET(ORÇAMENTO!$W$15,ROW(AG96)-ROW(AG$15),0),15-13*ORÇAMENTO!$AF$11)),0)</f>
        <v>0</v>
      </c>
      <c r="AH96" s="631">
        <f ca="1">IF(AND($D96="Serviço",AH$12&lt;&gt;0,$H96&gt;0,OR(AUTOEVENTO&lt;&gt;"manual",$M96&lt;&gt;1)),
IF(Import.TipoArredondamento&lt;&gt;"TransfereGOV",
ROUND(OFFSET($P96,0,AH$13),15-13*ORÇAMENTO!$AF$7)/$H96*OFFSET(ORÇAMENTO!$X$15,ROW(AH96)-ROW(AH$15),0),
ROUND(ROUND(OFFSET($P96,0,AH$13),15-13*ORÇAMENTO!$AF$7)*OFFSET(ORÇAMENTO!$W$15,ROW(AH96)-ROW(AH$15),0),15-13*ORÇAMENTO!$AF$11)),0)</f>
        <v>0</v>
      </c>
      <c r="AI96" s="631">
        <f ca="1">IF(AND($D96="Serviço",AI$12&lt;&gt;0,$H96&gt;0,OR(AUTOEVENTO&lt;&gt;"manual",$M96&lt;&gt;1)),
IF(Import.TipoArredondamento&lt;&gt;"TransfereGOV",
ROUND(OFFSET($P96,0,AI$13),15-13*ORÇAMENTO!$AF$7)/$H96*OFFSET(ORÇAMENTO!$X$15,ROW(AI96)-ROW(AI$15),0),
ROUND(ROUND(OFFSET($P96,0,AI$13),15-13*ORÇAMENTO!$AF$7)*OFFSET(ORÇAMENTO!$W$15,ROW(AI96)-ROW(AI$15),0),15-13*ORÇAMENTO!$AF$11)),0)</f>
        <v>0</v>
      </c>
      <c r="AJ96" s="631">
        <f ca="1">IF(AND($D96="Serviço",AJ$12&lt;&gt;0,$H96&gt;0,OR(AUTOEVENTO&lt;&gt;"manual",$M96&lt;&gt;1)),
IF(Import.TipoArredondamento&lt;&gt;"TransfereGOV",
ROUND(OFFSET($P96,0,AJ$13),15-13*ORÇAMENTO!$AF$7)/$H96*OFFSET(ORÇAMENTO!$X$15,ROW(AJ96)-ROW(AJ$15),0),
ROUND(ROUND(OFFSET($P96,0,AJ$13),15-13*ORÇAMENTO!$AF$7)*OFFSET(ORÇAMENTO!$W$15,ROW(AJ96)-ROW(AJ$15),0),15-13*ORÇAMENTO!$AF$11)),0)</f>
        <v>0</v>
      </c>
      <c r="AK96" s="632">
        <f ca="1">IF(AND($D96="Serviço",AK$12&lt;&gt;0,$H96&gt;0,OR(AUTOEVENTO&lt;&gt;"manual",$M96&lt;&gt;1)),
IF(Import.TipoArredondamento&lt;&gt;"TransfereGOV",
ROUND(OFFSET($P96,0,AK$13),15-13*ORÇAMENTO!$AF$7)/$H96*OFFSET(ORÇAMENTO!$X$15,ROW(AK96)-ROW(AK$15),0),
ROUND(ROUND(OFFSET($P96,0,AK$13),15-13*ORÇAMENTO!$AF$7)*OFFSET(ORÇAMENTO!$W$15,ROW(AK96)-ROW(AK$15),0),15-13*ORÇAMENTO!$AF$11)),0)</f>
        <v>0</v>
      </c>
      <c r="AM96" s="215">
        <f ca="1">IF($D96&lt;&gt;"Serviço",0,IF(AND(AUTOEVENTO="Manual",$M96=1),0,IF(OFFSET(CRONOPLE!$F$14,$M96,AM$13)="",10^12,OFFSET(CRONOPLE!$F$14,$M96,AM$13))))</f>
        <v>1000000000000</v>
      </c>
      <c r="AN96" s="215">
        <f ca="1">IF($D96&lt;&gt;"Serviço",0,IF(AND(AUTOEVENTO="Manual",$M96=1),0,IF(OFFSET(CRONOPLE!$F$14,$M96,AN$13)="",10^12,OFFSET(CRONOPLE!$F$14,$M96,AN$13))))</f>
        <v>1000000000000</v>
      </c>
      <c r="AO96" s="215">
        <f ca="1">IF($D96&lt;&gt;"Serviço",0,IF(AND(AUTOEVENTO="Manual",$M96=1),0,IF(OFFSET(CRONOPLE!$F$14,$M96,AO$13)="",10^12,OFFSET(CRONOPLE!$F$14,$M96,AO$13))))</f>
        <v>1000000000000</v>
      </c>
      <c r="AP96" s="215">
        <f ca="1">IF($D96&lt;&gt;"Serviço",0,IF(AND(AUTOEVENTO="Manual",$M96=1),0,IF(OFFSET(CRONOPLE!$F$14,$M96,AP$13)="",10^12,OFFSET(CRONOPLE!$F$14,$M96,AP$13))))</f>
        <v>1000000000000</v>
      </c>
      <c r="AQ96" s="215">
        <f ca="1">IF($D96&lt;&gt;"Serviço",0,IF(AND(AUTOEVENTO="Manual",$M96=1),0,IF(OFFSET(CRONOPLE!$F$14,$M96,AQ$13)="",10^12,OFFSET(CRONOPLE!$F$14,$M96,AQ$13))))</f>
        <v>1000000000000</v>
      </c>
      <c r="AR96" s="215">
        <f ca="1">IF($D96&lt;&gt;"Serviço",0,IF(AND(AUTOEVENTO="Manual",$M96=1),0,IF(OFFSET(CRONOPLE!$F$14,$M96,AR$13)="",10^12,OFFSET(CRONOPLE!$F$14,$M96,AR$13))))</f>
        <v>1000000000000</v>
      </c>
      <c r="AS96" s="215">
        <f ca="1">IF($D96&lt;&gt;"Serviço",0,IF(AND(AUTOEVENTO="Manual",$M96=1),0,IF(OFFSET(CRONOPLE!$F$14,$M96,AS$13)="",10^12,OFFSET(CRONOPLE!$F$14,$M96,AS$13))))</f>
        <v>1000000000000</v>
      </c>
      <c r="AT96" s="215">
        <f ca="1">IF($D96&lt;&gt;"Serviço",0,IF(AND(AUTOEVENTO="Manual",$M96=1),0,IF(OFFSET(CRONOPLE!$F$14,$M96,AT$13)="",10^12,OFFSET(CRONOPLE!$F$14,$M96,AT$13))))</f>
        <v>1000000000000</v>
      </c>
      <c r="AU96" s="215">
        <f ca="1">IF($D96&lt;&gt;"Serviço",0,IF(AND(AUTOEVENTO="Manual",$M96=1),0,IF(OFFSET(CRONOPLE!$F$14,$M96,AU$13)="",10^12,OFFSET(CRONOPLE!$F$14,$M96,AU$13))))</f>
        <v>1000000000000</v>
      </c>
      <c r="AV96" s="215">
        <f ca="1">IF($D96&lt;&gt;"Serviço",0,IF(AND(AUTOEVENTO="Manual",$M96=1),0,IF(OFFSET(CRONOPLE!$F$14,$M96,AV$13)="",10^12,OFFSET(CRONOPLE!$F$14,$M96,AV$13))))</f>
        <v>1000000000000</v>
      </c>
      <c r="AX96" s="216">
        <f ca="1">IF($D96&lt;&gt;"Serviço",0,IF(OR(AND(AUTOEVENTO="Manual",$M96=1),$M96&gt;(ROW(PLE.lastrow)-ROW(PLE.firstrow))),0,IF(OFFSET(PLE!$G$14,$M96,AX$13)="",10^12,OFFSET(PLE!$G$14,$M96,AX$13))))</f>
        <v>1000000000000</v>
      </c>
      <c r="AY96" s="216">
        <f ca="1">IF($D96&lt;&gt;"Serviço",0,IF(OR(AND(AUTOEVENTO="Manual",$M96=1),$M96&gt;(ROW(PLE.lastrow)-ROW(PLE.firstrow))),0,IF(OFFSET(PLE!$G$14,$M96,AY$13)="",10^12,OFFSET(PLE!$G$14,$M96,AY$13))))</f>
        <v>1000000000000</v>
      </c>
      <c r="AZ96" s="216">
        <f ca="1">IF($D96&lt;&gt;"Serviço",0,IF(OR(AND(AUTOEVENTO="Manual",$M96=1),$M96&gt;(ROW(PLE.lastrow)-ROW(PLE.firstrow))),0,IF(OFFSET(PLE!$G$14,$M96,AZ$13)="",10^12,OFFSET(PLE!$G$14,$M96,AZ$13))))</f>
        <v>1000000000000</v>
      </c>
      <c r="BA96" s="216">
        <f ca="1">IF($D96&lt;&gt;"Serviço",0,IF(OR(AND(AUTOEVENTO="Manual",$M96=1),$M96&gt;(ROW(PLE.lastrow)-ROW(PLE.firstrow))),0,IF(OFFSET(PLE!$G$14,$M96,BA$13)="",10^12,OFFSET(PLE!$G$14,$M96,BA$13))))</f>
        <v>1000000000000</v>
      </c>
      <c r="BB96" s="216">
        <f ca="1">IF($D96&lt;&gt;"Serviço",0,IF(OR(AND(AUTOEVENTO="Manual",$M96=1),$M96&gt;(ROW(PLE.lastrow)-ROW(PLE.firstrow))),0,IF(OFFSET(PLE!$G$14,$M96,BB$13)="",10^12,OFFSET(PLE!$G$14,$M96,BB$13))))</f>
        <v>1000000000000</v>
      </c>
      <c r="BC96" s="216">
        <f ca="1">IF($D96&lt;&gt;"Serviço",0,IF(OR(AND(AUTOEVENTO="Manual",$M96=1),$M96&gt;(ROW(PLE.lastrow)-ROW(PLE.firstrow))),0,IF(OFFSET(PLE!$G$14,$M96,BC$13)="",10^12,OFFSET(PLE!$G$14,$M96,BC$13))))</f>
        <v>1000000000000</v>
      </c>
      <c r="BD96" s="216">
        <f ca="1">IF($D96&lt;&gt;"Serviço",0,IF(OR(AND(AUTOEVENTO="Manual",$M96=1),$M96&gt;(ROW(PLE.lastrow)-ROW(PLE.firstrow))),0,IF(OFFSET(PLE!$G$14,$M96,BD$13)="",10^12,OFFSET(PLE!$G$14,$M96,BD$13))))</f>
        <v>1000000000000</v>
      </c>
      <c r="BE96" s="216">
        <f ca="1">IF($D96&lt;&gt;"Serviço",0,IF(OR(AND(AUTOEVENTO="Manual",$M96=1),$M96&gt;(ROW(PLE.lastrow)-ROW(PLE.firstrow))),0,IF(OFFSET(PLE!$G$14,$M96,BE$13)="",10^12,OFFSET(PLE!$G$14,$M96,BE$13))))</f>
        <v>1000000000000</v>
      </c>
      <c r="BF96" s="216">
        <f ca="1">IF($D96&lt;&gt;"Serviço",0,IF(OR(AND(AUTOEVENTO="Manual",$M96=1),$M96&gt;(ROW(PLE.lastrow)-ROW(PLE.firstrow))),0,IF(OFFSET(PLE!$G$14,$M96,BF$13)="",10^12,OFFSET(PLE!$G$14,$M96,BF$13))))</f>
        <v>1000000000000</v>
      </c>
      <c r="BG96" s="216">
        <f ca="1">IF($D96&lt;&gt;"Serviço",0,IF(OR(AND(AUTOEVENTO="Manual",$M96=1),$M96&gt;(ROW(PLE.lastrow)-ROW(PLE.firstrow))),0,IF(OFFSET(PLE!$G$14,$M96,BG$13)="",10^12,OFFSET(PLE!$G$14,$M96,BG$13))))</f>
        <v>1000000000000</v>
      </c>
    </row>
    <row r="97" spans="1:59" ht="38.25" x14ac:dyDescent="0.2">
      <c r="A97" s="9" t="str">
        <f t="shared" ca="1" si="9"/>
        <v>79</v>
      </c>
      <c r="B97" s="9" t="str">
        <f ca="1">OFFSET(ORÇAMENTO!C$15,ROW(B97)-ROW(B$15),0)</f>
        <v>S</v>
      </c>
      <c r="C97" s="9" t="str">
        <f ca="1">OFFSET(ORÇAMENTO!L$15,ROW(C97)-ROW(C$15),0)</f>
        <v/>
      </c>
      <c r="D97" s="145" t="str">
        <f ca="1">OFFSET(ORÇAMENTO!N$15,ROW(D97)-ROW(D$15),0)</f>
        <v>Serviço</v>
      </c>
      <c r="E97" s="205" t="str">
        <f ca="1">OFFSET(ORÇAMENTO!O$15,ROW(E97)-ROW(E$15),0)</f>
        <v>-</v>
      </c>
      <c r="F97" s="206" t="str">
        <f ca="1">OFFSET(ORÇAMENTO!R$15,ROW(F97)-ROW(F$15),0)</f>
        <v>PORTA DE CORRER DE ALUMÍNIO, COM DUAS FOLHAS PARA VIDRO, INCLUSO VIDRO LISO INCOLOR, FECHADURA E PUXADOR, SEM ALIZAR. AF_12/2019</v>
      </c>
      <c r="G97" s="207" t="str">
        <f ca="1">IF($D97&lt;&gt;"Serviço","",OFFSET(ORÇAMENTO!S$15,ROW(G97)-ROW(G$15),0))</f>
        <v>M2</v>
      </c>
      <c r="H97" s="151">
        <f ca="1">IF($D97&lt;&gt;"Serviço",0,IF(ACOMPANHAMENTO="BM",ROUND(OFFSET(ORÇAMENTO!AJ$15,ROW(H97)-ROW(H$15),0),15-13*ORÇAMENTO!$AF$7),SUMPRODUCT(($Q$12:$AA$12&lt;&gt;"")*ROUND($Q97:$AA97,15-13*ORÇAMENTO!$AF$7))))</f>
        <v>23.4</v>
      </c>
      <c r="I97" s="649"/>
      <c r="K97" s="208"/>
      <c r="L97" s="209" t="s">
        <v>255</v>
      </c>
      <c r="M97" s="210">
        <f ca="1">IF($D97&lt;&gt;"Serviço","",IF(AUTOEVENTO="manual",$A97,IF(ISERROR(MATCH($A97,$A$15:OFFSET($A97,-1,0),0)),MAX($M$15:OFFSET(M97,-1,0))+1,INDEX($M$15:OFFSET(M97,-1,0),MATCH($A97,$A$15:OFFSET($A97,-1,0),0)))))</f>
        <v>16</v>
      </c>
      <c r="N97" s="211" t="str">
        <f ca="1">IF($D97&lt;&gt;"Serviço","",IF(AUTOEVENTO="Manual",IF($A97=0,"&lt;-- defina o número do agrupador",OFFSET(EVENTOS!$D$14,$A97,0)),OFFSET($F$15,$A97,0)))</f>
        <v xml:space="preserve">ESQUADRIAS </v>
      </c>
      <c r="O97" s="212"/>
      <c r="Q97" s="212"/>
      <c r="R97" s="213"/>
      <c r="S97" s="213"/>
      <c r="T97" s="213"/>
      <c r="U97" s="213"/>
      <c r="V97" s="213"/>
      <c r="W97" s="213"/>
      <c r="X97" s="213"/>
      <c r="Y97" s="213"/>
      <c r="Z97" s="214"/>
      <c r="AB97" s="630">
        <f ca="1">IF(AND($D97="Serviço",AB$12&lt;&gt;0,$H97&gt;0,OR(AUTOEVENTO&lt;&gt;"manual",$M97&lt;&gt;1)),
IF(Import.TipoArredondamento&lt;&gt;"TransfereGOV",
ROUND(OFFSET($P97,0,AB$13),15-13*ORÇAMENTO!$AF$7)/$H97*OFFSET(ORÇAMENTO!$X$15,ROW(AB97)-ROW(AB$15),0),
ROUND(ROUND(OFFSET($P97,0,AB$13),15-13*ORÇAMENTO!$AF$7)*OFFSET(ORÇAMENTO!$W$15,ROW(AB97)-ROW(AB$15),0),15-13*ORÇAMENTO!$AF$11)),0)</f>
        <v>0</v>
      </c>
      <c r="AC97" s="631">
        <f ca="1">IF(AND($D97="Serviço",AC$12&lt;&gt;0,$H97&gt;0,OR(AUTOEVENTO&lt;&gt;"manual",$M97&lt;&gt;1)),
IF(Import.TipoArredondamento&lt;&gt;"TransfereGOV",
ROUND(OFFSET($P97,0,AC$13),15-13*ORÇAMENTO!$AF$7)/$H97*OFFSET(ORÇAMENTO!$X$15,ROW(AC97)-ROW(AC$15),0),
ROUND(ROUND(OFFSET($P97,0,AC$13),15-13*ORÇAMENTO!$AF$7)*OFFSET(ORÇAMENTO!$W$15,ROW(AC97)-ROW(AC$15),0),15-13*ORÇAMENTO!$AF$11)),0)</f>
        <v>0</v>
      </c>
      <c r="AD97" s="631">
        <f ca="1">IF(AND($D97="Serviço",AD$12&lt;&gt;0,$H97&gt;0,OR(AUTOEVENTO&lt;&gt;"manual",$M97&lt;&gt;1)),
IF(Import.TipoArredondamento&lt;&gt;"TransfereGOV",
ROUND(OFFSET($P97,0,AD$13),15-13*ORÇAMENTO!$AF$7)/$H97*OFFSET(ORÇAMENTO!$X$15,ROW(AD97)-ROW(AD$15),0),
ROUND(ROUND(OFFSET($P97,0,AD$13),15-13*ORÇAMENTO!$AF$7)*OFFSET(ORÇAMENTO!$W$15,ROW(AD97)-ROW(AD$15),0),15-13*ORÇAMENTO!$AF$11)),0)</f>
        <v>0</v>
      </c>
      <c r="AE97" s="631">
        <f ca="1">IF(AND($D97="Serviço",AE$12&lt;&gt;0,$H97&gt;0,OR(AUTOEVENTO&lt;&gt;"manual",$M97&lt;&gt;1)),
IF(Import.TipoArredondamento&lt;&gt;"TransfereGOV",
ROUND(OFFSET($P97,0,AE$13),15-13*ORÇAMENTO!$AF$7)/$H97*OFFSET(ORÇAMENTO!$X$15,ROW(AE97)-ROW(AE$15),0),
ROUND(ROUND(OFFSET($P97,0,AE$13),15-13*ORÇAMENTO!$AF$7)*OFFSET(ORÇAMENTO!$W$15,ROW(AE97)-ROW(AE$15),0),15-13*ORÇAMENTO!$AF$11)),0)</f>
        <v>0</v>
      </c>
      <c r="AF97" s="631">
        <f ca="1">IF(AND($D97="Serviço",AF$12&lt;&gt;0,$H97&gt;0,OR(AUTOEVENTO&lt;&gt;"manual",$M97&lt;&gt;1)),
IF(Import.TipoArredondamento&lt;&gt;"TransfereGOV",
ROUND(OFFSET($P97,0,AF$13),15-13*ORÇAMENTO!$AF$7)/$H97*OFFSET(ORÇAMENTO!$X$15,ROW(AF97)-ROW(AF$15),0),
ROUND(ROUND(OFFSET($P97,0,AF$13),15-13*ORÇAMENTO!$AF$7)*OFFSET(ORÇAMENTO!$W$15,ROW(AF97)-ROW(AF$15),0),15-13*ORÇAMENTO!$AF$11)),0)</f>
        <v>0</v>
      </c>
      <c r="AG97" s="631">
        <f ca="1">IF(AND($D97="Serviço",AG$12&lt;&gt;0,$H97&gt;0,OR(AUTOEVENTO&lt;&gt;"manual",$M97&lt;&gt;1)),
IF(Import.TipoArredondamento&lt;&gt;"TransfereGOV",
ROUND(OFFSET($P97,0,AG$13),15-13*ORÇAMENTO!$AF$7)/$H97*OFFSET(ORÇAMENTO!$X$15,ROW(AG97)-ROW(AG$15),0),
ROUND(ROUND(OFFSET($P97,0,AG$13),15-13*ORÇAMENTO!$AF$7)*OFFSET(ORÇAMENTO!$W$15,ROW(AG97)-ROW(AG$15),0),15-13*ORÇAMENTO!$AF$11)),0)</f>
        <v>0</v>
      </c>
      <c r="AH97" s="631">
        <f ca="1">IF(AND($D97="Serviço",AH$12&lt;&gt;0,$H97&gt;0,OR(AUTOEVENTO&lt;&gt;"manual",$M97&lt;&gt;1)),
IF(Import.TipoArredondamento&lt;&gt;"TransfereGOV",
ROUND(OFFSET($P97,0,AH$13),15-13*ORÇAMENTO!$AF$7)/$H97*OFFSET(ORÇAMENTO!$X$15,ROW(AH97)-ROW(AH$15),0),
ROUND(ROUND(OFFSET($P97,0,AH$13),15-13*ORÇAMENTO!$AF$7)*OFFSET(ORÇAMENTO!$W$15,ROW(AH97)-ROW(AH$15),0),15-13*ORÇAMENTO!$AF$11)),0)</f>
        <v>0</v>
      </c>
      <c r="AI97" s="631">
        <f ca="1">IF(AND($D97="Serviço",AI$12&lt;&gt;0,$H97&gt;0,OR(AUTOEVENTO&lt;&gt;"manual",$M97&lt;&gt;1)),
IF(Import.TipoArredondamento&lt;&gt;"TransfereGOV",
ROUND(OFFSET($P97,0,AI$13),15-13*ORÇAMENTO!$AF$7)/$H97*OFFSET(ORÇAMENTO!$X$15,ROW(AI97)-ROW(AI$15),0),
ROUND(ROUND(OFFSET($P97,0,AI$13),15-13*ORÇAMENTO!$AF$7)*OFFSET(ORÇAMENTO!$W$15,ROW(AI97)-ROW(AI$15),0),15-13*ORÇAMENTO!$AF$11)),0)</f>
        <v>0</v>
      </c>
      <c r="AJ97" s="631">
        <f ca="1">IF(AND($D97="Serviço",AJ$12&lt;&gt;0,$H97&gt;0,OR(AUTOEVENTO&lt;&gt;"manual",$M97&lt;&gt;1)),
IF(Import.TipoArredondamento&lt;&gt;"TransfereGOV",
ROUND(OFFSET($P97,0,AJ$13),15-13*ORÇAMENTO!$AF$7)/$H97*OFFSET(ORÇAMENTO!$X$15,ROW(AJ97)-ROW(AJ$15),0),
ROUND(ROUND(OFFSET($P97,0,AJ$13),15-13*ORÇAMENTO!$AF$7)*OFFSET(ORÇAMENTO!$W$15,ROW(AJ97)-ROW(AJ$15),0),15-13*ORÇAMENTO!$AF$11)),0)</f>
        <v>0</v>
      </c>
      <c r="AK97" s="632">
        <f ca="1">IF(AND($D97="Serviço",AK$12&lt;&gt;0,$H97&gt;0,OR(AUTOEVENTO&lt;&gt;"manual",$M97&lt;&gt;1)),
IF(Import.TipoArredondamento&lt;&gt;"TransfereGOV",
ROUND(OFFSET($P97,0,AK$13),15-13*ORÇAMENTO!$AF$7)/$H97*OFFSET(ORÇAMENTO!$X$15,ROW(AK97)-ROW(AK$15),0),
ROUND(ROUND(OFFSET($P97,0,AK$13),15-13*ORÇAMENTO!$AF$7)*OFFSET(ORÇAMENTO!$W$15,ROW(AK97)-ROW(AK$15),0),15-13*ORÇAMENTO!$AF$11)),0)</f>
        <v>0</v>
      </c>
      <c r="AM97" s="215">
        <f ca="1">IF($D97&lt;&gt;"Serviço",0,IF(AND(AUTOEVENTO="Manual",$M97=1),0,IF(OFFSET(CRONOPLE!$F$14,$M97,AM$13)="",10^12,OFFSET(CRONOPLE!$F$14,$M97,AM$13))))</f>
        <v>1000000000000</v>
      </c>
      <c r="AN97" s="215">
        <f ca="1">IF($D97&lt;&gt;"Serviço",0,IF(AND(AUTOEVENTO="Manual",$M97=1),0,IF(OFFSET(CRONOPLE!$F$14,$M97,AN$13)="",10^12,OFFSET(CRONOPLE!$F$14,$M97,AN$13))))</f>
        <v>1000000000000</v>
      </c>
      <c r="AO97" s="215">
        <f ca="1">IF($D97&lt;&gt;"Serviço",0,IF(AND(AUTOEVENTO="Manual",$M97=1),0,IF(OFFSET(CRONOPLE!$F$14,$M97,AO$13)="",10^12,OFFSET(CRONOPLE!$F$14,$M97,AO$13))))</f>
        <v>1000000000000</v>
      </c>
      <c r="AP97" s="215">
        <f ca="1">IF($D97&lt;&gt;"Serviço",0,IF(AND(AUTOEVENTO="Manual",$M97=1),0,IF(OFFSET(CRONOPLE!$F$14,$M97,AP$13)="",10^12,OFFSET(CRONOPLE!$F$14,$M97,AP$13))))</f>
        <v>1000000000000</v>
      </c>
      <c r="AQ97" s="215">
        <f ca="1">IF($D97&lt;&gt;"Serviço",0,IF(AND(AUTOEVENTO="Manual",$M97=1),0,IF(OFFSET(CRONOPLE!$F$14,$M97,AQ$13)="",10^12,OFFSET(CRONOPLE!$F$14,$M97,AQ$13))))</f>
        <v>1000000000000</v>
      </c>
      <c r="AR97" s="215">
        <f ca="1">IF($D97&lt;&gt;"Serviço",0,IF(AND(AUTOEVENTO="Manual",$M97=1),0,IF(OFFSET(CRONOPLE!$F$14,$M97,AR$13)="",10^12,OFFSET(CRONOPLE!$F$14,$M97,AR$13))))</f>
        <v>1000000000000</v>
      </c>
      <c r="AS97" s="215">
        <f ca="1">IF($D97&lt;&gt;"Serviço",0,IF(AND(AUTOEVENTO="Manual",$M97=1),0,IF(OFFSET(CRONOPLE!$F$14,$M97,AS$13)="",10^12,OFFSET(CRONOPLE!$F$14,$M97,AS$13))))</f>
        <v>1000000000000</v>
      </c>
      <c r="AT97" s="215">
        <f ca="1">IF($D97&lt;&gt;"Serviço",0,IF(AND(AUTOEVENTO="Manual",$M97=1),0,IF(OFFSET(CRONOPLE!$F$14,$M97,AT$13)="",10^12,OFFSET(CRONOPLE!$F$14,$M97,AT$13))))</f>
        <v>1000000000000</v>
      </c>
      <c r="AU97" s="215">
        <f ca="1">IF($D97&lt;&gt;"Serviço",0,IF(AND(AUTOEVENTO="Manual",$M97=1),0,IF(OFFSET(CRONOPLE!$F$14,$M97,AU$13)="",10^12,OFFSET(CRONOPLE!$F$14,$M97,AU$13))))</f>
        <v>1000000000000</v>
      </c>
      <c r="AV97" s="215">
        <f ca="1">IF($D97&lt;&gt;"Serviço",0,IF(AND(AUTOEVENTO="Manual",$M97=1),0,IF(OFFSET(CRONOPLE!$F$14,$M97,AV$13)="",10^12,OFFSET(CRONOPLE!$F$14,$M97,AV$13))))</f>
        <v>1000000000000</v>
      </c>
      <c r="AX97" s="216">
        <f ca="1">IF($D97&lt;&gt;"Serviço",0,IF(OR(AND(AUTOEVENTO="Manual",$M97=1),$M97&gt;(ROW(PLE.lastrow)-ROW(PLE.firstrow))),0,IF(OFFSET(PLE!$G$14,$M97,AX$13)="",10^12,OFFSET(PLE!$G$14,$M97,AX$13))))</f>
        <v>1000000000000</v>
      </c>
      <c r="AY97" s="216">
        <f ca="1">IF($D97&lt;&gt;"Serviço",0,IF(OR(AND(AUTOEVENTO="Manual",$M97=1),$M97&gt;(ROW(PLE.lastrow)-ROW(PLE.firstrow))),0,IF(OFFSET(PLE!$G$14,$M97,AY$13)="",10^12,OFFSET(PLE!$G$14,$M97,AY$13))))</f>
        <v>1000000000000</v>
      </c>
      <c r="AZ97" s="216">
        <f ca="1">IF($D97&lt;&gt;"Serviço",0,IF(OR(AND(AUTOEVENTO="Manual",$M97=1),$M97&gt;(ROW(PLE.lastrow)-ROW(PLE.firstrow))),0,IF(OFFSET(PLE!$G$14,$M97,AZ$13)="",10^12,OFFSET(PLE!$G$14,$M97,AZ$13))))</f>
        <v>1000000000000</v>
      </c>
      <c r="BA97" s="216">
        <f ca="1">IF($D97&lt;&gt;"Serviço",0,IF(OR(AND(AUTOEVENTO="Manual",$M97=1),$M97&gt;(ROW(PLE.lastrow)-ROW(PLE.firstrow))),0,IF(OFFSET(PLE!$G$14,$M97,BA$13)="",10^12,OFFSET(PLE!$G$14,$M97,BA$13))))</f>
        <v>1000000000000</v>
      </c>
      <c r="BB97" s="216">
        <f ca="1">IF($D97&lt;&gt;"Serviço",0,IF(OR(AND(AUTOEVENTO="Manual",$M97=1),$M97&gt;(ROW(PLE.lastrow)-ROW(PLE.firstrow))),0,IF(OFFSET(PLE!$G$14,$M97,BB$13)="",10^12,OFFSET(PLE!$G$14,$M97,BB$13))))</f>
        <v>1000000000000</v>
      </c>
      <c r="BC97" s="216">
        <f ca="1">IF($D97&lt;&gt;"Serviço",0,IF(OR(AND(AUTOEVENTO="Manual",$M97=1),$M97&gt;(ROW(PLE.lastrow)-ROW(PLE.firstrow))),0,IF(OFFSET(PLE!$G$14,$M97,BC$13)="",10^12,OFFSET(PLE!$G$14,$M97,BC$13))))</f>
        <v>1000000000000</v>
      </c>
      <c r="BD97" s="216">
        <f ca="1">IF($D97&lt;&gt;"Serviço",0,IF(OR(AND(AUTOEVENTO="Manual",$M97=1),$M97&gt;(ROW(PLE.lastrow)-ROW(PLE.firstrow))),0,IF(OFFSET(PLE!$G$14,$M97,BD$13)="",10^12,OFFSET(PLE!$G$14,$M97,BD$13))))</f>
        <v>1000000000000</v>
      </c>
      <c r="BE97" s="216">
        <f ca="1">IF($D97&lt;&gt;"Serviço",0,IF(OR(AND(AUTOEVENTO="Manual",$M97=1),$M97&gt;(ROW(PLE.lastrow)-ROW(PLE.firstrow))),0,IF(OFFSET(PLE!$G$14,$M97,BE$13)="",10^12,OFFSET(PLE!$G$14,$M97,BE$13))))</f>
        <v>1000000000000</v>
      </c>
      <c r="BF97" s="216">
        <f ca="1">IF($D97&lt;&gt;"Serviço",0,IF(OR(AND(AUTOEVENTO="Manual",$M97=1),$M97&gt;(ROW(PLE.lastrow)-ROW(PLE.firstrow))),0,IF(OFFSET(PLE!$G$14,$M97,BF$13)="",10^12,OFFSET(PLE!$G$14,$M97,BF$13))))</f>
        <v>1000000000000</v>
      </c>
      <c r="BG97" s="216">
        <f ca="1">IF($D97&lt;&gt;"Serviço",0,IF(OR(AND(AUTOEVENTO="Manual",$M97=1),$M97&gt;(ROW(PLE.lastrow)-ROW(PLE.firstrow))),0,IF(OFFSET(PLE!$G$14,$M97,BG$13)="",10^12,OFFSET(PLE!$G$14,$M97,BG$13))))</f>
        <v>1000000000000</v>
      </c>
    </row>
    <row r="98" spans="1:59" ht="51" x14ac:dyDescent="0.2">
      <c r="A98" s="9" t="str">
        <f ca="1">IF(AUTOEVENTO="Manual",IF(K98&lt;&gt;"",MIN(VALUE(LEFT(K98,FIND(".",K98)-1)),COUNTA(EVENTOS.Lista)),0),IF(OR($B98&gt;AUTOEVENTO,$B98="S",$B98=0),SUBSTITUTE(OFFSET($A98,-1,0),IF($D98="Serviço",".",""),""),ROW(A98)-ROW($A$15)&amp;"."))</f>
        <v>79</v>
      </c>
      <c r="B98" s="9" t="str">
        <f ca="1">OFFSET(ORÇAMENTO!C$15,ROW(B98)-ROW(B$15),0)</f>
        <v>S</v>
      </c>
      <c r="C98" s="9" t="str">
        <f ca="1">OFFSET(ORÇAMENTO!L$15,ROW(C98)-ROW(C$15),0)</f>
        <v/>
      </c>
      <c r="D98" s="145" t="str">
        <f ca="1">OFFSET(ORÇAMENTO!N$15,ROW(D98)-ROW(D$15),0)</f>
        <v>Serviço</v>
      </c>
      <c r="E98" s="205" t="str">
        <f ca="1">OFFSET(ORÇAMENTO!O$15,ROW(E98)-ROW(E$15),0)</f>
        <v>-</v>
      </c>
      <c r="F98" s="206" t="str">
        <f ca="1">OFFSET(ORÇAMENTO!R$15,ROW(F98)-ROW(F$15),0)</f>
        <v>KIT DE PORTA DE MADEIRA PARA PINTURA, SEMI-OCA (LEVE OU MÉDIA), PADRÃO MÉDIO, 90X210CM, ESPESSURA DE 3,5CM, ITENS INCLUSOS: DOBRADIÇAS, MONTAGEM E INSTALAÇÃO DO BATENTE, SEM FECHADURA - FORNECIMENTO E INSTALAÇÃO. AF_12/2019</v>
      </c>
      <c r="G98" s="207" t="str">
        <f ca="1">IF($D98&lt;&gt;"Serviço","",OFFSET(ORÇAMENTO!S$15,ROW(G98)-ROW(G$15),0))</f>
        <v>UN</v>
      </c>
      <c r="H98" s="151">
        <f ca="1">IF($D98&lt;&gt;"Serviço",0,IF(ACOMPANHAMENTO="BM",ROUND(OFFSET(ORÇAMENTO!AJ$15,ROW(H98)-ROW(H$15),0),15-13*ORÇAMENTO!$AF$7),SUMPRODUCT(($Q$12:$AA$12&lt;&gt;"")*ROUND($Q98:$AA98,15-13*ORÇAMENTO!$AF$7))))</f>
        <v>10</v>
      </c>
      <c r="I98" s="649"/>
      <c r="K98" s="208"/>
      <c r="L98" s="209" t="s">
        <v>255</v>
      </c>
      <c r="M98" s="210">
        <f ca="1">IF($D98&lt;&gt;"Serviço","",IF(AUTOEVENTO="manual",$A98,IF(ISERROR(MATCH($A98,$A$15:OFFSET($A98,-1,0),0)),MAX($M$15:OFFSET(M98,-1,0))+1,INDEX($M$15:OFFSET(M98,-1,0),MATCH($A98,$A$15:OFFSET($A98,-1,0),0)))))</f>
        <v>16</v>
      </c>
      <c r="N98" s="211" t="str">
        <f ca="1">IF($D98&lt;&gt;"Serviço","",IF(AUTOEVENTO="Manual",IF($A98=0,"&lt;-- defina o número do agrupador",OFFSET(EVENTOS!$D$14,$A98,0)),OFFSET($F$15,$A98,0)))</f>
        <v xml:space="preserve">ESQUADRIAS </v>
      </c>
      <c r="O98" s="212"/>
      <c r="Q98" s="212"/>
      <c r="R98" s="213"/>
      <c r="S98" s="213"/>
      <c r="T98" s="213"/>
      <c r="U98" s="213"/>
      <c r="V98" s="213"/>
      <c r="W98" s="213"/>
      <c r="X98" s="213"/>
      <c r="Y98" s="213"/>
      <c r="Z98" s="214"/>
      <c r="AB98" s="630">
        <f ca="1">IF(AND($D98="Serviço",AB$12&lt;&gt;0,$H98&gt;0,OR(AUTOEVENTO&lt;&gt;"manual",$M98&lt;&gt;1)),
IF(Import.TipoArredondamento&lt;&gt;"TransfereGOV",
ROUND(OFFSET($P98,0,AB$13),15-13*ORÇAMENTO!$AF$7)/$H98*OFFSET(ORÇAMENTO!$X$15,ROW(AB98)-ROW(AB$15),0),
ROUND(ROUND(OFFSET($P98,0,AB$13),15-13*ORÇAMENTO!$AF$7)*OFFSET(ORÇAMENTO!$W$15,ROW(AB98)-ROW(AB$15),0),15-13*ORÇAMENTO!$AF$11)),0)</f>
        <v>0</v>
      </c>
      <c r="AC98" s="631">
        <f ca="1">IF(AND($D98="Serviço",AC$12&lt;&gt;0,$H98&gt;0,OR(AUTOEVENTO&lt;&gt;"manual",$M98&lt;&gt;1)),
IF(Import.TipoArredondamento&lt;&gt;"TransfereGOV",
ROUND(OFFSET($P98,0,AC$13),15-13*ORÇAMENTO!$AF$7)/$H98*OFFSET(ORÇAMENTO!$X$15,ROW(AC98)-ROW(AC$15),0),
ROUND(ROUND(OFFSET($P98,0,AC$13),15-13*ORÇAMENTO!$AF$7)*OFFSET(ORÇAMENTO!$W$15,ROW(AC98)-ROW(AC$15),0),15-13*ORÇAMENTO!$AF$11)),0)</f>
        <v>0</v>
      </c>
      <c r="AD98" s="631">
        <f ca="1">IF(AND($D98="Serviço",AD$12&lt;&gt;0,$H98&gt;0,OR(AUTOEVENTO&lt;&gt;"manual",$M98&lt;&gt;1)),
IF(Import.TipoArredondamento&lt;&gt;"TransfereGOV",
ROUND(OFFSET($P98,0,AD$13),15-13*ORÇAMENTO!$AF$7)/$H98*OFFSET(ORÇAMENTO!$X$15,ROW(AD98)-ROW(AD$15),0),
ROUND(ROUND(OFFSET($P98,0,AD$13),15-13*ORÇAMENTO!$AF$7)*OFFSET(ORÇAMENTO!$W$15,ROW(AD98)-ROW(AD$15),0),15-13*ORÇAMENTO!$AF$11)),0)</f>
        <v>0</v>
      </c>
      <c r="AE98" s="631">
        <f ca="1">IF(AND($D98="Serviço",AE$12&lt;&gt;0,$H98&gt;0,OR(AUTOEVENTO&lt;&gt;"manual",$M98&lt;&gt;1)),
IF(Import.TipoArredondamento&lt;&gt;"TransfereGOV",
ROUND(OFFSET($P98,0,AE$13),15-13*ORÇAMENTO!$AF$7)/$H98*OFFSET(ORÇAMENTO!$X$15,ROW(AE98)-ROW(AE$15),0),
ROUND(ROUND(OFFSET($P98,0,AE$13),15-13*ORÇAMENTO!$AF$7)*OFFSET(ORÇAMENTO!$W$15,ROW(AE98)-ROW(AE$15),0),15-13*ORÇAMENTO!$AF$11)),0)</f>
        <v>0</v>
      </c>
      <c r="AF98" s="631">
        <f ca="1">IF(AND($D98="Serviço",AF$12&lt;&gt;0,$H98&gt;0,OR(AUTOEVENTO&lt;&gt;"manual",$M98&lt;&gt;1)),
IF(Import.TipoArredondamento&lt;&gt;"TransfereGOV",
ROUND(OFFSET($P98,0,AF$13),15-13*ORÇAMENTO!$AF$7)/$H98*OFFSET(ORÇAMENTO!$X$15,ROW(AF98)-ROW(AF$15),0),
ROUND(ROUND(OFFSET($P98,0,AF$13),15-13*ORÇAMENTO!$AF$7)*OFFSET(ORÇAMENTO!$W$15,ROW(AF98)-ROW(AF$15),0),15-13*ORÇAMENTO!$AF$11)),0)</f>
        <v>0</v>
      </c>
      <c r="AG98" s="631">
        <f ca="1">IF(AND($D98="Serviço",AG$12&lt;&gt;0,$H98&gt;0,OR(AUTOEVENTO&lt;&gt;"manual",$M98&lt;&gt;1)),
IF(Import.TipoArredondamento&lt;&gt;"TransfereGOV",
ROUND(OFFSET($P98,0,AG$13),15-13*ORÇAMENTO!$AF$7)/$H98*OFFSET(ORÇAMENTO!$X$15,ROW(AG98)-ROW(AG$15),0),
ROUND(ROUND(OFFSET($P98,0,AG$13),15-13*ORÇAMENTO!$AF$7)*OFFSET(ORÇAMENTO!$W$15,ROW(AG98)-ROW(AG$15),0),15-13*ORÇAMENTO!$AF$11)),0)</f>
        <v>0</v>
      </c>
      <c r="AH98" s="631">
        <f ca="1">IF(AND($D98="Serviço",AH$12&lt;&gt;0,$H98&gt;0,OR(AUTOEVENTO&lt;&gt;"manual",$M98&lt;&gt;1)),
IF(Import.TipoArredondamento&lt;&gt;"TransfereGOV",
ROUND(OFFSET($P98,0,AH$13),15-13*ORÇAMENTO!$AF$7)/$H98*OFFSET(ORÇAMENTO!$X$15,ROW(AH98)-ROW(AH$15),0),
ROUND(ROUND(OFFSET($P98,0,AH$13),15-13*ORÇAMENTO!$AF$7)*OFFSET(ORÇAMENTO!$W$15,ROW(AH98)-ROW(AH$15),0),15-13*ORÇAMENTO!$AF$11)),0)</f>
        <v>0</v>
      </c>
      <c r="AI98" s="631">
        <f ca="1">IF(AND($D98="Serviço",AI$12&lt;&gt;0,$H98&gt;0,OR(AUTOEVENTO&lt;&gt;"manual",$M98&lt;&gt;1)),
IF(Import.TipoArredondamento&lt;&gt;"TransfereGOV",
ROUND(OFFSET($P98,0,AI$13),15-13*ORÇAMENTO!$AF$7)/$H98*OFFSET(ORÇAMENTO!$X$15,ROW(AI98)-ROW(AI$15),0),
ROUND(ROUND(OFFSET($P98,0,AI$13),15-13*ORÇAMENTO!$AF$7)*OFFSET(ORÇAMENTO!$W$15,ROW(AI98)-ROW(AI$15),0),15-13*ORÇAMENTO!$AF$11)),0)</f>
        <v>0</v>
      </c>
      <c r="AJ98" s="631">
        <f ca="1">IF(AND($D98="Serviço",AJ$12&lt;&gt;0,$H98&gt;0,OR(AUTOEVENTO&lt;&gt;"manual",$M98&lt;&gt;1)),
IF(Import.TipoArredondamento&lt;&gt;"TransfereGOV",
ROUND(OFFSET($P98,0,AJ$13),15-13*ORÇAMENTO!$AF$7)/$H98*OFFSET(ORÇAMENTO!$X$15,ROW(AJ98)-ROW(AJ$15),0),
ROUND(ROUND(OFFSET($P98,0,AJ$13),15-13*ORÇAMENTO!$AF$7)*OFFSET(ORÇAMENTO!$W$15,ROW(AJ98)-ROW(AJ$15),0),15-13*ORÇAMENTO!$AF$11)),0)</f>
        <v>0</v>
      </c>
      <c r="AK98" s="632">
        <f ca="1">IF(AND($D98="Serviço",AK$12&lt;&gt;0,$H98&gt;0,OR(AUTOEVENTO&lt;&gt;"manual",$M98&lt;&gt;1)),
IF(Import.TipoArredondamento&lt;&gt;"TransfereGOV",
ROUND(OFFSET($P98,0,AK$13),15-13*ORÇAMENTO!$AF$7)/$H98*OFFSET(ORÇAMENTO!$X$15,ROW(AK98)-ROW(AK$15),0),
ROUND(ROUND(OFFSET($P98,0,AK$13),15-13*ORÇAMENTO!$AF$7)*OFFSET(ORÇAMENTO!$W$15,ROW(AK98)-ROW(AK$15),0),15-13*ORÇAMENTO!$AF$11)),0)</f>
        <v>0</v>
      </c>
      <c r="AM98" s="215">
        <f ca="1">IF($D98&lt;&gt;"Serviço",0,IF(AND(AUTOEVENTO="Manual",$M98=1),0,IF(OFFSET(CRONOPLE!$F$14,$M98,AM$13)="",10^12,OFFSET(CRONOPLE!$F$14,$M98,AM$13))))</f>
        <v>1000000000000</v>
      </c>
      <c r="AN98" s="215">
        <f ca="1">IF($D98&lt;&gt;"Serviço",0,IF(AND(AUTOEVENTO="Manual",$M98=1),0,IF(OFFSET(CRONOPLE!$F$14,$M98,AN$13)="",10^12,OFFSET(CRONOPLE!$F$14,$M98,AN$13))))</f>
        <v>1000000000000</v>
      </c>
      <c r="AO98" s="215">
        <f ca="1">IF($D98&lt;&gt;"Serviço",0,IF(AND(AUTOEVENTO="Manual",$M98=1),0,IF(OFFSET(CRONOPLE!$F$14,$M98,AO$13)="",10^12,OFFSET(CRONOPLE!$F$14,$M98,AO$13))))</f>
        <v>1000000000000</v>
      </c>
      <c r="AP98" s="215">
        <f ca="1">IF($D98&lt;&gt;"Serviço",0,IF(AND(AUTOEVENTO="Manual",$M98=1),0,IF(OFFSET(CRONOPLE!$F$14,$M98,AP$13)="",10^12,OFFSET(CRONOPLE!$F$14,$M98,AP$13))))</f>
        <v>1000000000000</v>
      </c>
      <c r="AQ98" s="215">
        <f ca="1">IF($D98&lt;&gt;"Serviço",0,IF(AND(AUTOEVENTO="Manual",$M98=1),0,IF(OFFSET(CRONOPLE!$F$14,$M98,AQ$13)="",10^12,OFFSET(CRONOPLE!$F$14,$M98,AQ$13))))</f>
        <v>1000000000000</v>
      </c>
      <c r="AR98" s="215">
        <f ca="1">IF($D98&lt;&gt;"Serviço",0,IF(AND(AUTOEVENTO="Manual",$M98=1),0,IF(OFFSET(CRONOPLE!$F$14,$M98,AR$13)="",10^12,OFFSET(CRONOPLE!$F$14,$M98,AR$13))))</f>
        <v>1000000000000</v>
      </c>
      <c r="AS98" s="215">
        <f ca="1">IF($D98&lt;&gt;"Serviço",0,IF(AND(AUTOEVENTO="Manual",$M98=1),0,IF(OFFSET(CRONOPLE!$F$14,$M98,AS$13)="",10^12,OFFSET(CRONOPLE!$F$14,$M98,AS$13))))</f>
        <v>1000000000000</v>
      </c>
      <c r="AT98" s="215">
        <f ca="1">IF($D98&lt;&gt;"Serviço",0,IF(AND(AUTOEVENTO="Manual",$M98=1),0,IF(OFFSET(CRONOPLE!$F$14,$M98,AT$13)="",10^12,OFFSET(CRONOPLE!$F$14,$M98,AT$13))))</f>
        <v>1000000000000</v>
      </c>
      <c r="AU98" s="215">
        <f ca="1">IF($D98&lt;&gt;"Serviço",0,IF(AND(AUTOEVENTO="Manual",$M98=1),0,IF(OFFSET(CRONOPLE!$F$14,$M98,AU$13)="",10^12,OFFSET(CRONOPLE!$F$14,$M98,AU$13))))</f>
        <v>1000000000000</v>
      </c>
      <c r="AV98" s="215">
        <f ca="1">IF($D98&lt;&gt;"Serviço",0,IF(AND(AUTOEVENTO="Manual",$M98=1),0,IF(OFFSET(CRONOPLE!$F$14,$M98,AV$13)="",10^12,OFFSET(CRONOPLE!$F$14,$M98,AV$13))))</f>
        <v>1000000000000</v>
      </c>
      <c r="AX98" s="216">
        <f ca="1">IF($D98&lt;&gt;"Serviço",0,IF(OR(AND(AUTOEVENTO="Manual",$M98=1),$M98&gt;(ROW(PLE.lastrow)-ROW(PLE.firstrow))),0,IF(OFFSET(PLE!$G$14,$M98,AX$13)="",10^12,OFFSET(PLE!$G$14,$M98,AX$13))))</f>
        <v>1000000000000</v>
      </c>
      <c r="AY98" s="216">
        <f ca="1">IF($D98&lt;&gt;"Serviço",0,IF(OR(AND(AUTOEVENTO="Manual",$M98=1),$M98&gt;(ROW(PLE.lastrow)-ROW(PLE.firstrow))),0,IF(OFFSET(PLE!$G$14,$M98,AY$13)="",10^12,OFFSET(PLE!$G$14,$M98,AY$13))))</f>
        <v>1000000000000</v>
      </c>
      <c r="AZ98" s="216">
        <f ca="1">IF($D98&lt;&gt;"Serviço",0,IF(OR(AND(AUTOEVENTO="Manual",$M98=1),$M98&gt;(ROW(PLE.lastrow)-ROW(PLE.firstrow))),0,IF(OFFSET(PLE!$G$14,$M98,AZ$13)="",10^12,OFFSET(PLE!$G$14,$M98,AZ$13))))</f>
        <v>1000000000000</v>
      </c>
      <c r="BA98" s="216">
        <f ca="1">IF($D98&lt;&gt;"Serviço",0,IF(OR(AND(AUTOEVENTO="Manual",$M98=1),$M98&gt;(ROW(PLE.lastrow)-ROW(PLE.firstrow))),0,IF(OFFSET(PLE!$G$14,$M98,BA$13)="",10^12,OFFSET(PLE!$G$14,$M98,BA$13))))</f>
        <v>1000000000000</v>
      </c>
      <c r="BB98" s="216">
        <f ca="1">IF($D98&lt;&gt;"Serviço",0,IF(OR(AND(AUTOEVENTO="Manual",$M98=1),$M98&gt;(ROW(PLE.lastrow)-ROW(PLE.firstrow))),0,IF(OFFSET(PLE!$G$14,$M98,BB$13)="",10^12,OFFSET(PLE!$G$14,$M98,BB$13))))</f>
        <v>1000000000000</v>
      </c>
      <c r="BC98" s="216">
        <f ca="1">IF($D98&lt;&gt;"Serviço",0,IF(OR(AND(AUTOEVENTO="Manual",$M98=1),$M98&gt;(ROW(PLE.lastrow)-ROW(PLE.firstrow))),0,IF(OFFSET(PLE!$G$14,$M98,BC$13)="",10^12,OFFSET(PLE!$G$14,$M98,BC$13))))</f>
        <v>1000000000000</v>
      </c>
      <c r="BD98" s="216">
        <f ca="1">IF($D98&lt;&gt;"Serviço",0,IF(OR(AND(AUTOEVENTO="Manual",$M98=1),$M98&gt;(ROW(PLE.lastrow)-ROW(PLE.firstrow))),0,IF(OFFSET(PLE!$G$14,$M98,BD$13)="",10^12,OFFSET(PLE!$G$14,$M98,BD$13))))</f>
        <v>1000000000000</v>
      </c>
      <c r="BE98" s="216">
        <f ca="1">IF($D98&lt;&gt;"Serviço",0,IF(OR(AND(AUTOEVENTO="Manual",$M98=1),$M98&gt;(ROW(PLE.lastrow)-ROW(PLE.firstrow))),0,IF(OFFSET(PLE!$G$14,$M98,BE$13)="",10^12,OFFSET(PLE!$G$14,$M98,BE$13))))</f>
        <v>1000000000000</v>
      </c>
      <c r="BF98" s="216">
        <f ca="1">IF($D98&lt;&gt;"Serviço",0,IF(OR(AND(AUTOEVENTO="Manual",$M98=1),$M98&gt;(ROW(PLE.lastrow)-ROW(PLE.firstrow))),0,IF(OFFSET(PLE!$G$14,$M98,BF$13)="",10^12,OFFSET(PLE!$G$14,$M98,BF$13))))</f>
        <v>1000000000000</v>
      </c>
      <c r="BG98" s="216">
        <f ca="1">IF($D98&lt;&gt;"Serviço",0,IF(OR(AND(AUTOEVENTO="Manual",$M98=1),$M98&gt;(ROW(PLE.lastrow)-ROW(PLE.firstrow))),0,IF(OFFSET(PLE!$G$14,$M98,BG$13)="",10^12,OFFSET(PLE!$G$14,$M98,BG$13))))</f>
        <v>1000000000000</v>
      </c>
    </row>
    <row r="99" spans="1:59" ht="25.5" x14ac:dyDescent="0.2">
      <c r="A99" s="9" t="str">
        <f ca="1">IF(AUTOEVENTO="Manual",IF(K99&lt;&gt;"",MIN(VALUE(LEFT(K99,FIND(".",K99)-1)),COUNTA(EVENTOS.Lista)),0),IF(OR($B99&gt;AUTOEVENTO,$B99="S",$B99=0),SUBSTITUTE(OFFSET($A99,-1,0),IF($D99="Serviço",".",""),""),ROW(A99)-ROW($A$15)&amp;"."))</f>
        <v>79</v>
      </c>
      <c r="B99" s="9" t="str">
        <f ca="1">OFFSET(ORÇAMENTO!C$15,ROW(B99)-ROW(B$15),0)</f>
        <v>S</v>
      </c>
      <c r="C99" s="9" t="str">
        <f ca="1">OFFSET(ORÇAMENTO!L$15,ROW(C99)-ROW(C$15),0)</f>
        <v/>
      </c>
      <c r="D99" s="145" t="str">
        <f ca="1">OFFSET(ORÇAMENTO!N$15,ROW(D99)-ROW(D$15),0)</f>
        <v>Serviço</v>
      </c>
      <c r="E99" s="205" t="str">
        <f ca="1">OFFSET(ORÇAMENTO!O$15,ROW(E99)-ROW(E$15),0)</f>
        <v>-</v>
      </c>
      <c r="F99" s="206" t="str">
        <f ca="1">OFFSET(ORÇAMENTO!R$15,ROW(F99)-ROW(F$15),0)</f>
        <v>SOLEIRA EM GRANITO, LARGURA 15 CM, ESPESSURA 2,0 CM. AF_09/2020</v>
      </c>
      <c r="G99" s="207" t="str">
        <f ca="1">IF($D99&lt;&gt;"Serviço","",OFFSET(ORÇAMENTO!S$15,ROW(G99)-ROW(G$15),0))</f>
        <v>M</v>
      </c>
      <c r="H99" s="151">
        <f ca="1">IF($D99&lt;&gt;"Serviço",0,IF(ACOMPANHAMENTO="BM",ROUND(OFFSET(ORÇAMENTO!AJ$15,ROW(H99)-ROW(H$15),0),15-13*ORÇAMENTO!$AF$7),SUMPRODUCT(($Q$12:$AA$12&lt;&gt;"")*ROUND($Q99:$AA99,15-13*ORÇAMENTO!$AF$7))))</f>
        <v>81.599999999999994</v>
      </c>
      <c r="I99" s="649"/>
      <c r="K99" s="208"/>
      <c r="L99" s="209" t="s">
        <v>255</v>
      </c>
      <c r="M99" s="210">
        <f ca="1">IF($D99&lt;&gt;"Serviço","",IF(AUTOEVENTO="manual",$A99,IF(ISERROR(MATCH($A99,$A$15:OFFSET($A99,-1,0),0)),MAX($M$15:OFFSET(M99,-1,0))+1,INDEX($M$15:OFFSET(M99,-1,0),MATCH($A99,$A$15:OFFSET($A99,-1,0),0)))))</f>
        <v>16</v>
      </c>
      <c r="N99" s="211" t="str">
        <f ca="1">IF($D99&lt;&gt;"Serviço","",IF(AUTOEVENTO="Manual",IF($A99=0,"&lt;-- defina o número do agrupador",OFFSET(EVENTOS!$D$14,$A99,0)),OFFSET($F$15,$A99,0)))</f>
        <v xml:space="preserve">ESQUADRIAS </v>
      </c>
      <c r="O99" s="212"/>
      <c r="Q99" s="212"/>
      <c r="R99" s="213"/>
      <c r="S99" s="213"/>
      <c r="T99" s="213"/>
      <c r="U99" s="213"/>
      <c r="V99" s="213"/>
      <c r="W99" s="213"/>
      <c r="X99" s="213"/>
      <c r="Y99" s="213"/>
      <c r="Z99" s="214"/>
      <c r="AB99" s="630">
        <f ca="1">IF(AND($D99="Serviço",AB$12&lt;&gt;0,$H99&gt;0,OR(AUTOEVENTO&lt;&gt;"manual",$M99&lt;&gt;1)),
IF(Import.TipoArredondamento&lt;&gt;"TransfereGOV",
ROUND(OFFSET($P99,0,AB$13),15-13*ORÇAMENTO!$AF$7)/$H99*OFFSET(ORÇAMENTO!$X$15,ROW(AB99)-ROW(AB$15),0),
ROUND(ROUND(OFFSET($P99,0,AB$13),15-13*ORÇAMENTO!$AF$7)*OFFSET(ORÇAMENTO!$W$15,ROW(AB99)-ROW(AB$15),0),15-13*ORÇAMENTO!$AF$11)),0)</f>
        <v>0</v>
      </c>
      <c r="AC99" s="631">
        <f ca="1">IF(AND($D99="Serviço",AC$12&lt;&gt;0,$H99&gt;0,OR(AUTOEVENTO&lt;&gt;"manual",$M99&lt;&gt;1)),
IF(Import.TipoArredondamento&lt;&gt;"TransfereGOV",
ROUND(OFFSET($P99,0,AC$13),15-13*ORÇAMENTO!$AF$7)/$H99*OFFSET(ORÇAMENTO!$X$15,ROW(AC99)-ROW(AC$15),0),
ROUND(ROUND(OFFSET($P99,0,AC$13),15-13*ORÇAMENTO!$AF$7)*OFFSET(ORÇAMENTO!$W$15,ROW(AC99)-ROW(AC$15),0),15-13*ORÇAMENTO!$AF$11)),0)</f>
        <v>0</v>
      </c>
      <c r="AD99" s="631">
        <f ca="1">IF(AND($D99="Serviço",AD$12&lt;&gt;0,$H99&gt;0,OR(AUTOEVENTO&lt;&gt;"manual",$M99&lt;&gt;1)),
IF(Import.TipoArredondamento&lt;&gt;"TransfereGOV",
ROUND(OFFSET($P99,0,AD$13),15-13*ORÇAMENTO!$AF$7)/$H99*OFFSET(ORÇAMENTO!$X$15,ROW(AD99)-ROW(AD$15),0),
ROUND(ROUND(OFFSET($P99,0,AD$13),15-13*ORÇAMENTO!$AF$7)*OFFSET(ORÇAMENTO!$W$15,ROW(AD99)-ROW(AD$15),0),15-13*ORÇAMENTO!$AF$11)),0)</f>
        <v>0</v>
      </c>
      <c r="AE99" s="631">
        <f ca="1">IF(AND($D99="Serviço",AE$12&lt;&gt;0,$H99&gt;0,OR(AUTOEVENTO&lt;&gt;"manual",$M99&lt;&gt;1)),
IF(Import.TipoArredondamento&lt;&gt;"TransfereGOV",
ROUND(OFFSET($P99,0,AE$13),15-13*ORÇAMENTO!$AF$7)/$H99*OFFSET(ORÇAMENTO!$X$15,ROW(AE99)-ROW(AE$15),0),
ROUND(ROUND(OFFSET($P99,0,AE$13),15-13*ORÇAMENTO!$AF$7)*OFFSET(ORÇAMENTO!$W$15,ROW(AE99)-ROW(AE$15),0),15-13*ORÇAMENTO!$AF$11)),0)</f>
        <v>0</v>
      </c>
      <c r="AF99" s="631">
        <f ca="1">IF(AND($D99="Serviço",AF$12&lt;&gt;0,$H99&gt;0,OR(AUTOEVENTO&lt;&gt;"manual",$M99&lt;&gt;1)),
IF(Import.TipoArredondamento&lt;&gt;"TransfereGOV",
ROUND(OFFSET($P99,0,AF$13),15-13*ORÇAMENTO!$AF$7)/$H99*OFFSET(ORÇAMENTO!$X$15,ROW(AF99)-ROW(AF$15),0),
ROUND(ROUND(OFFSET($P99,0,AF$13),15-13*ORÇAMENTO!$AF$7)*OFFSET(ORÇAMENTO!$W$15,ROW(AF99)-ROW(AF$15),0),15-13*ORÇAMENTO!$AF$11)),0)</f>
        <v>0</v>
      </c>
      <c r="AG99" s="631">
        <f ca="1">IF(AND($D99="Serviço",AG$12&lt;&gt;0,$H99&gt;0,OR(AUTOEVENTO&lt;&gt;"manual",$M99&lt;&gt;1)),
IF(Import.TipoArredondamento&lt;&gt;"TransfereGOV",
ROUND(OFFSET($P99,0,AG$13),15-13*ORÇAMENTO!$AF$7)/$H99*OFFSET(ORÇAMENTO!$X$15,ROW(AG99)-ROW(AG$15),0),
ROUND(ROUND(OFFSET($P99,0,AG$13),15-13*ORÇAMENTO!$AF$7)*OFFSET(ORÇAMENTO!$W$15,ROW(AG99)-ROW(AG$15),0),15-13*ORÇAMENTO!$AF$11)),0)</f>
        <v>0</v>
      </c>
      <c r="AH99" s="631">
        <f ca="1">IF(AND($D99="Serviço",AH$12&lt;&gt;0,$H99&gt;0,OR(AUTOEVENTO&lt;&gt;"manual",$M99&lt;&gt;1)),
IF(Import.TipoArredondamento&lt;&gt;"TransfereGOV",
ROUND(OFFSET($P99,0,AH$13),15-13*ORÇAMENTO!$AF$7)/$H99*OFFSET(ORÇAMENTO!$X$15,ROW(AH99)-ROW(AH$15),0),
ROUND(ROUND(OFFSET($P99,0,AH$13),15-13*ORÇAMENTO!$AF$7)*OFFSET(ORÇAMENTO!$W$15,ROW(AH99)-ROW(AH$15),0),15-13*ORÇAMENTO!$AF$11)),0)</f>
        <v>0</v>
      </c>
      <c r="AI99" s="631">
        <f ca="1">IF(AND($D99="Serviço",AI$12&lt;&gt;0,$H99&gt;0,OR(AUTOEVENTO&lt;&gt;"manual",$M99&lt;&gt;1)),
IF(Import.TipoArredondamento&lt;&gt;"TransfereGOV",
ROUND(OFFSET($P99,0,AI$13),15-13*ORÇAMENTO!$AF$7)/$H99*OFFSET(ORÇAMENTO!$X$15,ROW(AI99)-ROW(AI$15),0),
ROUND(ROUND(OFFSET($P99,0,AI$13),15-13*ORÇAMENTO!$AF$7)*OFFSET(ORÇAMENTO!$W$15,ROW(AI99)-ROW(AI$15),0),15-13*ORÇAMENTO!$AF$11)),0)</f>
        <v>0</v>
      </c>
      <c r="AJ99" s="631">
        <f ca="1">IF(AND($D99="Serviço",AJ$12&lt;&gt;0,$H99&gt;0,OR(AUTOEVENTO&lt;&gt;"manual",$M99&lt;&gt;1)),
IF(Import.TipoArredondamento&lt;&gt;"TransfereGOV",
ROUND(OFFSET($P99,0,AJ$13),15-13*ORÇAMENTO!$AF$7)/$H99*OFFSET(ORÇAMENTO!$X$15,ROW(AJ99)-ROW(AJ$15),0),
ROUND(ROUND(OFFSET($P99,0,AJ$13),15-13*ORÇAMENTO!$AF$7)*OFFSET(ORÇAMENTO!$W$15,ROW(AJ99)-ROW(AJ$15),0),15-13*ORÇAMENTO!$AF$11)),0)</f>
        <v>0</v>
      </c>
      <c r="AK99" s="632">
        <f ca="1">IF(AND($D99="Serviço",AK$12&lt;&gt;0,$H99&gt;0,OR(AUTOEVENTO&lt;&gt;"manual",$M99&lt;&gt;1)),
IF(Import.TipoArredondamento&lt;&gt;"TransfereGOV",
ROUND(OFFSET($P99,0,AK$13),15-13*ORÇAMENTO!$AF$7)/$H99*OFFSET(ORÇAMENTO!$X$15,ROW(AK99)-ROW(AK$15),0),
ROUND(ROUND(OFFSET($P99,0,AK$13),15-13*ORÇAMENTO!$AF$7)*OFFSET(ORÇAMENTO!$W$15,ROW(AK99)-ROW(AK$15),0),15-13*ORÇAMENTO!$AF$11)),0)</f>
        <v>0</v>
      </c>
      <c r="AM99" s="215">
        <f ca="1">IF($D99&lt;&gt;"Serviço",0,IF(AND(AUTOEVENTO="Manual",$M99=1),0,IF(OFFSET(CRONOPLE!$F$14,$M99,AM$13)="",10^12,OFFSET(CRONOPLE!$F$14,$M99,AM$13))))</f>
        <v>1000000000000</v>
      </c>
      <c r="AN99" s="215">
        <f ca="1">IF($D99&lt;&gt;"Serviço",0,IF(AND(AUTOEVENTO="Manual",$M99=1),0,IF(OFFSET(CRONOPLE!$F$14,$M99,AN$13)="",10^12,OFFSET(CRONOPLE!$F$14,$M99,AN$13))))</f>
        <v>1000000000000</v>
      </c>
      <c r="AO99" s="215">
        <f ca="1">IF($D99&lt;&gt;"Serviço",0,IF(AND(AUTOEVENTO="Manual",$M99=1),0,IF(OFFSET(CRONOPLE!$F$14,$M99,AO$13)="",10^12,OFFSET(CRONOPLE!$F$14,$M99,AO$13))))</f>
        <v>1000000000000</v>
      </c>
      <c r="AP99" s="215">
        <f ca="1">IF($D99&lt;&gt;"Serviço",0,IF(AND(AUTOEVENTO="Manual",$M99=1),0,IF(OFFSET(CRONOPLE!$F$14,$M99,AP$13)="",10^12,OFFSET(CRONOPLE!$F$14,$M99,AP$13))))</f>
        <v>1000000000000</v>
      </c>
      <c r="AQ99" s="215">
        <f ca="1">IF($D99&lt;&gt;"Serviço",0,IF(AND(AUTOEVENTO="Manual",$M99=1),0,IF(OFFSET(CRONOPLE!$F$14,$M99,AQ$13)="",10^12,OFFSET(CRONOPLE!$F$14,$M99,AQ$13))))</f>
        <v>1000000000000</v>
      </c>
      <c r="AR99" s="215">
        <f ca="1">IF($D99&lt;&gt;"Serviço",0,IF(AND(AUTOEVENTO="Manual",$M99=1),0,IF(OFFSET(CRONOPLE!$F$14,$M99,AR$13)="",10^12,OFFSET(CRONOPLE!$F$14,$M99,AR$13))))</f>
        <v>1000000000000</v>
      </c>
      <c r="AS99" s="215">
        <f ca="1">IF($D99&lt;&gt;"Serviço",0,IF(AND(AUTOEVENTO="Manual",$M99=1),0,IF(OFFSET(CRONOPLE!$F$14,$M99,AS$13)="",10^12,OFFSET(CRONOPLE!$F$14,$M99,AS$13))))</f>
        <v>1000000000000</v>
      </c>
      <c r="AT99" s="215">
        <f ca="1">IF($D99&lt;&gt;"Serviço",0,IF(AND(AUTOEVENTO="Manual",$M99=1),0,IF(OFFSET(CRONOPLE!$F$14,$M99,AT$13)="",10^12,OFFSET(CRONOPLE!$F$14,$M99,AT$13))))</f>
        <v>1000000000000</v>
      </c>
      <c r="AU99" s="215">
        <f ca="1">IF($D99&lt;&gt;"Serviço",0,IF(AND(AUTOEVENTO="Manual",$M99=1),0,IF(OFFSET(CRONOPLE!$F$14,$M99,AU$13)="",10^12,OFFSET(CRONOPLE!$F$14,$M99,AU$13))))</f>
        <v>1000000000000</v>
      </c>
      <c r="AV99" s="215">
        <f ca="1">IF($D99&lt;&gt;"Serviço",0,IF(AND(AUTOEVENTO="Manual",$M99=1),0,IF(OFFSET(CRONOPLE!$F$14,$M99,AV$13)="",10^12,OFFSET(CRONOPLE!$F$14,$M99,AV$13))))</f>
        <v>1000000000000</v>
      </c>
      <c r="AX99" s="216">
        <f ca="1">IF($D99&lt;&gt;"Serviço",0,IF(OR(AND(AUTOEVENTO="Manual",$M99=1),$M99&gt;(ROW(PLE.lastrow)-ROW(PLE.firstrow))),0,IF(OFFSET(PLE!$G$14,$M99,AX$13)="",10^12,OFFSET(PLE!$G$14,$M99,AX$13))))</f>
        <v>1000000000000</v>
      </c>
      <c r="AY99" s="216">
        <f ca="1">IF($D99&lt;&gt;"Serviço",0,IF(OR(AND(AUTOEVENTO="Manual",$M99=1),$M99&gt;(ROW(PLE.lastrow)-ROW(PLE.firstrow))),0,IF(OFFSET(PLE!$G$14,$M99,AY$13)="",10^12,OFFSET(PLE!$G$14,$M99,AY$13))))</f>
        <v>1000000000000</v>
      </c>
      <c r="AZ99" s="216">
        <f ca="1">IF($D99&lt;&gt;"Serviço",0,IF(OR(AND(AUTOEVENTO="Manual",$M99=1),$M99&gt;(ROW(PLE.lastrow)-ROW(PLE.firstrow))),0,IF(OFFSET(PLE!$G$14,$M99,AZ$13)="",10^12,OFFSET(PLE!$G$14,$M99,AZ$13))))</f>
        <v>1000000000000</v>
      </c>
      <c r="BA99" s="216">
        <f ca="1">IF($D99&lt;&gt;"Serviço",0,IF(OR(AND(AUTOEVENTO="Manual",$M99=1),$M99&gt;(ROW(PLE.lastrow)-ROW(PLE.firstrow))),0,IF(OFFSET(PLE!$G$14,$M99,BA$13)="",10^12,OFFSET(PLE!$G$14,$M99,BA$13))))</f>
        <v>1000000000000</v>
      </c>
      <c r="BB99" s="216">
        <f ca="1">IF($D99&lt;&gt;"Serviço",0,IF(OR(AND(AUTOEVENTO="Manual",$M99=1),$M99&gt;(ROW(PLE.lastrow)-ROW(PLE.firstrow))),0,IF(OFFSET(PLE!$G$14,$M99,BB$13)="",10^12,OFFSET(PLE!$G$14,$M99,BB$13))))</f>
        <v>1000000000000</v>
      </c>
      <c r="BC99" s="216">
        <f ca="1">IF($D99&lt;&gt;"Serviço",0,IF(OR(AND(AUTOEVENTO="Manual",$M99=1),$M99&gt;(ROW(PLE.lastrow)-ROW(PLE.firstrow))),0,IF(OFFSET(PLE!$G$14,$M99,BC$13)="",10^12,OFFSET(PLE!$G$14,$M99,BC$13))))</f>
        <v>1000000000000</v>
      </c>
      <c r="BD99" s="216">
        <f ca="1">IF($D99&lt;&gt;"Serviço",0,IF(OR(AND(AUTOEVENTO="Manual",$M99=1),$M99&gt;(ROW(PLE.lastrow)-ROW(PLE.firstrow))),0,IF(OFFSET(PLE!$G$14,$M99,BD$13)="",10^12,OFFSET(PLE!$G$14,$M99,BD$13))))</f>
        <v>1000000000000</v>
      </c>
      <c r="BE99" s="216">
        <f ca="1">IF($D99&lt;&gt;"Serviço",0,IF(OR(AND(AUTOEVENTO="Manual",$M99=1),$M99&gt;(ROW(PLE.lastrow)-ROW(PLE.firstrow))),0,IF(OFFSET(PLE!$G$14,$M99,BE$13)="",10^12,OFFSET(PLE!$G$14,$M99,BE$13))))</f>
        <v>1000000000000</v>
      </c>
      <c r="BF99" s="216">
        <f ca="1">IF($D99&lt;&gt;"Serviço",0,IF(OR(AND(AUTOEVENTO="Manual",$M99=1),$M99&gt;(ROW(PLE.lastrow)-ROW(PLE.firstrow))),0,IF(OFFSET(PLE!$G$14,$M99,BF$13)="",10^12,OFFSET(PLE!$G$14,$M99,BF$13))))</f>
        <v>1000000000000</v>
      </c>
      <c r="BG99" s="216">
        <f ca="1">IF($D99&lt;&gt;"Serviço",0,IF(OR(AND(AUTOEVENTO="Manual",$M99=1),$M99&gt;(ROW(PLE.lastrow)-ROW(PLE.firstrow))),0,IF(OFFSET(PLE!$G$14,$M99,BG$13)="",10^12,OFFSET(PLE!$G$14,$M99,BG$13))))</f>
        <v>1000000000000</v>
      </c>
    </row>
    <row r="100" spans="1:59" ht="12.75" x14ac:dyDescent="0.2">
      <c r="A100" s="9" t="str">
        <f t="shared" ca="1" si="9"/>
        <v>85.</v>
      </c>
      <c r="B100" s="9">
        <f ca="1">OFFSET(ORÇAMENTO!C$15,ROW(B100)-ROW(B$15),0)</f>
        <v>2</v>
      </c>
      <c r="C100" s="9" t="str">
        <f ca="1">OFFSET(ORÇAMENTO!L$15,ROW(C100)-ROW(C$15),0)</f>
        <v>F</v>
      </c>
      <c r="D100" s="145" t="str">
        <f ca="1">OFFSET(ORÇAMENTO!N$15,ROW(D100)-ROW(D$15),0)</f>
        <v>Nível 2</v>
      </c>
      <c r="E100" s="205" t="str">
        <f ca="1">OFFSET(ORÇAMENTO!O$15,ROW(E100)-ROW(E$15),0)</f>
        <v>1.16.</v>
      </c>
      <c r="F100" s="206" t="str">
        <f ca="1">OFFSET(ORÇAMENTO!R$15,ROW(F100)-ROW(F$15),0)</f>
        <v xml:space="preserve">PINTURA </v>
      </c>
      <c r="G100" s="207" t="str">
        <f ca="1">IF($D100&lt;&gt;"Serviço","",OFFSET(ORÇAMENTO!S$15,ROW(G100)-ROW(G$15),0))</f>
        <v/>
      </c>
      <c r="H100" s="151">
        <f ca="1">IF($D100&lt;&gt;"Serviço",0,IF(ACOMPANHAMENTO="BM",ROUND(OFFSET(ORÇAMENTO!AJ$15,ROW(H100)-ROW(H$15),0),15-13*ORÇAMENTO!$AF$7),SUMPRODUCT(($Q$12:$AA$12&lt;&gt;"")*ROUND($Q100:$AA100,15-13*ORÇAMENTO!$AF$7))))</f>
        <v>0</v>
      </c>
      <c r="I100" s="649"/>
      <c r="K100" s="208"/>
      <c r="L100" s="209" t="s">
        <v>255</v>
      </c>
      <c r="M100" s="210" t="str">
        <f ca="1">IF($D100&lt;&gt;"Serviço","",IF(AUTOEVENTO="manual",$A100,IF(ISERROR(MATCH($A100,$A$15:OFFSET($A100,-1,0),0)),MAX($M$15:OFFSET(M100,-1,0))+1,INDEX($M$15:OFFSET(M100,-1,0),MATCH($A100,$A$15:OFFSET($A100,-1,0),0)))))</f>
        <v/>
      </c>
      <c r="N100" s="211" t="str">
        <f ca="1">IF($D100&lt;&gt;"Serviço","",IF(AUTOEVENTO="Manual",IF($A100=0,"&lt;-- defina o número do agrupador",OFFSET(EVENTOS!$D$14,$A100,0)),OFFSET($F$15,$A100,0)))</f>
        <v/>
      </c>
      <c r="O100" s="212"/>
      <c r="Q100" s="212"/>
      <c r="R100" s="213"/>
      <c r="S100" s="213"/>
      <c r="T100" s="213"/>
      <c r="U100" s="213"/>
      <c r="V100" s="213"/>
      <c r="W100" s="213"/>
      <c r="X100" s="213"/>
      <c r="Y100" s="213"/>
      <c r="Z100" s="214"/>
      <c r="AB100" s="630">
        <f ca="1">IF(AND($D100="Serviço",AB$12&lt;&gt;0,$H100&gt;0,OR(AUTOEVENTO&lt;&gt;"manual",$M100&lt;&gt;1)),
IF(Import.TipoArredondamento&lt;&gt;"TransfereGOV",
ROUND(OFFSET($P100,0,AB$13),15-13*ORÇAMENTO!$AF$7)/$H100*OFFSET(ORÇAMENTO!$X$15,ROW(AB100)-ROW(AB$15),0),
ROUND(ROUND(OFFSET($P100,0,AB$13),15-13*ORÇAMENTO!$AF$7)*OFFSET(ORÇAMENTO!$W$15,ROW(AB100)-ROW(AB$15),0),15-13*ORÇAMENTO!$AF$11)),0)</f>
        <v>0</v>
      </c>
      <c r="AC100" s="631">
        <f ca="1">IF(AND($D100="Serviço",AC$12&lt;&gt;0,$H100&gt;0,OR(AUTOEVENTO&lt;&gt;"manual",$M100&lt;&gt;1)),
IF(Import.TipoArredondamento&lt;&gt;"TransfereGOV",
ROUND(OFFSET($P100,0,AC$13),15-13*ORÇAMENTO!$AF$7)/$H100*OFFSET(ORÇAMENTO!$X$15,ROW(AC100)-ROW(AC$15),0),
ROUND(ROUND(OFFSET($P100,0,AC$13),15-13*ORÇAMENTO!$AF$7)*OFFSET(ORÇAMENTO!$W$15,ROW(AC100)-ROW(AC$15),0),15-13*ORÇAMENTO!$AF$11)),0)</f>
        <v>0</v>
      </c>
      <c r="AD100" s="631">
        <f ca="1">IF(AND($D100="Serviço",AD$12&lt;&gt;0,$H100&gt;0,OR(AUTOEVENTO&lt;&gt;"manual",$M100&lt;&gt;1)),
IF(Import.TipoArredondamento&lt;&gt;"TransfereGOV",
ROUND(OFFSET($P100,0,AD$13),15-13*ORÇAMENTO!$AF$7)/$H100*OFFSET(ORÇAMENTO!$X$15,ROW(AD100)-ROW(AD$15),0),
ROUND(ROUND(OFFSET($P100,0,AD$13),15-13*ORÇAMENTO!$AF$7)*OFFSET(ORÇAMENTO!$W$15,ROW(AD100)-ROW(AD$15),0),15-13*ORÇAMENTO!$AF$11)),0)</f>
        <v>0</v>
      </c>
      <c r="AE100" s="631">
        <f ca="1">IF(AND($D100="Serviço",AE$12&lt;&gt;0,$H100&gt;0,OR(AUTOEVENTO&lt;&gt;"manual",$M100&lt;&gt;1)),
IF(Import.TipoArredondamento&lt;&gt;"TransfereGOV",
ROUND(OFFSET($P100,0,AE$13),15-13*ORÇAMENTO!$AF$7)/$H100*OFFSET(ORÇAMENTO!$X$15,ROW(AE100)-ROW(AE$15),0),
ROUND(ROUND(OFFSET($P100,0,AE$13),15-13*ORÇAMENTO!$AF$7)*OFFSET(ORÇAMENTO!$W$15,ROW(AE100)-ROW(AE$15),0),15-13*ORÇAMENTO!$AF$11)),0)</f>
        <v>0</v>
      </c>
      <c r="AF100" s="631">
        <f ca="1">IF(AND($D100="Serviço",AF$12&lt;&gt;0,$H100&gt;0,OR(AUTOEVENTO&lt;&gt;"manual",$M100&lt;&gt;1)),
IF(Import.TipoArredondamento&lt;&gt;"TransfereGOV",
ROUND(OFFSET($P100,0,AF$13),15-13*ORÇAMENTO!$AF$7)/$H100*OFFSET(ORÇAMENTO!$X$15,ROW(AF100)-ROW(AF$15),0),
ROUND(ROUND(OFFSET($P100,0,AF$13),15-13*ORÇAMENTO!$AF$7)*OFFSET(ORÇAMENTO!$W$15,ROW(AF100)-ROW(AF$15),0),15-13*ORÇAMENTO!$AF$11)),0)</f>
        <v>0</v>
      </c>
      <c r="AG100" s="631">
        <f ca="1">IF(AND($D100="Serviço",AG$12&lt;&gt;0,$H100&gt;0,OR(AUTOEVENTO&lt;&gt;"manual",$M100&lt;&gt;1)),
IF(Import.TipoArredondamento&lt;&gt;"TransfereGOV",
ROUND(OFFSET($P100,0,AG$13),15-13*ORÇAMENTO!$AF$7)/$H100*OFFSET(ORÇAMENTO!$X$15,ROW(AG100)-ROW(AG$15),0),
ROUND(ROUND(OFFSET($P100,0,AG$13),15-13*ORÇAMENTO!$AF$7)*OFFSET(ORÇAMENTO!$W$15,ROW(AG100)-ROW(AG$15),0),15-13*ORÇAMENTO!$AF$11)),0)</f>
        <v>0</v>
      </c>
      <c r="AH100" s="631">
        <f ca="1">IF(AND($D100="Serviço",AH$12&lt;&gt;0,$H100&gt;0,OR(AUTOEVENTO&lt;&gt;"manual",$M100&lt;&gt;1)),
IF(Import.TipoArredondamento&lt;&gt;"TransfereGOV",
ROUND(OFFSET($P100,0,AH$13),15-13*ORÇAMENTO!$AF$7)/$H100*OFFSET(ORÇAMENTO!$X$15,ROW(AH100)-ROW(AH$15),0),
ROUND(ROUND(OFFSET($P100,0,AH$13),15-13*ORÇAMENTO!$AF$7)*OFFSET(ORÇAMENTO!$W$15,ROW(AH100)-ROW(AH$15),0),15-13*ORÇAMENTO!$AF$11)),0)</f>
        <v>0</v>
      </c>
      <c r="AI100" s="631">
        <f ca="1">IF(AND($D100="Serviço",AI$12&lt;&gt;0,$H100&gt;0,OR(AUTOEVENTO&lt;&gt;"manual",$M100&lt;&gt;1)),
IF(Import.TipoArredondamento&lt;&gt;"TransfereGOV",
ROUND(OFFSET($P100,0,AI$13),15-13*ORÇAMENTO!$AF$7)/$H100*OFFSET(ORÇAMENTO!$X$15,ROW(AI100)-ROW(AI$15),0),
ROUND(ROUND(OFFSET($P100,0,AI$13),15-13*ORÇAMENTO!$AF$7)*OFFSET(ORÇAMENTO!$W$15,ROW(AI100)-ROW(AI$15),0),15-13*ORÇAMENTO!$AF$11)),0)</f>
        <v>0</v>
      </c>
      <c r="AJ100" s="631">
        <f ca="1">IF(AND($D100="Serviço",AJ$12&lt;&gt;0,$H100&gt;0,OR(AUTOEVENTO&lt;&gt;"manual",$M100&lt;&gt;1)),
IF(Import.TipoArredondamento&lt;&gt;"TransfereGOV",
ROUND(OFFSET($P100,0,AJ$13),15-13*ORÇAMENTO!$AF$7)/$H100*OFFSET(ORÇAMENTO!$X$15,ROW(AJ100)-ROW(AJ$15),0),
ROUND(ROUND(OFFSET($P100,0,AJ$13),15-13*ORÇAMENTO!$AF$7)*OFFSET(ORÇAMENTO!$W$15,ROW(AJ100)-ROW(AJ$15),0),15-13*ORÇAMENTO!$AF$11)),0)</f>
        <v>0</v>
      </c>
      <c r="AK100" s="632">
        <f ca="1">IF(AND($D100="Serviço",AK$12&lt;&gt;0,$H100&gt;0,OR(AUTOEVENTO&lt;&gt;"manual",$M100&lt;&gt;1)),
IF(Import.TipoArredondamento&lt;&gt;"TransfereGOV",
ROUND(OFFSET($P100,0,AK$13),15-13*ORÇAMENTO!$AF$7)/$H100*OFFSET(ORÇAMENTO!$X$15,ROW(AK100)-ROW(AK$15),0),
ROUND(ROUND(OFFSET($P100,0,AK$13),15-13*ORÇAMENTO!$AF$7)*OFFSET(ORÇAMENTO!$W$15,ROW(AK100)-ROW(AK$15),0),15-13*ORÇAMENTO!$AF$11)),0)</f>
        <v>0</v>
      </c>
      <c r="AM100" s="215">
        <f ca="1">IF($D100&lt;&gt;"Serviço",0,IF(AND(AUTOEVENTO="Manual",$M100=1),0,IF(OFFSET(CRONOPLE!$F$14,$M100,AM$13)="",10^12,OFFSET(CRONOPLE!$F$14,$M100,AM$13))))</f>
        <v>0</v>
      </c>
      <c r="AN100" s="215">
        <f ca="1">IF($D100&lt;&gt;"Serviço",0,IF(AND(AUTOEVENTO="Manual",$M100=1),0,IF(OFFSET(CRONOPLE!$F$14,$M100,AN$13)="",10^12,OFFSET(CRONOPLE!$F$14,$M100,AN$13))))</f>
        <v>0</v>
      </c>
      <c r="AO100" s="215">
        <f ca="1">IF($D100&lt;&gt;"Serviço",0,IF(AND(AUTOEVENTO="Manual",$M100=1),0,IF(OFFSET(CRONOPLE!$F$14,$M100,AO$13)="",10^12,OFFSET(CRONOPLE!$F$14,$M100,AO$13))))</f>
        <v>0</v>
      </c>
      <c r="AP100" s="215">
        <f ca="1">IF($D100&lt;&gt;"Serviço",0,IF(AND(AUTOEVENTO="Manual",$M100=1),0,IF(OFFSET(CRONOPLE!$F$14,$M100,AP$13)="",10^12,OFFSET(CRONOPLE!$F$14,$M100,AP$13))))</f>
        <v>0</v>
      </c>
      <c r="AQ100" s="215">
        <f ca="1">IF($D100&lt;&gt;"Serviço",0,IF(AND(AUTOEVENTO="Manual",$M100=1),0,IF(OFFSET(CRONOPLE!$F$14,$M100,AQ$13)="",10^12,OFFSET(CRONOPLE!$F$14,$M100,AQ$13))))</f>
        <v>0</v>
      </c>
      <c r="AR100" s="215">
        <f ca="1">IF($D100&lt;&gt;"Serviço",0,IF(AND(AUTOEVENTO="Manual",$M100=1),0,IF(OFFSET(CRONOPLE!$F$14,$M100,AR$13)="",10^12,OFFSET(CRONOPLE!$F$14,$M100,AR$13))))</f>
        <v>0</v>
      </c>
      <c r="AS100" s="215">
        <f ca="1">IF($D100&lt;&gt;"Serviço",0,IF(AND(AUTOEVENTO="Manual",$M100=1),0,IF(OFFSET(CRONOPLE!$F$14,$M100,AS$13)="",10^12,OFFSET(CRONOPLE!$F$14,$M100,AS$13))))</f>
        <v>0</v>
      </c>
      <c r="AT100" s="215">
        <f ca="1">IF($D100&lt;&gt;"Serviço",0,IF(AND(AUTOEVENTO="Manual",$M100=1),0,IF(OFFSET(CRONOPLE!$F$14,$M100,AT$13)="",10^12,OFFSET(CRONOPLE!$F$14,$M100,AT$13))))</f>
        <v>0</v>
      </c>
      <c r="AU100" s="215">
        <f ca="1">IF($D100&lt;&gt;"Serviço",0,IF(AND(AUTOEVENTO="Manual",$M100=1),0,IF(OFFSET(CRONOPLE!$F$14,$M100,AU$13)="",10^12,OFFSET(CRONOPLE!$F$14,$M100,AU$13))))</f>
        <v>0</v>
      </c>
      <c r="AV100" s="215">
        <f ca="1">IF($D100&lt;&gt;"Serviço",0,IF(AND(AUTOEVENTO="Manual",$M100=1),0,IF(OFFSET(CRONOPLE!$F$14,$M100,AV$13)="",10^12,OFFSET(CRONOPLE!$F$14,$M100,AV$13))))</f>
        <v>0</v>
      </c>
      <c r="AX100" s="216">
        <f ca="1">IF($D100&lt;&gt;"Serviço",0,IF(OR(AND(AUTOEVENTO="Manual",$M100=1),$M100&gt;(ROW(PLE.lastrow)-ROW(PLE.firstrow))),0,IF(OFFSET(PLE!$G$14,$M100,AX$13)="",10^12,OFFSET(PLE!$G$14,$M100,AX$13))))</f>
        <v>0</v>
      </c>
      <c r="AY100" s="216">
        <f ca="1">IF($D100&lt;&gt;"Serviço",0,IF(OR(AND(AUTOEVENTO="Manual",$M100=1),$M100&gt;(ROW(PLE.lastrow)-ROW(PLE.firstrow))),0,IF(OFFSET(PLE!$G$14,$M100,AY$13)="",10^12,OFFSET(PLE!$G$14,$M100,AY$13))))</f>
        <v>0</v>
      </c>
      <c r="AZ100" s="216">
        <f ca="1">IF($D100&lt;&gt;"Serviço",0,IF(OR(AND(AUTOEVENTO="Manual",$M100=1),$M100&gt;(ROW(PLE.lastrow)-ROW(PLE.firstrow))),0,IF(OFFSET(PLE!$G$14,$M100,AZ$13)="",10^12,OFFSET(PLE!$G$14,$M100,AZ$13))))</f>
        <v>0</v>
      </c>
      <c r="BA100" s="216">
        <f ca="1">IF($D100&lt;&gt;"Serviço",0,IF(OR(AND(AUTOEVENTO="Manual",$M100=1),$M100&gt;(ROW(PLE.lastrow)-ROW(PLE.firstrow))),0,IF(OFFSET(PLE!$G$14,$M100,BA$13)="",10^12,OFFSET(PLE!$G$14,$M100,BA$13))))</f>
        <v>0</v>
      </c>
      <c r="BB100" s="216">
        <f ca="1">IF($D100&lt;&gt;"Serviço",0,IF(OR(AND(AUTOEVENTO="Manual",$M100=1),$M100&gt;(ROW(PLE.lastrow)-ROW(PLE.firstrow))),0,IF(OFFSET(PLE!$G$14,$M100,BB$13)="",10^12,OFFSET(PLE!$G$14,$M100,BB$13))))</f>
        <v>0</v>
      </c>
      <c r="BC100" s="216">
        <f ca="1">IF($D100&lt;&gt;"Serviço",0,IF(OR(AND(AUTOEVENTO="Manual",$M100=1),$M100&gt;(ROW(PLE.lastrow)-ROW(PLE.firstrow))),0,IF(OFFSET(PLE!$G$14,$M100,BC$13)="",10^12,OFFSET(PLE!$G$14,$M100,BC$13))))</f>
        <v>0</v>
      </c>
      <c r="BD100" s="216">
        <f ca="1">IF($D100&lt;&gt;"Serviço",0,IF(OR(AND(AUTOEVENTO="Manual",$M100=1),$M100&gt;(ROW(PLE.lastrow)-ROW(PLE.firstrow))),0,IF(OFFSET(PLE!$G$14,$M100,BD$13)="",10^12,OFFSET(PLE!$G$14,$M100,BD$13))))</f>
        <v>0</v>
      </c>
      <c r="BE100" s="216">
        <f ca="1">IF($D100&lt;&gt;"Serviço",0,IF(OR(AND(AUTOEVENTO="Manual",$M100=1),$M100&gt;(ROW(PLE.lastrow)-ROW(PLE.firstrow))),0,IF(OFFSET(PLE!$G$14,$M100,BE$13)="",10^12,OFFSET(PLE!$G$14,$M100,BE$13))))</f>
        <v>0</v>
      </c>
      <c r="BF100" s="216">
        <f ca="1">IF($D100&lt;&gt;"Serviço",0,IF(OR(AND(AUTOEVENTO="Manual",$M100=1),$M100&gt;(ROW(PLE.lastrow)-ROW(PLE.firstrow))),0,IF(OFFSET(PLE!$G$14,$M100,BF$13)="",10^12,OFFSET(PLE!$G$14,$M100,BF$13))))</f>
        <v>0</v>
      </c>
      <c r="BG100" s="216">
        <f ca="1">IF($D100&lt;&gt;"Serviço",0,IF(OR(AND(AUTOEVENTO="Manual",$M100=1),$M100&gt;(ROW(PLE.lastrow)-ROW(PLE.firstrow))),0,IF(OFFSET(PLE!$G$14,$M100,BG$13)="",10^12,OFFSET(PLE!$G$14,$M100,BG$13))))</f>
        <v>0</v>
      </c>
    </row>
    <row r="101" spans="1:59" ht="25.5" x14ac:dyDescent="0.2">
      <c r="A101" s="9" t="str">
        <f t="shared" ref="A101:A149" ca="1" si="10">IF(AUTOEVENTO="Manual",IF(K101&lt;&gt;"",MIN(VALUE(LEFT(K101,FIND(".",K101)-1)),COUNTA(EVENTOS.Lista)),0),IF(OR($B101&gt;AUTOEVENTO,$B101="S",$B101=0),SUBSTITUTE(OFFSET($A101,-1,0),IF($D101="Serviço",".",""),""),ROW(A101)-ROW($A$15)&amp;"."))</f>
        <v>85</v>
      </c>
      <c r="B101" s="9" t="str">
        <f ca="1">OFFSET(ORÇAMENTO!C$15,ROW(B101)-ROW(B$15),0)</f>
        <v>S</v>
      </c>
      <c r="C101" s="9" t="str">
        <f ca="1">OFFSET(ORÇAMENTO!L$15,ROW(C101)-ROW(C$15),0)</f>
        <v/>
      </c>
      <c r="D101" s="145" t="str">
        <f ca="1">OFFSET(ORÇAMENTO!N$15,ROW(D101)-ROW(D$15),0)</f>
        <v>Serviço</v>
      </c>
      <c r="E101" s="205" t="str">
        <f ca="1">OFFSET(ORÇAMENTO!O$15,ROW(E101)-ROW(E$15),0)</f>
        <v>-</v>
      </c>
      <c r="F101" s="206" t="str">
        <f ca="1">OFFSET(ORÇAMENTO!R$15,ROW(F101)-ROW(F$15),0)</f>
        <v>PINTURA LÁTEX ACRÍLICA PREMIUM, APLICAÇÃO MANUAL EM PAREDES, DUAS DEMÃOS. AF_04/2023</v>
      </c>
      <c r="G101" s="207" t="str">
        <f ca="1">IF($D101&lt;&gt;"Serviço","",OFFSET(ORÇAMENTO!S$15,ROW(G101)-ROW(G$15),0))</f>
        <v>M2</v>
      </c>
      <c r="H101" s="151">
        <f ca="1">IF($D101&lt;&gt;"Serviço",0,IF(ACOMPANHAMENTO="BM",ROUND(OFFSET(ORÇAMENTO!AJ$15,ROW(H101)-ROW(H$15),0),15-13*ORÇAMENTO!$AF$7),SUMPRODUCT(($Q$12:$AA$12&lt;&gt;"")*ROUND($Q101:$AA101,15-13*ORÇAMENTO!$AF$7))))</f>
        <v>1736</v>
      </c>
      <c r="I101" s="649"/>
      <c r="K101" s="208"/>
      <c r="L101" s="209" t="s">
        <v>255</v>
      </c>
      <c r="M101" s="210">
        <f ca="1">IF($D101&lt;&gt;"Serviço","",IF(AUTOEVENTO="manual",$A101,IF(ISERROR(MATCH($A101,$A$15:OFFSET($A101,-1,0),0)),MAX($M$15:OFFSET(M101,-1,0))+1,INDEX($M$15:OFFSET(M101,-1,0),MATCH($A101,$A$15:OFFSET($A101,-1,0),0)))))</f>
        <v>17</v>
      </c>
      <c r="N101" s="211" t="str">
        <f ca="1">IF($D101&lt;&gt;"Serviço","",IF(AUTOEVENTO="Manual",IF($A101=0,"&lt;-- defina o número do agrupador",OFFSET(EVENTOS!$D$14,$A101,0)),OFFSET($F$15,$A101,0)))</f>
        <v xml:space="preserve">PINTURA </v>
      </c>
      <c r="O101" s="212"/>
      <c r="Q101" s="212"/>
      <c r="R101" s="213"/>
      <c r="S101" s="213"/>
      <c r="T101" s="213"/>
      <c r="U101" s="213"/>
      <c r="V101" s="213"/>
      <c r="W101" s="213"/>
      <c r="X101" s="213"/>
      <c r="Y101" s="213"/>
      <c r="Z101" s="214"/>
      <c r="AB101" s="630">
        <f ca="1">IF(AND($D101="Serviço",AB$12&lt;&gt;0,$H101&gt;0,OR(AUTOEVENTO&lt;&gt;"manual",$M101&lt;&gt;1)),
IF(Import.TipoArredondamento&lt;&gt;"TransfereGOV",
ROUND(OFFSET($P101,0,AB$13),15-13*ORÇAMENTO!$AF$7)/$H101*OFFSET(ORÇAMENTO!$X$15,ROW(AB101)-ROW(AB$15),0),
ROUND(ROUND(OFFSET($P101,0,AB$13),15-13*ORÇAMENTO!$AF$7)*OFFSET(ORÇAMENTO!$W$15,ROW(AB101)-ROW(AB$15),0),15-13*ORÇAMENTO!$AF$11)),0)</f>
        <v>0</v>
      </c>
      <c r="AC101" s="631">
        <f ca="1">IF(AND($D101="Serviço",AC$12&lt;&gt;0,$H101&gt;0,OR(AUTOEVENTO&lt;&gt;"manual",$M101&lt;&gt;1)),
IF(Import.TipoArredondamento&lt;&gt;"TransfereGOV",
ROUND(OFFSET($P101,0,AC$13),15-13*ORÇAMENTO!$AF$7)/$H101*OFFSET(ORÇAMENTO!$X$15,ROW(AC101)-ROW(AC$15),0),
ROUND(ROUND(OFFSET($P101,0,AC$13),15-13*ORÇAMENTO!$AF$7)*OFFSET(ORÇAMENTO!$W$15,ROW(AC101)-ROW(AC$15),0),15-13*ORÇAMENTO!$AF$11)),0)</f>
        <v>0</v>
      </c>
      <c r="AD101" s="631">
        <f ca="1">IF(AND($D101="Serviço",AD$12&lt;&gt;0,$H101&gt;0,OR(AUTOEVENTO&lt;&gt;"manual",$M101&lt;&gt;1)),
IF(Import.TipoArredondamento&lt;&gt;"TransfereGOV",
ROUND(OFFSET($P101,0,AD$13),15-13*ORÇAMENTO!$AF$7)/$H101*OFFSET(ORÇAMENTO!$X$15,ROW(AD101)-ROW(AD$15),0),
ROUND(ROUND(OFFSET($P101,0,AD$13),15-13*ORÇAMENTO!$AF$7)*OFFSET(ORÇAMENTO!$W$15,ROW(AD101)-ROW(AD$15),0),15-13*ORÇAMENTO!$AF$11)),0)</f>
        <v>0</v>
      </c>
      <c r="AE101" s="631">
        <f ca="1">IF(AND($D101="Serviço",AE$12&lt;&gt;0,$H101&gt;0,OR(AUTOEVENTO&lt;&gt;"manual",$M101&lt;&gt;1)),
IF(Import.TipoArredondamento&lt;&gt;"TransfereGOV",
ROUND(OFFSET($P101,0,AE$13),15-13*ORÇAMENTO!$AF$7)/$H101*OFFSET(ORÇAMENTO!$X$15,ROW(AE101)-ROW(AE$15),0),
ROUND(ROUND(OFFSET($P101,0,AE$13),15-13*ORÇAMENTO!$AF$7)*OFFSET(ORÇAMENTO!$W$15,ROW(AE101)-ROW(AE$15),0),15-13*ORÇAMENTO!$AF$11)),0)</f>
        <v>0</v>
      </c>
      <c r="AF101" s="631">
        <f ca="1">IF(AND($D101="Serviço",AF$12&lt;&gt;0,$H101&gt;0,OR(AUTOEVENTO&lt;&gt;"manual",$M101&lt;&gt;1)),
IF(Import.TipoArredondamento&lt;&gt;"TransfereGOV",
ROUND(OFFSET($P101,0,AF$13),15-13*ORÇAMENTO!$AF$7)/$H101*OFFSET(ORÇAMENTO!$X$15,ROW(AF101)-ROW(AF$15),0),
ROUND(ROUND(OFFSET($P101,0,AF$13),15-13*ORÇAMENTO!$AF$7)*OFFSET(ORÇAMENTO!$W$15,ROW(AF101)-ROW(AF$15),0),15-13*ORÇAMENTO!$AF$11)),0)</f>
        <v>0</v>
      </c>
      <c r="AG101" s="631">
        <f ca="1">IF(AND($D101="Serviço",AG$12&lt;&gt;0,$H101&gt;0,OR(AUTOEVENTO&lt;&gt;"manual",$M101&lt;&gt;1)),
IF(Import.TipoArredondamento&lt;&gt;"TransfereGOV",
ROUND(OFFSET($P101,0,AG$13),15-13*ORÇAMENTO!$AF$7)/$H101*OFFSET(ORÇAMENTO!$X$15,ROW(AG101)-ROW(AG$15),0),
ROUND(ROUND(OFFSET($P101,0,AG$13),15-13*ORÇAMENTO!$AF$7)*OFFSET(ORÇAMENTO!$W$15,ROW(AG101)-ROW(AG$15),0),15-13*ORÇAMENTO!$AF$11)),0)</f>
        <v>0</v>
      </c>
      <c r="AH101" s="631">
        <f ca="1">IF(AND($D101="Serviço",AH$12&lt;&gt;0,$H101&gt;0,OR(AUTOEVENTO&lt;&gt;"manual",$M101&lt;&gt;1)),
IF(Import.TipoArredondamento&lt;&gt;"TransfereGOV",
ROUND(OFFSET($P101,0,AH$13),15-13*ORÇAMENTO!$AF$7)/$H101*OFFSET(ORÇAMENTO!$X$15,ROW(AH101)-ROW(AH$15),0),
ROUND(ROUND(OFFSET($P101,0,AH$13),15-13*ORÇAMENTO!$AF$7)*OFFSET(ORÇAMENTO!$W$15,ROW(AH101)-ROW(AH$15),0),15-13*ORÇAMENTO!$AF$11)),0)</f>
        <v>0</v>
      </c>
      <c r="AI101" s="631">
        <f ca="1">IF(AND($D101="Serviço",AI$12&lt;&gt;0,$H101&gt;0,OR(AUTOEVENTO&lt;&gt;"manual",$M101&lt;&gt;1)),
IF(Import.TipoArredondamento&lt;&gt;"TransfereGOV",
ROUND(OFFSET($P101,0,AI$13),15-13*ORÇAMENTO!$AF$7)/$H101*OFFSET(ORÇAMENTO!$X$15,ROW(AI101)-ROW(AI$15),0),
ROUND(ROUND(OFFSET($P101,0,AI$13),15-13*ORÇAMENTO!$AF$7)*OFFSET(ORÇAMENTO!$W$15,ROW(AI101)-ROW(AI$15),0),15-13*ORÇAMENTO!$AF$11)),0)</f>
        <v>0</v>
      </c>
      <c r="AJ101" s="631">
        <f ca="1">IF(AND($D101="Serviço",AJ$12&lt;&gt;0,$H101&gt;0,OR(AUTOEVENTO&lt;&gt;"manual",$M101&lt;&gt;1)),
IF(Import.TipoArredondamento&lt;&gt;"TransfereGOV",
ROUND(OFFSET($P101,0,AJ$13),15-13*ORÇAMENTO!$AF$7)/$H101*OFFSET(ORÇAMENTO!$X$15,ROW(AJ101)-ROW(AJ$15),0),
ROUND(ROUND(OFFSET($P101,0,AJ$13),15-13*ORÇAMENTO!$AF$7)*OFFSET(ORÇAMENTO!$W$15,ROW(AJ101)-ROW(AJ$15),0),15-13*ORÇAMENTO!$AF$11)),0)</f>
        <v>0</v>
      </c>
      <c r="AK101" s="632">
        <f ca="1">IF(AND($D101="Serviço",AK$12&lt;&gt;0,$H101&gt;0,OR(AUTOEVENTO&lt;&gt;"manual",$M101&lt;&gt;1)),
IF(Import.TipoArredondamento&lt;&gt;"TransfereGOV",
ROUND(OFFSET($P101,0,AK$13),15-13*ORÇAMENTO!$AF$7)/$H101*OFFSET(ORÇAMENTO!$X$15,ROW(AK101)-ROW(AK$15),0),
ROUND(ROUND(OFFSET($P101,0,AK$13),15-13*ORÇAMENTO!$AF$7)*OFFSET(ORÇAMENTO!$W$15,ROW(AK101)-ROW(AK$15),0),15-13*ORÇAMENTO!$AF$11)),0)</f>
        <v>0</v>
      </c>
      <c r="AM101" s="215">
        <f ca="1">IF($D101&lt;&gt;"Serviço",0,IF(AND(AUTOEVENTO="Manual",$M101=1),0,IF(OFFSET(CRONOPLE!$F$14,$M101,AM$13)="",10^12,OFFSET(CRONOPLE!$F$14,$M101,AM$13))))</f>
        <v>1000000000000</v>
      </c>
      <c r="AN101" s="215">
        <f ca="1">IF($D101&lt;&gt;"Serviço",0,IF(AND(AUTOEVENTO="Manual",$M101=1),0,IF(OFFSET(CRONOPLE!$F$14,$M101,AN$13)="",10^12,OFFSET(CRONOPLE!$F$14,$M101,AN$13))))</f>
        <v>1000000000000</v>
      </c>
      <c r="AO101" s="215">
        <f ca="1">IF($D101&lt;&gt;"Serviço",0,IF(AND(AUTOEVENTO="Manual",$M101=1),0,IF(OFFSET(CRONOPLE!$F$14,$M101,AO$13)="",10^12,OFFSET(CRONOPLE!$F$14,$M101,AO$13))))</f>
        <v>1000000000000</v>
      </c>
      <c r="AP101" s="215">
        <f ca="1">IF($D101&lt;&gt;"Serviço",0,IF(AND(AUTOEVENTO="Manual",$M101=1),0,IF(OFFSET(CRONOPLE!$F$14,$M101,AP$13)="",10^12,OFFSET(CRONOPLE!$F$14,$M101,AP$13))))</f>
        <v>1000000000000</v>
      </c>
      <c r="AQ101" s="215">
        <f ca="1">IF($D101&lt;&gt;"Serviço",0,IF(AND(AUTOEVENTO="Manual",$M101=1),0,IF(OFFSET(CRONOPLE!$F$14,$M101,AQ$13)="",10^12,OFFSET(CRONOPLE!$F$14,$M101,AQ$13))))</f>
        <v>1000000000000</v>
      </c>
      <c r="AR101" s="215">
        <f ca="1">IF($D101&lt;&gt;"Serviço",0,IF(AND(AUTOEVENTO="Manual",$M101=1),0,IF(OFFSET(CRONOPLE!$F$14,$M101,AR$13)="",10^12,OFFSET(CRONOPLE!$F$14,$M101,AR$13))))</f>
        <v>1000000000000</v>
      </c>
      <c r="AS101" s="215">
        <f ca="1">IF($D101&lt;&gt;"Serviço",0,IF(AND(AUTOEVENTO="Manual",$M101=1),0,IF(OFFSET(CRONOPLE!$F$14,$M101,AS$13)="",10^12,OFFSET(CRONOPLE!$F$14,$M101,AS$13))))</f>
        <v>1000000000000</v>
      </c>
      <c r="AT101" s="215">
        <f ca="1">IF($D101&lt;&gt;"Serviço",0,IF(AND(AUTOEVENTO="Manual",$M101=1),0,IF(OFFSET(CRONOPLE!$F$14,$M101,AT$13)="",10^12,OFFSET(CRONOPLE!$F$14,$M101,AT$13))))</f>
        <v>1000000000000</v>
      </c>
      <c r="AU101" s="215">
        <f ca="1">IF($D101&lt;&gt;"Serviço",0,IF(AND(AUTOEVENTO="Manual",$M101=1),0,IF(OFFSET(CRONOPLE!$F$14,$M101,AU$13)="",10^12,OFFSET(CRONOPLE!$F$14,$M101,AU$13))))</f>
        <v>1000000000000</v>
      </c>
      <c r="AV101" s="215">
        <f ca="1">IF($D101&lt;&gt;"Serviço",0,IF(AND(AUTOEVENTO="Manual",$M101=1),0,IF(OFFSET(CRONOPLE!$F$14,$M101,AV$13)="",10^12,OFFSET(CRONOPLE!$F$14,$M101,AV$13))))</f>
        <v>1000000000000</v>
      </c>
      <c r="AX101" s="216">
        <f ca="1">IF($D101&lt;&gt;"Serviço",0,IF(OR(AND(AUTOEVENTO="Manual",$M101=1),$M101&gt;(ROW(PLE.lastrow)-ROW(PLE.firstrow))),0,IF(OFFSET(PLE!$G$14,$M101,AX$13)="",10^12,OFFSET(PLE!$G$14,$M101,AX$13))))</f>
        <v>1000000000000</v>
      </c>
      <c r="AY101" s="216">
        <f ca="1">IF($D101&lt;&gt;"Serviço",0,IF(OR(AND(AUTOEVENTO="Manual",$M101=1),$M101&gt;(ROW(PLE.lastrow)-ROW(PLE.firstrow))),0,IF(OFFSET(PLE!$G$14,$M101,AY$13)="",10^12,OFFSET(PLE!$G$14,$M101,AY$13))))</f>
        <v>1000000000000</v>
      </c>
      <c r="AZ101" s="216">
        <f ca="1">IF($D101&lt;&gt;"Serviço",0,IF(OR(AND(AUTOEVENTO="Manual",$M101=1),$M101&gt;(ROW(PLE.lastrow)-ROW(PLE.firstrow))),0,IF(OFFSET(PLE!$G$14,$M101,AZ$13)="",10^12,OFFSET(PLE!$G$14,$M101,AZ$13))))</f>
        <v>1000000000000</v>
      </c>
      <c r="BA101" s="216">
        <f ca="1">IF($D101&lt;&gt;"Serviço",0,IF(OR(AND(AUTOEVENTO="Manual",$M101=1),$M101&gt;(ROW(PLE.lastrow)-ROW(PLE.firstrow))),0,IF(OFFSET(PLE!$G$14,$M101,BA$13)="",10^12,OFFSET(PLE!$G$14,$M101,BA$13))))</f>
        <v>1000000000000</v>
      </c>
      <c r="BB101" s="216">
        <f ca="1">IF($D101&lt;&gt;"Serviço",0,IF(OR(AND(AUTOEVENTO="Manual",$M101=1),$M101&gt;(ROW(PLE.lastrow)-ROW(PLE.firstrow))),0,IF(OFFSET(PLE!$G$14,$M101,BB$13)="",10^12,OFFSET(PLE!$G$14,$M101,BB$13))))</f>
        <v>1000000000000</v>
      </c>
      <c r="BC101" s="216">
        <f ca="1">IF($D101&lt;&gt;"Serviço",0,IF(OR(AND(AUTOEVENTO="Manual",$M101=1),$M101&gt;(ROW(PLE.lastrow)-ROW(PLE.firstrow))),0,IF(OFFSET(PLE!$G$14,$M101,BC$13)="",10^12,OFFSET(PLE!$G$14,$M101,BC$13))))</f>
        <v>1000000000000</v>
      </c>
      <c r="BD101" s="216">
        <f ca="1">IF($D101&lt;&gt;"Serviço",0,IF(OR(AND(AUTOEVENTO="Manual",$M101=1),$M101&gt;(ROW(PLE.lastrow)-ROW(PLE.firstrow))),0,IF(OFFSET(PLE!$G$14,$M101,BD$13)="",10^12,OFFSET(PLE!$G$14,$M101,BD$13))))</f>
        <v>1000000000000</v>
      </c>
      <c r="BE101" s="216">
        <f ca="1">IF($D101&lt;&gt;"Serviço",0,IF(OR(AND(AUTOEVENTO="Manual",$M101=1),$M101&gt;(ROW(PLE.lastrow)-ROW(PLE.firstrow))),0,IF(OFFSET(PLE!$G$14,$M101,BE$13)="",10^12,OFFSET(PLE!$G$14,$M101,BE$13))))</f>
        <v>1000000000000</v>
      </c>
      <c r="BF101" s="216">
        <f ca="1">IF($D101&lt;&gt;"Serviço",0,IF(OR(AND(AUTOEVENTO="Manual",$M101=1),$M101&gt;(ROW(PLE.lastrow)-ROW(PLE.firstrow))),0,IF(OFFSET(PLE!$G$14,$M101,BF$13)="",10^12,OFFSET(PLE!$G$14,$M101,BF$13))))</f>
        <v>1000000000000</v>
      </c>
      <c r="BG101" s="216">
        <f ca="1">IF($D101&lt;&gt;"Serviço",0,IF(OR(AND(AUTOEVENTO="Manual",$M101=1),$M101&gt;(ROW(PLE.lastrow)-ROW(PLE.firstrow))),0,IF(OFFSET(PLE!$G$14,$M101,BG$13)="",10^12,OFFSET(PLE!$G$14,$M101,BG$13))))</f>
        <v>1000000000000</v>
      </c>
    </row>
    <row r="102" spans="1:59" ht="25.5" x14ac:dyDescent="0.2">
      <c r="A102" s="9" t="str">
        <f t="shared" ca="1" si="10"/>
        <v>85</v>
      </c>
      <c r="B102" s="9" t="str">
        <f ca="1">OFFSET(ORÇAMENTO!C$15,ROW(B102)-ROW(B$15),0)</f>
        <v>S</v>
      </c>
      <c r="C102" s="9" t="str">
        <f ca="1">OFFSET(ORÇAMENTO!L$15,ROW(C102)-ROW(C$15),0)</f>
        <v/>
      </c>
      <c r="D102" s="145" t="str">
        <f ca="1">OFFSET(ORÇAMENTO!N$15,ROW(D102)-ROW(D$15),0)</f>
        <v>Serviço</v>
      </c>
      <c r="E102" s="205" t="str">
        <f ca="1">OFFSET(ORÇAMENTO!O$15,ROW(E102)-ROW(E$15),0)</f>
        <v>-</v>
      </c>
      <c r="F102" s="206" t="str">
        <f ca="1">OFFSET(ORÇAMENTO!R$15,ROW(F102)-ROW(F$15),0)</f>
        <v>APLICAÇÃO MANUAL DE FUNDO SELADOR ACRÍLICO EM PAREDES EXTERNAS DE CASAS. AF_03/2024</v>
      </c>
      <c r="G102" s="207" t="str">
        <f ca="1">IF($D102&lt;&gt;"Serviço","",OFFSET(ORÇAMENTO!S$15,ROW(G102)-ROW(G$15),0))</f>
        <v>M2</v>
      </c>
      <c r="H102" s="151">
        <f ca="1">IF($D102&lt;&gt;"Serviço",0,IF(ACOMPANHAMENTO="BM",ROUND(OFFSET(ORÇAMENTO!AJ$15,ROW(H102)-ROW(H$15),0),15-13*ORÇAMENTO!$AF$7),SUMPRODUCT(($Q$12:$AA$12&lt;&gt;"")*ROUND($Q102:$AA102,15-13*ORÇAMENTO!$AF$7))))</f>
        <v>1736</v>
      </c>
      <c r="I102" s="649"/>
      <c r="K102" s="208"/>
      <c r="L102" s="209" t="s">
        <v>255</v>
      </c>
      <c r="M102" s="210">
        <f ca="1">IF($D102&lt;&gt;"Serviço","",IF(AUTOEVENTO="manual",$A102,IF(ISERROR(MATCH($A102,$A$15:OFFSET($A102,-1,0),0)),MAX($M$15:OFFSET(M102,-1,0))+1,INDEX($M$15:OFFSET(M102,-1,0),MATCH($A102,$A$15:OFFSET($A102,-1,0),0)))))</f>
        <v>17</v>
      </c>
      <c r="N102" s="211" t="str">
        <f ca="1">IF($D102&lt;&gt;"Serviço","",IF(AUTOEVENTO="Manual",IF($A102=0,"&lt;-- defina o número do agrupador",OFFSET(EVENTOS!$D$14,$A102,0)),OFFSET($F$15,$A102,0)))</f>
        <v xml:space="preserve">PINTURA </v>
      </c>
      <c r="O102" s="212"/>
      <c r="Q102" s="212"/>
      <c r="R102" s="213"/>
      <c r="S102" s="213"/>
      <c r="T102" s="213"/>
      <c r="U102" s="213"/>
      <c r="V102" s="213"/>
      <c r="W102" s="213"/>
      <c r="X102" s="213"/>
      <c r="Y102" s="213"/>
      <c r="Z102" s="214"/>
      <c r="AB102" s="630">
        <f ca="1">IF(AND($D102="Serviço",AB$12&lt;&gt;0,$H102&gt;0,OR(AUTOEVENTO&lt;&gt;"manual",$M102&lt;&gt;1)),
IF(Import.TipoArredondamento&lt;&gt;"TransfereGOV",
ROUND(OFFSET($P102,0,AB$13),15-13*ORÇAMENTO!$AF$7)/$H102*OFFSET(ORÇAMENTO!$X$15,ROW(AB102)-ROW(AB$15),0),
ROUND(ROUND(OFFSET($P102,0,AB$13),15-13*ORÇAMENTO!$AF$7)*OFFSET(ORÇAMENTO!$W$15,ROW(AB102)-ROW(AB$15),0),15-13*ORÇAMENTO!$AF$11)),0)</f>
        <v>0</v>
      </c>
      <c r="AC102" s="631">
        <f ca="1">IF(AND($D102="Serviço",AC$12&lt;&gt;0,$H102&gt;0,OR(AUTOEVENTO&lt;&gt;"manual",$M102&lt;&gt;1)),
IF(Import.TipoArredondamento&lt;&gt;"TransfereGOV",
ROUND(OFFSET($P102,0,AC$13),15-13*ORÇAMENTO!$AF$7)/$H102*OFFSET(ORÇAMENTO!$X$15,ROW(AC102)-ROW(AC$15),0),
ROUND(ROUND(OFFSET($P102,0,AC$13),15-13*ORÇAMENTO!$AF$7)*OFFSET(ORÇAMENTO!$W$15,ROW(AC102)-ROW(AC$15),0),15-13*ORÇAMENTO!$AF$11)),0)</f>
        <v>0</v>
      </c>
      <c r="AD102" s="631">
        <f ca="1">IF(AND($D102="Serviço",AD$12&lt;&gt;0,$H102&gt;0,OR(AUTOEVENTO&lt;&gt;"manual",$M102&lt;&gt;1)),
IF(Import.TipoArredondamento&lt;&gt;"TransfereGOV",
ROUND(OFFSET($P102,0,AD$13),15-13*ORÇAMENTO!$AF$7)/$H102*OFFSET(ORÇAMENTO!$X$15,ROW(AD102)-ROW(AD$15),0),
ROUND(ROUND(OFFSET($P102,0,AD$13),15-13*ORÇAMENTO!$AF$7)*OFFSET(ORÇAMENTO!$W$15,ROW(AD102)-ROW(AD$15),0),15-13*ORÇAMENTO!$AF$11)),0)</f>
        <v>0</v>
      </c>
      <c r="AE102" s="631">
        <f ca="1">IF(AND($D102="Serviço",AE$12&lt;&gt;0,$H102&gt;0,OR(AUTOEVENTO&lt;&gt;"manual",$M102&lt;&gt;1)),
IF(Import.TipoArredondamento&lt;&gt;"TransfereGOV",
ROUND(OFFSET($P102,0,AE$13),15-13*ORÇAMENTO!$AF$7)/$H102*OFFSET(ORÇAMENTO!$X$15,ROW(AE102)-ROW(AE$15),0),
ROUND(ROUND(OFFSET($P102,0,AE$13),15-13*ORÇAMENTO!$AF$7)*OFFSET(ORÇAMENTO!$W$15,ROW(AE102)-ROW(AE$15),0),15-13*ORÇAMENTO!$AF$11)),0)</f>
        <v>0</v>
      </c>
      <c r="AF102" s="631">
        <f ca="1">IF(AND($D102="Serviço",AF$12&lt;&gt;0,$H102&gt;0,OR(AUTOEVENTO&lt;&gt;"manual",$M102&lt;&gt;1)),
IF(Import.TipoArredondamento&lt;&gt;"TransfereGOV",
ROUND(OFFSET($P102,0,AF$13),15-13*ORÇAMENTO!$AF$7)/$H102*OFFSET(ORÇAMENTO!$X$15,ROW(AF102)-ROW(AF$15),0),
ROUND(ROUND(OFFSET($P102,0,AF$13),15-13*ORÇAMENTO!$AF$7)*OFFSET(ORÇAMENTO!$W$15,ROW(AF102)-ROW(AF$15),0),15-13*ORÇAMENTO!$AF$11)),0)</f>
        <v>0</v>
      </c>
      <c r="AG102" s="631">
        <f ca="1">IF(AND($D102="Serviço",AG$12&lt;&gt;0,$H102&gt;0,OR(AUTOEVENTO&lt;&gt;"manual",$M102&lt;&gt;1)),
IF(Import.TipoArredondamento&lt;&gt;"TransfereGOV",
ROUND(OFFSET($P102,0,AG$13),15-13*ORÇAMENTO!$AF$7)/$H102*OFFSET(ORÇAMENTO!$X$15,ROW(AG102)-ROW(AG$15),0),
ROUND(ROUND(OFFSET($P102,0,AG$13),15-13*ORÇAMENTO!$AF$7)*OFFSET(ORÇAMENTO!$W$15,ROW(AG102)-ROW(AG$15),0),15-13*ORÇAMENTO!$AF$11)),0)</f>
        <v>0</v>
      </c>
      <c r="AH102" s="631">
        <f ca="1">IF(AND($D102="Serviço",AH$12&lt;&gt;0,$H102&gt;0,OR(AUTOEVENTO&lt;&gt;"manual",$M102&lt;&gt;1)),
IF(Import.TipoArredondamento&lt;&gt;"TransfereGOV",
ROUND(OFFSET($P102,0,AH$13),15-13*ORÇAMENTO!$AF$7)/$H102*OFFSET(ORÇAMENTO!$X$15,ROW(AH102)-ROW(AH$15),0),
ROUND(ROUND(OFFSET($P102,0,AH$13),15-13*ORÇAMENTO!$AF$7)*OFFSET(ORÇAMENTO!$W$15,ROW(AH102)-ROW(AH$15),0),15-13*ORÇAMENTO!$AF$11)),0)</f>
        <v>0</v>
      </c>
      <c r="AI102" s="631">
        <f ca="1">IF(AND($D102="Serviço",AI$12&lt;&gt;0,$H102&gt;0,OR(AUTOEVENTO&lt;&gt;"manual",$M102&lt;&gt;1)),
IF(Import.TipoArredondamento&lt;&gt;"TransfereGOV",
ROUND(OFFSET($P102,0,AI$13),15-13*ORÇAMENTO!$AF$7)/$H102*OFFSET(ORÇAMENTO!$X$15,ROW(AI102)-ROW(AI$15),0),
ROUND(ROUND(OFFSET($P102,0,AI$13),15-13*ORÇAMENTO!$AF$7)*OFFSET(ORÇAMENTO!$W$15,ROW(AI102)-ROW(AI$15),0),15-13*ORÇAMENTO!$AF$11)),0)</f>
        <v>0</v>
      </c>
      <c r="AJ102" s="631">
        <f ca="1">IF(AND($D102="Serviço",AJ$12&lt;&gt;0,$H102&gt;0,OR(AUTOEVENTO&lt;&gt;"manual",$M102&lt;&gt;1)),
IF(Import.TipoArredondamento&lt;&gt;"TransfereGOV",
ROUND(OFFSET($P102,0,AJ$13),15-13*ORÇAMENTO!$AF$7)/$H102*OFFSET(ORÇAMENTO!$X$15,ROW(AJ102)-ROW(AJ$15),0),
ROUND(ROUND(OFFSET($P102,0,AJ$13),15-13*ORÇAMENTO!$AF$7)*OFFSET(ORÇAMENTO!$W$15,ROW(AJ102)-ROW(AJ$15),0),15-13*ORÇAMENTO!$AF$11)),0)</f>
        <v>0</v>
      </c>
      <c r="AK102" s="632">
        <f ca="1">IF(AND($D102="Serviço",AK$12&lt;&gt;0,$H102&gt;0,OR(AUTOEVENTO&lt;&gt;"manual",$M102&lt;&gt;1)),
IF(Import.TipoArredondamento&lt;&gt;"TransfereGOV",
ROUND(OFFSET($P102,0,AK$13),15-13*ORÇAMENTO!$AF$7)/$H102*OFFSET(ORÇAMENTO!$X$15,ROW(AK102)-ROW(AK$15),0),
ROUND(ROUND(OFFSET($P102,0,AK$13),15-13*ORÇAMENTO!$AF$7)*OFFSET(ORÇAMENTO!$W$15,ROW(AK102)-ROW(AK$15),0),15-13*ORÇAMENTO!$AF$11)),0)</f>
        <v>0</v>
      </c>
      <c r="AM102" s="215">
        <f ca="1">IF($D102&lt;&gt;"Serviço",0,IF(AND(AUTOEVENTO="Manual",$M102=1),0,IF(OFFSET(CRONOPLE!$F$14,$M102,AM$13)="",10^12,OFFSET(CRONOPLE!$F$14,$M102,AM$13))))</f>
        <v>1000000000000</v>
      </c>
      <c r="AN102" s="215">
        <f ca="1">IF($D102&lt;&gt;"Serviço",0,IF(AND(AUTOEVENTO="Manual",$M102=1),0,IF(OFFSET(CRONOPLE!$F$14,$M102,AN$13)="",10^12,OFFSET(CRONOPLE!$F$14,$M102,AN$13))))</f>
        <v>1000000000000</v>
      </c>
      <c r="AO102" s="215">
        <f ca="1">IF($D102&lt;&gt;"Serviço",0,IF(AND(AUTOEVENTO="Manual",$M102=1),0,IF(OFFSET(CRONOPLE!$F$14,$M102,AO$13)="",10^12,OFFSET(CRONOPLE!$F$14,$M102,AO$13))))</f>
        <v>1000000000000</v>
      </c>
      <c r="AP102" s="215">
        <f ca="1">IF($D102&lt;&gt;"Serviço",0,IF(AND(AUTOEVENTO="Manual",$M102=1),0,IF(OFFSET(CRONOPLE!$F$14,$M102,AP$13)="",10^12,OFFSET(CRONOPLE!$F$14,$M102,AP$13))))</f>
        <v>1000000000000</v>
      </c>
      <c r="AQ102" s="215">
        <f ca="1">IF($D102&lt;&gt;"Serviço",0,IF(AND(AUTOEVENTO="Manual",$M102=1),0,IF(OFFSET(CRONOPLE!$F$14,$M102,AQ$13)="",10^12,OFFSET(CRONOPLE!$F$14,$M102,AQ$13))))</f>
        <v>1000000000000</v>
      </c>
      <c r="AR102" s="215">
        <f ca="1">IF($D102&lt;&gt;"Serviço",0,IF(AND(AUTOEVENTO="Manual",$M102=1),0,IF(OFFSET(CRONOPLE!$F$14,$M102,AR$13)="",10^12,OFFSET(CRONOPLE!$F$14,$M102,AR$13))))</f>
        <v>1000000000000</v>
      </c>
      <c r="AS102" s="215">
        <f ca="1">IF($D102&lt;&gt;"Serviço",0,IF(AND(AUTOEVENTO="Manual",$M102=1),0,IF(OFFSET(CRONOPLE!$F$14,$M102,AS$13)="",10^12,OFFSET(CRONOPLE!$F$14,$M102,AS$13))))</f>
        <v>1000000000000</v>
      </c>
      <c r="AT102" s="215">
        <f ca="1">IF($D102&lt;&gt;"Serviço",0,IF(AND(AUTOEVENTO="Manual",$M102=1),0,IF(OFFSET(CRONOPLE!$F$14,$M102,AT$13)="",10^12,OFFSET(CRONOPLE!$F$14,$M102,AT$13))))</f>
        <v>1000000000000</v>
      </c>
      <c r="AU102" s="215">
        <f ca="1">IF($D102&lt;&gt;"Serviço",0,IF(AND(AUTOEVENTO="Manual",$M102=1),0,IF(OFFSET(CRONOPLE!$F$14,$M102,AU$13)="",10^12,OFFSET(CRONOPLE!$F$14,$M102,AU$13))))</f>
        <v>1000000000000</v>
      </c>
      <c r="AV102" s="215">
        <f ca="1">IF($D102&lt;&gt;"Serviço",0,IF(AND(AUTOEVENTO="Manual",$M102=1),0,IF(OFFSET(CRONOPLE!$F$14,$M102,AV$13)="",10^12,OFFSET(CRONOPLE!$F$14,$M102,AV$13))))</f>
        <v>1000000000000</v>
      </c>
      <c r="AX102" s="216">
        <f ca="1">IF($D102&lt;&gt;"Serviço",0,IF(OR(AND(AUTOEVENTO="Manual",$M102=1),$M102&gt;(ROW(PLE.lastrow)-ROW(PLE.firstrow))),0,IF(OFFSET(PLE!$G$14,$M102,AX$13)="",10^12,OFFSET(PLE!$G$14,$M102,AX$13))))</f>
        <v>1000000000000</v>
      </c>
      <c r="AY102" s="216">
        <f ca="1">IF($D102&lt;&gt;"Serviço",0,IF(OR(AND(AUTOEVENTO="Manual",$M102=1),$M102&gt;(ROW(PLE.lastrow)-ROW(PLE.firstrow))),0,IF(OFFSET(PLE!$G$14,$M102,AY$13)="",10^12,OFFSET(PLE!$G$14,$M102,AY$13))))</f>
        <v>1000000000000</v>
      </c>
      <c r="AZ102" s="216">
        <f ca="1">IF($D102&lt;&gt;"Serviço",0,IF(OR(AND(AUTOEVENTO="Manual",$M102=1),$M102&gt;(ROW(PLE.lastrow)-ROW(PLE.firstrow))),0,IF(OFFSET(PLE!$G$14,$M102,AZ$13)="",10^12,OFFSET(PLE!$G$14,$M102,AZ$13))))</f>
        <v>1000000000000</v>
      </c>
      <c r="BA102" s="216">
        <f ca="1">IF($D102&lt;&gt;"Serviço",0,IF(OR(AND(AUTOEVENTO="Manual",$M102=1),$M102&gt;(ROW(PLE.lastrow)-ROW(PLE.firstrow))),0,IF(OFFSET(PLE!$G$14,$M102,BA$13)="",10^12,OFFSET(PLE!$G$14,$M102,BA$13))))</f>
        <v>1000000000000</v>
      </c>
      <c r="BB102" s="216">
        <f ca="1">IF($D102&lt;&gt;"Serviço",0,IF(OR(AND(AUTOEVENTO="Manual",$M102=1),$M102&gt;(ROW(PLE.lastrow)-ROW(PLE.firstrow))),0,IF(OFFSET(PLE!$G$14,$M102,BB$13)="",10^12,OFFSET(PLE!$G$14,$M102,BB$13))))</f>
        <v>1000000000000</v>
      </c>
      <c r="BC102" s="216">
        <f ca="1">IF($D102&lt;&gt;"Serviço",0,IF(OR(AND(AUTOEVENTO="Manual",$M102=1),$M102&gt;(ROW(PLE.lastrow)-ROW(PLE.firstrow))),0,IF(OFFSET(PLE!$G$14,$M102,BC$13)="",10^12,OFFSET(PLE!$G$14,$M102,BC$13))))</f>
        <v>1000000000000</v>
      </c>
      <c r="BD102" s="216">
        <f ca="1">IF($D102&lt;&gt;"Serviço",0,IF(OR(AND(AUTOEVENTO="Manual",$M102=1),$M102&gt;(ROW(PLE.lastrow)-ROW(PLE.firstrow))),0,IF(OFFSET(PLE!$G$14,$M102,BD$13)="",10^12,OFFSET(PLE!$G$14,$M102,BD$13))))</f>
        <v>1000000000000</v>
      </c>
      <c r="BE102" s="216">
        <f ca="1">IF($D102&lt;&gt;"Serviço",0,IF(OR(AND(AUTOEVENTO="Manual",$M102=1),$M102&gt;(ROW(PLE.lastrow)-ROW(PLE.firstrow))),0,IF(OFFSET(PLE!$G$14,$M102,BE$13)="",10^12,OFFSET(PLE!$G$14,$M102,BE$13))))</f>
        <v>1000000000000</v>
      </c>
      <c r="BF102" s="216">
        <f ca="1">IF($D102&lt;&gt;"Serviço",0,IF(OR(AND(AUTOEVENTO="Manual",$M102=1),$M102&gt;(ROW(PLE.lastrow)-ROW(PLE.firstrow))),0,IF(OFFSET(PLE!$G$14,$M102,BF$13)="",10^12,OFFSET(PLE!$G$14,$M102,BF$13))))</f>
        <v>1000000000000</v>
      </c>
      <c r="BG102" s="216">
        <f ca="1">IF($D102&lt;&gt;"Serviço",0,IF(OR(AND(AUTOEVENTO="Manual",$M102=1),$M102&gt;(ROW(PLE.lastrow)-ROW(PLE.firstrow))),0,IF(OFFSET(PLE!$G$14,$M102,BG$13)="",10^12,OFFSET(PLE!$G$14,$M102,BG$13))))</f>
        <v>1000000000000</v>
      </c>
    </row>
    <row r="103" spans="1:59" ht="25.5" x14ac:dyDescent="0.2">
      <c r="A103" s="9" t="str">
        <f ca="1">IF(AUTOEVENTO="Manual",IF(K103&lt;&gt;"",MIN(VALUE(LEFT(K103,FIND(".",K103)-1)),COUNTA(EVENTOS.Lista)),0),IF(OR($B103&gt;AUTOEVENTO,$B103="S",$B103=0),SUBSTITUTE(OFFSET($A103,-1,0),IF($D103="Serviço",".",""),""),ROW(A103)-ROW($A$15)&amp;"."))</f>
        <v>85</v>
      </c>
      <c r="B103" s="9" t="str">
        <f ca="1">OFFSET(ORÇAMENTO!C$15,ROW(B103)-ROW(B$15),0)</f>
        <v>S</v>
      </c>
      <c r="C103" s="9" t="str">
        <f ca="1">OFFSET(ORÇAMENTO!L$15,ROW(C103)-ROW(C$15),0)</f>
        <v/>
      </c>
      <c r="D103" s="145" t="str">
        <f ca="1">OFFSET(ORÇAMENTO!N$15,ROW(D103)-ROW(D$15),0)</f>
        <v>Serviço</v>
      </c>
      <c r="E103" s="205" t="str">
        <f ca="1">OFFSET(ORÇAMENTO!O$15,ROW(E103)-ROW(E$15),0)</f>
        <v>-</v>
      </c>
      <c r="F103" s="206" t="str">
        <f ca="1">OFFSET(ORÇAMENTO!R$15,ROW(F103)-ROW(F$15),0)</f>
        <v>PINTURA TINTA DE ACABAMENTO (PIGMENTADA) ESMALTE SINTÉTICO FOSCO EM MADEIRA, 2 DEMÃOS. AF_01/2021</v>
      </c>
      <c r="G103" s="207" t="str">
        <f ca="1">IF($D103&lt;&gt;"Serviço","",OFFSET(ORÇAMENTO!S$15,ROW(G103)-ROW(G$15),0))</f>
        <v>M2</v>
      </c>
      <c r="H103" s="151">
        <f ca="1">IF($D103&lt;&gt;"Serviço",0,IF(ACOMPANHAMENTO="BM",ROUND(OFFSET(ORÇAMENTO!AJ$15,ROW(H103)-ROW(H$15),0),15-13*ORÇAMENTO!$AF$7),SUMPRODUCT(($Q$12:$AA$12&lt;&gt;"")*ROUND($Q103:$AA103,15-13*ORÇAMENTO!$AF$7))))</f>
        <v>46.38</v>
      </c>
      <c r="I103" s="649"/>
      <c r="K103" s="208"/>
      <c r="L103" s="209" t="s">
        <v>255</v>
      </c>
      <c r="M103" s="210">
        <f ca="1">IF($D103&lt;&gt;"Serviço","",IF(AUTOEVENTO="manual",$A103,IF(ISERROR(MATCH($A103,$A$15:OFFSET($A103,-1,0),0)),MAX($M$15:OFFSET(M103,-1,0))+1,INDEX($M$15:OFFSET(M103,-1,0),MATCH($A103,$A$15:OFFSET($A103,-1,0),0)))))</f>
        <v>17</v>
      </c>
      <c r="N103" s="211" t="str">
        <f ca="1">IF($D103&lt;&gt;"Serviço","",IF(AUTOEVENTO="Manual",IF($A103=0,"&lt;-- defina o número do agrupador",OFFSET(EVENTOS!$D$14,$A103,0)),OFFSET($F$15,$A103,0)))</f>
        <v xml:space="preserve">PINTURA </v>
      </c>
      <c r="O103" s="212"/>
      <c r="Q103" s="212"/>
      <c r="R103" s="213"/>
      <c r="S103" s="213"/>
      <c r="T103" s="213"/>
      <c r="U103" s="213"/>
      <c r="V103" s="213"/>
      <c r="W103" s="213"/>
      <c r="X103" s="213"/>
      <c r="Y103" s="213"/>
      <c r="Z103" s="214"/>
      <c r="AB103" s="630">
        <f ca="1">IF(AND($D103="Serviço",AB$12&lt;&gt;0,$H103&gt;0,OR(AUTOEVENTO&lt;&gt;"manual",$M103&lt;&gt;1)),
IF(Import.TipoArredondamento&lt;&gt;"TransfereGOV",
ROUND(OFFSET($P103,0,AB$13),15-13*ORÇAMENTO!$AF$7)/$H103*OFFSET(ORÇAMENTO!$X$15,ROW(AB103)-ROW(AB$15),0),
ROUND(ROUND(OFFSET($P103,0,AB$13),15-13*ORÇAMENTO!$AF$7)*OFFSET(ORÇAMENTO!$W$15,ROW(AB103)-ROW(AB$15),0),15-13*ORÇAMENTO!$AF$11)),0)</f>
        <v>0</v>
      </c>
      <c r="AC103" s="631">
        <f ca="1">IF(AND($D103="Serviço",AC$12&lt;&gt;0,$H103&gt;0,OR(AUTOEVENTO&lt;&gt;"manual",$M103&lt;&gt;1)),
IF(Import.TipoArredondamento&lt;&gt;"TransfereGOV",
ROUND(OFFSET($P103,0,AC$13),15-13*ORÇAMENTO!$AF$7)/$H103*OFFSET(ORÇAMENTO!$X$15,ROW(AC103)-ROW(AC$15),0),
ROUND(ROUND(OFFSET($P103,0,AC$13),15-13*ORÇAMENTO!$AF$7)*OFFSET(ORÇAMENTO!$W$15,ROW(AC103)-ROW(AC$15),0),15-13*ORÇAMENTO!$AF$11)),0)</f>
        <v>0</v>
      </c>
      <c r="AD103" s="631">
        <f ca="1">IF(AND($D103="Serviço",AD$12&lt;&gt;0,$H103&gt;0,OR(AUTOEVENTO&lt;&gt;"manual",$M103&lt;&gt;1)),
IF(Import.TipoArredondamento&lt;&gt;"TransfereGOV",
ROUND(OFFSET($P103,0,AD$13),15-13*ORÇAMENTO!$AF$7)/$H103*OFFSET(ORÇAMENTO!$X$15,ROW(AD103)-ROW(AD$15),0),
ROUND(ROUND(OFFSET($P103,0,AD$13),15-13*ORÇAMENTO!$AF$7)*OFFSET(ORÇAMENTO!$W$15,ROW(AD103)-ROW(AD$15),0),15-13*ORÇAMENTO!$AF$11)),0)</f>
        <v>0</v>
      </c>
      <c r="AE103" s="631">
        <f ca="1">IF(AND($D103="Serviço",AE$12&lt;&gt;0,$H103&gt;0,OR(AUTOEVENTO&lt;&gt;"manual",$M103&lt;&gt;1)),
IF(Import.TipoArredondamento&lt;&gt;"TransfereGOV",
ROUND(OFFSET($P103,0,AE$13),15-13*ORÇAMENTO!$AF$7)/$H103*OFFSET(ORÇAMENTO!$X$15,ROW(AE103)-ROW(AE$15),0),
ROUND(ROUND(OFFSET($P103,0,AE$13),15-13*ORÇAMENTO!$AF$7)*OFFSET(ORÇAMENTO!$W$15,ROW(AE103)-ROW(AE$15),0),15-13*ORÇAMENTO!$AF$11)),0)</f>
        <v>0</v>
      </c>
      <c r="AF103" s="631">
        <f ca="1">IF(AND($D103="Serviço",AF$12&lt;&gt;0,$H103&gt;0,OR(AUTOEVENTO&lt;&gt;"manual",$M103&lt;&gt;1)),
IF(Import.TipoArredondamento&lt;&gt;"TransfereGOV",
ROUND(OFFSET($P103,0,AF$13),15-13*ORÇAMENTO!$AF$7)/$H103*OFFSET(ORÇAMENTO!$X$15,ROW(AF103)-ROW(AF$15),0),
ROUND(ROUND(OFFSET($P103,0,AF$13),15-13*ORÇAMENTO!$AF$7)*OFFSET(ORÇAMENTO!$W$15,ROW(AF103)-ROW(AF$15),0),15-13*ORÇAMENTO!$AF$11)),0)</f>
        <v>0</v>
      </c>
      <c r="AG103" s="631">
        <f ca="1">IF(AND($D103="Serviço",AG$12&lt;&gt;0,$H103&gt;0,OR(AUTOEVENTO&lt;&gt;"manual",$M103&lt;&gt;1)),
IF(Import.TipoArredondamento&lt;&gt;"TransfereGOV",
ROUND(OFFSET($P103,0,AG$13),15-13*ORÇAMENTO!$AF$7)/$H103*OFFSET(ORÇAMENTO!$X$15,ROW(AG103)-ROW(AG$15),0),
ROUND(ROUND(OFFSET($P103,0,AG$13),15-13*ORÇAMENTO!$AF$7)*OFFSET(ORÇAMENTO!$W$15,ROW(AG103)-ROW(AG$15),0),15-13*ORÇAMENTO!$AF$11)),0)</f>
        <v>0</v>
      </c>
      <c r="AH103" s="631">
        <f ca="1">IF(AND($D103="Serviço",AH$12&lt;&gt;0,$H103&gt;0,OR(AUTOEVENTO&lt;&gt;"manual",$M103&lt;&gt;1)),
IF(Import.TipoArredondamento&lt;&gt;"TransfereGOV",
ROUND(OFFSET($P103,0,AH$13),15-13*ORÇAMENTO!$AF$7)/$H103*OFFSET(ORÇAMENTO!$X$15,ROW(AH103)-ROW(AH$15),0),
ROUND(ROUND(OFFSET($P103,0,AH$13),15-13*ORÇAMENTO!$AF$7)*OFFSET(ORÇAMENTO!$W$15,ROW(AH103)-ROW(AH$15),0),15-13*ORÇAMENTO!$AF$11)),0)</f>
        <v>0</v>
      </c>
      <c r="AI103" s="631">
        <f ca="1">IF(AND($D103="Serviço",AI$12&lt;&gt;0,$H103&gt;0,OR(AUTOEVENTO&lt;&gt;"manual",$M103&lt;&gt;1)),
IF(Import.TipoArredondamento&lt;&gt;"TransfereGOV",
ROUND(OFFSET($P103,0,AI$13),15-13*ORÇAMENTO!$AF$7)/$H103*OFFSET(ORÇAMENTO!$X$15,ROW(AI103)-ROW(AI$15),0),
ROUND(ROUND(OFFSET($P103,0,AI$13),15-13*ORÇAMENTO!$AF$7)*OFFSET(ORÇAMENTO!$W$15,ROW(AI103)-ROW(AI$15),0),15-13*ORÇAMENTO!$AF$11)),0)</f>
        <v>0</v>
      </c>
      <c r="AJ103" s="631">
        <f ca="1">IF(AND($D103="Serviço",AJ$12&lt;&gt;0,$H103&gt;0,OR(AUTOEVENTO&lt;&gt;"manual",$M103&lt;&gt;1)),
IF(Import.TipoArredondamento&lt;&gt;"TransfereGOV",
ROUND(OFFSET($P103,0,AJ$13),15-13*ORÇAMENTO!$AF$7)/$H103*OFFSET(ORÇAMENTO!$X$15,ROW(AJ103)-ROW(AJ$15),0),
ROUND(ROUND(OFFSET($P103,0,AJ$13),15-13*ORÇAMENTO!$AF$7)*OFFSET(ORÇAMENTO!$W$15,ROW(AJ103)-ROW(AJ$15),0),15-13*ORÇAMENTO!$AF$11)),0)</f>
        <v>0</v>
      </c>
      <c r="AK103" s="632">
        <f ca="1">IF(AND($D103="Serviço",AK$12&lt;&gt;0,$H103&gt;0,OR(AUTOEVENTO&lt;&gt;"manual",$M103&lt;&gt;1)),
IF(Import.TipoArredondamento&lt;&gt;"TransfereGOV",
ROUND(OFFSET($P103,0,AK$13),15-13*ORÇAMENTO!$AF$7)/$H103*OFFSET(ORÇAMENTO!$X$15,ROW(AK103)-ROW(AK$15),0),
ROUND(ROUND(OFFSET($P103,0,AK$13),15-13*ORÇAMENTO!$AF$7)*OFFSET(ORÇAMENTO!$W$15,ROW(AK103)-ROW(AK$15),0),15-13*ORÇAMENTO!$AF$11)),0)</f>
        <v>0</v>
      </c>
      <c r="AM103" s="215">
        <f ca="1">IF($D103&lt;&gt;"Serviço",0,IF(AND(AUTOEVENTO="Manual",$M103=1),0,IF(OFFSET(CRONOPLE!$F$14,$M103,AM$13)="",10^12,OFFSET(CRONOPLE!$F$14,$M103,AM$13))))</f>
        <v>1000000000000</v>
      </c>
      <c r="AN103" s="215">
        <f ca="1">IF($D103&lt;&gt;"Serviço",0,IF(AND(AUTOEVENTO="Manual",$M103=1),0,IF(OFFSET(CRONOPLE!$F$14,$M103,AN$13)="",10^12,OFFSET(CRONOPLE!$F$14,$M103,AN$13))))</f>
        <v>1000000000000</v>
      </c>
      <c r="AO103" s="215">
        <f ca="1">IF($D103&lt;&gt;"Serviço",0,IF(AND(AUTOEVENTO="Manual",$M103=1),0,IF(OFFSET(CRONOPLE!$F$14,$M103,AO$13)="",10^12,OFFSET(CRONOPLE!$F$14,$M103,AO$13))))</f>
        <v>1000000000000</v>
      </c>
      <c r="AP103" s="215">
        <f ca="1">IF($D103&lt;&gt;"Serviço",0,IF(AND(AUTOEVENTO="Manual",$M103=1),0,IF(OFFSET(CRONOPLE!$F$14,$M103,AP$13)="",10^12,OFFSET(CRONOPLE!$F$14,$M103,AP$13))))</f>
        <v>1000000000000</v>
      </c>
      <c r="AQ103" s="215">
        <f ca="1">IF($D103&lt;&gt;"Serviço",0,IF(AND(AUTOEVENTO="Manual",$M103=1),0,IF(OFFSET(CRONOPLE!$F$14,$M103,AQ$13)="",10^12,OFFSET(CRONOPLE!$F$14,$M103,AQ$13))))</f>
        <v>1000000000000</v>
      </c>
      <c r="AR103" s="215">
        <f ca="1">IF($D103&lt;&gt;"Serviço",0,IF(AND(AUTOEVENTO="Manual",$M103=1),0,IF(OFFSET(CRONOPLE!$F$14,$M103,AR$13)="",10^12,OFFSET(CRONOPLE!$F$14,$M103,AR$13))))</f>
        <v>1000000000000</v>
      </c>
      <c r="AS103" s="215">
        <f ca="1">IF($D103&lt;&gt;"Serviço",0,IF(AND(AUTOEVENTO="Manual",$M103=1),0,IF(OFFSET(CRONOPLE!$F$14,$M103,AS$13)="",10^12,OFFSET(CRONOPLE!$F$14,$M103,AS$13))))</f>
        <v>1000000000000</v>
      </c>
      <c r="AT103" s="215">
        <f ca="1">IF($D103&lt;&gt;"Serviço",0,IF(AND(AUTOEVENTO="Manual",$M103=1),0,IF(OFFSET(CRONOPLE!$F$14,$M103,AT$13)="",10^12,OFFSET(CRONOPLE!$F$14,$M103,AT$13))))</f>
        <v>1000000000000</v>
      </c>
      <c r="AU103" s="215">
        <f ca="1">IF($D103&lt;&gt;"Serviço",0,IF(AND(AUTOEVENTO="Manual",$M103=1),0,IF(OFFSET(CRONOPLE!$F$14,$M103,AU$13)="",10^12,OFFSET(CRONOPLE!$F$14,$M103,AU$13))))</f>
        <v>1000000000000</v>
      </c>
      <c r="AV103" s="215">
        <f ca="1">IF($D103&lt;&gt;"Serviço",0,IF(AND(AUTOEVENTO="Manual",$M103=1),0,IF(OFFSET(CRONOPLE!$F$14,$M103,AV$13)="",10^12,OFFSET(CRONOPLE!$F$14,$M103,AV$13))))</f>
        <v>1000000000000</v>
      </c>
      <c r="AX103" s="216">
        <f ca="1">IF($D103&lt;&gt;"Serviço",0,IF(OR(AND(AUTOEVENTO="Manual",$M103=1),$M103&gt;(ROW(PLE.lastrow)-ROW(PLE.firstrow))),0,IF(OFFSET(PLE!$G$14,$M103,AX$13)="",10^12,OFFSET(PLE!$G$14,$M103,AX$13))))</f>
        <v>1000000000000</v>
      </c>
      <c r="AY103" s="216">
        <f ca="1">IF($D103&lt;&gt;"Serviço",0,IF(OR(AND(AUTOEVENTO="Manual",$M103=1),$M103&gt;(ROW(PLE.lastrow)-ROW(PLE.firstrow))),0,IF(OFFSET(PLE!$G$14,$M103,AY$13)="",10^12,OFFSET(PLE!$G$14,$M103,AY$13))))</f>
        <v>1000000000000</v>
      </c>
      <c r="AZ103" s="216">
        <f ca="1">IF($D103&lt;&gt;"Serviço",0,IF(OR(AND(AUTOEVENTO="Manual",$M103=1),$M103&gt;(ROW(PLE.lastrow)-ROW(PLE.firstrow))),0,IF(OFFSET(PLE!$G$14,$M103,AZ$13)="",10^12,OFFSET(PLE!$G$14,$M103,AZ$13))))</f>
        <v>1000000000000</v>
      </c>
      <c r="BA103" s="216">
        <f ca="1">IF($D103&lt;&gt;"Serviço",0,IF(OR(AND(AUTOEVENTO="Manual",$M103=1),$M103&gt;(ROW(PLE.lastrow)-ROW(PLE.firstrow))),0,IF(OFFSET(PLE!$G$14,$M103,BA$13)="",10^12,OFFSET(PLE!$G$14,$M103,BA$13))))</f>
        <v>1000000000000</v>
      </c>
      <c r="BB103" s="216">
        <f ca="1">IF($D103&lt;&gt;"Serviço",0,IF(OR(AND(AUTOEVENTO="Manual",$M103=1),$M103&gt;(ROW(PLE.lastrow)-ROW(PLE.firstrow))),0,IF(OFFSET(PLE!$G$14,$M103,BB$13)="",10^12,OFFSET(PLE!$G$14,$M103,BB$13))))</f>
        <v>1000000000000</v>
      </c>
      <c r="BC103" s="216">
        <f ca="1">IF($D103&lt;&gt;"Serviço",0,IF(OR(AND(AUTOEVENTO="Manual",$M103=1),$M103&gt;(ROW(PLE.lastrow)-ROW(PLE.firstrow))),0,IF(OFFSET(PLE!$G$14,$M103,BC$13)="",10^12,OFFSET(PLE!$G$14,$M103,BC$13))))</f>
        <v>1000000000000</v>
      </c>
      <c r="BD103" s="216">
        <f ca="1">IF($D103&lt;&gt;"Serviço",0,IF(OR(AND(AUTOEVENTO="Manual",$M103=1),$M103&gt;(ROW(PLE.lastrow)-ROW(PLE.firstrow))),0,IF(OFFSET(PLE!$G$14,$M103,BD$13)="",10^12,OFFSET(PLE!$G$14,$M103,BD$13))))</f>
        <v>1000000000000</v>
      </c>
      <c r="BE103" s="216">
        <f ca="1">IF($D103&lt;&gt;"Serviço",0,IF(OR(AND(AUTOEVENTO="Manual",$M103=1),$M103&gt;(ROW(PLE.lastrow)-ROW(PLE.firstrow))),0,IF(OFFSET(PLE!$G$14,$M103,BE$13)="",10^12,OFFSET(PLE!$G$14,$M103,BE$13))))</f>
        <v>1000000000000</v>
      </c>
      <c r="BF103" s="216">
        <f ca="1">IF($D103&lt;&gt;"Serviço",0,IF(OR(AND(AUTOEVENTO="Manual",$M103=1),$M103&gt;(ROW(PLE.lastrow)-ROW(PLE.firstrow))),0,IF(OFFSET(PLE!$G$14,$M103,BF$13)="",10^12,OFFSET(PLE!$G$14,$M103,BF$13))))</f>
        <v>1000000000000</v>
      </c>
      <c r="BG103" s="216">
        <f ca="1">IF($D103&lt;&gt;"Serviço",0,IF(OR(AND(AUTOEVENTO="Manual",$M103=1),$M103&gt;(ROW(PLE.lastrow)-ROW(PLE.firstrow))),0,IF(OFFSET(PLE!$G$14,$M103,BG$13)="",10^12,OFFSET(PLE!$G$14,$M103,BG$13))))</f>
        <v>1000000000000</v>
      </c>
    </row>
    <row r="104" spans="1:59" ht="12.75" x14ac:dyDescent="0.2">
      <c r="A104" s="9" t="str">
        <f t="shared" ca="1" si="10"/>
        <v>89.</v>
      </c>
      <c r="B104" s="9">
        <f ca="1">OFFSET(ORÇAMENTO!C$15,ROW(B104)-ROW(B$15),0)</f>
        <v>2</v>
      </c>
      <c r="C104" s="9" t="str">
        <f ca="1">OFFSET(ORÇAMENTO!L$15,ROW(C104)-ROW(C$15),0)</f>
        <v>F</v>
      </c>
      <c r="D104" s="145" t="str">
        <f ca="1">OFFSET(ORÇAMENTO!N$15,ROW(D104)-ROW(D$15),0)</f>
        <v>Nível 2</v>
      </c>
      <c r="E104" s="205" t="str">
        <f ca="1">OFFSET(ORÇAMENTO!O$15,ROW(E104)-ROW(E$15),0)</f>
        <v>1.17.</v>
      </c>
      <c r="F104" s="206" t="str">
        <f ca="1">OFFSET(ORÇAMENTO!R$15,ROW(F104)-ROW(F$15),0)</f>
        <v xml:space="preserve">PREVENTIVO DE INCENDIO </v>
      </c>
      <c r="G104" s="207" t="str">
        <f ca="1">IF($D104&lt;&gt;"Serviço","",OFFSET(ORÇAMENTO!S$15,ROW(G104)-ROW(G$15),0))</f>
        <v/>
      </c>
      <c r="H104" s="151">
        <f ca="1">IF($D104&lt;&gt;"Serviço",0,IF(ACOMPANHAMENTO="BM",ROUND(OFFSET(ORÇAMENTO!AJ$15,ROW(H104)-ROW(H$15),0),15-13*ORÇAMENTO!$AF$7),SUMPRODUCT(($Q$12:$AA$12&lt;&gt;"")*ROUND($Q104:$AA104,15-13*ORÇAMENTO!$AF$7))))</f>
        <v>0</v>
      </c>
      <c r="I104" s="649"/>
      <c r="K104" s="208"/>
      <c r="L104" s="209" t="s">
        <v>255</v>
      </c>
      <c r="M104" s="210" t="str">
        <f ca="1">IF($D104&lt;&gt;"Serviço","",IF(AUTOEVENTO="manual",$A104,IF(ISERROR(MATCH($A104,$A$15:OFFSET($A104,-1,0),0)),MAX($M$15:OFFSET(M104,-1,0))+1,INDEX($M$15:OFFSET(M104,-1,0),MATCH($A104,$A$15:OFFSET($A104,-1,0),0)))))</f>
        <v/>
      </c>
      <c r="N104" s="211" t="str">
        <f ca="1">IF($D104&lt;&gt;"Serviço","",IF(AUTOEVENTO="Manual",IF($A104=0,"&lt;-- defina o número do agrupador",OFFSET(EVENTOS!$D$14,$A104,0)),OFFSET($F$15,$A104,0)))</f>
        <v/>
      </c>
      <c r="O104" s="212"/>
      <c r="Q104" s="212"/>
      <c r="R104" s="213"/>
      <c r="S104" s="213"/>
      <c r="T104" s="213"/>
      <c r="U104" s="213"/>
      <c r="V104" s="213"/>
      <c r="W104" s="213"/>
      <c r="X104" s="213"/>
      <c r="Y104" s="213"/>
      <c r="Z104" s="214"/>
      <c r="AB104" s="630">
        <f ca="1">IF(AND($D104="Serviço",AB$12&lt;&gt;0,$H104&gt;0,OR(AUTOEVENTO&lt;&gt;"manual",$M104&lt;&gt;1)),
IF(Import.TipoArredondamento&lt;&gt;"TransfereGOV",
ROUND(OFFSET($P104,0,AB$13),15-13*ORÇAMENTO!$AF$7)/$H104*OFFSET(ORÇAMENTO!$X$15,ROW(AB104)-ROW(AB$15),0),
ROUND(ROUND(OFFSET($P104,0,AB$13),15-13*ORÇAMENTO!$AF$7)*OFFSET(ORÇAMENTO!$W$15,ROW(AB104)-ROW(AB$15),0),15-13*ORÇAMENTO!$AF$11)),0)</f>
        <v>0</v>
      </c>
      <c r="AC104" s="631">
        <f ca="1">IF(AND($D104="Serviço",AC$12&lt;&gt;0,$H104&gt;0,OR(AUTOEVENTO&lt;&gt;"manual",$M104&lt;&gt;1)),
IF(Import.TipoArredondamento&lt;&gt;"TransfereGOV",
ROUND(OFFSET($P104,0,AC$13),15-13*ORÇAMENTO!$AF$7)/$H104*OFFSET(ORÇAMENTO!$X$15,ROW(AC104)-ROW(AC$15),0),
ROUND(ROUND(OFFSET($P104,0,AC$13),15-13*ORÇAMENTO!$AF$7)*OFFSET(ORÇAMENTO!$W$15,ROW(AC104)-ROW(AC$15),0),15-13*ORÇAMENTO!$AF$11)),0)</f>
        <v>0</v>
      </c>
      <c r="AD104" s="631">
        <f ca="1">IF(AND($D104="Serviço",AD$12&lt;&gt;0,$H104&gt;0,OR(AUTOEVENTO&lt;&gt;"manual",$M104&lt;&gt;1)),
IF(Import.TipoArredondamento&lt;&gt;"TransfereGOV",
ROUND(OFFSET($P104,0,AD$13),15-13*ORÇAMENTO!$AF$7)/$H104*OFFSET(ORÇAMENTO!$X$15,ROW(AD104)-ROW(AD$15),0),
ROUND(ROUND(OFFSET($P104,0,AD$13),15-13*ORÇAMENTO!$AF$7)*OFFSET(ORÇAMENTO!$W$15,ROW(AD104)-ROW(AD$15),0),15-13*ORÇAMENTO!$AF$11)),0)</f>
        <v>0</v>
      </c>
      <c r="AE104" s="631">
        <f ca="1">IF(AND($D104="Serviço",AE$12&lt;&gt;0,$H104&gt;0,OR(AUTOEVENTO&lt;&gt;"manual",$M104&lt;&gt;1)),
IF(Import.TipoArredondamento&lt;&gt;"TransfereGOV",
ROUND(OFFSET($P104,0,AE$13),15-13*ORÇAMENTO!$AF$7)/$H104*OFFSET(ORÇAMENTO!$X$15,ROW(AE104)-ROW(AE$15),0),
ROUND(ROUND(OFFSET($P104,0,AE$13),15-13*ORÇAMENTO!$AF$7)*OFFSET(ORÇAMENTO!$W$15,ROW(AE104)-ROW(AE$15),0),15-13*ORÇAMENTO!$AF$11)),0)</f>
        <v>0</v>
      </c>
      <c r="AF104" s="631">
        <f ca="1">IF(AND($D104="Serviço",AF$12&lt;&gt;0,$H104&gt;0,OR(AUTOEVENTO&lt;&gt;"manual",$M104&lt;&gt;1)),
IF(Import.TipoArredondamento&lt;&gt;"TransfereGOV",
ROUND(OFFSET($P104,0,AF$13),15-13*ORÇAMENTO!$AF$7)/$H104*OFFSET(ORÇAMENTO!$X$15,ROW(AF104)-ROW(AF$15),0),
ROUND(ROUND(OFFSET($P104,0,AF$13),15-13*ORÇAMENTO!$AF$7)*OFFSET(ORÇAMENTO!$W$15,ROW(AF104)-ROW(AF$15),0),15-13*ORÇAMENTO!$AF$11)),0)</f>
        <v>0</v>
      </c>
      <c r="AG104" s="631">
        <f ca="1">IF(AND($D104="Serviço",AG$12&lt;&gt;0,$H104&gt;0,OR(AUTOEVENTO&lt;&gt;"manual",$M104&lt;&gt;1)),
IF(Import.TipoArredondamento&lt;&gt;"TransfereGOV",
ROUND(OFFSET($P104,0,AG$13),15-13*ORÇAMENTO!$AF$7)/$H104*OFFSET(ORÇAMENTO!$X$15,ROW(AG104)-ROW(AG$15),0),
ROUND(ROUND(OFFSET($P104,0,AG$13),15-13*ORÇAMENTO!$AF$7)*OFFSET(ORÇAMENTO!$W$15,ROW(AG104)-ROW(AG$15),0),15-13*ORÇAMENTO!$AF$11)),0)</f>
        <v>0</v>
      </c>
      <c r="AH104" s="631">
        <f ca="1">IF(AND($D104="Serviço",AH$12&lt;&gt;0,$H104&gt;0,OR(AUTOEVENTO&lt;&gt;"manual",$M104&lt;&gt;1)),
IF(Import.TipoArredondamento&lt;&gt;"TransfereGOV",
ROUND(OFFSET($P104,0,AH$13),15-13*ORÇAMENTO!$AF$7)/$H104*OFFSET(ORÇAMENTO!$X$15,ROW(AH104)-ROW(AH$15),0),
ROUND(ROUND(OFFSET($P104,0,AH$13),15-13*ORÇAMENTO!$AF$7)*OFFSET(ORÇAMENTO!$W$15,ROW(AH104)-ROW(AH$15),0),15-13*ORÇAMENTO!$AF$11)),0)</f>
        <v>0</v>
      </c>
      <c r="AI104" s="631">
        <f ca="1">IF(AND($D104="Serviço",AI$12&lt;&gt;0,$H104&gt;0,OR(AUTOEVENTO&lt;&gt;"manual",$M104&lt;&gt;1)),
IF(Import.TipoArredondamento&lt;&gt;"TransfereGOV",
ROUND(OFFSET($P104,0,AI$13),15-13*ORÇAMENTO!$AF$7)/$H104*OFFSET(ORÇAMENTO!$X$15,ROW(AI104)-ROW(AI$15),0),
ROUND(ROUND(OFFSET($P104,0,AI$13),15-13*ORÇAMENTO!$AF$7)*OFFSET(ORÇAMENTO!$W$15,ROW(AI104)-ROW(AI$15),0),15-13*ORÇAMENTO!$AF$11)),0)</f>
        <v>0</v>
      </c>
      <c r="AJ104" s="631">
        <f ca="1">IF(AND($D104="Serviço",AJ$12&lt;&gt;0,$H104&gt;0,OR(AUTOEVENTO&lt;&gt;"manual",$M104&lt;&gt;1)),
IF(Import.TipoArredondamento&lt;&gt;"TransfereGOV",
ROUND(OFFSET($P104,0,AJ$13),15-13*ORÇAMENTO!$AF$7)/$H104*OFFSET(ORÇAMENTO!$X$15,ROW(AJ104)-ROW(AJ$15),0),
ROUND(ROUND(OFFSET($P104,0,AJ$13),15-13*ORÇAMENTO!$AF$7)*OFFSET(ORÇAMENTO!$W$15,ROW(AJ104)-ROW(AJ$15),0),15-13*ORÇAMENTO!$AF$11)),0)</f>
        <v>0</v>
      </c>
      <c r="AK104" s="632">
        <f ca="1">IF(AND($D104="Serviço",AK$12&lt;&gt;0,$H104&gt;0,OR(AUTOEVENTO&lt;&gt;"manual",$M104&lt;&gt;1)),
IF(Import.TipoArredondamento&lt;&gt;"TransfereGOV",
ROUND(OFFSET($P104,0,AK$13),15-13*ORÇAMENTO!$AF$7)/$H104*OFFSET(ORÇAMENTO!$X$15,ROW(AK104)-ROW(AK$15),0),
ROUND(ROUND(OFFSET($P104,0,AK$13),15-13*ORÇAMENTO!$AF$7)*OFFSET(ORÇAMENTO!$W$15,ROW(AK104)-ROW(AK$15),0),15-13*ORÇAMENTO!$AF$11)),0)</f>
        <v>0</v>
      </c>
      <c r="AM104" s="215">
        <f ca="1">IF($D104&lt;&gt;"Serviço",0,IF(AND(AUTOEVENTO="Manual",$M104=1),0,IF(OFFSET(CRONOPLE!$F$14,$M104,AM$13)="",10^12,OFFSET(CRONOPLE!$F$14,$M104,AM$13))))</f>
        <v>0</v>
      </c>
      <c r="AN104" s="215">
        <f ca="1">IF($D104&lt;&gt;"Serviço",0,IF(AND(AUTOEVENTO="Manual",$M104=1),0,IF(OFFSET(CRONOPLE!$F$14,$M104,AN$13)="",10^12,OFFSET(CRONOPLE!$F$14,$M104,AN$13))))</f>
        <v>0</v>
      </c>
      <c r="AO104" s="215">
        <f ca="1">IF($D104&lt;&gt;"Serviço",0,IF(AND(AUTOEVENTO="Manual",$M104=1),0,IF(OFFSET(CRONOPLE!$F$14,$M104,AO$13)="",10^12,OFFSET(CRONOPLE!$F$14,$M104,AO$13))))</f>
        <v>0</v>
      </c>
      <c r="AP104" s="215">
        <f ca="1">IF($D104&lt;&gt;"Serviço",0,IF(AND(AUTOEVENTO="Manual",$M104=1),0,IF(OFFSET(CRONOPLE!$F$14,$M104,AP$13)="",10^12,OFFSET(CRONOPLE!$F$14,$M104,AP$13))))</f>
        <v>0</v>
      </c>
      <c r="AQ104" s="215">
        <f ca="1">IF($D104&lt;&gt;"Serviço",0,IF(AND(AUTOEVENTO="Manual",$M104=1),0,IF(OFFSET(CRONOPLE!$F$14,$M104,AQ$13)="",10^12,OFFSET(CRONOPLE!$F$14,$M104,AQ$13))))</f>
        <v>0</v>
      </c>
      <c r="AR104" s="215">
        <f ca="1">IF($D104&lt;&gt;"Serviço",0,IF(AND(AUTOEVENTO="Manual",$M104=1),0,IF(OFFSET(CRONOPLE!$F$14,$M104,AR$13)="",10^12,OFFSET(CRONOPLE!$F$14,$M104,AR$13))))</f>
        <v>0</v>
      </c>
      <c r="AS104" s="215">
        <f ca="1">IF($D104&lt;&gt;"Serviço",0,IF(AND(AUTOEVENTO="Manual",$M104=1),0,IF(OFFSET(CRONOPLE!$F$14,$M104,AS$13)="",10^12,OFFSET(CRONOPLE!$F$14,$M104,AS$13))))</f>
        <v>0</v>
      </c>
      <c r="AT104" s="215">
        <f ca="1">IF($D104&lt;&gt;"Serviço",0,IF(AND(AUTOEVENTO="Manual",$M104=1),0,IF(OFFSET(CRONOPLE!$F$14,$M104,AT$13)="",10^12,OFFSET(CRONOPLE!$F$14,$M104,AT$13))))</f>
        <v>0</v>
      </c>
      <c r="AU104" s="215">
        <f ca="1">IF($D104&lt;&gt;"Serviço",0,IF(AND(AUTOEVENTO="Manual",$M104=1),0,IF(OFFSET(CRONOPLE!$F$14,$M104,AU$13)="",10^12,OFFSET(CRONOPLE!$F$14,$M104,AU$13))))</f>
        <v>0</v>
      </c>
      <c r="AV104" s="215">
        <f ca="1">IF($D104&lt;&gt;"Serviço",0,IF(AND(AUTOEVENTO="Manual",$M104=1),0,IF(OFFSET(CRONOPLE!$F$14,$M104,AV$13)="",10^12,OFFSET(CRONOPLE!$F$14,$M104,AV$13))))</f>
        <v>0</v>
      </c>
      <c r="AX104" s="216">
        <f ca="1">IF($D104&lt;&gt;"Serviço",0,IF(OR(AND(AUTOEVENTO="Manual",$M104=1),$M104&gt;(ROW(PLE.lastrow)-ROW(PLE.firstrow))),0,IF(OFFSET(PLE!$G$14,$M104,AX$13)="",10^12,OFFSET(PLE!$G$14,$M104,AX$13))))</f>
        <v>0</v>
      </c>
      <c r="AY104" s="216">
        <f ca="1">IF($D104&lt;&gt;"Serviço",0,IF(OR(AND(AUTOEVENTO="Manual",$M104=1),$M104&gt;(ROW(PLE.lastrow)-ROW(PLE.firstrow))),0,IF(OFFSET(PLE!$G$14,$M104,AY$13)="",10^12,OFFSET(PLE!$G$14,$M104,AY$13))))</f>
        <v>0</v>
      </c>
      <c r="AZ104" s="216">
        <f ca="1">IF($D104&lt;&gt;"Serviço",0,IF(OR(AND(AUTOEVENTO="Manual",$M104=1),$M104&gt;(ROW(PLE.lastrow)-ROW(PLE.firstrow))),0,IF(OFFSET(PLE!$G$14,$M104,AZ$13)="",10^12,OFFSET(PLE!$G$14,$M104,AZ$13))))</f>
        <v>0</v>
      </c>
      <c r="BA104" s="216">
        <f ca="1">IF($D104&lt;&gt;"Serviço",0,IF(OR(AND(AUTOEVENTO="Manual",$M104=1),$M104&gt;(ROW(PLE.lastrow)-ROW(PLE.firstrow))),0,IF(OFFSET(PLE!$G$14,$M104,BA$13)="",10^12,OFFSET(PLE!$G$14,$M104,BA$13))))</f>
        <v>0</v>
      </c>
      <c r="BB104" s="216">
        <f ca="1">IF($D104&lt;&gt;"Serviço",0,IF(OR(AND(AUTOEVENTO="Manual",$M104=1),$M104&gt;(ROW(PLE.lastrow)-ROW(PLE.firstrow))),0,IF(OFFSET(PLE!$G$14,$M104,BB$13)="",10^12,OFFSET(PLE!$G$14,$M104,BB$13))))</f>
        <v>0</v>
      </c>
      <c r="BC104" s="216">
        <f ca="1">IF($D104&lt;&gt;"Serviço",0,IF(OR(AND(AUTOEVENTO="Manual",$M104=1),$M104&gt;(ROW(PLE.lastrow)-ROW(PLE.firstrow))),0,IF(OFFSET(PLE!$G$14,$M104,BC$13)="",10^12,OFFSET(PLE!$G$14,$M104,BC$13))))</f>
        <v>0</v>
      </c>
      <c r="BD104" s="216">
        <f ca="1">IF($D104&lt;&gt;"Serviço",0,IF(OR(AND(AUTOEVENTO="Manual",$M104=1),$M104&gt;(ROW(PLE.lastrow)-ROW(PLE.firstrow))),0,IF(OFFSET(PLE!$G$14,$M104,BD$13)="",10^12,OFFSET(PLE!$G$14,$M104,BD$13))))</f>
        <v>0</v>
      </c>
      <c r="BE104" s="216">
        <f ca="1">IF($D104&lt;&gt;"Serviço",0,IF(OR(AND(AUTOEVENTO="Manual",$M104=1),$M104&gt;(ROW(PLE.lastrow)-ROW(PLE.firstrow))),0,IF(OFFSET(PLE!$G$14,$M104,BE$13)="",10^12,OFFSET(PLE!$G$14,$M104,BE$13))))</f>
        <v>0</v>
      </c>
      <c r="BF104" s="216">
        <f ca="1">IF($D104&lt;&gt;"Serviço",0,IF(OR(AND(AUTOEVENTO="Manual",$M104=1),$M104&gt;(ROW(PLE.lastrow)-ROW(PLE.firstrow))),0,IF(OFFSET(PLE!$G$14,$M104,BF$13)="",10^12,OFFSET(PLE!$G$14,$M104,BF$13))))</f>
        <v>0</v>
      </c>
      <c r="BG104" s="216">
        <f ca="1">IF($D104&lt;&gt;"Serviço",0,IF(OR(AND(AUTOEVENTO="Manual",$M104=1),$M104&gt;(ROW(PLE.lastrow)-ROW(PLE.firstrow))),0,IF(OFFSET(PLE!$G$14,$M104,BG$13)="",10^12,OFFSET(PLE!$G$14,$M104,BG$13))))</f>
        <v>0</v>
      </c>
    </row>
    <row r="105" spans="1:59" ht="25.5" x14ac:dyDescent="0.2">
      <c r="A105" s="9" t="str">
        <f t="shared" ca="1" si="10"/>
        <v>89</v>
      </c>
      <c r="B105" s="9" t="str">
        <f ca="1">OFFSET(ORÇAMENTO!C$15,ROW(B105)-ROW(B$15),0)</f>
        <v>S</v>
      </c>
      <c r="C105" s="9" t="str">
        <f ca="1">OFFSET(ORÇAMENTO!L$15,ROW(C105)-ROW(C$15),0)</f>
        <v/>
      </c>
      <c r="D105" s="145" t="str">
        <f ca="1">OFFSET(ORÇAMENTO!N$15,ROW(D105)-ROW(D$15),0)</f>
        <v>Serviço</v>
      </c>
      <c r="E105" s="205" t="str">
        <f ca="1">OFFSET(ORÇAMENTO!O$15,ROW(E105)-ROW(E$15),0)</f>
        <v>-</v>
      </c>
      <c r="F105" s="206" t="str">
        <f ca="1">OFFSET(ORÇAMENTO!R$15,ROW(F105)-ROW(F$15),0)</f>
        <v>EXTINTOR DE INCÊNDIO PORTÁTIL COM CARGA DE PQS DE 4 KG, CLASSE BC - FORNECIMENTO E INSTALAÇÃO. AF_10/2020_PE</v>
      </c>
      <c r="G105" s="207" t="str">
        <f ca="1">IF($D105&lt;&gt;"Serviço","",OFFSET(ORÇAMENTO!S$15,ROW(G105)-ROW(G$15),0))</f>
        <v>UN</v>
      </c>
      <c r="H105" s="151">
        <f ca="1">IF($D105&lt;&gt;"Serviço",0,IF(ACOMPANHAMENTO="BM",ROUND(OFFSET(ORÇAMENTO!AJ$15,ROW(H105)-ROW(H$15),0),15-13*ORÇAMENTO!$AF$7),SUMPRODUCT(($Q$12:$AA$12&lt;&gt;"")*ROUND($Q105:$AA105,15-13*ORÇAMENTO!$AF$7))))</f>
        <v>6</v>
      </c>
      <c r="I105" s="649"/>
      <c r="K105" s="208"/>
      <c r="L105" s="209" t="s">
        <v>255</v>
      </c>
      <c r="M105" s="210">
        <f ca="1">IF($D105&lt;&gt;"Serviço","",IF(AUTOEVENTO="manual",$A105,IF(ISERROR(MATCH($A105,$A$15:OFFSET($A105,-1,0),0)),MAX($M$15:OFFSET(M105,-1,0))+1,INDEX($M$15:OFFSET(M105,-1,0),MATCH($A105,$A$15:OFFSET($A105,-1,0),0)))))</f>
        <v>18</v>
      </c>
      <c r="N105" s="211" t="str">
        <f ca="1">IF($D105&lt;&gt;"Serviço","",IF(AUTOEVENTO="Manual",IF($A105=0,"&lt;-- defina o número do agrupador",OFFSET(EVENTOS!$D$14,$A105,0)),OFFSET($F$15,$A105,0)))</f>
        <v xml:space="preserve">PREVENTIVO DE INCENDIO </v>
      </c>
      <c r="O105" s="212"/>
      <c r="Q105" s="212"/>
      <c r="R105" s="213"/>
      <c r="S105" s="213"/>
      <c r="T105" s="213"/>
      <c r="U105" s="213"/>
      <c r="V105" s="213"/>
      <c r="W105" s="213"/>
      <c r="X105" s="213"/>
      <c r="Y105" s="213"/>
      <c r="Z105" s="214"/>
      <c r="AB105" s="630">
        <f ca="1">IF(AND($D105="Serviço",AB$12&lt;&gt;0,$H105&gt;0,OR(AUTOEVENTO&lt;&gt;"manual",$M105&lt;&gt;1)),
IF(Import.TipoArredondamento&lt;&gt;"TransfereGOV",
ROUND(OFFSET($P105,0,AB$13),15-13*ORÇAMENTO!$AF$7)/$H105*OFFSET(ORÇAMENTO!$X$15,ROW(AB105)-ROW(AB$15),0),
ROUND(ROUND(OFFSET($P105,0,AB$13),15-13*ORÇAMENTO!$AF$7)*OFFSET(ORÇAMENTO!$W$15,ROW(AB105)-ROW(AB$15),0),15-13*ORÇAMENTO!$AF$11)),0)</f>
        <v>0</v>
      </c>
      <c r="AC105" s="631">
        <f ca="1">IF(AND($D105="Serviço",AC$12&lt;&gt;0,$H105&gt;0,OR(AUTOEVENTO&lt;&gt;"manual",$M105&lt;&gt;1)),
IF(Import.TipoArredondamento&lt;&gt;"TransfereGOV",
ROUND(OFFSET($P105,0,AC$13),15-13*ORÇAMENTO!$AF$7)/$H105*OFFSET(ORÇAMENTO!$X$15,ROW(AC105)-ROW(AC$15),0),
ROUND(ROUND(OFFSET($P105,0,AC$13),15-13*ORÇAMENTO!$AF$7)*OFFSET(ORÇAMENTO!$W$15,ROW(AC105)-ROW(AC$15),0),15-13*ORÇAMENTO!$AF$11)),0)</f>
        <v>0</v>
      </c>
      <c r="AD105" s="631">
        <f ca="1">IF(AND($D105="Serviço",AD$12&lt;&gt;0,$H105&gt;0,OR(AUTOEVENTO&lt;&gt;"manual",$M105&lt;&gt;1)),
IF(Import.TipoArredondamento&lt;&gt;"TransfereGOV",
ROUND(OFFSET($P105,0,AD$13),15-13*ORÇAMENTO!$AF$7)/$H105*OFFSET(ORÇAMENTO!$X$15,ROW(AD105)-ROW(AD$15),0),
ROUND(ROUND(OFFSET($P105,0,AD$13),15-13*ORÇAMENTO!$AF$7)*OFFSET(ORÇAMENTO!$W$15,ROW(AD105)-ROW(AD$15),0),15-13*ORÇAMENTO!$AF$11)),0)</f>
        <v>0</v>
      </c>
      <c r="AE105" s="631">
        <f ca="1">IF(AND($D105="Serviço",AE$12&lt;&gt;0,$H105&gt;0,OR(AUTOEVENTO&lt;&gt;"manual",$M105&lt;&gt;1)),
IF(Import.TipoArredondamento&lt;&gt;"TransfereGOV",
ROUND(OFFSET($P105,0,AE$13),15-13*ORÇAMENTO!$AF$7)/$H105*OFFSET(ORÇAMENTO!$X$15,ROW(AE105)-ROW(AE$15),0),
ROUND(ROUND(OFFSET($P105,0,AE$13),15-13*ORÇAMENTO!$AF$7)*OFFSET(ORÇAMENTO!$W$15,ROW(AE105)-ROW(AE$15),0),15-13*ORÇAMENTO!$AF$11)),0)</f>
        <v>0</v>
      </c>
      <c r="AF105" s="631">
        <f ca="1">IF(AND($D105="Serviço",AF$12&lt;&gt;0,$H105&gt;0,OR(AUTOEVENTO&lt;&gt;"manual",$M105&lt;&gt;1)),
IF(Import.TipoArredondamento&lt;&gt;"TransfereGOV",
ROUND(OFFSET($P105,0,AF$13),15-13*ORÇAMENTO!$AF$7)/$H105*OFFSET(ORÇAMENTO!$X$15,ROW(AF105)-ROW(AF$15),0),
ROUND(ROUND(OFFSET($P105,0,AF$13),15-13*ORÇAMENTO!$AF$7)*OFFSET(ORÇAMENTO!$W$15,ROW(AF105)-ROW(AF$15),0),15-13*ORÇAMENTO!$AF$11)),0)</f>
        <v>0</v>
      </c>
      <c r="AG105" s="631">
        <f ca="1">IF(AND($D105="Serviço",AG$12&lt;&gt;0,$H105&gt;0,OR(AUTOEVENTO&lt;&gt;"manual",$M105&lt;&gt;1)),
IF(Import.TipoArredondamento&lt;&gt;"TransfereGOV",
ROUND(OFFSET($P105,0,AG$13),15-13*ORÇAMENTO!$AF$7)/$H105*OFFSET(ORÇAMENTO!$X$15,ROW(AG105)-ROW(AG$15),0),
ROUND(ROUND(OFFSET($P105,0,AG$13),15-13*ORÇAMENTO!$AF$7)*OFFSET(ORÇAMENTO!$W$15,ROW(AG105)-ROW(AG$15),0),15-13*ORÇAMENTO!$AF$11)),0)</f>
        <v>0</v>
      </c>
      <c r="AH105" s="631">
        <f ca="1">IF(AND($D105="Serviço",AH$12&lt;&gt;0,$H105&gt;0,OR(AUTOEVENTO&lt;&gt;"manual",$M105&lt;&gt;1)),
IF(Import.TipoArredondamento&lt;&gt;"TransfereGOV",
ROUND(OFFSET($P105,0,AH$13),15-13*ORÇAMENTO!$AF$7)/$H105*OFFSET(ORÇAMENTO!$X$15,ROW(AH105)-ROW(AH$15),0),
ROUND(ROUND(OFFSET($P105,0,AH$13),15-13*ORÇAMENTO!$AF$7)*OFFSET(ORÇAMENTO!$W$15,ROW(AH105)-ROW(AH$15),0),15-13*ORÇAMENTO!$AF$11)),0)</f>
        <v>0</v>
      </c>
      <c r="AI105" s="631">
        <f ca="1">IF(AND($D105="Serviço",AI$12&lt;&gt;0,$H105&gt;0,OR(AUTOEVENTO&lt;&gt;"manual",$M105&lt;&gt;1)),
IF(Import.TipoArredondamento&lt;&gt;"TransfereGOV",
ROUND(OFFSET($P105,0,AI$13),15-13*ORÇAMENTO!$AF$7)/$H105*OFFSET(ORÇAMENTO!$X$15,ROW(AI105)-ROW(AI$15),0),
ROUND(ROUND(OFFSET($P105,0,AI$13),15-13*ORÇAMENTO!$AF$7)*OFFSET(ORÇAMENTO!$W$15,ROW(AI105)-ROW(AI$15),0),15-13*ORÇAMENTO!$AF$11)),0)</f>
        <v>0</v>
      </c>
      <c r="AJ105" s="631">
        <f ca="1">IF(AND($D105="Serviço",AJ$12&lt;&gt;0,$H105&gt;0,OR(AUTOEVENTO&lt;&gt;"manual",$M105&lt;&gt;1)),
IF(Import.TipoArredondamento&lt;&gt;"TransfereGOV",
ROUND(OFFSET($P105,0,AJ$13),15-13*ORÇAMENTO!$AF$7)/$H105*OFFSET(ORÇAMENTO!$X$15,ROW(AJ105)-ROW(AJ$15),0),
ROUND(ROUND(OFFSET($P105,0,AJ$13),15-13*ORÇAMENTO!$AF$7)*OFFSET(ORÇAMENTO!$W$15,ROW(AJ105)-ROW(AJ$15),0),15-13*ORÇAMENTO!$AF$11)),0)</f>
        <v>0</v>
      </c>
      <c r="AK105" s="632">
        <f ca="1">IF(AND($D105="Serviço",AK$12&lt;&gt;0,$H105&gt;0,OR(AUTOEVENTO&lt;&gt;"manual",$M105&lt;&gt;1)),
IF(Import.TipoArredondamento&lt;&gt;"TransfereGOV",
ROUND(OFFSET($P105,0,AK$13),15-13*ORÇAMENTO!$AF$7)/$H105*OFFSET(ORÇAMENTO!$X$15,ROW(AK105)-ROW(AK$15),0),
ROUND(ROUND(OFFSET($P105,0,AK$13),15-13*ORÇAMENTO!$AF$7)*OFFSET(ORÇAMENTO!$W$15,ROW(AK105)-ROW(AK$15),0),15-13*ORÇAMENTO!$AF$11)),0)</f>
        <v>0</v>
      </c>
      <c r="AM105" s="215">
        <f ca="1">IF($D105&lt;&gt;"Serviço",0,IF(AND(AUTOEVENTO="Manual",$M105=1),0,IF(OFFSET(CRONOPLE!$F$14,$M105,AM$13)="",10^12,OFFSET(CRONOPLE!$F$14,$M105,AM$13))))</f>
        <v>1000000000000</v>
      </c>
      <c r="AN105" s="215">
        <f ca="1">IF($D105&lt;&gt;"Serviço",0,IF(AND(AUTOEVENTO="Manual",$M105=1),0,IF(OFFSET(CRONOPLE!$F$14,$M105,AN$13)="",10^12,OFFSET(CRONOPLE!$F$14,$M105,AN$13))))</f>
        <v>1000000000000</v>
      </c>
      <c r="AO105" s="215">
        <f ca="1">IF($D105&lt;&gt;"Serviço",0,IF(AND(AUTOEVENTO="Manual",$M105=1),0,IF(OFFSET(CRONOPLE!$F$14,$M105,AO$13)="",10^12,OFFSET(CRONOPLE!$F$14,$M105,AO$13))))</f>
        <v>1000000000000</v>
      </c>
      <c r="AP105" s="215">
        <f ca="1">IF($D105&lt;&gt;"Serviço",0,IF(AND(AUTOEVENTO="Manual",$M105=1),0,IF(OFFSET(CRONOPLE!$F$14,$M105,AP$13)="",10^12,OFFSET(CRONOPLE!$F$14,$M105,AP$13))))</f>
        <v>1000000000000</v>
      </c>
      <c r="AQ105" s="215">
        <f ca="1">IF($D105&lt;&gt;"Serviço",0,IF(AND(AUTOEVENTO="Manual",$M105=1),0,IF(OFFSET(CRONOPLE!$F$14,$M105,AQ$13)="",10^12,OFFSET(CRONOPLE!$F$14,$M105,AQ$13))))</f>
        <v>1000000000000</v>
      </c>
      <c r="AR105" s="215">
        <f ca="1">IF($D105&lt;&gt;"Serviço",0,IF(AND(AUTOEVENTO="Manual",$M105=1),0,IF(OFFSET(CRONOPLE!$F$14,$M105,AR$13)="",10^12,OFFSET(CRONOPLE!$F$14,$M105,AR$13))))</f>
        <v>1000000000000</v>
      </c>
      <c r="AS105" s="215">
        <f ca="1">IF($D105&lt;&gt;"Serviço",0,IF(AND(AUTOEVENTO="Manual",$M105=1),0,IF(OFFSET(CRONOPLE!$F$14,$M105,AS$13)="",10^12,OFFSET(CRONOPLE!$F$14,$M105,AS$13))))</f>
        <v>1000000000000</v>
      </c>
      <c r="AT105" s="215">
        <f ca="1">IF($D105&lt;&gt;"Serviço",0,IF(AND(AUTOEVENTO="Manual",$M105=1),0,IF(OFFSET(CRONOPLE!$F$14,$M105,AT$13)="",10^12,OFFSET(CRONOPLE!$F$14,$M105,AT$13))))</f>
        <v>1000000000000</v>
      </c>
      <c r="AU105" s="215">
        <f ca="1">IF($D105&lt;&gt;"Serviço",0,IF(AND(AUTOEVENTO="Manual",$M105=1),0,IF(OFFSET(CRONOPLE!$F$14,$M105,AU$13)="",10^12,OFFSET(CRONOPLE!$F$14,$M105,AU$13))))</f>
        <v>1000000000000</v>
      </c>
      <c r="AV105" s="215">
        <f ca="1">IF($D105&lt;&gt;"Serviço",0,IF(AND(AUTOEVENTO="Manual",$M105=1),0,IF(OFFSET(CRONOPLE!$F$14,$M105,AV$13)="",10^12,OFFSET(CRONOPLE!$F$14,$M105,AV$13))))</f>
        <v>1000000000000</v>
      </c>
      <c r="AX105" s="216">
        <f ca="1">IF($D105&lt;&gt;"Serviço",0,IF(OR(AND(AUTOEVENTO="Manual",$M105=1),$M105&gt;(ROW(PLE.lastrow)-ROW(PLE.firstrow))),0,IF(OFFSET(PLE!$G$14,$M105,AX$13)="",10^12,OFFSET(PLE!$G$14,$M105,AX$13))))</f>
        <v>1000000000000</v>
      </c>
      <c r="AY105" s="216">
        <f ca="1">IF($D105&lt;&gt;"Serviço",0,IF(OR(AND(AUTOEVENTO="Manual",$M105=1),$M105&gt;(ROW(PLE.lastrow)-ROW(PLE.firstrow))),0,IF(OFFSET(PLE!$G$14,$M105,AY$13)="",10^12,OFFSET(PLE!$G$14,$M105,AY$13))))</f>
        <v>1000000000000</v>
      </c>
      <c r="AZ105" s="216">
        <f ca="1">IF($D105&lt;&gt;"Serviço",0,IF(OR(AND(AUTOEVENTO="Manual",$M105=1),$M105&gt;(ROW(PLE.lastrow)-ROW(PLE.firstrow))),0,IF(OFFSET(PLE!$G$14,$M105,AZ$13)="",10^12,OFFSET(PLE!$G$14,$M105,AZ$13))))</f>
        <v>1000000000000</v>
      </c>
      <c r="BA105" s="216">
        <f ca="1">IF($D105&lt;&gt;"Serviço",0,IF(OR(AND(AUTOEVENTO="Manual",$M105=1),$M105&gt;(ROW(PLE.lastrow)-ROW(PLE.firstrow))),0,IF(OFFSET(PLE!$G$14,$M105,BA$13)="",10^12,OFFSET(PLE!$G$14,$M105,BA$13))))</f>
        <v>1000000000000</v>
      </c>
      <c r="BB105" s="216">
        <f ca="1">IF($D105&lt;&gt;"Serviço",0,IF(OR(AND(AUTOEVENTO="Manual",$M105=1),$M105&gt;(ROW(PLE.lastrow)-ROW(PLE.firstrow))),0,IF(OFFSET(PLE!$G$14,$M105,BB$13)="",10^12,OFFSET(PLE!$G$14,$M105,BB$13))))</f>
        <v>1000000000000</v>
      </c>
      <c r="BC105" s="216">
        <f ca="1">IF($D105&lt;&gt;"Serviço",0,IF(OR(AND(AUTOEVENTO="Manual",$M105=1),$M105&gt;(ROW(PLE.lastrow)-ROW(PLE.firstrow))),0,IF(OFFSET(PLE!$G$14,$M105,BC$13)="",10^12,OFFSET(PLE!$G$14,$M105,BC$13))))</f>
        <v>1000000000000</v>
      </c>
      <c r="BD105" s="216">
        <f ca="1">IF($D105&lt;&gt;"Serviço",0,IF(OR(AND(AUTOEVENTO="Manual",$M105=1),$M105&gt;(ROW(PLE.lastrow)-ROW(PLE.firstrow))),0,IF(OFFSET(PLE!$G$14,$M105,BD$13)="",10^12,OFFSET(PLE!$G$14,$M105,BD$13))))</f>
        <v>1000000000000</v>
      </c>
      <c r="BE105" s="216">
        <f ca="1">IF($D105&lt;&gt;"Serviço",0,IF(OR(AND(AUTOEVENTO="Manual",$M105=1),$M105&gt;(ROW(PLE.lastrow)-ROW(PLE.firstrow))),0,IF(OFFSET(PLE!$G$14,$M105,BE$13)="",10^12,OFFSET(PLE!$G$14,$M105,BE$13))))</f>
        <v>1000000000000</v>
      </c>
      <c r="BF105" s="216">
        <f ca="1">IF($D105&lt;&gt;"Serviço",0,IF(OR(AND(AUTOEVENTO="Manual",$M105=1),$M105&gt;(ROW(PLE.lastrow)-ROW(PLE.firstrow))),0,IF(OFFSET(PLE!$G$14,$M105,BF$13)="",10^12,OFFSET(PLE!$G$14,$M105,BF$13))))</f>
        <v>1000000000000</v>
      </c>
      <c r="BG105" s="216">
        <f ca="1">IF($D105&lt;&gt;"Serviço",0,IF(OR(AND(AUTOEVENTO="Manual",$M105=1),$M105&gt;(ROW(PLE.lastrow)-ROW(PLE.firstrow))),0,IF(OFFSET(PLE!$G$14,$M105,BG$13)="",10^12,OFFSET(PLE!$G$14,$M105,BG$13))))</f>
        <v>1000000000000</v>
      </c>
    </row>
    <row r="106" spans="1:59" ht="25.5" x14ac:dyDescent="0.2">
      <c r="A106" s="9" t="str">
        <f t="shared" ca="1" si="10"/>
        <v>89</v>
      </c>
      <c r="B106" s="9" t="str">
        <f ca="1">OFFSET(ORÇAMENTO!C$15,ROW(B106)-ROW(B$15),0)</f>
        <v>S</v>
      </c>
      <c r="C106" s="9" t="str">
        <f ca="1">OFFSET(ORÇAMENTO!L$15,ROW(C106)-ROW(C$15),0)</f>
        <v/>
      </c>
      <c r="D106" s="145" t="str">
        <f ca="1">OFFSET(ORÇAMENTO!N$15,ROW(D106)-ROW(D$15),0)</f>
        <v>Serviço</v>
      </c>
      <c r="E106" s="205" t="str">
        <f ca="1">OFFSET(ORÇAMENTO!O$15,ROW(E106)-ROW(E$15),0)</f>
        <v>-</v>
      </c>
      <c r="F106" s="206" t="str">
        <f ca="1">OFFSET(ORÇAMENTO!R$15,ROW(F106)-ROW(F$15),0)</f>
        <v>LUMINÁRIA DE EMERGÊNCIA, COM 30 LÂMPADAS LED DE 2 W, SEM REATOR - FORNECIMENTO E INSTALAÇÃO. AF_02/2020</v>
      </c>
      <c r="G106" s="207" t="str">
        <f ca="1">IF($D106&lt;&gt;"Serviço","",OFFSET(ORÇAMENTO!S$15,ROW(G106)-ROW(G$15),0))</f>
        <v>UN</v>
      </c>
      <c r="H106" s="151">
        <f ca="1">IF($D106&lt;&gt;"Serviço",0,IF(ACOMPANHAMENTO="BM",ROUND(OFFSET(ORÇAMENTO!AJ$15,ROW(H106)-ROW(H$15),0),15-13*ORÇAMENTO!$AF$7),SUMPRODUCT(($Q$12:$AA$12&lt;&gt;"")*ROUND($Q106:$AA106,15-13*ORÇAMENTO!$AF$7))))</f>
        <v>11</v>
      </c>
      <c r="I106" s="649"/>
      <c r="K106" s="208"/>
      <c r="L106" s="209" t="s">
        <v>255</v>
      </c>
      <c r="M106" s="210">
        <f ca="1">IF($D106&lt;&gt;"Serviço","",IF(AUTOEVENTO="manual",$A106,IF(ISERROR(MATCH($A106,$A$15:OFFSET($A106,-1,0),0)),MAX($M$15:OFFSET(M106,-1,0))+1,INDEX($M$15:OFFSET(M106,-1,0),MATCH($A106,$A$15:OFFSET($A106,-1,0),0)))))</f>
        <v>18</v>
      </c>
      <c r="N106" s="211" t="str">
        <f ca="1">IF($D106&lt;&gt;"Serviço","",IF(AUTOEVENTO="Manual",IF($A106=0,"&lt;-- defina o número do agrupador",OFFSET(EVENTOS!$D$14,$A106,0)),OFFSET($F$15,$A106,0)))</f>
        <v xml:space="preserve">PREVENTIVO DE INCENDIO </v>
      </c>
      <c r="O106" s="212"/>
      <c r="Q106" s="212"/>
      <c r="R106" s="213"/>
      <c r="S106" s="213"/>
      <c r="T106" s="213"/>
      <c r="U106" s="213"/>
      <c r="V106" s="213"/>
      <c r="W106" s="213"/>
      <c r="X106" s="213"/>
      <c r="Y106" s="213"/>
      <c r="Z106" s="214"/>
      <c r="AB106" s="630">
        <f ca="1">IF(AND($D106="Serviço",AB$12&lt;&gt;0,$H106&gt;0,OR(AUTOEVENTO&lt;&gt;"manual",$M106&lt;&gt;1)),
IF(Import.TipoArredondamento&lt;&gt;"TransfereGOV",
ROUND(OFFSET($P106,0,AB$13),15-13*ORÇAMENTO!$AF$7)/$H106*OFFSET(ORÇAMENTO!$X$15,ROW(AB106)-ROW(AB$15),0),
ROUND(ROUND(OFFSET($P106,0,AB$13),15-13*ORÇAMENTO!$AF$7)*OFFSET(ORÇAMENTO!$W$15,ROW(AB106)-ROW(AB$15),0),15-13*ORÇAMENTO!$AF$11)),0)</f>
        <v>0</v>
      </c>
      <c r="AC106" s="631">
        <f ca="1">IF(AND($D106="Serviço",AC$12&lt;&gt;0,$H106&gt;0,OR(AUTOEVENTO&lt;&gt;"manual",$M106&lt;&gt;1)),
IF(Import.TipoArredondamento&lt;&gt;"TransfereGOV",
ROUND(OFFSET($P106,0,AC$13),15-13*ORÇAMENTO!$AF$7)/$H106*OFFSET(ORÇAMENTO!$X$15,ROW(AC106)-ROW(AC$15),0),
ROUND(ROUND(OFFSET($P106,0,AC$13),15-13*ORÇAMENTO!$AF$7)*OFFSET(ORÇAMENTO!$W$15,ROW(AC106)-ROW(AC$15),0),15-13*ORÇAMENTO!$AF$11)),0)</f>
        <v>0</v>
      </c>
      <c r="AD106" s="631">
        <f ca="1">IF(AND($D106="Serviço",AD$12&lt;&gt;0,$H106&gt;0,OR(AUTOEVENTO&lt;&gt;"manual",$M106&lt;&gt;1)),
IF(Import.TipoArredondamento&lt;&gt;"TransfereGOV",
ROUND(OFFSET($P106,0,AD$13),15-13*ORÇAMENTO!$AF$7)/$H106*OFFSET(ORÇAMENTO!$X$15,ROW(AD106)-ROW(AD$15),0),
ROUND(ROUND(OFFSET($P106,0,AD$13),15-13*ORÇAMENTO!$AF$7)*OFFSET(ORÇAMENTO!$W$15,ROW(AD106)-ROW(AD$15),0),15-13*ORÇAMENTO!$AF$11)),0)</f>
        <v>0</v>
      </c>
      <c r="AE106" s="631">
        <f ca="1">IF(AND($D106="Serviço",AE$12&lt;&gt;0,$H106&gt;0,OR(AUTOEVENTO&lt;&gt;"manual",$M106&lt;&gt;1)),
IF(Import.TipoArredondamento&lt;&gt;"TransfereGOV",
ROUND(OFFSET($P106,0,AE$13),15-13*ORÇAMENTO!$AF$7)/$H106*OFFSET(ORÇAMENTO!$X$15,ROW(AE106)-ROW(AE$15),0),
ROUND(ROUND(OFFSET($P106,0,AE$13),15-13*ORÇAMENTO!$AF$7)*OFFSET(ORÇAMENTO!$W$15,ROW(AE106)-ROW(AE$15),0),15-13*ORÇAMENTO!$AF$11)),0)</f>
        <v>0</v>
      </c>
      <c r="AF106" s="631">
        <f ca="1">IF(AND($D106="Serviço",AF$12&lt;&gt;0,$H106&gt;0,OR(AUTOEVENTO&lt;&gt;"manual",$M106&lt;&gt;1)),
IF(Import.TipoArredondamento&lt;&gt;"TransfereGOV",
ROUND(OFFSET($P106,0,AF$13),15-13*ORÇAMENTO!$AF$7)/$H106*OFFSET(ORÇAMENTO!$X$15,ROW(AF106)-ROW(AF$15),0),
ROUND(ROUND(OFFSET($P106,0,AF$13),15-13*ORÇAMENTO!$AF$7)*OFFSET(ORÇAMENTO!$W$15,ROW(AF106)-ROW(AF$15),0),15-13*ORÇAMENTO!$AF$11)),0)</f>
        <v>0</v>
      </c>
      <c r="AG106" s="631">
        <f ca="1">IF(AND($D106="Serviço",AG$12&lt;&gt;0,$H106&gt;0,OR(AUTOEVENTO&lt;&gt;"manual",$M106&lt;&gt;1)),
IF(Import.TipoArredondamento&lt;&gt;"TransfereGOV",
ROUND(OFFSET($P106,0,AG$13),15-13*ORÇAMENTO!$AF$7)/$H106*OFFSET(ORÇAMENTO!$X$15,ROW(AG106)-ROW(AG$15),0),
ROUND(ROUND(OFFSET($P106,0,AG$13),15-13*ORÇAMENTO!$AF$7)*OFFSET(ORÇAMENTO!$W$15,ROW(AG106)-ROW(AG$15),0),15-13*ORÇAMENTO!$AF$11)),0)</f>
        <v>0</v>
      </c>
      <c r="AH106" s="631">
        <f ca="1">IF(AND($D106="Serviço",AH$12&lt;&gt;0,$H106&gt;0,OR(AUTOEVENTO&lt;&gt;"manual",$M106&lt;&gt;1)),
IF(Import.TipoArredondamento&lt;&gt;"TransfereGOV",
ROUND(OFFSET($P106,0,AH$13),15-13*ORÇAMENTO!$AF$7)/$H106*OFFSET(ORÇAMENTO!$X$15,ROW(AH106)-ROW(AH$15),0),
ROUND(ROUND(OFFSET($P106,0,AH$13),15-13*ORÇAMENTO!$AF$7)*OFFSET(ORÇAMENTO!$W$15,ROW(AH106)-ROW(AH$15),0),15-13*ORÇAMENTO!$AF$11)),0)</f>
        <v>0</v>
      </c>
      <c r="AI106" s="631">
        <f ca="1">IF(AND($D106="Serviço",AI$12&lt;&gt;0,$H106&gt;0,OR(AUTOEVENTO&lt;&gt;"manual",$M106&lt;&gt;1)),
IF(Import.TipoArredondamento&lt;&gt;"TransfereGOV",
ROUND(OFFSET($P106,0,AI$13),15-13*ORÇAMENTO!$AF$7)/$H106*OFFSET(ORÇAMENTO!$X$15,ROW(AI106)-ROW(AI$15),0),
ROUND(ROUND(OFFSET($P106,0,AI$13),15-13*ORÇAMENTO!$AF$7)*OFFSET(ORÇAMENTO!$W$15,ROW(AI106)-ROW(AI$15),0),15-13*ORÇAMENTO!$AF$11)),0)</f>
        <v>0</v>
      </c>
      <c r="AJ106" s="631">
        <f ca="1">IF(AND($D106="Serviço",AJ$12&lt;&gt;0,$H106&gt;0,OR(AUTOEVENTO&lt;&gt;"manual",$M106&lt;&gt;1)),
IF(Import.TipoArredondamento&lt;&gt;"TransfereGOV",
ROUND(OFFSET($P106,0,AJ$13),15-13*ORÇAMENTO!$AF$7)/$H106*OFFSET(ORÇAMENTO!$X$15,ROW(AJ106)-ROW(AJ$15),0),
ROUND(ROUND(OFFSET($P106,0,AJ$13),15-13*ORÇAMENTO!$AF$7)*OFFSET(ORÇAMENTO!$W$15,ROW(AJ106)-ROW(AJ$15),0),15-13*ORÇAMENTO!$AF$11)),0)</f>
        <v>0</v>
      </c>
      <c r="AK106" s="632">
        <f ca="1">IF(AND($D106="Serviço",AK$12&lt;&gt;0,$H106&gt;0,OR(AUTOEVENTO&lt;&gt;"manual",$M106&lt;&gt;1)),
IF(Import.TipoArredondamento&lt;&gt;"TransfereGOV",
ROUND(OFFSET($P106,0,AK$13),15-13*ORÇAMENTO!$AF$7)/$H106*OFFSET(ORÇAMENTO!$X$15,ROW(AK106)-ROW(AK$15),0),
ROUND(ROUND(OFFSET($P106,0,AK$13),15-13*ORÇAMENTO!$AF$7)*OFFSET(ORÇAMENTO!$W$15,ROW(AK106)-ROW(AK$15),0),15-13*ORÇAMENTO!$AF$11)),0)</f>
        <v>0</v>
      </c>
      <c r="AM106" s="215">
        <f ca="1">IF($D106&lt;&gt;"Serviço",0,IF(AND(AUTOEVENTO="Manual",$M106=1),0,IF(OFFSET(CRONOPLE!$F$14,$M106,AM$13)="",10^12,OFFSET(CRONOPLE!$F$14,$M106,AM$13))))</f>
        <v>1000000000000</v>
      </c>
      <c r="AN106" s="215">
        <f ca="1">IF($D106&lt;&gt;"Serviço",0,IF(AND(AUTOEVENTO="Manual",$M106=1),0,IF(OFFSET(CRONOPLE!$F$14,$M106,AN$13)="",10^12,OFFSET(CRONOPLE!$F$14,$M106,AN$13))))</f>
        <v>1000000000000</v>
      </c>
      <c r="AO106" s="215">
        <f ca="1">IF($D106&lt;&gt;"Serviço",0,IF(AND(AUTOEVENTO="Manual",$M106=1),0,IF(OFFSET(CRONOPLE!$F$14,$M106,AO$13)="",10^12,OFFSET(CRONOPLE!$F$14,$M106,AO$13))))</f>
        <v>1000000000000</v>
      </c>
      <c r="AP106" s="215">
        <f ca="1">IF($D106&lt;&gt;"Serviço",0,IF(AND(AUTOEVENTO="Manual",$M106=1),0,IF(OFFSET(CRONOPLE!$F$14,$M106,AP$13)="",10^12,OFFSET(CRONOPLE!$F$14,$M106,AP$13))))</f>
        <v>1000000000000</v>
      </c>
      <c r="AQ106" s="215">
        <f ca="1">IF($D106&lt;&gt;"Serviço",0,IF(AND(AUTOEVENTO="Manual",$M106=1),0,IF(OFFSET(CRONOPLE!$F$14,$M106,AQ$13)="",10^12,OFFSET(CRONOPLE!$F$14,$M106,AQ$13))))</f>
        <v>1000000000000</v>
      </c>
      <c r="AR106" s="215">
        <f ca="1">IF($D106&lt;&gt;"Serviço",0,IF(AND(AUTOEVENTO="Manual",$M106=1),0,IF(OFFSET(CRONOPLE!$F$14,$M106,AR$13)="",10^12,OFFSET(CRONOPLE!$F$14,$M106,AR$13))))</f>
        <v>1000000000000</v>
      </c>
      <c r="AS106" s="215">
        <f ca="1">IF($D106&lt;&gt;"Serviço",0,IF(AND(AUTOEVENTO="Manual",$M106=1),0,IF(OFFSET(CRONOPLE!$F$14,$M106,AS$13)="",10^12,OFFSET(CRONOPLE!$F$14,$M106,AS$13))))</f>
        <v>1000000000000</v>
      </c>
      <c r="AT106" s="215">
        <f ca="1">IF($D106&lt;&gt;"Serviço",0,IF(AND(AUTOEVENTO="Manual",$M106=1),0,IF(OFFSET(CRONOPLE!$F$14,$M106,AT$13)="",10^12,OFFSET(CRONOPLE!$F$14,$M106,AT$13))))</f>
        <v>1000000000000</v>
      </c>
      <c r="AU106" s="215">
        <f ca="1">IF($D106&lt;&gt;"Serviço",0,IF(AND(AUTOEVENTO="Manual",$M106=1),0,IF(OFFSET(CRONOPLE!$F$14,$M106,AU$13)="",10^12,OFFSET(CRONOPLE!$F$14,$M106,AU$13))))</f>
        <v>1000000000000</v>
      </c>
      <c r="AV106" s="215">
        <f ca="1">IF($D106&lt;&gt;"Serviço",0,IF(AND(AUTOEVENTO="Manual",$M106=1),0,IF(OFFSET(CRONOPLE!$F$14,$M106,AV$13)="",10^12,OFFSET(CRONOPLE!$F$14,$M106,AV$13))))</f>
        <v>1000000000000</v>
      </c>
      <c r="AX106" s="216">
        <f ca="1">IF($D106&lt;&gt;"Serviço",0,IF(OR(AND(AUTOEVENTO="Manual",$M106=1),$M106&gt;(ROW(PLE.lastrow)-ROW(PLE.firstrow))),0,IF(OFFSET(PLE!$G$14,$M106,AX$13)="",10^12,OFFSET(PLE!$G$14,$M106,AX$13))))</f>
        <v>1000000000000</v>
      </c>
      <c r="AY106" s="216">
        <f ca="1">IF($D106&lt;&gt;"Serviço",0,IF(OR(AND(AUTOEVENTO="Manual",$M106=1),$M106&gt;(ROW(PLE.lastrow)-ROW(PLE.firstrow))),0,IF(OFFSET(PLE!$G$14,$M106,AY$13)="",10^12,OFFSET(PLE!$G$14,$M106,AY$13))))</f>
        <v>1000000000000</v>
      </c>
      <c r="AZ106" s="216">
        <f ca="1">IF($D106&lt;&gt;"Serviço",0,IF(OR(AND(AUTOEVENTO="Manual",$M106=1),$M106&gt;(ROW(PLE.lastrow)-ROW(PLE.firstrow))),0,IF(OFFSET(PLE!$G$14,$M106,AZ$13)="",10^12,OFFSET(PLE!$G$14,$M106,AZ$13))))</f>
        <v>1000000000000</v>
      </c>
      <c r="BA106" s="216">
        <f ca="1">IF($D106&lt;&gt;"Serviço",0,IF(OR(AND(AUTOEVENTO="Manual",$M106=1),$M106&gt;(ROW(PLE.lastrow)-ROW(PLE.firstrow))),0,IF(OFFSET(PLE!$G$14,$M106,BA$13)="",10^12,OFFSET(PLE!$G$14,$M106,BA$13))))</f>
        <v>1000000000000</v>
      </c>
      <c r="BB106" s="216">
        <f ca="1">IF($D106&lt;&gt;"Serviço",0,IF(OR(AND(AUTOEVENTO="Manual",$M106=1),$M106&gt;(ROW(PLE.lastrow)-ROW(PLE.firstrow))),0,IF(OFFSET(PLE!$G$14,$M106,BB$13)="",10^12,OFFSET(PLE!$G$14,$M106,BB$13))))</f>
        <v>1000000000000</v>
      </c>
      <c r="BC106" s="216">
        <f ca="1">IF($D106&lt;&gt;"Serviço",0,IF(OR(AND(AUTOEVENTO="Manual",$M106=1),$M106&gt;(ROW(PLE.lastrow)-ROW(PLE.firstrow))),0,IF(OFFSET(PLE!$G$14,$M106,BC$13)="",10^12,OFFSET(PLE!$G$14,$M106,BC$13))))</f>
        <v>1000000000000</v>
      </c>
      <c r="BD106" s="216">
        <f ca="1">IF($D106&lt;&gt;"Serviço",0,IF(OR(AND(AUTOEVENTO="Manual",$M106=1),$M106&gt;(ROW(PLE.lastrow)-ROW(PLE.firstrow))),0,IF(OFFSET(PLE!$G$14,$M106,BD$13)="",10^12,OFFSET(PLE!$G$14,$M106,BD$13))))</f>
        <v>1000000000000</v>
      </c>
      <c r="BE106" s="216">
        <f ca="1">IF($D106&lt;&gt;"Serviço",0,IF(OR(AND(AUTOEVENTO="Manual",$M106=1),$M106&gt;(ROW(PLE.lastrow)-ROW(PLE.firstrow))),0,IF(OFFSET(PLE!$G$14,$M106,BE$13)="",10^12,OFFSET(PLE!$G$14,$M106,BE$13))))</f>
        <v>1000000000000</v>
      </c>
      <c r="BF106" s="216">
        <f ca="1">IF($D106&lt;&gt;"Serviço",0,IF(OR(AND(AUTOEVENTO="Manual",$M106=1),$M106&gt;(ROW(PLE.lastrow)-ROW(PLE.firstrow))),0,IF(OFFSET(PLE!$G$14,$M106,BF$13)="",10^12,OFFSET(PLE!$G$14,$M106,BF$13))))</f>
        <v>1000000000000</v>
      </c>
      <c r="BG106" s="216">
        <f ca="1">IF($D106&lt;&gt;"Serviço",0,IF(OR(AND(AUTOEVENTO="Manual",$M106=1),$M106&gt;(ROW(PLE.lastrow)-ROW(PLE.firstrow))),0,IF(OFFSET(PLE!$G$14,$M106,BG$13)="",10^12,OFFSET(PLE!$G$14,$M106,BG$13))))</f>
        <v>1000000000000</v>
      </c>
    </row>
    <row r="107" spans="1:59" ht="51" x14ac:dyDescent="0.2">
      <c r="A107" s="9" t="str">
        <f t="shared" ca="1" si="10"/>
        <v>89</v>
      </c>
      <c r="B107" s="9" t="str">
        <f ca="1">OFFSET(ORÇAMENTO!C$15,ROW(B107)-ROW(B$15),0)</f>
        <v>S</v>
      </c>
      <c r="C107" s="9" t="str">
        <f ca="1">OFFSET(ORÇAMENTO!L$15,ROW(C107)-ROW(C$15),0)</f>
        <v/>
      </c>
      <c r="D107" s="145" t="str">
        <f ca="1">OFFSET(ORÇAMENTO!N$15,ROW(D107)-ROW(D$15),0)</f>
        <v>Serviço</v>
      </c>
      <c r="E107" s="205" t="str">
        <f ca="1">OFFSET(ORÇAMENTO!O$15,ROW(E107)-ROW(E$15),0)</f>
        <v>-</v>
      </c>
      <c r="F107" s="206" t="str">
        <f ca="1">OFFSET(ORÇAMENTO!R$15,ROW(F107)-ROW(F$15),0)</f>
        <v xml:space="preserve">PLACA DE SINALIZACAO DE SEGURANCA CONTRA INCENDIO - ALERTA, TRIANGULAR, BASE DE *30* CM, EM PVC *2* MM ANTI-CHAMAS (SIMBOLOS, CORES E PICTOGRAMAS CONFORME NBR 16820)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G107" s="207" t="str">
        <f ca="1">IF($D107&lt;&gt;"Serviço","",OFFSET(ORÇAMENTO!S$15,ROW(G107)-ROW(G$15),0))</f>
        <v xml:space="preserve">UN    </v>
      </c>
      <c r="H107" s="151">
        <f ca="1">IF($D107&lt;&gt;"Serviço",0,IF(ACOMPANHAMENTO="BM",ROUND(OFFSET(ORÇAMENTO!AJ$15,ROW(H107)-ROW(H$15),0),15-13*ORÇAMENTO!$AF$7),SUMPRODUCT(($Q$12:$AA$12&lt;&gt;"")*ROUND($Q107:$AA107,15-13*ORÇAMENTO!$AF$7))))</f>
        <v>5</v>
      </c>
      <c r="I107" s="649"/>
      <c r="K107" s="208"/>
      <c r="L107" s="209" t="s">
        <v>255</v>
      </c>
      <c r="M107" s="210">
        <f ca="1">IF($D107&lt;&gt;"Serviço","",IF(AUTOEVENTO="manual",$A107,IF(ISERROR(MATCH($A107,$A$15:OFFSET($A107,-1,0),0)),MAX($M$15:OFFSET(M107,-1,0))+1,INDEX($M$15:OFFSET(M107,-1,0),MATCH($A107,$A$15:OFFSET($A107,-1,0),0)))))</f>
        <v>18</v>
      </c>
      <c r="N107" s="211" t="str">
        <f ca="1">IF($D107&lt;&gt;"Serviço","",IF(AUTOEVENTO="Manual",IF($A107=0,"&lt;-- defina o número do agrupador",OFFSET(EVENTOS!$D$14,$A107,0)),OFFSET($F$15,$A107,0)))</f>
        <v xml:space="preserve">PREVENTIVO DE INCENDIO </v>
      </c>
      <c r="O107" s="212"/>
      <c r="Q107" s="212"/>
      <c r="R107" s="213"/>
      <c r="S107" s="213"/>
      <c r="T107" s="213"/>
      <c r="U107" s="213"/>
      <c r="V107" s="213"/>
      <c r="W107" s="213"/>
      <c r="X107" s="213"/>
      <c r="Y107" s="213"/>
      <c r="Z107" s="214"/>
      <c r="AB107" s="630">
        <f ca="1">IF(AND($D107="Serviço",AB$12&lt;&gt;0,$H107&gt;0,OR(AUTOEVENTO&lt;&gt;"manual",$M107&lt;&gt;1)),
IF(Import.TipoArredondamento&lt;&gt;"TransfereGOV",
ROUND(OFFSET($P107,0,AB$13),15-13*ORÇAMENTO!$AF$7)/$H107*OFFSET(ORÇAMENTO!$X$15,ROW(AB107)-ROW(AB$15),0),
ROUND(ROUND(OFFSET($P107,0,AB$13),15-13*ORÇAMENTO!$AF$7)*OFFSET(ORÇAMENTO!$W$15,ROW(AB107)-ROW(AB$15),0),15-13*ORÇAMENTO!$AF$11)),0)</f>
        <v>0</v>
      </c>
      <c r="AC107" s="631">
        <f ca="1">IF(AND($D107="Serviço",AC$12&lt;&gt;0,$H107&gt;0,OR(AUTOEVENTO&lt;&gt;"manual",$M107&lt;&gt;1)),
IF(Import.TipoArredondamento&lt;&gt;"TransfereGOV",
ROUND(OFFSET($P107,0,AC$13),15-13*ORÇAMENTO!$AF$7)/$H107*OFFSET(ORÇAMENTO!$X$15,ROW(AC107)-ROW(AC$15),0),
ROUND(ROUND(OFFSET($P107,0,AC$13),15-13*ORÇAMENTO!$AF$7)*OFFSET(ORÇAMENTO!$W$15,ROW(AC107)-ROW(AC$15),0),15-13*ORÇAMENTO!$AF$11)),0)</f>
        <v>0</v>
      </c>
      <c r="AD107" s="631">
        <f ca="1">IF(AND($D107="Serviço",AD$12&lt;&gt;0,$H107&gt;0,OR(AUTOEVENTO&lt;&gt;"manual",$M107&lt;&gt;1)),
IF(Import.TipoArredondamento&lt;&gt;"TransfereGOV",
ROUND(OFFSET($P107,0,AD$13),15-13*ORÇAMENTO!$AF$7)/$H107*OFFSET(ORÇAMENTO!$X$15,ROW(AD107)-ROW(AD$15),0),
ROUND(ROUND(OFFSET($P107,0,AD$13),15-13*ORÇAMENTO!$AF$7)*OFFSET(ORÇAMENTO!$W$15,ROW(AD107)-ROW(AD$15),0),15-13*ORÇAMENTO!$AF$11)),0)</f>
        <v>0</v>
      </c>
      <c r="AE107" s="631">
        <f ca="1">IF(AND($D107="Serviço",AE$12&lt;&gt;0,$H107&gt;0,OR(AUTOEVENTO&lt;&gt;"manual",$M107&lt;&gt;1)),
IF(Import.TipoArredondamento&lt;&gt;"TransfereGOV",
ROUND(OFFSET($P107,0,AE$13),15-13*ORÇAMENTO!$AF$7)/$H107*OFFSET(ORÇAMENTO!$X$15,ROW(AE107)-ROW(AE$15),0),
ROUND(ROUND(OFFSET($P107,0,AE$13),15-13*ORÇAMENTO!$AF$7)*OFFSET(ORÇAMENTO!$W$15,ROW(AE107)-ROW(AE$15),0),15-13*ORÇAMENTO!$AF$11)),0)</f>
        <v>0</v>
      </c>
      <c r="AF107" s="631">
        <f ca="1">IF(AND($D107="Serviço",AF$12&lt;&gt;0,$H107&gt;0,OR(AUTOEVENTO&lt;&gt;"manual",$M107&lt;&gt;1)),
IF(Import.TipoArredondamento&lt;&gt;"TransfereGOV",
ROUND(OFFSET($P107,0,AF$13),15-13*ORÇAMENTO!$AF$7)/$H107*OFFSET(ORÇAMENTO!$X$15,ROW(AF107)-ROW(AF$15),0),
ROUND(ROUND(OFFSET($P107,0,AF$13),15-13*ORÇAMENTO!$AF$7)*OFFSET(ORÇAMENTO!$W$15,ROW(AF107)-ROW(AF$15),0),15-13*ORÇAMENTO!$AF$11)),0)</f>
        <v>0</v>
      </c>
      <c r="AG107" s="631">
        <f ca="1">IF(AND($D107="Serviço",AG$12&lt;&gt;0,$H107&gt;0,OR(AUTOEVENTO&lt;&gt;"manual",$M107&lt;&gt;1)),
IF(Import.TipoArredondamento&lt;&gt;"TransfereGOV",
ROUND(OFFSET($P107,0,AG$13),15-13*ORÇAMENTO!$AF$7)/$H107*OFFSET(ORÇAMENTO!$X$15,ROW(AG107)-ROW(AG$15),0),
ROUND(ROUND(OFFSET($P107,0,AG$13),15-13*ORÇAMENTO!$AF$7)*OFFSET(ORÇAMENTO!$W$15,ROW(AG107)-ROW(AG$15),0),15-13*ORÇAMENTO!$AF$11)),0)</f>
        <v>0</v>
      </c>
      <c r="AH107" s="631">
        <f ca="1">IF(AND($D107="Serviço",AH$12&lt;&gt;0,$H107&gt;0,OR(AUTOEVENTO&lt;&gt;"manual",$M107&lt;&gt;1)),
IF(Import.TipoArredondamento&lt;&gt;"TransfereGOV",
ROUND(OFFSET($P107,0,AH$13),15-13*ORÇAMENTO!$AF$7)/$H107*OFFSET(ORÇAMENTO!$X$15,ROW(AH107)-ROW(AH$15),0),
ROUND(ROUND(OFFSET($P107,0,AH$13),15-13*ORÇAMENTO!$AF$7)*OFFSET(ORÇAMENTO!$W$15,ROW(AH107)-ROW(AH$15),0),15-13*ORÇAMENTO!$AF$11)),0)</f>
        <v>0</v>
      </c>
      <c r="AI107" s="631">
        <f ca="1">IF(AND($D107="Serviço",AI$12&lt;&gt;0,$H107&gt;0,OR(AUTOEVENTO&lt;&gt;"manual",$M107&lt;&gt;1)),
IF(Import.TipoArredondamento&lt;&gt;"TransfereGOV",
ROUND(OFFSET($P107,0,AI$13),15-13*ORÇAMENTO!$AF$7)/$H107*OFFSET(ORÇAMENTO!$X$15,ROW(AI107)-ROW(AI$15),0),
ROUND(ROUND(OFFSET($P107,0,AI$13),15-13*ORÇAMENTO!$AF$7)*OFFSET(ORÇAMENTO!$W$15,ROW(AI107)-ROW(AI$15),0),15-13*ORÇAMENTO!$AF$11)),0)</f>
        <v>0</v>
      </c>
      <c r="AJ107" s="631">
        <f ca="1">IF(AND($D107="Serviço",AJ$12&lt;&gt;0,$H107&gt;0,OR(AUTOEVENTO&lt;&gt;"manual",$M107&lt;&gt;1)),
IF(Import.TipoArredondamento&lt;&gt;"TransfereGOV",
ROUND(OFFSET($P107,0,AJ$13),15-13*ORÇAMENTO!$AF$7)/$H107*OFFSET(ORÇAMENTO!$X$15,ROW(AJ107)-ROW(AJ$15),0),
ROUND(ROUND(OFFSET($P107,0,AJ$13),15-13*ORÇAMENTO!$AF$7)*OFFSET(ORÇAMENTO!$W$15,ROW(AJ107)-ROW(AJ$15),0),15-13*ORÇAMENTO!$AF$11)),0)</f>
        <v>0</v>
      </c>
      <c r="AK107" s="632">
        <f ca="1">IF(AND($D107="Serviço",AK$12&lt;&gt;0,$H107&gt;0,OR(AUTOEVENTO&lt;&gt;"manual",$M107&lt;&gt;1)),
IF(Import.TipoArredondamento&lt;&gt;"TransfereGOV",
ROUND(OFFSET($P107,0,AK$13),15-13*ORÇAMENTO!$AF$7)/$H107*OFFSET(ORÇAMENTO!$X$15,ROW(AK107)-ROW(AK$15),0),
ROUND(ROUND(OFFSET($P107,0,AK$13),15-13*ORÇAMENTO!$AF$7)*OFFSET(ORÇAMENTO!$W$15,ROW(AK107)-ROW(AK$15),0),15-13*ORÇAMENTO!$AF$11)),0)</f>
        <v>0</v>
      </c>
      <c r="AM107" s="215">
        <f ca="1">IF($D107&lt;&gt;"Serviço",0,IF(AND(AUTOEVENTO="Manual",$M107=1),0,IF(OFFSET(CRONOPLE!$F$14,$M107,AM$13)="",10^12,OFFSET(CRONOPLE!$F$14,$M107,AM$13))))</f>
        <v>1000000000000</v>
      </c>
      <c r="AN107" s="215">
        <f ca="1">IF($D107&lt;&gt;"Serviço",0,IF(AND(AUTOEVENTO="Manual",$M107=1),0,IF(OFFSET(CRONOPLE!$F$14,$M107,AN$13)="",10^12,OFFSET(CRONOPLE!$F$14,$M107,AN$13))))</f>
        <v>1000000000000</v>
      </c>
      <c r="AO107" s="215">
        <f ca="1">IF($D107&lt;&gt;"Serviço",0,IF(AND(AUTOEVENTO="Manual",$M107=1),0,IF(OFFSET(CRONOPLE!$F$14,$M107,AO$13)="",10^12,OFFSET(CRONOPLE!$F$14,$M107,AO$13))))</f>
        <v>1000000000000</v>
      </c>
      <c r="AP107" s="215">
        <f ca="1">IF($D107&lt;&gt;"Serviço",0,IF(AND(AUTOEVENTO="Manual",$M107=1),0,IF(OFFSET(CRONOPLE!$F$14,$M107,AP$13)="",10^12,OFFSET(CRONOPLE!$F$14,$M107,AP$13))))</f>
        <v>1000000000000</v>
      </c>
      <c r="AQ107" s="215">
        <f ca="1">IF($D107&lt;&gt;"Serviço",0,IF(AND(AUTOEVENTO="Manual",$M107=1),0,IF(OFFSET(CRONOPLE!$F$14,$M107,AQ$13)="",10^12,OFFSET(CRONOPLE!$F$14,$M107,AQ$13))))</f>
        <v>1000000000000</v>
      </c>
      <c r="AR107" s="215">
        <f ca="1">IF($D107&lt;&gt;"Serviço",0,IF(AND(AUTOEVENTO="Manual",$M107=1),0,IF(OFFSET(CRONOPLE!$F$14,$M107,AR$13)="",10^12,OFFSET(CRONOPLE!$F$14,$M107,AR$13))))</f>
        <v>1000000000000</v>
      </c>
      <c r="AS107" s="215">
        <f ca="1">IF($D107&lt;&gt;"Serviço",0,IF(AND(AUTOEVENTO="Manual",$M107=1),0,IF(OFFSET(CRONOPLE!$F$14,$M107,AS$13)="",10^12,OFFSET(CRONOPLE!$F$14,$M107,AS$13))))</f>
        <v>1000000000000</v>
      </c>
      <c r="AT107" s="215">
        <f ca="1">IF($D107&lt;&gt;"Serviço",0,IF(AND(AUTOEVENTO="Manual",$M107=1),0,IF(OFFSET(CRONOPLE!$F$14,$M107,AT$13)="",10^12,OFFSET(CRONOPLE!$F$14,$M107,AT$13))))</f>
        <v>1000000000000</v>
      </c>
      <c r="AU107" s="215">
        <f ca="1">IF($D107&lt;&gt;"Serviço",0,IF(AND(AUTOEVENTO="Manual",$M107=1),0,IF(OFFSET(CRONOPLE!$F$14,$M107,AU$13)="",10^12,OFFSET(CRONOPLE!$F$14,$M107,AU$13))))</f>
        <v>1000000000000</v>
      </c>
      <c r="AV107" s="215">
        <f ca="1">IF($D107&lt;&gt;"Serviço",0,IF(AND(AUTOEVENTO="Manual",$M107=1),0,IF(OFFSET(CRONOPLE!$F$14,$M107,AV$13)="",10^12,OFFSET(CRONOPLE!$F$14,$M107,AV$13))))</f>
        <v>1000000000000</v>
      </c>
      <c r="AX107" s="216">
        <f ca="1">IF($D107&lt;&gt;"Serviço",0,IF(OR(AND(AUTOEVENTO="Manual",$M107=1),$M107&gt;(ROW(PLE.lastrow)-ROW(PLE.firstrow))),0,IF(OFFSET(PLE!$G$14,$M107,AX$13)="",10^12,OFFSET(PLE!$G$14,$M107,AX$13))))</f>
        <v>1000000000000</v>
      </c>
      <c r="AY107" s="216">
        <f ca="1">IF($D107&lt;&gt;"Serviço",0,IF(OR(AND(AUTOEVENTO="Manual",$M107=1),$M107&gt;(ROW(PLE.lastrow)-ROW(PLE.firstrow))),0,IF(OFFSET(PLE!$G$14,$M107,AY$13)="",10^12,OFFSET(PLE!$G$14,$M107,AY$13))))</f>
        <v>1000000000000</v>
      </c>
      <c r="AZ107" s="216">
        <f ca="1">IF($D107&lt;&gt;"Serviço",0,IF(OR(AND(AUTOEVENTO="Manual",$M107=1),$M107&gt;(ROW(PLE.lastrow)-ROW(PLE.firstrow))),0,IF(OFFSET(PLE!$G$14,$M107,AZ$13)="",10^12,OFFSET(PLE!$G$14,$M107,AZ$13))))</f>
        <v>1000000000000</v>
      </c>
      <c r="BA107" s="216">
        <f ca="1">IF($D107&lt;&gt;"Serviço",0,IF(OR(AND(AUTOEVENTO="Manual",$M107=1),$M107&gt;(ROW(PLE.lastrow)-ROW(PLE.firstrow))),0,IF(OFFSET(PLE!$G$14,$M107,BA$13)="",10^12,OFFSET(PLE!$G$14,$M107,BA$13))))</f>
        <v>1000000000000</v>
      </c>
      <c r="BB107" s="216">
        <f ca="1">IF($D107&lt;&gt;"Serviço",0,IF(OR(AND(AUTOEVENTO="Manual",$M107=1),$M107&gt;(ROW(PLE.lastrow)-ROW(PLE.firstrow))),0,IF(OFFSET(PLE!$G$14,$M107,BB$13)="",10^12,OFFSET(PLE!$G$14,$M107,BB$13))))</f>
        <v>1000000000000</v>
      </c>
      <c r="BC107" s="216">
        <f ca="1">IF($D107&lt;&gt;"Serviço",0,IF(OR(AND(AUTOEVENTO="Manual",$M107=1),$M107&gt;(ROW(PLE.lastrow)-ROW(PLE.firstrow))),0,IF(OFFSET(PLE!$G$14,$M107,BC$13)="",10^12,OFFSET(PLE!$G$14,$M107,BC$13))))</f>
        <v>1000000000000</v>
      </c>
      <c r="BD107" s="216">
        <f ca="1">IF($D107&lt;&gt;"Serviço",0,IF(OR(AND(AUTOEVENTO="Manual",$M107=1),$M107&gt;(ROW(PLE.lastrow)-ROW(PLE.firstrow))),0,IF(OFFSET(PLE!$G$14,$M107,BD$13)="",10^12,OFFSET(PLE!$G$14,$M107,BD$13))))</f>
        <v>1000000000000</v>
      </c>
      <c r="BE107" s="216">
        <f ca="1">IF($D107&lt;&gt;"Serviço",0,IF(OR(AND(AUTOEVENTO="Manual",$M107=1),$M107&gt;(ROW(PLE.lastrow)-ROW(PLE.firstrow))),0,IF(OFFSET(PLE!$G$14,$M107,BE$13)="",10^12,OFFSET(PLE!$G$14,$M107,BE$13))))</f>
        <v>1000000000000</v>
      </c>
      <c r="BF107" s="216">
        <f ca="1">IF($D107&lt;&gt;"Serviço",0,IF(OR(AND(AUTOEVENTO="Manual",$M107=1),$M107&gt;(ROW(PLE.lastrow)-ROW(PLE.firstrow))),0,IF(OFFSET(PLE!$G$14,$M107,BF$13)="",10^12,OFFSET(PLE!$G$14,$M107,BF$13))))</f>
        <v>1000000000000</v>
      </c>
      <c r="BG107" s="216">
        <f ca="1">IF($D107&lt;&gt;"Serviço",0,IF(OR(AND(AUTOEVENTO="Manual",$M107=1),$M107&gt;(ROW(PLE.lastrow)-ROW(PLE.firstrow))),0,IF(OFFSET(PLE!$G$14,$M107,BG$13)="",10^12,OFFSET(PLE!$G$14,$M107,BG$13))))</f>
        <v>1000000000000</v>
      </c>
    </row>
    <row r="108" spans="1:59" ht="12.75" x14ac:dyDescent="0.2">
      <c r="A108" s="9" t="str">
        <f t="shared" ca="1" si="10"/>
        <v>93.</v>
      </c>
      <c r="B108" s="9">
        <f ca="1">OFFSET(ORÇAMENTO!C$15,ROW(B108)-ROW(B$15),0)</f>
        <v>2</v>
      </c>
      <c r="C108" s="9" t="str">
        <f ca="1">OFFSET(ORÇAMENTO!L$15,ROW(C108)-ROW(C$15),0)</f>
        <v>F</v>
      </c>
      <c r="D108" s="145" t="str">
        <f ca="1">OFFSET(ORÇAMENTO!N$15,ROW(D108)-ROW(D$15),0)</f>
        <v>Nível 2</v>
      </c>
      <c r="E108" s="205" t="str">
        <f ca="1">OFFSET(ORÇAMENTO!O$15,ROW(E108)-ROW(E$15),0)</f>
        <v>1.18.</v>
      </c>
      <c r="F108" s="206" t="str">
        <f ca="1">OFFSET(ORÇAMENTO!R$15,ROW(F108)-ROW(F$15),0)</f>
        <v xml:space="preserve">ELÉTRICA </v>
      </c>
      <c r="G108" s="207" t="str">
        <f ca="1">IF($D108&lt;&gt;"Serviço","",OFFSET(ORÇAMENTO!S$15,ROW(G108)-ROW(G$15),0))</f>
        <v/>
      </c>
      <c r="H108" s="151">
        <f ca="1">IF($D108&lt;&gt;"Serviço",0,IF(ACOMPANHAMENTO="BM",ROUND(OFFSET(ORÇAMENTO!AJ$15,ROW(H108)-ROW(H$15),0),15-13*ORÇAMENTO!$AF$7),SUMPRODUCT(($Q$12:$AA$12&lt;&gt;"")*ROUND($Q108:$AA108,15-13*ORÇAMENTO!$AF$7))))</f>
        <v>0</v>
      </c>
      <c r="I108" s="649"/>
      <c r="K108" s="208"/>
      <c r="L108" s="209" t="s">
        <v>255</v>
      </c>
      <c r="M108" s="210" t="str">
        <f ca="1">IF($D108&lt;&gt;"Serviço","",IF(AUTOEVENTO="manual",$A108,IF(ISERROR(MATCH($A108,$A$15:OFFSET($A108,-1,0),0)),MAX($M$15:OFFSET(M108,-1,0))+1,INDEX($M$15:OFFSET(M108,-1,0),MATCH($A108,$A$15:OFFSET($A108,-1,0),0)))))</f>
        <v/>
      </c>
      <c r="N108" s="211" t="str">
        <f ca="1">IF($D108&lt;&gt;"Serviço","",IF(AUTOEVENTO="Manual",IF($A108=0,"&lt;-- defina o número do agrupador",OFFSET(EVENTOS!$D$14,$A108,0)),OFFSET($F$15,$A108,0)))</f>
        <v/>
      </c>
      <c r="O108" s="212"/>
      <c r="Q108" s="212"/>
      <c r="R108" s="213"/>
      <c r="S108" s="213"/>
      <c r="T108" s="213"/>
      <c r="U108" s="213"/>
      <c r="V108" s="213"/>
      <c r="W108" s="213"/>
      <c r="X108" s="213"/>
      <c r="Y108" s="213"/>
      <c r="Z108" s="214"/>
      <c r="AB108" s="630">
        <f ca="1">IF(AND($D108="Serviço",AB$12&lt;&gt;0,$H108&gt;0,OR(AUTOEVENTO&lt;&gt;"manual",$M108&lt;&gt;1)),
IF(Import.TipoArredondamento&lt;&gt;"TransfereGOV",
ROUND(OFFSET($P108,0,AB$13),15-13*ORÇAMENTO!$AF$7)/$H108*OFFSET(ORÇAMENTO!$X$15,ROW(AB108)-ROW(AB$15),0),
ROUND(ROUND(OFFSET($P108,0,AB$13),15-13*ORÇAMENTO!$AF$7)*OFFSET(ORÇAMENTO!$W$15,ROW(AB108)-ROW(AB$15),0),15-13*ORÇAMENTO!$AF$11)),0)</f>
        <v>0</v>
      </c>
      <c r="AC108" s="631">
        <f ca="1">IF(AND($D108="Serviço",AC$12&lt;&gt;0,$H108&gt;0,OR(AUTOEVENTO&lt;&gt;"manual",$M108&lt;&gt;1)),
IF(Import.TipoArredondamento&lt;&gt;"TransfereGOV",
ROUND(OFFSET($P108,0,AC$13),15-13*ORÇAMENTO!$AF$7)/$H108*OFFSET(ORÇAMENTO!$X$15,ROW(AC108)-ROW(AC$15),0),
ROUND(ROUND(OFFSET($P108,0,AC$13),15-13*ORÇAMENTO!$AF$7)*OFFSET(ORÇAMENTO!$W$15,ROW(AC108)-ROW(AC$15),0),15-13*ORÇAMENTO!$AF$11)),0)</f>
        <v>0</v>
      </c>
      <c r="AD108" s="631">
        <f ca="1">IF(AND($D108="Serviço",AD$12&lt;&gt;0,$H108&gt;0,OR(AUTOEVENTO&lt;&gt;"manual",$M108&lt;&gt;1)),
IF(Import.TipoArredondamento&lt;&gt;"TransfereGOV",
ROUND(OFFSET($P108,0,AD$13),15-13*ORÇAMENTO!$AF$7)/$H108*OFFSET(ORÇAMENTO!$X$15,ROW(AD108)-ROW(AD$15),0),
ROUND(ROUND(OFFSET($P108,0,AD$13),15-13*ORÇAMENTO!$AF$7)*OFFSET(ORÇAMENTO!$W$15,ROW(AD108)-ROW(AD$15),0),15-13*ORÇAMENTO!$AF$11)),0)</f>
        <v>0</v>
      </c>
      <c r="AE108" s="631">
        <f ca="1">IF(AND($D108="Serviço",AE$12&lt;&gt;0,$H108&gt;0,OR(AUTOEVENTO&lt;&gt;"manual",$M108&lt;&gt;1)),
IF(Import.TipoArredondamento&lt;&gt;"TransfereGOV",
ROUND(OFFSET($P108,0,AE$13),15-13*ORÇAMENTO!$AF$7)/$H108*OFFSET(ORÇAMENTO!$X$15,ROW(AE108)-ROW(AE$15),0),
ROUND(ROUND(OFFSET($P108,0,AE$13),15-13*ORÇAMENTO!$AF$7)*OFFSET(ORÇAMENTO!$W$15,ROW(AE108)-ROW(AE$15),0),15-13*ORÇAMENTO!$AF$11)),0)</f>
        <v>0</v>
      </c>
      <c r="AF108" s="631">
        <f ca="1">IF(AND($D108="Serviço",AF$12&lt;&gt;0,$H108&gt;0,OR(AUTOEVENTO&lt;&gt;"manual",$M108&lt;&gt;1)),
IF(Import.TipoArredondamento&lt;&gt;"TransfereGOV",
ROUND(OFFSET($P108,0,AF$13),15-13*ORÇAMENTO!$AF$7)/$H108*OFFSET(ORÇAMENTO!$X$15,ROW(AF108)-ROW(AF$15),0),
ROUND(ROUND(OFFSET($P108,0,AF$13),15-13*ORÇAMENTO!$AF$7)*OFFSET(ORÇAMENTO!$W$15,ROW(AF108)-ROW(AF$15),0),15-13*ORÇAMENTO!$AF$11)),0)</f>
        <v>0</v>
      </c>
      <c r="AG108" s="631">
        <f ca="1">IF(AND($D108="Serviço",AG$12&lt;&gt;0,$H108&gt;0,OR(AUTOEVENTO&lt;&gt;"manual",$M108&lt;&gt;1)),
IF(Import.TipoArredondamento&lt;&gt;"TransfereGOV",
ROUND(OFFSET($P108,0,AG$13),15-13*ORÇAMENTO!$AF$7)/$H108*OFFSET(ORÇAMENTO!$X$15,ROW(AG108)-ROW(AG$15),0),
ROUND(ROUND(OFFSET($P108,0,AG$13),15-13*ORÇAMENTO!$AF$7)*OFFSET(ORÇAMENTO!$W$15,ROW(AG108)-ROW(AG$15),0),15-13*ORÇAMENTO!$AF$11)),0)</f>
        <v>0</v>
      </c>
      <c r="AH108" s="631">
        <f ca="1">IF(AND($D108="Serviço",AH$12&lt;&gt;0,$H108&gt;0,OR(AUTOEVENTO&lt;&gt;"manual",$M108&lt;&gt;1)),
IF(Import.TipoArredondamento&lt;&gt;"TransfereGOV",
ROUND(OFFSET($P108,0,AH$13),15-13*ORÇAMENTO!$AF$7)/$H108*OFFSET(ORÇAMENTO!$X$15,ROW(AH108)-ROW(AH$15),0),
ROUND(ROUND(OFFSET($P108,0,AH$13),15-13*ORÇAMENTO!$AF$7)*OFFSET(ORÇAMENTO!$W$15,ROW(AH108)-ROW(AH$15),0),15-13*ORÇAMENTO!$AF$11)),0)</f>
        <v>0</v>
      </c>
      <c r="AI108" s="631">
        <f ca="1">IF(AND($D108="Serviço",AI$12&lt;&gt;0,$H108&gt;0,OR(AUTOEVENTO&lt;&gt;"manual",$M108&lt;&gt;1)),
IF(Import.TipoArredondamento&lt;&gt;"TransfereGOV",
ROUND(OFFSET($P108,0,AI$13),15-13*ORÇAMENTO!$AF$7)/$H108*OFFSET(ORÇAMENTO!$X$15,ROW(AI108)-ROW(AI$15),0),
ROUND(ROUND(OFFSET($P108,0,AI$13),15-13*ORÇAMENTO!$AF$7)*OFFSET(ORÇAMENTO!$W$15,ROW(AI108)-ROW(AI$15),0),15-13*ORÇAMENTO!$AF$11)),0)</f>
        <v>0</v>
      </c>
      <c r="AJ108" s="631">
        <f ca="1">IF(AND($D108="Serviço",AJ$12&lt;&gt;0,$H108&gt;0,OR(AUTOEVENTO&lt;&gt;"manual",$M108&lt;&gt;1)),
IF(Import.TipoArredondamento&lt;&gt;"TransfereGOV",
ROUND(OFFSET($P108,0,AJ$13),15-13*ORÇAMENTO!$AF$7)/$H108*OFFSET(ORÇAMENTO!$X$15,ROW(AJ108)-ROW(AJ$15),0),
ROUND(ROUND(OFFSET($P108,0,AJ$13),15-13*ORÇAMENTO!$AF$7)*OFFSET(ORÇAMENTO!$W$15,ROW(AJ108)-ROW(AJ$15),0),15-13*ORÇAMENTO!$AF$11)),0)</f>
        <v>0</v>
      </c>
      <c r="AK108" s="632">
        <f ca="1">IF(AND($D108="Serviço",AK$12&lt;&gt;0,$H108&gt;0,OR(AUTOEVENTO&lt;&gt;"manual",$M108&lt;&gt;1)),
IF(Import.TipoArredondamento&lt;&gt;"TransfereGOV",
ROUND(OFFSET($P108,0,AK$13),15-13*ORÇAMENTO!$AF$7)/$H108*OFFSET(ORÇAMENTO!$X$15,ROW(AK108)-ROW(AK$15),0),
ROUND(ROUND(OFFSET($P108,0,AK$13),15-13*ORÇAMENTO!$AF$7)*OFFSET(ORÇAMENTO!$W$15,ROW(AK108)-ROW(AK$15),0),15-13*ORÇAMENTO!$AF$11)),0)</f>
        <v>0</v>
      </c>
      <c r="AM108" s="215">
        <f ca="1">IF($D108&lt;&gt;"Serviço",0,IF(AND(AUTOEVENTO="Manual",$M108=1),0,IF(OFFSET(CRONOPLE!$F$14,$M108,AM$13)="",10^12,OFFSET(CRONOPLE!$F$14,$M108,AM$13))))</f>
        <v>0</v>
      </c>
      <c r="AN108" s="215">
        <f ca="1">IF($D108&lt;&gt;"Serviço",0,IF(AND(AUTOEVENTO="Manual",$M108=1),0,IF(OFFSET(CRONOPLE!$F$14,$M108,AN$13)="",10^12,OFFSET(CRONOPLE!$F$14,$M108,AN$13))))</f>
        <v>0</v>
      </c>
      <c r="AO108" s="215">
        <f ca="1">IF($D108&lt;&gt;"Serviço",0,IF(AND(AUTOEVENTO="Manual",$M108=1),0,IF(OFFSET(CRONOPLE!$F$14,$M108,AO$13)="",10^12,OFFSET(CRONOPLE!$F$14,$M108,AO$13))))</f>
        <v>0</v>
      </c>
      <c r="AP108" s="215">
        <f ca="1">IF($D108&lt;&gt;"Serviço",0,IF(AND(AUTOEVENTO="Manual",$M108=1),0,IF(OFFSET(CRONOPLE!$F$14,$M108,AP$13)="",10^12,OFFSET(CRONOPLE!$F$14,$M108,AP$13))))</f>
        <v>0</v>
      </c>
      <c r="AQ108" s="215">
        <f ca="1">IF($D108&lt;&gt;"Serviço",0,IF(AND(AUTOEVENTO="Manual",$M108=1),0,IF(OFFSET(CRONOPLE!$F$14,$M108,AQ$13)="",10^12,OFFSET(CRONOPLE!$F$14,$M108,AQ$13))))</f>
        <v>0</v>
      </c>
      <c r="AR108" s="215">
        <f ca="1">IF($D108&lt;&gt;"Serviço",0,IF(AND(AUTOEVENTO="Manual",$M108=1),0,IF(OFFSET(CRONOPLE!$F$14,$M108,AR$13)="",10^12,OFFSET(CRONOPLE!$F$14,$M108,AR$13))))</f>
        <v>0</v>
      </c>
      <c r="AS108" s="215">
        <f ca="1">IF($D108&lt;&gt;"Serviço",0,IF(AND(AUTOEVENTO="Manual",$M108=1),0,IF(OFFSET(CRONOPLE!$F$14,$M108,AS$13)="",10^12,OFFSET(CRONOPLE!$F$14,$M108,AS$13))))</f>
        <v>0</v>
      </c>
      <c r="AT108" s="215">
        <f ca="1">IF($D108&lt;&gt;"Serviço",0,IF(AND(AUTOEVENTO="Manual",$M108=1),0,IF(OFFSET(CRONOPLE!$F$14,$M108,AT$13)="",10^12,OFFSET(CRONOPLE!$F$14,$M108,AT$13))))</f>
        <v>0</v>
      </c>
      <c r="AU108" s="215">
        <f ca="1">IF($D108&lt;&gt;"Serviço",0,IF(AND(AUTOEVENTO="Manual",$M108=1),0,IF(OFFSET(CRONOPLE!$F$14,$M108,AU$13)="",10^12,OFFSET(CRONOPLE!$F$14,$M108,AU$13))))</f>
        <v>0</v>
      </c>
      <c r="AV108" s="215">
        <f ca="1">IF($D108&lt;&gt;"Serviço",0,IF(AND(AUTOEVENTO="Manual",$M108=1),0,IF(OFFSET(CRONOPLE!$F$14,$M108,AV$13)="",10^12,OFFSET(CRONOPLE!$F$14,$M108,AV$13))))</f>
        <v>0</v>
      </c>
      <c r="AX108" s="216">
        <f ca="1">IF($D108&lt;&gt;"Serviço",0,IF(OR(AND(AUTOEVENTO="Manual",$M108=1),$M108&gt;(ROW(PLE.lastrow)-ROW(PLE.firstrow))),0,IF(OFFSET(PLE!$G$14,$M108,AX$13)="",10^12,OFFSET(PLE!$G$14,$M108,AX$13))))</f>
        <v>0</v>
      </c>
      <c r="AY108" s="216">
        <f ca="1">IF($D108&lt;&gt;"Serviço",0,IF(OR(AND(AUTOEVENTO="Manual",$M108=1),$M108&gt;(ROW(PLE.lastrow)-ROW(PLE.firstrow))),0,IF(OFFSET(PLE!$G$14,$M108,AY$13)="",10^12,OFFSET(PLE!$G$14,$M108,AY$13))))</f>
        <v>0</v>
      </c>
      <c r="AZ108" s="216">
        <f ca="1">IF($D108&lt;&gt;"Serviço",0,IF(OR(AND(AUTOEVENTO="Manual",$M108=1),$M108&gt;(ROW(PLE.lastrow)-ROW(PLE.firstrow))),0,IF(OFFSET(PLE!$G$14,$M108,AZ$13)="",10^12,OFFSET(PLE!$G$14,$M108,AZ$13))))</f>
        <v>0</v>
      </c>
      <c r="BA108" s="216">
        <f ca="1">IF($D108&lt;&gt;"Serviço",0,IF(OR(AND(AUTOEVENTO="Manual",$M108=1),$M108&gt;(ROW(PLE.lastrow)-ROW(PLE.firstrow))),0,IF(OFFSET(PLE!$G$14,$M108,BA$13)="",10^12,OFFSET(PLE!$G$14,$M108,BA$13))))</f>
        <v>0</v>
      </c>
      <c r="BB108" s="216">
        <f ca="1">IF($D108&lt;&gt;"Serviço",0,IF(OR(AND(AUTOEVENTO="Manual",$M108=1),$M108&gt;(ROW(PLE.lastrow)-ROW(PLE.firstrow))),0,IF(OFFSET(PLE!$G$14,$M108,BB$13)="",10^12,OFFSET(PLE!$G$14,$M108,BB$13))))</f>
        <v>0</v>
      </c>
      <c r="BC108" s="216">
        <f ca="1">IF($D108&lt;&gt;"Serviço",0,IF(OR(AND(AUTOEVENTO="Manual",$M108=1),$M108&gt;(ROW(PLE.lastrow)-ROW(PLE.firstrow))),0,IF(OFFSET(PLE!$G$14,$M108,BC$13)="",10^12,OFFSET(PLE!$G$14,$M108,BC$13))))</f>
        <v>0</v>
      </c>
      <c r="BD108" s="216">
        <f ca="1">IF($D108&lt;&gt;"Serviço",0,IF(OR(AND(AUTOEVENTO="Manual",$M108=1),$M108&gt;(ROW(PLE.lastrow)-ROW(PLE.firstrow))),0,IF(OFFSET(PLE!$G$14,$M108,BD$13)="",10^12,OFFSET(PLE!$G$14,$M108,BD$13))))</f>
        <v>0</v>
      </c>
      <c r="BE108" s="216">
        <f ca="1">IF($D108&lt;&gt;"Serviço",0,IF(OR(AND(AUTOEVENTO="Manual",$M108=1),$M108&gt;(ROW(PLE.lastrow)-ROW(PLE.firstrow))),0,IF(OFFSET(PLE!$G$14,$M108,BE$13)="",10^12,OFFSET(PLE!$G$14,$M108,BE$13))))</f>
        <v>0</v>
      </c>
      <c r="BF108" s="216">
        <f ca="1">IF($D108&lt;&gt;"Serviço",0,IF(OR(AND(AUTOEVENTO="Manual",$M108=1),$M108&gt;(ROW(PLE.lastrow)-ROW(PLE.firstrow))),0,IF(OFFSET(PLE!$G$14,$M108,BF$13)="",10^12,OFFSET(PLE!$G$14,$M108,BF$13))))</f>
        <v>0</v>
      </c>
      <c r="BG108" s="216">
        <f ca="1">IF($D108&lt;&gt;"Serviço",0,IF(OR(AND(AUTOEVENTO="Manual",$M108=1),$M108&gt;(ROW(PLE.lastrow)-ROW(PLE.firstrow))),0,IF(OFFSET(PLE!$G$14,$M108,BG$13)="",10^12,OFFSET(PLE!$G$14,$M108,BG$13))))</f>
        <v>0</v>
      </c>
    </row>
    <row r="109" spans="1:59" ht="38.25" x14ac:dyDescent="0.2">
      <c r="A109" s="9" t="str">
        <f t="shared" ca="1" si="10"/>
        <v>93</v>
      </c>
      <c r="B109" s="9" t="str">
        <f ca="1">OFFSET(ORÇAMENTO!C$15,ROW(B109)-ROW(B$15),0)</f>
        <v>S</v>
      </c>
      <c r="C109" s="9" t="str">
        <f ca="1">OFFSET(ORÇAMENTO!L$15,ROW(C109)-ROW(C$15),0)</f>
        <v/>
      </c>
      <c r="D109" s="145" t="str">
        <f ca="1">OFFSET(ORÇAMENTO!N$15,ROW(D109)-ROW(D$15),0)</f>
        <v>Serviço</v>
      </c>
      <c r="E109" s="205" t="str">
        <f ca="1">OFFSET(ORÇAMENTO!O$15,ROW(E109)-ROW(E$15),0)</f>
        <v>-</v>
      </c>
      <c r="F109" s="206" t="str">
        <f ca="1">OFFSET(ORÇAMENTO!R$15,ROW(F109)-ROW(F$15),0)</f>
        <v>CABO DE COBRE FLEXÍVEL ISOLADO, 1,5 MM², ANTI-CHAMA 0,6/1,0 KV, PARA CIRCUITOS TERMINAIS - FORNECIMENTO E INSTALAÇÃO. AF_03/2023</v>
      </c>
      <c r="G109" s="207" t="str">
        <f ca="1">IF($D109&lt;&gt;"Serviço","",OFFSET(ORÇAMENTO!S$15,ROW(G109)-ROW(G$15),0))</f>
        <v>M</v>
      </c>
      <c r="H109" s="151">
        <f ca="1">IF($D109&lt;&gt;"Serviço",0,IF(ACOMPANHAMENTO="BM",ROUND(OFFSET(ORÇAMENTO!AJ$15,ROW(H109)-ROW(H$15),0),15-13*ORÇAMENTO!$AF$7),SUMPRODUCT(($Q$12:$AA$12&lt;&gt;"")*ROUND($Q109:$AA109,15-13*ORÇAMENTO!$AF$7))))</f>
        <v>341.2</v>
      </c>
      <c r="I109" s="649"/>
      <c r="K109" s="208"/>
      <c r="L109" s="209" t="s">
        <v>255</v>
      </c>
      <c r="M109" s="210">
        <f ca="1">IF($D109&lt;&gt;"Serviço","",IF(AUTOEVENTO="manual",$A109,IF(ISERROR(MATCH($A109,$A$15:OFFSET($A109,-1,0),0)),MAX($M$15:OFFSET(M109,-1,0))+1,INDEX($M$15:OFFSET(M109,-1,0),MATCH($A109,$A$15:OFFSET($A109,-1,0),0)))))</f>
        <v>19</v>
      </c>
      <c r="N109" s="211" t="str">
        <f ca="1">IF($D109&lt;&gt;"Serviço","",IF(AUTOEVENTO="Manual",IF($A109=0,"&lt;-- defina o número do agrupador",OFFSET(EVENTOS!$D$14,$A109,0)),OFFSET($F$15,$A109,0)))</f>
        <v xml:space="preserve">ELÉTRICA </v>
      </c>
      <c r="O109" s="212"/>
      <c r="Q109" s="212"/>
      <c r="R109" s="213"/>
      <c r="S109" s="213"/>
      <c r="T109" s="213"/>
      <c r="U109" s="213"/>
      <c r="V109" s="213"/>
      <c r="W109" s="213"/>
      <c r="X109" s="213"/>
      <c r="Y109" s="213"/>
      <c r="Z109" s="214"/>
      <c r="AB109" s="630">
        <f ca="1">IF(AND($D109="Serviço",AB$12&lt;&gt;0,$H109&gt;0,OR(AUTOEVENTO&lt;&gt;"manual",$M109&lt;&gt;1)),
IF(Import.TipoArredondamento&lt;&gt;"TransfereGOV",
ROUND(OFFSET($P109,0,AB$13),15-13*ORÇAMENTO!$AF$7)/$H109*OFFSET(ORÇAMENTO!$X$15,ROW(AB109)-ROW(AB$15),0),
ROUND(ROUND(OFFSET($P109,0,AB$13),15-13*ORÇAMENTO!$AF$7)*OFFSET(ORÇAMENTO!$W$15,ROW(AB109)-ROW(AB$15),0),15-13*ORÇAMENTO!$AF$11)),0)</f>
        <v>0</v>
      </c>
      <c r="AC109" s="631">
        <f ca="1">IF(AND($D109="Serviço",AC$12&lt;&gt;0,$H109&gt;0,OR(AUTOEVENTO&lt;&gt;"manual",$M109&lt;&gt;1)),
IF(Import.TipoArredondamento&lt;&gt;"TransfereGOV",
ROUND(OFFSET($P109,0,AC$13),15-13*ORÇAMENTO!$AF$7)/$H109*OFFSET(ORÇAMENTO!$X$15,ROW(AC109)-ROW(AC$15),0),
ROUND(ROUND(OFFSET($P109,0,AC$13),15-13*ORÇAMENTO!$AF$7)*OFFSET(ORÇAMENTO!$W$15,ROW(AC109)-ROW(AC$15),0),15-13*ORÇAMENTO!$AF$11)),0)</f>
        <v>0</v>
      </c>
      <c r="AD109" s="631">
        <f ca="1">IF(AND($D109="Serviço",AD$12&lt;&gt;0,$H109&gt;0,OR(AUTOEVENTO&lt;&gt;"manual",$M109&lt;&gt;1)),
IF(Import.TipoArredondamento&lt;&gt;"TransfereGOV",
ROUND(OFFSET($P109,0,AD$13),15-13*ORÇAMENTO!$AF$7)/$H109*OFFSET(ORÇAMENTO!$X$15,ROW(AD109)-ROW(AD$15),0),
ROUND(ROUND(OFFSET($P109,0,AD$13),15-13*ORÇAMENTO!$AF$7)*OFFSET(ORÇAMENTO!$W$15,ROW(AD109)-ROW(AD$15),0),15-13*ORÇAMENTO!$AF$11)),0)</f>
        <v>0</v>
      </c>
      <c r="AE109" s="631">
        <f ca="1">IF(AND($D109="Serviço",AE$12&lt;&gt;0,$H109&gt;0,OR(AUTOEVENTO&lt;&gt;"manual",$M109&lt;&gt;1)),
IF(Import.TipoArredondamento&lt;&gt;"TransfereGOV",
ROUND(OFFSET($P109,0,AE$13),15-13*ORÇAMENTO!$AF$7)/$H109*OFFSET(ORÇAMENTO!$X$15,ROW(AE109)-ROW(AE$15),0),
ROUND(ROUND(OFFSET($P109,0,AE$13),15-13*ORÇAMENTO!$AF$7)*OFFSET(ORÇAMENTO!$W$15,ROW(AE109)-ROW(AE$15),0),15-13*ORÇAMENTO!$AF$11)),0)</f>
        <v>0</v>
      </c>
      <c r="AF109" s="631">
        <f ca="1">IF(AND($D109="Serviço",AF$12&lt;&gt;0,$H109&gt;0,OR(AUTOEVENTO&lt;&gt;"manual",$M109&lt;&gt;1)),
IF(Import.TipoArredondamento&lt;&gt;"TransfereGOV",
ROUND(OFFSET($P109,0,AF$13),15-13*ORÇAMENTO!$AF$7)/$H109*OFFSET(ORÇAMENTO!$X$15,ROW(AF109)-ROW(AF$15),0),
ROUND(ROUND(OFFSET($P109,0,AF$13),15-13*ORÇAMENTO!$AF$7)*OFFSET(ORÇAMENTO!$W$15,ROW(AF109)-ROW(AF$15),0),15-13*ORÇAMENTO!$AF$11)),0)</f>
        <v>0</v>
      </c>
      <c r="AG109" s="631">
        <f ca="1">IF(AND($D109="Serviço",AG$12&lt;&gt;0,$H109&gt;0,OR(AUTOEVENTO&lt;&gt;"manual",$M109&lt;&gt;1)),
IF(Import.TipoArredondamento&lt;&gt;"TransfereGOV",
ROUND(OFFSET($P109,0,AG$13),15-13*ORÇAMENTO!$AF$7)/$H109*OFFSET(ORÇAMENTO!$X$15,ROW(AG109)-ROW(AG$15),0),
ROUND(ROUND(OFFSET($P109,0,AG$13),15-13*ORÇAMENTO!$AF$7)*OFFSET(ORÇAMENTO!$W$15,ROW(AG109)-ROW(AG$15),0),15-13*ORÇAMENTO!$AF$11)),0)</f>
        <v>0</v>
      </c>
      <c r="AH109" s="631">
        <f ca="1">IF(AND($D109="Serviço",AH$12&lt;&gt;0,$H109&gt;0,OR(AUTOEVENTO&lt;&gt;"manual",$M109&lt;&gt;1)),
IF(Import.TipoArredondamento&lt;&gt;"TransfereGOV",
ROUND(OFFSET($P109,0,AH$13),15-13*ORÇAMENTO!$AF$7)/$H109*OFFSET(ORÇAMENTO!$X$15,ROW(AH109)-ROW(AH$15),0),
ROUND(ROUND(OFFSET($P109,0,AH$13),15-13*ORÇAMENTO!$AF$7)*OFFSET(ORÇAMENTO!$W$15,ROW(AH109)-ROW(AH$15),0),15-13*ORÇAMENTO!$AF$11)),0)</f>
        <v>0</v>
      </c>
      <c r="AI109" s="631">
        <f ca="1">IF(AND($D109="Serviço",AI$12&lt;&gt;0,$H109&gt;0,OR(AUTOEVENTO&lt;&gt;"manual",$M109&lt;&gt;1)),
IF(Import.TipoArredondamento&lt;&gt;"TransfereGOV",
ROUND(OFFSET($P109,0,AI$13),15-13*ORÇAMENTO!$AF$7)/$H109*OFFSET(ORÇAMENTO!$X$15,ROW(AI109)-ROW(AI$15),0),
ROUND(ROUND(OFFSET($P109,0,AI$13),15-13*ORÇAMENTO!$AF$7)*OFFSET(ORÇAMENTO!$W$15,ROW(AI109)-ROW(AI$15),0),15-13*ORÇAMENTO!$AF$11)),0)</f>
        <v>0</v>
      </c>
      <c r="AJ109" s="631">
        <f ca="1">IF(AND($D109="Serviço",AJ$12&lt;&gt;0,$H109&gt;0,OR(AUTOEVENTO&lt;&gt;"manual",$M109&lt;&gt;1)),
IF(Import.TipoArredondamento&lt;&gt;"TransfereGOV",
ROUND(OFFSET($P109,0,AJ$13),15-13*ORÇAMENTO!$AF$7)/$H109*OFFSET(ORÇAMENTO!$X$15,ROW(AJ109)-ROW(AJ$15),0),
ROUND(ROUND(OFFSET($P109,0,AJ$13),15-13*ORÇAMENTO!$AF$7)*OFFSET(ORÇAMENTO!$W$15,ROW(AJ109)-ROW(AJ$15),0),15-13*ORÇAMENTO!$AF$11)),0)</f>
        <v>0</v>
      </c>
      <c r="AK109" s="632">
        <f ca="1">IF(AND($D109="Serviço",AK$12&lt;&gt;0,$H109&gt;0,OR(AUTOEVENTO&lt;&gt;"manual",$M109&lt;&gt;1)),
IF(Import.TipoArredondamento&lt;&gt;"TransfereGOV",
ROUND(OFFSET($P109,0,AK$13),15-13*ORÇAMENTO!$AF$7)/$H109*OFFSET(ORÇAMENTO!$X$15,ROW(AK109)-ROW(AK$15),0),
ROUND(ROUND(OFFSET($P109,0,AK$13),15-13*ORÇAMENTO!$AF$7)*OFFSET(ORÇAMENTO!$W$15,ROW(AK109)-ROW(AK$15),0),15-13*ORÇAMENTO!$AF$11)),0)</f>
        <v>0</v>
      </c>
      <c r="AM109" s="215">
        <f ca="1">IF($D109&lt;&gt;"Serviço",0,IF(AND(AUTOEVENTO="Manual",$M109=1),0,IF(OFFSET(CRONOPLE!$F$14,$M109,AM$13)="",10^12,OFFSET(CRONOPLE!$F$14,$M109,AM$13))))</f>
        <v>1000000000000</v>
      </c>
      <c r="AN109" s="215">
        <f ca="1">IF($D109&lt;&gt;"Serviço",0,IF(AND(AUTOEVENTO="Manual",$M109=1),0,IF(OFFSET(CRONOPLE!$F$14,$M109,AN$13)="",10^12,OFFSET(CRONOPLE!$F$14,$M109,AN$13))))</f>
        <v>1000000000000</v>
      </c>
      <c r="AO109" s="215">
        <f ca="1">IF($D109&lt;&gt;"Serviço",0,IF(AND(AUTOEVENTO="Manual",$M109=1),0,IF(OFFSET(CRONOPLE!$F$14,$M109,AO$13)="",10^12,OFFSET(CRONOPLE!$F$14,$M109,AO$13))))</f>
        <v>1000000000000</v>
      </c>
      <c r="AP109" s="215">
        <f ca="1">IF($D109&lt;&gt;"Serviço",0,IF(AND(AUTOEVENTO="Manual",$M109=1),0,IF(OFFSET(CRONOPLE!$F$14,$M109,AP$13)="",10^12,OFFSET(CRONOPLE!$F$14,$M109,AP$13))))</f>
        <v>1000000000000</v>
      </c>
      <c r="AQ109" s="215">
        <f ca="1">IF($D109&lt;&gt;"Serviço",0,IF(AND(AUTOEVENTO="Manual",$M109=1),0,IF(OFFSET(CRONOPLE!$F$14,$M109,AQ$13)="",10^12,OFFSET(CRONOPLE!$F$14,$M109,AQ$13))))</f>
        <v>1000000000000</v>
      </c>
      <c r="AR109" s="215">
        <f ca="1">IF($D109&lt;&gt;"Serviço",0,IF(AND(AUTOEVENTO="Manual",$M109=1),0,IF(OFFSET(CRONOPLE!$F$14,$M109,AR$13)="",10^12,OFFSET(CRONOPLE!$F$14,$M109,AR$13))))</f>
        <v>1000000000000</v>
      </c>
      <c r="AS109" s="215">
        <f ca="1">IF($D109&lt;&gt;"Serviço",0,IF(AND(AUTOEVENTO="Manual",$M109=1),0,IF(OFFSET(CRONOPLE!$F$14,$M109,AS$13)="",10^12,OFFSET(CRONOPLE!$F$14,$M109,AS$13))))</f>
        <v>1000000000000</v>
      </c>
      <c r="AT109" s="215">
        <f ca="1">IF($D109&lt;&gt;"Serviço",0,IF(AND(AUTOEVENTO="Manual",$M109=1),0,IF(OFFSET(CRONOPLE!$F$14,$M109,AT$13)="",10^12,OFFSET(CRONOPLE!$F$14,$M109,AT$13))))</f>
        <v>1000000000000</v>
      </c>
      <c r="AU109" s="215">
        <f ca="1">IF($D109&lt;&gt;"Serviço",0,IF(AND(AUTOEVENTO="Manual",$M109=1),0,IF(OFFSET(CRONOPLE!$F$14,$M109,AU$13)="",10^12,OFFSET(CRONOPLE!$F$14,$M109,AU$13))))</f>
        <v>1000000000000</v>
      </c>
      <c r="AV109" s="215">
        <f ca="1">IF($D109&lt;&gt;"Serviço",0,IF(AND(AUTOEVENTO="Manual",$M109=1),0,IF(OFFSET(CRONOPLE!$F$14,$M109,AV$13)="",10^12,OFFSET(CRONOPLE!$F$14,$M109,AV$13))))</f>
        <v>1000000000000</v>
      </c>
      <c r="AX109" s="216">
        <f ca="1">IF($D109&lt;&gt;"Serviço",0,IF(OR(AND(AUTOEVENTO="Manual",$M109=1),$M109&gt;(ROW(PLE.lastrow)-ROW(PLE.firstrow))),0,IF(OFFSET(PLE!$G$14,$M109,AX$13)="",10^12,OFFSET(PLE!$G$14,$M109,AX$13))))</f>
        <v>1000000000000</v>
      </c>
      <c r="AY109" s="216">
        <f ca="1">IF($D109&lt;&gt;"Serviço",0,IF(OR(AND(AUTOEVENTO="Manual",$M109=1),$M109&gt;(ROW(PLE.lastrow)-ROW(PLE.firstrow))),0,IF(OFFSET(PLE!$G$14,$M109,AY$13)="",10^12,OFFSET(PLE!$G$14,$M109,AY$13))))</f>
        <v>1000000000000</v>
      </c>
      <c r="AZ109" s="216">
        <f ca="1">IF($D109&lt;&gt;"Serviço",0,IF(OR(AND(AUTOEVENTO="Manual",$M109=1),$M109&gt;(ROW(PLE.lastrow)-ROW(PLE.firstrow))),0,IF(OFFSET(PLE!$G$14,$M109,AZ$13)="",10^12,OFFSET(PLE!$G$14,$M109,AZ$13))))</f>
        <v>1000000000000</v>
      </c>
      <c r="BA109" s="216">
        <f ca="1">IF($D109&lt;&gt;"Serviço",0,IF(OR(AND(AUTOEVENTO="Manual",$M109=1),$M109&gt;(ROW(PLE.lastrow)-ROW(PLE.firstrow))),0,IF(OFFSET(PLE!$G$14,$M109,BA$13)="",10^12,OFFSET(PLE!$G$14,$M109,BA$13))))</f>
        <v>1000000000000</v>
      </c>
      <c r="BB109" s="216">
        <f ca="1">IF($D109&lt;&gt;"Serviço",0,IF(OR(AND(AUTOEVENTO="Manual",$M109=1),$M109&gt;(ROW(PLE.lastrow)-ROW(PLE.firstrow))),0,IF(OFFSET(PLE!$G$14,$M109,BB$13)="",10^12,OFFSET(PLE!$G$14,$M109,BB$13))))</f>
        <v>1000000000000</v>
      </c>
      <c r="BC109" s="216">
        <f ca="1">IF($D109&lt;&gt;"Serviço",0,IF(OR(AND(AUTOEVENTO="Manual",$M109=1),$M109&gt;(ROW(PLE.lastrow)-ROW(PLE.firstrow))),0,IF(OFFSET(PLE!$G$14,$M109,BC$13)="",10^12,OFFSET(PLE!$G$14,$M109,BC$13))))</f>
        <v>1000000000000</v>
      </c>
      <c r="BD109" s="216">
        <f ca="1">IF($D109&lt;&gt;"Serviço",0,IF(OR(AND(AUTOEVENTO="Manual",$M109=1),$M109&gt;(ROW(PLE.lastrow)-ROW(PLE.firstrow))),0,IF(OFFSET(PLE!$G$14,$M109,BD$13)="",10^12,OFFSET(PLE!$G$14,$M109,BD$13))))</f>
        <v>1000000000000</v>
      </c>
      <c r="BE109" s="216">
        <f ca="1">IF($D109&lt;&gt;"Serviço",0,IF(OR(AND(AUTOEVENTO="Manual",$M109=1),$M109&gt;(ROW(PLE.lastrow)-ROW(PLE.firstrow))),0,IF(OFFSET(PLE!$G$14,$M109,BE$13)="",10^12,OFFSET(PLE!$G$14,$M109,BE$13))))</f>
        <v>1000000000000</v>
      </c>
      <c r="BF109" s="216">
        <f ca="1">IF($D109&lt;&gt;"Serviço",0,IF(OR(AND(AUTOEVENTO="Manual",$M109=1),$M109&gt;(ROW(PLE.lastrow)-ROW(PLE.firstrow))),0,IF(OFFSET(PLE!$G$14,$M109,BF$13)="",10^12,OFFSET(PLE!$G$14,$M109,BF$13))))</f>
        <v>1000000000000</v>
      </c>
      <c r="BG109" s="216">
        <f ca="1">IF($D109&lt;&gt;"Serviço",0,IF(OR(AND(AUTOEVENTO="Manual",$M109=1),$M109&gt;(ROW(PLE.lastrow)-ROW(PLE.firstrow))),0,IF(OFFSET(PLE!$G$14,$M109,BG$13)="",10^12,OFFSET(PLE!$G$14,$M109,BG$13))))</f>
        <v>1000000000000</v>
      </c>
    </row>
    <row r="110" spans="1:59" ht="38.25" x14ac:dyDescent="0.2">
      <c r="A110" s="9" t="str">
        <f t="shared" ca="1" si="10"/>
        <v>93</v>
      </c>
      <c r="B110" s="9" t="str">
        <f ca="1">OFFSET(ORÇAMENTO!C$15,ROW(B110)-ROW(B$15),0)</f>
        <v>S</v>
      </c>
      <c r="C110" s="9" t="str">
        <f ca="1">OFFSET(ORÇAMENTO!L$15,ROW(C110)-ROW(C$15),0)</f>
        <v/>
      </c>
      <c r="D110" s="145" t="str">
        <f ca="1">OFFSET(ORÇAMENTO!N$15,ROW(D110)-ROW(D$15),0)</f>
        <v>Serviço</v>
      </c>
      <c r="E110" s="205" t="str">
        <f ca="1">OFFSET(ORÇAMENTO!O$15,ROW(E110)-ROW(E$15),0)</f>
        <v>-</v>
      </c>
      <c r="F110" s="206" t="str">
        <f ca="1">OFFSET(ORÇAMENTO!R$15,ROW(F110)-ROW(F$15),0)</f>
        <v>CABO DE COBRE FLEXÍVEL ISOLADO, 16 MM², ANTI-CHAMA 0,6/1,0 KV, PARA CIRCUITOS TERMINAIS - FORNECIMENTO E INSTALAÇÃO. AF_03/2023</v>
      </c>
      <c r="G110" s="207" t="str">
        <f ca="1">IF($D110&lt;&gt;"Serviço","",OFFSET(ORÇAMENTO!S$15,ROW(G110)-ROW(G$15),0))</f>
        <v>M</v>
      </c>
      <c r="H110" s="151">
        <f ca="1">IF($D110&lt;&gt;"Serviço",0,IF(ACOMPANHAMENTO="BM",ROUND(OFFSET(ORÇAMENTO!AJ$15,ROW(H110)-ROW(H$15),0),15-13*ORÇAMENTO!$AF$7),SUMPRODUCT(($Q$12:$AA$12&lt;&gt;"")*ROUND($Q110:$AA110,15-13*ORÇAMENTO!$AF$7))))</f>
        <v>2.5</v>
      </c>
      <c r="I110" s="649"/>
      <c r="K110" s="208"/>
      <c r="L110" s="209" t="s">
        <v>255</v>
      </c>
      <c r="M110" s="210">
        <f ca="1">IF($D110&lt;&gt;"Serviço","",IF(AUTOEVENTO="manual",$A110,IF(ISERROR(MATCH($A110,$A$15:OFFSET($A110,-1,0),0)),MAX($M$15:OFFSET(M110,-1,0))+1,INDEX($M$15:OFFSET(M110,-1,0),MATCH($A110,$A$15:OFFSET($A110,-1,0),0)))))</f>
        <v>19</v>
      </c>
      <c r="N110" s="211" t="str">
        <f ca="1">IF($D110&lt;&gt;"Serviço","",IF(AUTOEVENTO="Manual",IF($A110=0,"&lt;-- defina o número do agrupador",OFFSET(EVENTOS!$D$14,$A110,0)),OFFSET($F$15,$A110,0)))</f>
        <v xml:space="preserve">ELÉTRICA </v>
      </c>
      <c r="O110" s="212"/>
      <c r="Q110" s="212"/>
      <c r="R110" s="213"/>
      <c r="S110" s="213"/>
      <c r="T110" s="213"/>
      <c r="U110" s="213"/>
      <c r="V110" s="213"/>
      <c r="W110" s="213"/>
      <c r="X110" s="213"/>
      <c r="Y110" s="213"/>
      <c r="Z110" s="214"/>
      <c r="AB110" s="630">
        <f ca="1">IF(AND($D110="Serviço",AB$12&lt;&gt;0,$H110&gt;0,OR(AUTOEVENTO&lt;&gt;"manual",$M110&lt;&gt;1)),
IF(Import.TipoArredondamento&lt;&gt;"TransfereGOV",
ROUND(OFFSET($P110,0,AB$13),15-13*ORÇAMENTO!$AF$7)/$H110*OFFSET(ORÇAMENTO!$X$15,ROW(AB110)-ROW(AB$15),0),
ROUND(ROUND(OFFSET($P110,0,AB$13),15-13*ORÇAMENTO!$AF$7)*OFFSET(ORÇAMENTO!$W$15,ROW(AB110)-ROW(AB$15),0),15-13*ORÇAMENTO!$AF$11)),0)</f>
        <v>0</v>
      </c>
      <c r="AC110" s="631">
        <f ca="1">IF(AND($D110="Serviço",AC$12&lt;&gt;0,$H110&gt;0,OR(AUTOEVENTO&lt;&gt;"manual",$M110&lt;&gt;1)),
IF(Import.TipoArredondamento&lt;&gt;"TransfereGOV",
ROUND(OFFSET($P110,0,AC$13),15-13*ORÇAMENTO!$AF$7)/$H110*OFFSET(ORÇAMENTO!$X$15,ROW(AC110)-ROW(AC$15),0),
ROUND(ROUND(OFFSET($P110,0,AC$13),15-13*ORÇAMENTO!$AF$7)*OFFSET(ORÇAMENTO!$W$15,ROW(AC110)-ROW(AC$15),0),15-13*ORÇAMENTO!$AF$11)),0)</f>
        <v>0</v>
      </c>
      <c r="AD110" s="631">
        <f ca="1">IF(AND($D110="Serviço",AD$12&lt;&gt;0,$H110&gt;0,OR(AUTOEVENTO&lt;&gt;"manual",$M110&lt;&gt;1)),
IF(Import.TipoArredondamento&lt;&gt;"TransfereGOV",
ROUND(OFFSET($P110,0,AD$13),15-13*ORÇAMENTO!$AF$7)/$H110*OFFSET(ORÇAMENTO!$X$15,ROW(AD110)-ROW(AD$15),0),
ROUND(ROUND(OFFSET($P110,0,AD$13),15-13*ORÇAMENTO!$AF$7)*OFFSET(ORÇAMENTO!$W$15,ROW(AD110)-ROW(AD$15),0),15-13*ORÇAMENTO!$AF$11)),0)</f>
        <v>0</v>
      </c>
      <c r="AE110" s="631">
        <f ca="1">IF(AND($D110="Serviço",AE$12&lt;&gt;0,$H110&gt;0,OR(AUTOEVENTO&lt;&gt;"manual",$M110&lt;&gt;1)),
IF(Import.TipoArredondamento&lt;&gt;"TransfereGOV",
ROUND(OFFSET($P110,0,AE$13),15-13*ORÇAMENTO!$AF$7)/$H110*OFFSET(ORÇAMENTO!$X$15,ROW(AE110)-ROW(AE$15),0),
ROUND(ROUND(OFFSET($P110,0,AE$13),15-13*ORÇAMENTO!$AF$7)*OFFSET(ORÇAMENTO!$W$15,ROW(AE110)-ROW(AE$15),0),15-13*ORÇAMENTO!$AF$11)),0)</f>
        <v>0</v>
      </c>
      <c r="AF110" s="631">
        <f ca="1">IF(AND($D110="Serviço",AF$12&lt;&gt;0,$H110&gt;0,OR(AUTOEVENTO&lt;&gt;"manual",$M110&lt;&gt;1)),
IF(Import.TipoArredondamento&lt;&gt;"TransfereGOV",
ROUND(OFFSET($P110,0,AF$13),15-13*ORÇAMENTO!$AF$7)/$H110*OFFSET(ORÇAMENTO!$X$15,ROW(AF110)-ROW(AF$15),0),
ROUND(ROUND(OFFSET($P110,0,AF$13),15-13*ORÇAMENTO!$AF$7)*OFFSET(ORÇAMENTO!$W$15,ROW(AF110)-ROW(AF$15),0),15-13*ORÇAMENTO!$AF$11)),0)</f>
        <v>0</v>
      </c>
      <c r="AG110" s="631">
        <f ca="1">IF(AND($D110="Serviço",AG$12&lt;&gt;0,$H110&gt;0,OR(AUTOEVENTO&lt;&gt;"manual",$M110&lt;&gt;1)),
IF(Import.TipoArredondamento&lt;&gt;"TransfereGOV",
ROUND(OFFSET($P110,0,AG$13),15-13*ORÇAMENTO!$AF$7)/$H110*OFFSET(ORÇAMENTO!$X$15,ROW(AG110)-ROW(AG$15),0),
ROUND(ROUND(OFFSET($P110,0,AG$13),15-13*ORÇAMENTO!$AF$7)*OFFSET(ORÇAMENTO!$W$15,ROW(AG110)-ROW(AG$15),0),15-13*ORÇAMENTO!$AF$11)),0)</f>
        <v>0</v>
      </c>
      <c r="AH110" s="631">
        <f ca="1">IF(AND($D110="Serviço",AH$12&lt;&gt;0,$H110&gt;0,OR(AUTOEVENTO&lt;&gt;"manual",$M110&lt;&gt;1)),
IF(Import.TipoArredondamento&lt;&gt;"TransfereGOV",
ROUND(OFFSET($P110,0,AH$13),15-13*ORÇAMENTO!$AF$7)/$H110*OFFSET(ORÇAMENTO!$X$15,ROW(AH110)-ROW(AH$15),0),
ROUND(ROUND(OFFSET($P110,0,AH$13),15-13*ORÇAMENTO!$AF$7)*OFFSET(ORÇAMENTO!$W$15,ROW(AH110)-ROW(AH$15),0),15-13*ORÇAMENTO!$AF$11)),0)</f>
        <v>0</v>
      </c>
      <c r="AI110" s="631">
        <f ca="1">IF(AND($D110="Serviço",AI$12&lt;&gt;0,$H110&gt;0,OR(AUTOEVENTO&lt;&gt;"manual",$M110&lt;&gt;1)),
IF(Import.TipoArredondamento&lt;&gt;"TransfereGOV",
ROUND(OFFSET($P110,0,AI$13),15-13*ORÇAMENTO!$AF$7)/$H110*OFFSET(ORÇAMENTO!$X$15,ROW(AI110)-ROW(AI$15),0),
ROUND(ROUND(OFFSET($P110,0,AI$13),15-13*ORÇAMENTO!$AF$7)*OFFSET(ORÇAMENTO!$W$15,ROW(AI110)-ROW(AI$15),0),15-13*ORÇAMENTO!$AF$11)),0)</f>
        <v>0</v>
      </c>
      <c r="AJ110" s="631">
        <f ca="1">IF(AND($D110="Serviço",AJ$12&lt;&gt;0,$H110&gt;0,OR(AUTOEVENTO&lt;&gt;"manual",$M110&lt;&gt;1)),
IF(Import.TipoArredondamento&lt;&gt;"TransfereGOV",
ROUND(OFFSET($P110,0,AJ$13),15-13*ORÇAMENTO!$AF$7)/$H110*OFFSET(ORÇAMENTO!$X$15,ROW(AJ110)-ROW(AJ$15),0),
ROUND(ROUND(OFFSET($P110,0,AJ$13),15-13*ORÇAMENTO!$AF$7)*OFFSET(ORÇAMENTO!$W$15,ROW(AJ110)-ROW(AJ$15),0),15-13*ORÇAMENTO!$AF$11)),0)</f>
        <v>0</v>
      </c>
      <c r="AK110" s="632">
        <f ca="1">IF(AND($D110="Serviço",AK$12&lt;&gt;0,$H110&gt;0,OR(AUTOEVENTO&lt;&gt;"manual",$M110&lt;&gt;1)),
IF(Import.TipoArredondamento&lt;&gt;"TransfereGOV",
ROUND(OFFSET($P110,0,AK$13),15-13*ORÇAMENTO!$AF$7)/$H110*OFFSET(ORÇAMENTO!$X$15,ROW(AK110)-ROW(AK$15),0),
ROUND(ROUND(OFFSET($P110,0,AK$13),15-13*ORÇAMENTO!$AF$7)*OFFSET(ORÇAMENTO!$W$15,ROW(AK110)-ROW(AK$15),0),15-13*ORÇAMENTO!$AF$11)),0)</f>
        <v>0</v>
      </c>
      <c r="AM110" s="215">
        <f ca="1">IF($D110&lt;&gt;"Serviço",0,IF(AND(AUTOEVENTO="Manual",$M110=1),0,IF(OFFSET(CRONOPLE!$F$14,$M110,AM$13)="",10^12,OFFSET(CRONOPLE!$F$14,$M110,AM$13))))</f>
        <v>1000000000000</v>
      </c>
      <c r="AN110" s="215">
        <f ca="1">IF($D110&lt;&gt;"Serviço",0,IF(AND(AUTOEVENTO="Manual",$M110=1),0,IF(OFFSET(CRONOPLE!$F$14,$M110,AN$13)="",10^12,OFFSET(CRONOPLE!$F$14,$M110,AN$13))))</f>
        <v>1000000000000</v>
      </c>
      <c r="AO110" s="215">
        <f ca="1">IF($D110&lt;&gt;"Serviço",0,IF(AND(AUTOEVENTO="Manual",$M110=1),0,IF(OFFSET(CRONOPLE!$F$14,$M110,AO$13)="",10^12,OFFSET(CRONOPLE!$F$14,$M110,AO$13))))</f>
        <v>1000000000000</v>
      </c>
      <c r="AP110" s="215">
        <f ca="1">IF($D110&lt;&gt;"Serviço",0,IF(AND(AUTOEVENTO="Manual",$M110=1),0,IF(OFFSET(CRONOPLE!$F$14,$M110,AP$13)="",10^12,OFFSET(CRONOPLE!$F$14,$M110,AP$13))))</f>
        <v>1000000000000</v>
      </c>
      <c r="AQ110" s="215">
        <f ca="1">IF($D110&lt;&gt;"Serviço",0,IF(AND(AUTOEVENTO="Manual",$M110=1),0,IF(OFFSET(CRONOPLE!$F$14,$M110,AQ$13)="",10^12,OFFSET(CRONOPLE!$F$14,$M110,AQ$13))))</f>
        <v>1000000000000</v>
      </c>
      <c r="AR110" s="215">
        <f ca="1">IF($D110&lt;&gt;"Serviço",0,IF(AND(AUTOEVENTO="Manual",$M110=1),0,IF(OFFSET(CRONOPLE!$F$14,$M110,AR$13)="",10^12,OFFSET(CRONOPLE!$F$14,$M110,AR$13))))</f>
        <v>1000000000000</v>
      </c>
      <c r="AS110" s="215">
        <f ca="1">IF($D110&lt;&gt;"Serviço",0,IF(AND(AUTOEVENTO="Manual",$M110=1),0,IF(OFFSET(CRONOPLE!$F$14,$M110,AS$13)="",10^12,OFFSET(CRONOPLE!$F$14,$M110,AS$13))))</f>
        <v>1000000000000</v>
      </c>
      <c r="AT110" s="215">
        <f ca="1">IF($D110&lt;&gt;"Serviço",0,IF(AND(AUTOEVENTO="Manual",$M110=1),0,IF(OFFSET(CRONOPLE!$F$14,$M110,AT$13)="",10^12,OFFSET(CRONOPLE!$F$14,$M110,AT$13))))</f>
        <v>1000000000000</v>
      </c>
      <c r="AU110" s="215">
        <f ca="1">IF($D110&lt;&gt;"Serviço",0,IF(AND(AUTOEVENTO="Manual",$M110=1),0,IF(OFFSET(CRONOPLE!$F$14,$M110,AU$13)="",10^12,OFFSET(CRONOPLE!$F$14,$M110,AU$13))))</f>
        <v>1000000000000</v>
      </c>
      <c r="AV110" s="215">
        <f ca="1">IF($D110&lt;&gt;"Serviço",0,IF(AND(AUTOEVENTO="Manual",$M110=1),0,IF(OFFSET(CRONOPLE!$F$14,$M110,AV$13)="",10^12,OFFSET(CRONOPLE!$F$14,$M110,AV$13))))</f>
        <v>1000000000000</v>
      </c>
      <c r="AX110" s="216">
        <f ca="1">IF($D110&lt;&gt;"Serviço",0,IF(OR(AND(AUTOEVENTO="Manual",$M110=1),$M110&gt;(ROW(PLE.lastrow)-ROW(PLE.firstrow))),0,IF(OFFSET(PLE!$G$14,$M110,AX$13)="",10^12,OFFSET(PLE!$G$14,$M110,AX$13))))</f>
        <v>1000000000000</v>
      </c>
      <c r="AY110" s="216">
        <f ca="1">IF($D110&lt;&gt;"Serviço",0,IF(OR(AND(AUTOEVENTO="Manual",$M110=1),$M110&gt;(ROW(PLE.lastrow)-ROW(PLE.firstrow))),0,IF(OFFSET(PLE!$G$14,$M110,AY$13)="",10^12,OFFSET(PLE!$G$14,$M110,AY$13))))</f>
        <v>1000000000000</v>
      </c>
      <c r="AZ110" s="216">
        <f ca="1">IF($D110&lt;&gt;"Serviço",0,IF(OR(AND(AUTOEVENTO="Manual",$M110=1),$M110&gt;(ROW(PLE.lastrow)-ROW(PLE.firstrow))),0,IF(OFFSET(PLE!$G$14,$M110,AZ$13)="",10^12,OFFSET(PLE!$G$14,$M110,AZ$13))))</f>
        <v>1000000000000</v>
      </c>
      <c r="BA110" s="216">
        <f ca="1">IF($D110&lt;&gt;"Serviço",0,IF(OR(AND(AUTOEVENTO="Manual",$M110=1),$M110&gt;(ROW(PLE.lastrow)-ROW(PLE.firstrow))),0,IF(OFFSET(PLE!$G$14,$M110,BA$13)="",10^12,OFFSET(PLE!$G$14,$M110,BA$13))))</f>
        <v>1000000000000</v>
      </c>
      <c r="BB110" s="216">
        <f ca="1">IF($D110&lt;&gt;"Serviço",0,IF(OR(AND(AUTOEVENTO="Manual",$M110=1),$M110&gt;(ROW(PLE.lastrow)-ROW(PLE.firstrow))),0,IF(OFFSET(PLE!$G$14,$M110,BB$13)="",10^12,OFFSET(PLE!$G$14,$M110,BB$13))))</f>
        <v>1000000000000</v>
      </c>
      <c r="BC110" s="216">
        <f ca="1">IF($D110&lt;&gt;"Serviço",0,IF(OR(AND(AUTOEVENTO="Manual",$M110=1),$M110&gt;(ROW(PLE.lastrow)-ROW(PLE.firstrow))),0,IF(OFFSET(PLE!$G$14,$M110,BC$13)="",10^12,OFFSET(PLE!$G$14,$M110,BC$13))))</f>
        <v>1000000000000</v>
      </c>
      <c r="BD110" s="216">
        <f ca="1">IF($D110&lt;&gt;"Serviço",0,IF(OR(AND(AUTOEVENTO="Manual",$M110=1),$M110&gt;(ROW(PLE.lastrow)-ROW(PLE.firstrow))),0,IF(OFFSET(PLE!$G$14,$M110,BD$13)="",10^12,OFFSET(PLE!$G$14,$M110,BD$13))))</f>
        <v>1000000000000</v>
      </c>
      <c r="BE110" s="216">
        <f ca="1">IF($D110&lt;&gt;"Serviço",0,IF(OR(AND(AUTOEVENTO="Manual",$M110=1),$M110&gt;(ROW(PLE.lastrow)-ROW(PLE.firstrow))),0,IF(OFFSET(PLE!$G$14,$M110,BE$13)="",10^12,OFFSET(PLE!$G$14,$M110,BE$13))))</f>
        <v>1000000000000</v>
      </c>
      <c r="BF110" s="216">
        <f ca="1">IF($D110&lt;&gt;"Serviço",0,IF(OR(AND(AUTOEVENTO="Manual",$M110=1),$M110&gt;(ROW(PLE.lastrow)-ROW(PLE.firstrow))),0,IF(OFFSET(PLE!$G$14,$M110,BF$13)="",10^12,OFFSET(PLE!$G$14,$M110,BF$13))))</f>
        <v>1000000000000</v>
      </c>
      <c r="BG110" s="216">
        <f ca="1">IF($D110&lt;&gt;"Serviço",0,IF(OR(AND(AUTOEVENTO="Manual",$M110=1),$M110&gt;(ROW(PLE.lastrow)-ROW(PLE.firstrow))),0,IF(OFFSET(PLE!$G$14,$M110,BG$13)="",10^12,OFFSET(PLE!$G$14,$M110,BG$13))))</f>
        <v>1000000000000</v>
      </c>
    </row>
    <row r="111" spans="1:59" ht="38.25" x14ac:dyDescent="0.2">
      <c r="A111" s="9" t="str">
        <f t="shared" ca="1" si="10"/>
        <v>93</v>
      </c>
      <c r="B111" s="9" t="str">
        <f ca="1">OFFSET(ORÇAMENTO!C$15,ROW(B111)-ROW(B$15),0)</f>
        <v>S</v>
      </c>
      <c r="C111" s="9" t="str">
        <f ca="1">OFFSET(ORÇAMENTO!L$15,ROW(C111)-ROW(C$15),0)</f>
        <v/>
      </c>
      <c r="D111" s="145" t="str">
        <f ca="1">OFFSET(ORÇAMENTO!N$15,ROW(D111)-ROW(D$15),0)</f>
        <v>Serviço</v>
      </c>
      <c r="E111" s="205" t="str">
        <f ca="1">OFFSET(ORÇAMENTO!O$15,ROW(E111)-ROW(E$15),0)</f>
        <v>-</v>
      </c>
      <c r="F111" s="206" t="str">
        <f ca="1">OFFSET(ORÇAMENTO!R$15,ROW(F111)-ROW(F$15),0)</f>
        <v>CABO DE COBRE FLEXÍVEL ISOLADO, 2,5 MM², ANTI-CHAMA 0,6/1,0 KV, PARA CIRCUITOS TERMINAIS - FORNECIMENTO E INSTALAÇÃO. AF_03/2023</v>
      </c>
      <c r="G111" s="207" t="str">
        <f ca="1">IF($D111&lt;&gt;"Serviço","",OFFSET(ORÇAMENTO!S$15,ROW(G111)-ROW(G$15),0))</f>
        <v>M</v>
      </c>
      <c r="H111" s="151">
        <f ca="1">IF($D111&lt;&gt;"Serviço",0,IF(ACOMPANHAMENTO="BM",ROUND(OFFSET(ORÇAMENTO!AJ$15,ROW(H111)-ROW(H$15),0),15-13*ORÇAMENTO!$AF$7),SUMPRODUCT(($Q$12:$AA$12&lt;&gt;"")*ROUND($Q111:$AA111,15-13*ORÇAMENTO!$AF$7))))</f>
        <v>1855</v>
      </c>
      <c r="I111" s="649"/>
      <c r="K111" s="208"/>
      <c r="L111" s="209" t="s">
        <v>255</v>
      </c>
      <c r="M111" s="210">
        <f ca="1">IF($D111&lt;&gt;"Serviço","",IF(AUTOEVENTO="manual",$A111,IF(ISERROR(MATCH($A111,$A$15:OFFSET($A111,-1,0),0)),MAX($M$15:OFFSET(M111,-1,0))+1,INDEX($M$15:OFFSET(M111,-1,0),MATCH($A111,$A$15:OFFSET($A111,-1,0),0)))))</f>
        <v>19</v>
      </c>
      <c r="N111" s="211" t="str">
        <f ca="1">IF($D111&lt;&gt;"Serviço","",IF(AUTOEVENTO="Manual",IF($A111=0,"&lt;-- defina o número do agrupador",OFFSET(EVENTOS!$D$14,$A111,0)),OFFSET($F$15,$A111,0)))</f>
        <v xml:space="preserve">ELÉTRICA </v>
      </c>
      <c r="O111" s="212"/>
      <c r="Q111" s="212"/>
      <c r="R111" s="213"/>
      <c r="S111" s="213"/>
      <c r="T111" s="213"/>
      <c r="U111" s="213"/>
      <c r="V111" s="213"/>
      <c r="W111" s="213"/>
      <c r="X111" s="213"/>
      <c r="Y111" s="213"/>
      <c r="Z111" s="214"/>
      <c r="AB111" s="630">
        <f ca="1">IF(AND($D111="Serviço",AB$12&lt;&gt;0,$H111&gt;0,OR(AUTOEVENTO&lt;&gt;"manual",$M111&lt;&gt;1)),
IF(Import.TipoArredondamento&lt;&gt;"TransfereGOV",
ROUND(OFFSET($P111,0,AB$13),15-13*ORÇAMENTO!$AF$7)/$H111*OFFSET(ORÇAMENTO!$X$15,ROW(AB111)-ROW(AB$15),0),
ROUND(ROUND(OFFSET($P111,0,AB$13),15-13*ORÇAMENTO!$AF$7)*OFFSET(ORÇAMENTO!$W$15,ROW(AB111)-ROW(AB$15),0),15-13*ORÇAMENTO!$AF$11)),0)</f>
        <v>0</v>
      </c>
      <c r="AC111" s="631">
        <f ca="1">IF(AND($D111="Serviço",AC$12&lt;&gt;0,$H111&gt;0,OR(AUTOEVENTO&lt;&gt;"manual",$M111&lt;&gt;1)),
IF(Import.TipoArredondamento&lt;&gt;"TransfereGOV",
ROUND(OFFSET($P111,0,AC$13),15-13*ORÇAMENTO!$AF$7)/$H111*OFFSET(ORÇAMENTO!$X$15,ROW(AC111)-ROW(AC$15),0),
ROUND(ROUND(OFFSET($P111,0,AC$13),15-13*ORÇAMENTO!$AF$7)*OFFSET(ORÇAMENTO!$W$15,ROW(AC111)-ROW(AC$15),0),15-13*ORÇAMENTO!$AF$11)),0)</f>
        <v>0</v>
      </c>
      <c r="AD111" s="631">
        <f ca="1">IF(AND($D111="Serviço",AD$12&lt;&gt;0,$H111&gt;0,OR(AUTOEVENTO&lt;&gt;"manual",$M111&lt;&gt;1)),
IF(Import.TipoArredondamento&lt;&gt;"TransfereGOV",
ROUND(OFFSET($P111,0,AD$13),15-13*ORÇAMENTO!$AF$7)/$H111*OFFSET(ORÇAMENTO!$X$15,ROW(AD111)-ROW(AD$15),0),
ROUND(ROUND(OFFSET($P111,0,AD$13),15-13*ORÇAMENTO!$AF$7)*OFFSET(ORÇAMENTO!$W$15,ROW(AD111)-ROW(AD$15),0),15-13*ORÇAMENTO!$AF$11)),0)</f>
        <v>0</v>
      </c>
      <c r="AE111" s="631">
        <f ca="1">IF(AND($D111="Serviço",AE$12&lt;&gt;0,$H111&gt;0,OR(AUTOEVENTO&lt;&gt;"manual",$M111&lt;&gt;1)),
IF(Import.TipoArredondamento&lt;&gt;"TransfereGOV",
ROUND(OFFSET($P111,0,AE$13),15-13*ORÇAMENTO!$AF$7)/$H111*OFFSET(ORÇAMENTO!$X$15,ROW(AE111)-ROW(AE$15),0),
ROUND(ROUND(OFFSET($P111,0,AE$13),15-13*ORÇAMENTO!$AF$7)*OFFSET(ORÇAMENTO!$W$15,ROW(AE111)-ROW(AE$15),0),15-13*ORÇAMENTO!$AF$11)),0)</f>
        <v>0</v>
      </c>
      <c r="AF111" s="631">
        <f ca="1">IF(AND($D111="Serviço",AF$12&lt;&gt;0,$H111&gt;0,OR(AUTOEVENTO&lt;&gt;"manual",$M111&lt;&gt;1)),
IF(Import.TipoArredondamento&lt;&gt;"TransfereGOV",
ROUND(OFFSET($P111,0,AF$13),15-13*ORÇAMENTO!$AF$7)/$H111*OFFSET(ORÇAMENTO!$X$15,ROW(AF111)-ROW(AF$15),0),
ROUND(ROUND(OFFSET($P111,0,AF$13),15-13*ORÇAMENTO!$AF$7)*OFFSET(ORÇAMENTO!$W$15,ROW(AF111)-ROW(AF$15),0),15-13*ORÇAMENTO!$AF$11)),0)</f>
        <v>0</v>
      </c>
      <c r="AG111" s="631">
        <f ca="1">IF(AND($D111="Serviço",AG$12&lt;&gt;0,$H111&gt;0,OR(AUTOEVENTO&lt;&gt;"manual",$M111&lt;&gt;1)),
IF(Import.TipoArredondamento&lt;&gt;"TransfereGOV",
ROUND(OFFSET($P111,0,AG$13),15-13*ORÇAMENTO!$AF$7)/$H111*OFFSET(ORÇAMENTO!$X$15,ROW(AG111)-ROW(AG$15),0),
ROUND(ROUND(OFFSET($P111,0,AG$13),15-13*ORÇAMENTO!$AF$7)*OFFSET(ORÇAMENTO!$W$15,ROW(AG111)-ROW(AG$15),0),15-13*ORÇAMENTO!$AF$11)),0)</f>
        <v>0</v>
      </c>
      <c r="AH111" s="631">
        <f ca="1">IF(AND($D111="Serviço",AH$12&lt;&gt;0,$H111&gt;0,OR(AUTOEVENTO&lt;&gt;"manual",$M111&lt;&gt;1)),
IF(Import.TipoArredondamento&lt;&gt;"TransfereGOV",
ROUND(OFFSET($P111,0,AH$13),15-13*ORÇAMENTO!$AF$7)/$H111*OFFSET(ORÇAMENTO!$X$15,ROW(AH111)-ROW(AH$15),0),
ROUND(ROUND(OFFSET($P111,0,AH$13),15-13*ORÇAMENTO!$AF$7)*OFFSET(ORÇAMENTO!$W$15,ROW(AH111)-ROW(AH$15),0),15-13*ORÇAMENTO!$AF$11)),0)</f>
        <v>0</v>
      </c>
      <c r="AI111" s="631">
        <f ca="1">IF(AND($D111="Serviço",AI$12&lt;&gt;0,$H111&gt;0,OR(AUTOEVENTO&lt;&gt;"manual",$M111&lt;&gt;1)),
IF(Import.TipoArredondamento&lt;&gt;"TransfereGOV",
ROUND(OFFSET($P111,0,AI$13),15-13*ORÇAMENTO!$AF$7)/$H111*OFFSET(ORÇAMENTO!$X$15,ROW(AI111)-ROW(AI$15),0),
ROUND(ROUND(OFFSET($P111,0,AI$13),15-13*ORÇAMENTO!$AF$7)*OFFSET(ORÇAMENTO!$W$15,ROW(AI111)-ROW(AI$15),0),15-13*ORÇAMENTO!$AF$11)),0)</f>
        <v>0</v>
      </c>
      <c r="AJ111" s="631">
        <f ca="1">IF(AND($D111="Serviço",AJ$12&lt;&gt;0,$H111&gt;0,OR(AUTOEVENTO&lt;&gt;"manual",$M111&lt;&gt;1)),
IF(Import.TipoArredondamento&lt;&gt;"TransfereGOV",
ROUND(OFFSET($P111,0,AJ$13),15-13*ORÇAMENTO!$AF$7)/$H111*OFFSET(ORÇAMENTO!$X$15,ROW(AJ111)-ROW(AJ$15),0),
ROUND(ROUND(OFFSET($P111,0,AJ$13),15-13*ORÇAMENTO!$AF$7)*OFFSET(ORÇAMENTO!$W$15,ROW(AJ111)-ROW(AJ$15),0),15-13*ORÇAMENTO!$AF$11)),0)</f>
        <v>0</v>
      </c>
      <c r="AK111" s="632">
        <f ca="1">IF(AND($D111="Serviço",AK$12&lt;&gt;0,$H111&gt;0,OR(AUTOEVENTO&lt;&gt;"manual",$M111&lt;&gt;1)),
IF(Import.TipoArredondamento&lt;&gt;"TransfereGOV",
ROUND(OFFSET($P111,0,AK$13),15-13*ORÇAMENTO!$AF$7)/$H111*OFFSET(ORÇAMENTO!$X$15,ROW(AK111)-ROW(AK$15),0),
ROUND(ROUND(OFFSET($P111,0,AK$13),15-13*ORÇAMENTO!$AF$7)*OFFSET(ORÇAMENTO!$W$15,ROW(AK111)-ROW(AK$15),0),15-13*ORÇAMENTO!$AF$11)),0)</f>
        <v>0</v>
      </c>
      <c r="AM111" s="215">
        <f ca="1">IF($D111&lt;&gt;"Serviço",0,IF(AND(AUTOEVENTO="Manual",$M111=1),0,IF(OFFSET(CRONOPLE!$F$14,$M111,AM$13)="",10^12,OFFSET(CRONOPLE!$F$14,$M111,AM$13))))</f>
        <v>1000000000000</v>
      </c>
      <c r="AN111" s="215">
        <f ca="1">IF($D111&lt;&gt;"Serviço",0,IF(AND(AUTOEVENTO="Manual",$M111=1),0,IF(OFFSET(CRONOPLE!$F$14,$M111,AN$13)="",10^12,OFFSET(CRONOPLE!$F$14,$M111,AN$13))))</f>
        <v>1000000000000</v>
      </c>
      <c r="AO111" s="215">
        <f ca="1">IF($D111&lt;&gt;"Serviço",0,IF(AND(AUTOEVENTO="Manual",$M111=1),0,IF(OFFSET(CRONOPLE!$F$14,$M111,AO$13)="",10^12,OFFSET(CRONOPLE!$F$14,$M111,AO$13))))</f>
        <v>1000000000000</v>
      </c>
      <c r="AP111" s="215">
        <f ca="1">IF($D111&lt;&gt;"Serviço",0,IF(AND(AUTOEVENTO="Manual",$M111=1),0,IF(OFFSET(CRONOPLE!$F$14,$M111,AP$13)="",10^12,OFFSET(CRONOPLE!$F$14,$M111,AP$13))))</f>
        <v>1000000000000</v>
      </c>
      <c r="AQ111" s="215">
        <f ca="1">IF($D111&lt;&gt;"Serviço",0,IF(AND(AUTOEVENTO="Manual",$M111=1),0,IF(OFFSET(CRONOPLE!$F$14,$M111,AQ$13)="",10^12,OFFSET(CRONOPLE!$F$14,$M111,AQ$13))))</f>
        <v>1000000000000</v>
      </c>
      <c r="AR111" s="215">
        <f ca="1">IF($D111&lt;&gt;"Serviço",0,IF(AND(AUTOEVENTO="Manual",$M111=1),0,IF(OFFSET(CRONOPLE!$F$14,$M111,AR$13)="",10^12,OFFSET(CRONOPLE!$F$14,$M111,AR$13))))</f>
        <v>1000000000000</v>
      </c>
      <c r="AS111" s="215">
        <f ca="1">IF($D111&lt;&gt;"Serviço",0,IF(AND(AUTOEVENTO="Manual",$M111=1),0,IF(OFFSET(CRONOPLE!$F$14,$M111,AS$13)="",10^12,OFFSET(CRONOPLE!$F$14,$M111,AS$13))))</f>
        <v>1000000000000</v>
      </c>
      <c r="AT111" s="215">
        <f ca="1">IF($D111&lt;&gt;"Serviço",0,IF(AND(AUTOEVENTO="Manual",$M111=1),0,IF(OFFSET(CRONOPLE!$F$14,$M111,AT$13)="",10^12,OFFSET(CRONOPLE!$F$14,$M111,AT$13))))</f>
        <v>1000000000000</v>
      </c>
      <c r="AU111" s="215">
        <f ca="1">IF($D111&lt;&gt;"Serviço",0,IF(AND(AUTOEVENTO="Manual",$M111=1),0,IF(OFFSET(CRONOPLE!$F$14,$M111,AU$13)="",10^12,OFFSET(CRONOPLE!$F$14,$M111,AU$13))))</f>
        <v>1000000000000</v>
      </c>
      <c r="AV111" s="215">
        <f ca="1">IF($D111&lt;&gt;"Serviço",0,IF(AND(AUTOEVENTO="Manual",$M111=1),0,IF(OFFSET(CRONOPLE!$F$14,$M111,AV$13)="",10^12,OFFSET(CRONOPLE!$F$14,$M111,AV$13))))</f>
        <v>1000000000000</v>
      </c>
      <c r="AX111" s="216">
        <f ca="1">IF($D111&lt;&gt;"Serviço",0,IF(OR(AND(AUTOEVENTO="Manual",$M111=1),$M111&gt;(ROW(PLE.lastrow)-ROW(PLE.firstrow))),0,IF(OFFSET(PLE!$G$14,$M111,AX$13)="",10^12,OFFSET(PLE!$G$14,$M111,AX$13))))</f>
        <v>1000000000000</v>
      </c>
      <c r="AY111" s="216">
        <f ca="1">IF($D111&lt;&gt;"Serviço",0,IF(OR(AND(AUTOEVENTO="Manual",$M111=1),$M111&gt;(ROW(PLE.lastrow)-ROW(PLE.firstrow))),0,IF(OFFSET(PLE!$G$14,$M111,AY$13)="",10^12,OFFSET(PLE!$G$14,$M111,AY$13))))</f>
        <v>1000000000000</v>
      </c>
      <c r="AZ111" s="216">
        <f ca="1">IF($D111&lt;&gt;"Serviço",0,IF(OR(AND(AUTOEVENTO="Manual",$M111=1),$M111&gt;(ROW(PLE.lastrow)-ROW(PLE.firstrow))),0,IF(OFFSET(PLE!$G$14,$M111,AZ$13)="",10^12,OFFSET(PLE!$G$14,$M111,AZ$13))))</f>
        <v>1000000000000</v>
      </c>
      <c r="BA111" s="216">
        <f ca="1">IF($D111&lt;&gt;"Serviço",0,IF(OR(AND(AUTOEVENTO="Manual",$M111=1),$M111&gt;(ROW(PLE.lastrow)-ROW(PLE.firstrow))),0,IF(OFFSET(PLE!$G$14,$M111,BA$13)="",10^12,OFFSET(PLE!$G$14,$M111,BA$13))))</f>
        <v>1000000000000</v>
      </c>
      <c r="BB111" s="216">
        <f ca="1">IF($D111&lt;&gt;"Serviço",0,IF(OR(AND(AUTOEVENTO="Manual",$M111=1),$M111&gt;(ROW(PLE.lastrow)-ROW(PLE.firstrow))),0,IF(OFFSET(PLE!$G$14,$M111,BB$13)="",10^12,OFFSET(PLE!$G$14,$M111,BB$13))))</f>
        <v>1000000000000</v>
      </c>
      <c r="BC111" s="216">
        <f ca="1">IF($D111&lt;&gt;"Serviço",0,IF(OR(AND(AUTOEVENTO="Manual",$M111=1),$M111&gt;(ROW(PLE.lastrow)-ROW(PLE.firstrow))),0,IF(OFFSET(PLE!$G$14,$M111,BC$13)="",10^12,OFFSET(PLE!$G$14,$M111,BC$13))))</f>
        <v>1000000000000</v>
      </c>
      <c r="BD111" s="216">
        <f ca="1">IF($D111&lt;&gt;"Serviço",0,IF(OR(AND(AUTOEVENTO="Manual",$M111=1),$M111&gt;(ROW(PLE.lastrow)-ROW(PLE.firstrow))),0,IF(OFFSET(PLE!$G$14,$M111,BD$13)="",10^12,OFFSET(PLE!$G$14,$M111,BD$13))))</f>
        <v>1000000000000</v>
      </c>
      <c r="BE111" s="216">
        <f ca="1">IF($D111&lt;&gt;"Serviço",0,IF(OR(AND(AUTOEVENTO="Manual",$M111=1),$M111&gt;(ROW(PLE.lastrow)-ROW(PLE.firstrow))),0,IF(OFFSET(PLE!$G$14,$M111,BE$13)="",10^12,OFFSET(PLE!$G$14,$M111,BE$13))))</f>
        <v>1000000000000</v>
      </c>
      <c r="BF111" s="216">
        <f ca="1">IF($D111&lt;&gt;"Serviço",0,IF(OR(AND(AUTOEVENTO="Manual",$M111=1),$M111&gt;(ROW(PLE.lastrow)-ROW(PLE.firstrow))),0,IF(OFFSET(PLE!$G$14,$M111,BF$13)="",10^12,OFFSET(PLE!$G$14,$M111,BF$13))))</f>
        <v>1000000000000</v>
      </c>
      <c r="BG111" s="216">
        <f ca="1">IF($D111&lt;&gt;"Serviço",0,IF(OR(AND(AUTOEVENTO="Manual",$M111=1),$M111&gt;(ROW(PLE.lastrow)-ROW(PLE.firstrow))),0,IF(OFFSET(PLE!$G$14,$M111,BG$13)="",10^12,OFFSET(PLE!$G$14,$M111,BG$13))))</f>
        <v>1000000000000</v>
      </c>
    </row>
    <row r="112" spans="1:59" ht="38.25" x14ac:dyDescent="0.2">
      <c r="A112" s="9" t="str">
        <f t="shared" ca="1" si="10"/>
        <v>93</v>
      </c>
      <c r="B112" s="9" t="str">
        <f ca="1">OFFSET(ORÇAMENTO!C$15,ROW(B112)-ROW(B$15),0)</f>
        <v>S</v>
      </c>
      <c r="C112" s="9" t="str">
        <f ca="1">OFFSET(ORÇAMENTO!L$15,ROW(C112)-ROW(C$15),0)</f>
        <v/>
      </c>
      <c r="D112" s="145" t="str">
        <f ca="1">OFFSET(ORÇAMENTO!N$15,ROW(D112)-ROW(D$15),0)</f>
        <v>Serviço</v>
      </c>
      <c r="E112" s="205" t="str">
        <f ca="1">OFFSET(ORÇAMENTO!O$15,ROW(E112)-ROW(E$15),0)</f>
        <v>-</v>
      </c>
      <c r="F112" s="206" t="str">
        <f ca="1">OFFSET(ORÇAMENTO!R$15,ROW(F112)-ROW(F$15),0)</f>
        <v>CABO DE COBRE FLEXÍVEL ISOLADO, 35 MM², 0,6/1,0 KV, PARA REDE AÉREA DE DISTRIBUIÇÃO DE ENERGIA ELÉTRICA DE BAIXA TENSÃO - FORNECIMENTO E INSTALAÇÃO. AF_07/2020</v>
      </c>
      <c r="G112" s="207" t="str">
        <f ca="1">IF($D112&lt;&gt;"Serviço","",OFFSET(ORÇAMENTO!S$15,ROW(G112)-ROW(G$15),0))</f>
        <v>M</v>
      </c>
      <c r="H112" s="151">
        <f ca="1">IF($D112&lt;&gt;"Serviço",0,IF(ACOMPANHAMENTO="BM",ROUND(OFFSET(ORÇAMENTO!AJ$15,ROW(H112)-ROW(H$15),0),15-13*ORÇAMENTO!$AF$7),SUMPRODUCT(($Q$12:$AA$12&lt;&gt;"")*ROUND($Q112:$AA112,15-13*ORÇAMENTO!$AF$7))))</f>
        <v>400</v>
      </c>
      <c r="I112" s="649"/>
      <c r="K112" s="208"/>
      <c r="L112" s="209" t="s">
        <v>255</v>
      </c>
      <c r="M112" s="210">
        <f ca="1">IF($D112&lt;&gt;"Serviço","",IF(AUTOEVENTO="manual",$A112,IF(ISERROR(MATCH($A112,$A$15:OFFSET($A112,-1,0),0)),MAX($M$15:OFFSET(M112,-1,0))+1,INDEX($M$15:OFFSET(M112,-1,0),MATCH($A112,$A$15:OFFSET($A112,-1,0),0)))))</f>
        <v>19</v>
      </c>
      <c r="N112" s="211" t="str">
        <f ca="1">IF($D112&lt;&gt;"Serviço","",IF(AUTOEVENTO="Manual",IF($A112=0,"&lt;-- defina o número do agrupador",OFFSET(EVENTOS!$D$14,$A112,0)),OFFSET($F$15,$A112,0)))</f>
        <v xml:space="preserve">ELÉTRICA </v>
      </c>
      <c r="O112" s="212"/>
      <c r="Q112" s="212"/>
      <c r="R112" s="213"/>
      <c r="S112" s="213"/>
      <c r="T112" s="213"/>
      <c r="U112" s="213"/>
      <c r="V112" s="213"/>
      <c r="W112" s="213"/>
      <c r="X112" s="213"/>
      <c r="Y112" s="213"/>
      <c r="Z112" s="214"/>
      <c r="AB112" s="630">
        <f ca="1">IF(AND($D112="Serviço",AB$12&lt;&gt;0,$H112&gt;0,OR(AUTOEVENTO&lt;&gt;"manual",$M112&lt;&gt;1)),
IF(Import.TipoArredondamento&lt;&gt;"TransfereGOV",
ROUND(OFFSET($P112,0,AB$13),15-13*ORÇAMENTO!$AF$7)/$H112*OFFSET(ORÇAMENTO!$X$15,ROW(AB112)-ROW(AB$15),0),
ROUND(ROUND(OFFSET($P112,0,AB$13),15-13*ORÇAMENTO!$AF$7)*OFFSET(ORÇAMENTO!$W$15,ROW(AB112)-ROW(AB$15),0),15-13*ORÇAMENTO!$AF$11)),0)</f>
        <v>0</v>
      </c>
      <c r="AC112" s="631">
        <f ca="1">IF(AND($D112="Serviço",AC$12&lt;&gt;0,$H112&gt;0,OR(AUTOEVENTO&lt;&gt;"manual",$M112&lt;&gt;1)),
IF(Import.TipoArredondamento&lt;&gt;"TransfereGOV",
ROUND(OFFSET($P112,0,AC$13),15-13*ORÇAMENTO!$AF$7)/$H112*OFFSET(ORÇAMENTO!$X$15,ROW(AC112)-ROW(AC$15),0),
ROUND(ROUND(OFFSET($P112,0,AC$13),15-13*ORÇAMENTO!$AF$7)*OFFSET(ORÇAMENTO!$W$15,ROW(AC112)-ROW(AC$15),0),15-13*ORÇAMENTO!$AF$11)),0)</f>
        <v>0</v>
      </c>
      <c r="AD112" s="631">
        <f ca="1">IF(AND($D112="Serviço",AD$12&lt;&gt;0,$H112&gt;0,OR(AUTOEVENTO&lt;&gt;"manual",$M112&lt;&gt;1)),
IF(Import.TipoArredondamento&lt;&gt;"TransfereGOV",
ROUND(OFFSET($P112,0,AD$13),15-13*ORÇAMENTO!$AF$7)/$H112*OFFSET(ORÇAMENTO!$X$15,ROW(AD112)-ROW(AD$15),0),
ROUND(ROUND(OFFSET($P112,0,AD$13),15-13*ORÇAMENTO!$AF$7)*OFFSET(ORÇAMENTO!$W$15,ROW(AD112)-ROW(AD$15),0),15-13*ORÇAMENTO!$AF$11)),0)</f>
        <v>0</v>
      </c>
      <c r="AE112" s="631">
        <f ca="1">IF(AND($D112="Serviço",AE$12&lt;&gt;0,$H112&gt;0,OR(AUTOEVENTO&lt;&gt;"manual",$M112&lt;&gt;1)),
IF(Import.TipoArredondamento&lt;&gt;"TransfereGOV",
ROUND(OFFSET($P112,0,AE$13),15-13*ORÇAMENTO!$AF$7)/$H112*OFFSET(ORÇAMENTO!$X$15,ROW(AE112)-ROW(AE$15),0),
ROUND(ROUND(OFFSET($P112,0,AE$13),15-13*ORÇAMENTO!$AF$7)*OFFSET(ORÇAMENTO!$W$15,ROW(AE112)-ROW(AE$15),0),15-13*ORÇAMENTO!$AF$11)),0)</f>
        <v>0</v>
      </c>
      <c r="AF112" s="631">
        <f ca="1">IF(AND($D112="Serviço",AF$12&lt;&gt;0,$H112&gt;0,OR(AUTOEVENTO&lt;&gt;"manual",$M112&lt;&gt;1)),
IF(Import.TipoArredondamento&lt;&gt;"TransfereGOV",
ROUND(OFFSET($P112,0,AF$13),15-13*ORÇAMENTO!$AF$7)/$H112*OFFSET(ORÇAMENTO!$X$15,ROW(AF112)-ROW(AF$15),0),
ROUND(ROUND(OFFSET($P112,0,AF$13),15-13*ORÇAMENTO!$AF$7)*OFFSET(ORÇAMENTO!$W$15,ROW(AF112)-ROW(AF$15),0),15-13*ORÇAMENTO!$AF$11)),0)</f>
        <v>0</v>
      </c>
      <c r="AG112" s="631">
        <f ca="1">IF(AND($D112="Serviço",AG$12&lt;&gt;0,$H112&gt;0,OR(AUTOEVENTO&lt;&gt;"manual",$M112&lt;&gt;1)),
IF(Import.TipoArredondamento&lt;&gt;"TransfereGOV",
ROUND(OFFSET($P112,0,AG$13),15-13*ORÇAMENTO!$AF$7)/$H112*OFFSET(ORÇAMENTO!$X$15,ROW(AG112)-ROW(AG$15),0),
ROUND(ROUND(OFFSET($P112,0,AG$13),15-13*ORÇAMENTO!$AF$7)*OFFSET(ORÇAMENTO!$W$15,ROW(AG112)-ROW(AG$15),0),15-13*ORÇAMENTO!$AF$11)),0)</f>
        <v>0</v>
      </c>
      <c r="AH112" s="631">
        <f ca="1">IF(AND($D112="Serviço",AH$12&lt;&gt;0,$H112&gt;0,OR(AUTOEVENTO&lt;&gt;"manual",$M112&lt;&gt;1)),
IF(Import.TipoArredondamento&lt;&gt;"TransfereGOV",
ROUND(OFFSET($P112,0,AH$13),15-13*ORÇAMENTO!$AF$7)/$H112*OFFSET(ORÇAMENTO!$X$15,ROW(AH112)-ROW(AH$15),0),
ROUND(ROUND(OFFSET($P112,0,AH$13),15-13*ORÇAMENTO!$AF$7)*OFFSET(ORÇAMENTO!$W$15,ROW(AH112)-ROW(AH$15),0),15-13*ORÇAMENTO!$AF$11)),0)</f>
        <v>0</v>
      </c>
      <c r="AI112" s="631">
        <f ca="1">IF(AND($D112="Serviço",AI$12&lt;&gt;0,$H112&gt;0,OR(AUTOEVENTO&lt;&gt;"manual",$M112&lt;&gt;1)),
IF(Import.TipoArredondamento&lt;&gt;"TransfereGOV",
ROUND(OFFSET($P112,0,AI$13),15-13*ORÇAMENTO!$AF$7)/$H112*OFFSET(ORÇAMENTO!$X$15,ROW(AI112)-ROW(AI$15),0),
ROUND(ROUND(OFFSET($P112,0,AI$13),15-13*ORÇAMENTO!$AF$7)*OFFSET(ORÇAMENTO!$W$15,ROW(AI112)-ROW(AI$15),0),15-13*ORÇAMENTO!$AF$11)),0)</f>
        <v>0</v>
      </c>
      <c r="AJ112" s="631">
        <f ca="1">IF(AND($D112="Serviço",AJ$12&lt;&gt;0,$H112&gt;0,OR(AUTOEVENTO&lt;&gt;"manual",$M112&lt;&gt;1)),
IF(Import.TipoArredondamento&lt;&gt;"TransfereGOV",
ROUND(OFFSET($P112,0,AJ$13),15-13*ORÇAMENTO!$AF$7)/$H112*OFFSET(ORÇAMENTO!$X$15,ROW(AJ112)-ROW(AJ$15),0),
ROUND(ROUND(OFFSET($P112,0,AJ$13),15-13*ORÇAMENTO!$AF$7)*OFFSET(ORÇAMENTO!$W$15,ROW(AJ112)-ROW(AJ$15),0),15-13*ORÇAMENTO!$AF$11)),0)</f>
        <v>0</v>
      </c>
      <c r="AK112" s="632">
        <f ca="1">IF(AND($D112="Serviço",AK$12&lt;&gt;0,$H112&gt;0,OR(AUTOEVENTO&lt;&gt;"manual",$M112&lt;&gt;1)),
IF(Import.TipoArredondamento&lt;&gt;"TransfereGOV",
ROUND(OFFSET($P112,0,AK$13),15-13*ORÇAMENTO!$AF$7)/$H112*OFFSET(ORÇAMENTO!$X$15,ROW(AK112)-ROW(AK$15),0),
ROUND(ROUND(OFFSET($P112,0,AK$13),15-13*ORÇAMENTO!$AF$7)*OFFSET(ORÇAMENTO!$W$15,ROW(AK112)-ROW(AK$15),0),15-13*ORÇAMENTO!$AF$11)),0)</f>
        <v>0</v>
      </c>
      <c r="AM112" s="215">
        <f ca="1">IF($D112&lt;&gt;"Serviço",0,IF(AND(AUTOEVENTO="Manual",$M112=1),0,IF(OFFSET(CRONOPLE!$F$14,$M112,AM$13)="",10^12,OFFSET(CRONOPLE!$F$14,$M112,AM$13))))</f>
        <v>1000000000000</v>
      </c>
      <c r="AN112" s="215">
        <f ca="1">IF($D112&lt;&gt;"Serviço",0,IF(AND(AUTOEVENTO="Manual",$M112=1),0,IF(OFFSET(CRONOPLE!$F$14,$M112,AN$13)="",10^12,OFFSET(CRONOPLE!$F$14,$M112,AN$13))))</f>
        <v>1000000000000</v>
      </c>
      <c r="AO112" s="215">
        <f ca="1">IF($D112&lt;&gt;"Serviço",0,IF(AND(AUTOEVENTO="Manual",$M112=1),0,IF(OFFSET(CRONOPLE!$F$14,$M112,AO$13)="",10^12,OFFSET(CRONOPLE!$F$14,$M112,AO$13))))</f>
        <v>1000000000000</v>
      </c>
      <c r="AP112" s="215">
        <f ca="1">IF($D112&lt;&gt;"Serviço",0,IF(AND(AUTOEVENTO="Manual",$M112=1),0,IF(OFFSET(CRONOPLE!$F$14,$M112,AP$13)="",10^12,OFFSET(CRONOPLE!$F$14,$M112,AP$13))))</f>
        <v>1000000000000</v>
      </c>
      <c r="AQ112" s="215">
        <f ca="1">IF($D112&lt;&gt;"Serviço",0,IF(AND(AUTOEVENTO="Manual",$M112=1),0,IF(OFFSET(CRONOPLE!$F$14,$M112,AQ$13)="",10^12,OFFSET(CRONOPLE!$F$14,$M112,AQ$13))))</f>
        <v>1000000000000</v>
      </c>
      <c r="AR112" s="215">
        <f ca="1">IF($D112&lt;&gt;"Serviço",0,IF(AND(AUTOEVENTO="Manual",$M112=1),0,IF(OFFSET(CRONOPLE!$F$14,$M112,AR$13)="",10^12,OFFSET(CRONOPLE!$F$14,$M112,AR$13))))</f>
        <v>1000000000000</v>
      </c>
      <c r="AS112" s="215">
        <f ca="1">IF($D112&lt;&gt;"Serviço",0,IF(AND(AUTOEVENTO="Manual",$M112=1),0,IF(OFFSET(CRONOPLE!$F$14,$M112,AS$13)="",10^12,OFFSET(CRONOPLE!$F$14,$M112,AS$13))))</f>
        <v>1000000000000</v>
      </c>
      <c r="AT112" s="215">
        <f ca="1">IF($D112&lt;&gt;"Serviço",0,IF(AND(AUTOEVENTO="Manual",$M112=1),0,IF(OFFSET(CRONOPLE!$F$14,$M112,AT$13)="",10^12,OFFSET(CRONOPLE!$F$14,$M112,AT$13))))</f>
        <v>1000000000000</v>
      </c>
      <c r="AU112" s="215">
        <f ca="1">IF($D112&lt;&gt;"Serviço",0,IF(AND(AUTOEVENTO="Manual",$M112=1),0,IF(OFFSET(CRONOPLE!$F$14,$M112,AU$13)="",10^12,OFFSET(CRONOPLE!$F$14,$M112,AU$13))))</f>
        <v>1000000000000</v>
      </c>
      <c r="AV112" s="215">
        <f ca="1">IF($D112&lt;&gt;"Serviço",0,IF(AND(AUTOEVENTO="Manual",$M112=1),0,IF(OFFSET(CRONOPLE!$F$14,$M112,AV$13)="",10^12,OFFSET(CRONOPLE!$F$14,$M112,AV$13))))</f>
        <v>1000000000000</v>
      </c>
      <c r="AX112" s="216">
        <f ca="1">IF($D112&lt;&gt;"Serviço",0,IF(OR(AND(AUTOEVENTO="Manual",$M112=1),$M112&gt;(ROW(PLE.lastrow)-ROW(PLE.firstrow))),0,IF(OFFSET(PLE!$G$14,$M112,AX$13)="",10^12,OFFSET(PLE!$G$14,$M112,AX$13))))</f>
        <v>1000000000000</v>
      </c>
      <c r="AY112" s="216">
        <f ca="1">IF($D112&lt;&gt;"Serviço",0,IF(OR(AND(AUTOEVENTO="Manual",$M112=1),$M112&gt;(ROW(PLE.lastrow)-ROW(PLE.firstrow))),0,IF(OFFSET(PLE!$G$14,$M112,AY$13)="",10^12,OFFSET(PLE!$G$14,$M112,AY$13))))</f>
        <v>1000000000000</v>
      </c>
      <c r="AZ112" s="216">
        <f ca="1">IF($D112&lt;&gt;"Serviço",0,IF(OR(AND(AUTOEVENTO="Manual",$M112=1),$M112&gt;(ROW(PLE.lastrow)-ROW(PLE.firstrow))),0,IF(OFFSET(PLE!$G$14,$M112,AZ$13)="",10^12,OFFSET(PLE!$G$14,$M112,AZ$13))))</f>
        <v>1000000000000</v>
      </c>
      <c r="BA112" s="216">
        <f ca="1">IF($D112&lt;&gt;"Serviço",0,IF(OR(AND(AUTOEVENTO="Manual",$M112=1),$M112&gt;(ROW(PLE.lastrow)-ROW(PLE.firstrow))),0,IF(OFFSET(PLE!$G$14,$M112,BA$13)="",10^12,OFFSET(PLE!$G$14,$M112,BA$13))))</f>
        <v>1000000000000</v>
      </c>
      <c r="BB112" s="216">
        <f ca="1">IF($D112&lt;&gt;"Serviço",0,IF(OR(AND(AUTOEVENTO="Manual",$M112=1),$M112&gt;(ROW(PLE.lastrow)-ROW(PLE.firstrow))),0,IF(OFFSET(PLE!$G$14,$M112,BB$13)="",10^12,OFFSET(PLE!$G$14,$M112,BB$13))))</f>
        <v>1000000000000</v>
      </c>
      <c r="BC112" s="216">
        <f ca="1">IF($D112&lt;&gt;"Serviço",0,IF(OR(AND(AUTOEVENTO="Manual",$M112=1),$M112&gt;(ROW(PLE.lastrow)-ROW(PLE.firstrow))),0,IF(OFFSET(PLE!$G$14,$M112,BC$13)="",10^12,OFFSET(PLE!$G$14,$M112,BC$13))))</f>
        <v>1000000000000</v>
      </c>
      <c r="BD112" s="216">
        <f ca="1">IF($D112&lt;&gt;"Serviço",0,IF(OR(AND(AUTOEVENTO="Manual",$M112=1),$M112&gt;(ROW(PLE.lastrow)-ROW(PLE.firstrow))),0,IF(OFFSET(PLE!$G$14,$M112,BD$13)="",10^12,OFFSET(PLE!$G$14,$M112,BD$13))))</f>
        <v>1000000000000</v>
      </c>
      <c r="BE112" s="216">
        <f ca="1">IF($D112&lt;&gt;"Serviço",0,IF(OR(AND(AUTOEVENTO="Manual",$M112=1),$M112&gt;(ROW(PLE.lastrow)-ROW(PLE.firstrow))),0,IF(OFFSET(PLE!$G$14,$M112,BE$13)="",10^12,OFFSET(PLE!$G$14,$M112,BE$13))))</f>
        <v>1000000000000</v>
      </c>
      <c r="BF112" s="216">
        <f ca="1">IF($D112&lt;&gt;"Serviço",0,IF(OR(AND(AUTOEVENTO="Manual",$M112=1),$M112&gt;(ROW(PLE.lastrow)-ROW(PLE.firstrow))),0,IF(OFFSET(PLE!$G$14,$M112,BF$13)="",10^12,OFFSET(PLE!$G$14,$M112,BF$13))))</f>
        <v>1000000000000</v>
      </c>
      <c r="BG112" s="216">
        <f ca="1">IF($D112&lt;&gt;"Serviço",0,IF(OR(AND(AUTOEVENTO="Manual",$M112=1),$M112&gt;(ROW(PLE.lastrow)-ROW(PLE.firstrow))),0,IF(OFFSET(PLE!$G$14,$M112,BG$13)="",10^12,OFFSET(PLE!$G$14,$M112,BG$13))))</f>
        <v>1000000000000</v>
      </c>
    </row>
    <row r="113" spans="1:59" ht="38.25" x14ac:dyDescent="0.2">
      <c r="A113" s="9" t="str">
        <f t="shared" ca="1" si="10"/>
        <v>93</v>
      </c>
      <c r="B113" s="9" t="str">
        <f ca="1">OFFSET(ORÇAMENTO!C$15,ROW(B113)-ROW(B$15),0)</f>
        <v>S</v>
      </c>
      <c r="C113" s="9" t="str">
        <f ca="1">OFFSET(ORÇAMENTO!L$15,ROW(C113)-ROW(C$15),0)</f>
        <v/>
      </c>
      <c r="D113" s="145" t="str">
        <f ca="1">OFFSET(ORÇAMENTO!N$15,ROW(D113)-ROW(D$15),0)</f>
        <v>Serviço</v>
      </c>
      <c r="E113" s="205" t="str">
        <f ca="1">OFFSET(ORÇAMENTO!O$15,ROW(E113)-ROW(E$15),0)</f>
        <v>-</v>
      </c>
      <c r="F113" s="206" t="str">
        <f ca="1">OFFSET(ORÇAMENTO!R$15,ROW(F113)-ROW(F$15),0)</f>
        <v>CABO DE COBRE FLEXÍVEL ISOLADO, 4 MM², ANTI-CHAMA 0,6/1,0 KV, PARA CIRCUITOS TERMINAIS - FORNECIMENTO E INSTALAÇÃO. AF_03/2023</v>
      </c>
      <c r="G113" s="207" t="str">
        <f ca="1">IF($D113&lt;&gt;"Serviço","",OFFSET(ORÇAMENTO!S$15,ROW(G113)-ROW(G$15),0))</f>
        <v>M</v>
      </c>
      <c r="H113" s="151">
        <f ca="1">IF($D113&lt;&gt;"Serviço",0,IF(ACOMPANHAMENTO="BM",ROUND(OFFSET(ORÇAMENTO!AJ$15,ROW(H113)-ROW(H$15),0),15-13*ORÇAMENTO!$AF$7),SUMPRODUCT(($Q$12:$AA$12&lt;&gt;"")*ROUND($Q113:$AA113,15-13*ORÇAMENTO!$AF$7))))</f>
        <v>65</v>
      </c>
      <c r="I113" s="649"/>
      <c r="K113" s="208"/>
      <c r="L113" s="209" t="s">
        <v>255</v>
      </c>
      <c r="M113" s="210">
        <f ca="1">IF($D113&lt;&gt;"Serviço","",IF(AUTOEVENTO="manual",$A113,IF(ISERROR(MATCH($A113,$A$15:OFFSET($A113,-1,0),0)),MAX($M$15:OFFSET(M113,-1,0))+1,INDEX($M$15:OFFSET(M113,-1,0),MATCH($A113,$A$15:OFFSET($A113,-1,0),0)))))</f>
        <v>19</v>
      </c>
      <c r="N113" s="211" t="str">
        <f ca="1">IF($D113&lt;&gt;"Serviço","",IF(AUTOEVENTO="Manual",IF($A113=0,"&lt;-- defina o número do agrupador",OFFSET(EVENTOS!$D$14,$A113,0)),OFFSET($F$15,$A113,0)))</f>
        <v xml:space="preserve">ELÉTRICA </v>
      </c>
      <c r="O113" s="212"/>
      <c r="Q113" s="212"/>
      <c r="R113" s="213"/>
      <c r="S113" s="213"/>
      <c r="T113" s="213"/>
      <c r="U113" s="213"/>
      <c r="V113" s="213"/>
      <c r="W113" s="213"/>
      <c r="X113" s="213"/>
      <c r="Y113" s="213"/>
      <c r="Z113" s="214"/>
      <c r="AB113" s="630">
        <f ca="1">IF(AND($D113="Serviço",AB$12&lt;&gt;0,$H113&gt;0,OR(AUTOEVENTO&lt;&gt;"manual",$M113&lt;&gt;1)),
IF(Import.TipoArredondamento&lt;&gt;"TransfereGOV",
ROUND(OFFSET($P113,0,AB$13),15-13*ORÇAMENTO!$AF$7)/$H113*OFFSET(ORÇAMENTO!$X$15,ROW(AB113)-ROW(AB$15),0),
ROUND(ROUND(OFFSET($P113,0,AB$13),15-13*ORÇAMENTO!$AF$7)*OFFSET(ORÇAMENTO!$W$15,ROW(AB113)-ROW(AB$15),0),15-13*ORÇAMENTO!$AF$11)),0)</f>
        <v>0</v>
      </c>
      <c r="AC113" s="631">
        <f ca="1">IF(AND($D113="Serviço",AC$12&lt;&gt;0,$H113&gt;0,OR(AUTOEVENTO&lt;&gt;"manual",$M113&lt;&gt;1)),
IF(Import.TipoArredondamento&lt;&gt;"TransfereGOV",
ROUND(OFFSET($P113,0,AC$13),15-13*ORÇAMENTO!$AF$7)/$H113*OFFSET(ORÇAMENTO!$X$15,ROW(AC113)-ROW(AC$15),0),
ROUND(ROUND(OFFSET($P113,0,AC$13),15-13*ORÇAMENTO!$AF$7)*OFFSET(ORÇAMENTO!$W$15,ROW(AC113)-ROW(AC$15),0),15-13*ORÇAMENTO!$AF$11)),0)</f>
        <v>0</v>
      </c>
      <c r="AD113" s="631">
        <f ca="1">IF(AND($D113="Serviço",AD$12&lt;&gt;0,$H113&gt;0,OR(AUTOEVENTO&lt;&gt;"manual",$M113&lt;&gt;1)),
IF(Import.TipoArredondamento&lt;&gt;"TransfereGOV",
ROUND(OFFSET($P113,0,AD$13),15-13*ORÇAMENTO!$AF$7)/$H113*OFFSET(ORÇAMENTO!$X$15,ROW(AD113)-ROW(AD$15),0),
ROUND(ROUND(OFFSET($P113,0,AD$13),15-13*ORÇAMENTO!$AF$7)*OFFSET(ORÇAMENTO!$W$15,ROW(AD113)-ROW(AD$15),0),15-13*ORÇAMENTO!$AF$11)),0)</f>
        <v>0</v>
      </c>
      <c r="AE113" s="631">
        <f ca="1">IF(AND($D113="Serviço",AE$12&lt;&gt;0,$H113&gt;0,OR(AUTOEVENTO&lt;&gt;"manual",$M113&lt;&gt;1)),
IF(Import.TipoArredondamento&lt;&gt;"TransfereGOV",
ROUND(OFFSET($P113,0,AE$13),15-13*ORÇAMENTO!$AF$7)/$H113*OFFSET(ORÇAMENTO!$X$15,ROW(AE113)-ROW(AE$15),0),
ROUND(ROUND(OFFSET($P113,0,AE$13),15-13*ORÇAMENTO!$AF$7)*OFFSET(ORÇAMENTO!$W$15,ROW(AE113)-ROW(AE$15),0),15-13*ORÇAMENTO!$AF$11)),0)</f>
        <v>0</v>
      </c>
      <c r="AF113" s="631">
        <f ca="1">IF(AND($D113="Serviço",AF$12&lt;&gt;0,$H113&gt;0,OR(AUTOEVENTO&lt;&gt;"manual",$M113&lt;&gt;1)),
IF(Import.TipoArredondamento&lt;&gt;"TransfereGOV",
ROUND(OFFSET($P113,0,AF$13),15-13*ORÇAMENTO!$AF$7)/$H113*OFFSET(ORÇAMENTO!$X$15,ROW(AF113)-ROW(AF$15),0),
ROUND(ROUND(OFFSET($P113,0,AF$13),15-13*ORÇAMENTO!$AF$7)*OFFSET(ORÇAMENTO!$W$15,ROW(AF113)-ROW(AF$15),0),15-13*ORÇAMENTO!$AF$11)),0)</f>
        <v>0</v>
      </c>
      <c r="AG113" s="631">
        <f ca="1">IF(AND($D113="Serviço",AG$12&lt;&gt;0,$H113&gt;0,OR(AUTOEVENTO&lt;&gt;"manual",$M113&lt;&gt;1)),
IF(Import.TipoArredondamento&lt;&gt;"TransfereGOV",
ROUND(OFFSET($P113,0,AG$13),15-13*ORÇAMENTO!$AF$7)/$H113*OFFSET(ORÇAMENTO!$X$15,ROW(AG113)-ROW(AG$15),0),
ROUND(ROUND(OFFSET($P113,0,AG$13),15-13*ORÇAMENTO!$AF$7)*OFFSET(ORÇAMENTO!$W$15,ROW(AG113)-ROW(AG$15),0),15-13*ORÇAMENTO!$AF$11)),0)</f>
        <v>0</v>
      </c>
      <c r="AH113" s="631">
        <f ca="1">IF(AND($D113="Serviço",AH$12&lt;&gt;0,$H113&gt;0,OR(AUTOEVENTO&lt;&gt;"manual",$M113&lt;&gt;1)),
IF(Import.TipoArredondamento&lt;&gt;"TransfereGOV",
ROUND(OFFSET($P113,0,AH$13),15-13*ORÇAMENTO!$AF$7)/$H113*OFFSET(ORÇAMENTO!$X$15,ROW(AH113)-ROW(AH$15),0),
ROUND(ROUND(OFFSET($P113,0,AH$13),15-13*ORÇAMENTO!$AF$7)*OFFSET(ORÇAMENTO!$W$15,ROW(AH113)-ROW(AH$15),0),15-13*ORÇAMENTO!$AF$11)),0)</f>
        <v>0</v>
      </c>
      <c r="AI113" s="631">
        <f ca="1">IF(AND($D113="Serviço",AI$12&lt;&gt;0,$H113&gt;0,OR(AUTOEVENTO&lt;&gt;"manual",$M113&lt;&gt;1)),
IF(Import.TipoArredondamento&lt;&gt;"TransfereGOV",
ROUND(OFFSET($P113,0,AI$13),15-13*ORÇAMENTO!$AF$7)/$H113*OFFSET(ORÇAMENTO!$X$15,ROW(AI113)-ROW(AI$15),0),
ROUND(ROUND(OFFSET($P113,0,AI$13),15-13*ORÇAMENTO!$AF$7)*OFFSET(ORÇAMENTO!$W$15,ROW(AI113)-ROW(AI$15),0),15-13*ORÇAMENTO!$AF$11)),0)</f>
        <v>0</v>
      </c>
      <c r="AJ113" s="631">
        <f ca="1">IF(AND($D113="Serviço",AJ$12&lt;&gt;0,$H113&gt;0,OR(AUTOEVENTO&lt;&gt;"manual",$M113&lt;&gt;1)),
IF(Import.TipoArredondamento&lt;&gt;"TransfereGOV",
ROUND(OFFSET($P113,0,AJ$13),15-13*ORÇAMENTO!$AF$7)/$H113*OFFSET(ORÇAMENTO!$X$15,ROW(AJ113)-ROW(AJ$15),0),
ROUND(ROUND(OFFSET($P113,0,AJ$13),15-13*ORÇAMENTO!$AF$7)*OFFSET(ORÇAMENTO!$W$15,ROW(AJ113)-ROW(AJ$15),0),15-13*ORÇAMENTO!$AF$11)),0)</f>
        <v>0</v>
      </c>
      <c r="AK113" s="632">
        <f ca="1">IF(AND($D113="Serviço",AK$12&lt;&gt;0,$H113&gt;0,OR(AUTOEVENTO&lt;&gt;"manual",$M113&lt;&gt;1)),
IF(Import.TipoArredondamento&lt;&gt;"TransfereGOV",
ROUND(OFFSET($P113,0,AK$13),15-13*ORÇAMENTO!$AF$7)/$H113*OFFSET(ORÇAMENTO!$X$15,ROW(AK113)-ROW(AK$15),0),
ROUND(ROUND(OFFSET($P113,0,AK$13),15-13*ORÇAMENTO!$AF$7)*OFFSET(ORÇAMENTO!$W$15,ROW(AK113)-ROW(AK$15),0),15-13*ORÇAMENTO!$AF$11)),0)</f>
        <v>0</v>
      </c>
      <c r="AM113" s="215">
        <f ca="1">IF($D113&lt;&gt;"Serviço",0,IF(AND(AUTOEVENTO="Manual",$M113=1),0,IF(OFFSET(CRONOPLE!$F$14,$M113,AM$13)="",10^12,OFFSET(CRONOPLE!$F$14,$M113,AM$13))))</f>
        <v>1000000000000</v>
      </c>
      <c r="AN113" s="215">
        <f ca="1">IF($D113&lt;&gt;"Serviço",0,IF(AND(AUTOEVENTO="Manual",$M113=1),0,IF(OFFSET(CRONOPLE!$F$14,$M113,AN$13)="",10^12,OFFSET(CRONOPLE!$F$14,$M113,AN$13))))</f>
        <v>1000000000000</v>
      </c>
      <c r="AO113" s="215">
        <f ca="1">IF($D113&lt;&gt;"Serviço",0,IF(AND(AUTOEVENTO="Manual",$M113=1),0,IF(OFFSET(CRONOPLE!$F$14,$M113,AO$13)="",10^12,OFFSET(CRONOPLE!$F$14,$M113,AO$13))))</f>
        <v>1000000000000</v>
      </c>
      <c r="AP113" s="215">
        <f ca="1">IF($D113&lt;&gt;"Serviço",0,IF(AND(AUTOEVENTO="Manual",$M113=1),0,IF(OFFSET(CRONOPLE!$F$14,$M113,AP$13)="",10^12,OFFSET(CRONOPLE!$F$14,$M113,AP$13))))</f>
        <v>1000000000000</v>
      </c>
      <c r="AQ113" s="215">
        <f ca="1">IF($D113&lt;&gt;"Serviço",0,IF(AND(AUTOEVENTO="Manual",$M113=1),0,IF(OFFSET(CRONOPLE!$F$14,$M113,AQ$13)="",10^12,OFFSET(CRONOPLE!$F$14,$M113,AQ$13))))</f>
        <v>1000000000000</v>
      </c>
      <c r="AR113" s="215">
        <f ca="1">IF($D113&lt;&gt;"Serviço",0,IF(AND(AUTOEVENTO="Manual",$M113=1),0,IF(OFFSET(CRONOPLE!$F$14,$M113,AR$13)="",10^12,OFFSET(CRONOPLE!$F$14,$M113,AR$13))))</f>
        <v>1000000000000</v>
      </c>
      <c r="AS113" s="215">
        <f ca="1">IF($D113&lt;&gt;"Serviço",0,IF(AND(AUTOEVENTO="Manual",$M113=1),0,IF(OFFSET(CRONOPLE!$F$14,$M113,AS$13)="",10^12,OFFSET(CRONOPLE!$F$14,$M113,AS$13))))</f>
        <v>1000000000000</v>
      </c>
      <c r="AT113" s="215">
        <f ca="1">IF($D113&lt;&gt;"Serviço",0,IF(AND(AUTOEVENTO="Manual",$M113=1),0,IF(OFFSET(CRONOPLE!$F$14,$M113,AT$13)="",10^12,OFFSET(CRONOPLE!$F$14,$M113,AT$13))))</f>
        <v>1000000000000</v>
      </c>
      <c r="AU113" s="215">
        <f ca="1">IF($D113&lt;&gt;"Serviço",0,IF(AND(AUTOEVENTO="Manual",$M113=1),0,IF(OFFSET(CRONOPLE!$F$14,$M113,AU$13)="",10^12,OFFSET(CRONOPLE!$F$14,$M113,AU$13))))</f>
        <v>1000000000000</v>
      </c>
      <c r="AV113" s="215">
        <f ca="1">IF($D113&lt;&gt;"Serviço",0,IF(AND(AUTOEVENTO="Manual",$M113=1),0,IF(OFFSET(CRONOPLE!$F$14,$M113,AV$13)="",10^12,OFFSET(CRONOPLE!$F$14,$M113,AV$13))))</f>
        <v>1000000000000</v>
      </c>
      <c r="AX113" s="216">
        <f ca="1">IF($D113&lt;&gt;"Serviço",0,IF(OR(AND(AUTOEVENTO="Manual",$M113=1),$M113&gt;(ROW(PLE.lastrow)-ROW(PLE.firstrow))),0,IF(OFFSET(PLE!$G$14,$M113,AX$13)="",10^12,OFFSET(PLE!$G$14,$M113,AX$13))))</f>
        <v>1000000000000</v>
      </c>
      <c r="AY113" s="216">
        <f ca="1">IF($D113&lt;&gt;"Serviço",0,IF(OR(AND(AUTOEVENTO="Manual",$M113=1),$M113&gt;(ROW(PLE.lastrow)-ROW(PLE.firstrow))),0,IF(OFFSET(PLE!$G$14,$M113,AY$13)="",10^12,OFFSET(PLE!$G$14,$M113,AY$13))))</f>
        <v>1000000000000</v>
      </c>
      <c r="AZ113" s="216">
        <f ca="1">IF($D113&lt;&gt;"Serviço",0,IF(OR(AND(AUTOEVENTO="Manual",$M113=1),$M113&gt;(ROW(PLE.lastrow)-ROW(PLE.firstrow))),0,IF(OFFSET(PLE!$G$14,$M113,AZ$13)="",10^12,OFFSET(PLE!$G$14,$M113,AZ$13))))</f>
        <v>1000000000000</v>
      </c>
      <c r="BA113" s="216">
        <f ca="1">IF($D113&lt;&gt;"Serviço",0,IF(OR(AND(AUTOEVENTO="Manual",$M113=1),$M113&gt;(ROW(PLE.lastrow)-ROW(PLE.firstrow))),0,IF(OFFSET(PLE!$G$14,$M113,BA$13)="",10^12,OFFSET(PLE!$G$14,$M113,BA$13))))</f>
        <v>1000000000000</v>
      </c>
      <c r="BB113" s="216">
        <f ca="1">IF($D113&lt;&gt;"Serviço",0,IF(OR(AND(AUTOEVENTO="Manual",$M113=1),$M113&gt;(ROW(PLE.lastrow)-ROW(PLE.firstrow))),0,IF(OFFSET(PLE!$G$14,$M113,BB$13)="",10^12,OFFSET(PLE!$G$14,$M113,BB$13))))</f>
        <v>1000000000000</v>
      </c>
      <c r="BC113" s="216">
        <f ca="1">IF($D113&lt;&gt;"Serviço",0,IF(OR(AND(AUTOEVENTO="Manual",$M113=1),$M113&gt;(ROW(PLE.lastrow)-ROW(PLE.firstrow))),0,IF(OFFSET(PLE!$G$14,$M113,BC$13)="",10^12,OFFSET(PLE!$G$14,$M113,BC$13))))</f>
        <v>1000000000000</v>
      </c>
      <c r="BD113" s="216">
        <f ca="1">IF($D113&lt;&gt;"Serviço",0,IF(OR(AND(AUTOEVENTO="Manual",$M113=1),$M113&gt;(ROW(PLE.lastrow)-ROW(PLE.firstrow))),0,IF(OFFSET(PLE!$G$14,$M113,BD$13)="",10^12,OFFSET(PLE!$G$14,$M113,BD$13))))</f>
        <v>1000000000000</v>
      </c>
      <c r="BE113" s="216">
        <f ca="1">IF($D113&lt;&gt;"Serviço",0,IF(OR(AND(AUTOEVENTO="Manual",$M113=1),$M113&gt;(ROW(PLE.lastrow)-ROW(PLE.firstrow))),0,IF(OFFSET(PLE!$G$14,$M113,BE$13)="",10^12,OFFSET(PLE!$G$14,$M113,BE$13))))</f>
        <v>1000000000000</v>
      </c>
      <c r="BF113" s="216">
        <f ca="1">IF($D113&lt;&gt;"Serviço",0,IF(OR(AND(AUTOEVENTO="Manual",$M113=1),$M113&gt;(ROW(PLE.lastrow)-ROW(PLE.firstrow))),0,IF(OFFSET(PLE!$G$14,$M113,BF$13)="",10^12,OFFSET(PLE!$G$14,$M113,BF$13))))</f>
        <v>1000000000000</v>
      </c>
      <c r="BG113" s="216">
        <f ca="1">IF($D113&lt;&gt;"Serviço",0,IF(OR(AND(AUTOEVENTO="Manual",$M113=1),$M113&gt;(ROW(PLE.lastrow)-ROW(PLE.firstrow))),0,IF(OFFSET(PLE!$G$14,$M113,BG$13)="",10^12,OFFSET(PLE!$G$14,$M113,BG$13))))</f>
        <v>1000000000000</v>
      </c>
    </row>
    <row r="114" spans="1:59" ht="38.25" x14ac:dyDescent="0.2">
      <c r="A114" s="9" t="str">
        <f t="shared" ca="1" si="10"/>
        <v>93</v>
      </c>
      <c r="B114" s="9" t="str">
        <f ca="1">OFFSET(ORÇAMENTO!C$15,ROW(B114)-ROW(B$15),0)</f>
        <v>S</v>
      </c>
      <c r="C114" s="9" t="str">
        <f ca="1">OFFSET(ORÇAMENTO!L$15,ROW(C114)-ROW(C$15),0)</f>
        <v/>
      </c>
      <c r="D114" s="145" t="str">
        <f ca="1">OFFSET(ORÇAMENTO!N$15,ROW(D114)-ROW(D$15),0)</f>
        <v>Serviço</v>
      </c>
      <c r="E114" s="205" t="str">
        <f ca="1">OFFSET(ORÇAMENTO!O$15,ROW(E114)-ROW(E$15),0)</f>
        <v>-</v>
      </c>
      <c r="F114" s="206" t="str">
        <f ca="1">OFFSET(ORÇAMENTO!R$15,ROW(F114)-ROW(F$15),0)</f>
        <v>CABO DE COBRE FLEXÍVEL ISOLADO, 6 MM², ANTI-CHAMA 0,6/1,0 KV, PARA CIRCUITOS TERMINAIS - FORNECIMENTO E INSTALAÇÃO. AF_03/2023</v>
      </c>
      <c r="G114" s="207" t="str">
        <f ca="1">IF($D114&lt;&gt;"Serviço","",OFFSET(ORÇAMENTO!S$15,ROW(G114)-ROW(G$15),0))</f>
        <v>M</v>
      </c>
      <c r="H114" s="151">
        <f ca="1">IF($D114&lt;&gt;"Serviço",0,IF(ACOMPANHAMENTO="BM",ROUND(OFFSET(ORÇAMENTO!AJ$15,ROW(H114)-ROW(H$15),0),15-13*ORÇAMENTO!$AF$7),SUMPRODUCT(($Q$12:$AA$12&lt;&gt;"")*ROUND($Q114:$AA114,15-13*ORÇAMENTO!$AF$7))))</f>
        <v>554</v>
      </c>
      <c r="I114" s="649"/>
      <c r="K114" s="208"/>
      <c r="L114" s="209" t="s">
        <v>255</v>
      </c>
      <c r="M114" s="210">
        <f ca="1">IF($D114&lt;&gt;"Serviço","",IF(AUTOEVENTO="manual",$A114,IF(ISERROR(MATCH($A114,$A$15:OFFSET($A114,-1,0),0)),MAX($M$15:OFFSET(M114,-1,0))+1,INDEX($M$15:OFFSET(M114,-1,0),MATCH($A114,$A$15:OFFSET($A114,-1,0),0)))))</f>
        <v>19</v>
      </c>
      <c r="N114" s="211" t="str">
        <f ca="1">IF($D114&lt;&gt;"Serviço","",IF(AUTOEVENTO="Manual",IF($A114=0,"&lt;-- defina o número do agrupador",OFFSET(EVENTOS!$D$14,$A114,0)),OFFSET($F$15,$A114,0)))</f>
        <v xml:space="preserve">ELÉTRICA </v>
      </c>
      <c r="O114" s="212"/>
      <c r="Q114" s="212"/>
      <c r="R114" s="213"/>
      <c r="S114" s="213"/>
      <c r="T114" s="213"/>
      <c r="U114" s="213"/>
      <c r="V114" s="213"/>
      <c r="W114" s="213"/>
      <c r="X114" s="213"/>
      <c r="Y114" s="213"/>
      <c r="Z114" s="214"/>
      <c r="AB114" s="630">
        <f ca="1">IF(AND($D114="Serviço",AB$12&lt;&gt;0,$H114&gt;0,OR(AUTOEVENTO&lt;&gt;"manual",$M114&lt;&gt;1)),
IF(Import.TipoArredondamento&lt;&gt;"TransfereGOV",
ROUND(OFFSET($P114,0,AB$13),15-13*ORÇAMENTO!$AF$7)/$H114*OFFSET(ORÇAMENTO!$X$15,ROW(AB114)-ROW(AB$15),0),
ROUND(ROUND(OFFSET($P114,0,AB$13),15-13*ORÇAMENTO!$AF$7)*OFFSET(ORÇAMENTO!$W$15,ROW(AB114)-ROW(AB$15),0),15-13*ORÇAMENTO!$AF$11)),0)</f>
        <v>0</v>
      </c>
      <c r="AC114" s="631">
        <f ca="1">IF(AND($D114="Serviço",AC$12&lt;&gt;0,$H114&gt;0,OR(AUTOEVENTO&lt;&gt;"manual",$M114&lt;&gt;1)),
IF(Import.TipoArredondamento&lt;&gt;"TransfereGOV",
ROUND(OFFSET($P114,0,AC$13),15-13*ORÇAMENTO!$AF$7)/$H114*OFFSET(ORÇAMENTO!$X$15,ROW(AC114)-ROW(AC$15),0),
ROUND(ROUND(OFFSET($P114,0,AC$13),15-13*ORÇAMENTO!$AF$7)*OFFSET(ORÇAMENTO!$W$15,ROW(AC114)-ROW(AC$15),0),15-13*ORÇAMENTO!$AF$11)),0)</f>
        <v>0</v>
      </c>
      <c r="AD114" s="631">
        <f ca="1">IF(AND($D114="Serviço",AD$12&lt;&gt;0,$H114&gt;0,OR(AUTOEVENTO&lt;&gt;"manual",$M114&lt;&gt;1)),
IF(Import.TipoArredondamento&lt;&gt;"TransfereGOV",
ROUND(OFFSET($P114,0,AD$13),15-13*ORÇAMENTO!$AF$7)/$H114*OFFSET(ORÇAMENTO!$X$15,ROW(AD114)-ROW(AD$15),0),
ROUND(ROUND(OFFSET($P114,0,AD$13),15-13*ORÇAMENTO!$AF$7)*OFFSET(ORÇAMENTO!$W$15,ROW(AD114)-ROW(AD$15),0),15-13*ORÇAMENTO!$AF$11)),0)</f>
        <v>0</v>
      </c>
      <c r="AE114" s="631">
        <f ca="1">IF(AND($D114="Serviço",AE$12&lt;&gt;0,$H114&gt;0,OR(AUTOEVENTO&lt;&gt;"manual",$M114&lt;&gt;1)),
IF(Import.TipoArredondamento&lt;&gt;"TransfereGOV",
ROUND(OFFSET($P114,0,AE$13),15-13*ORÇAMENTO!$AF$7)/$H114*OFFSET(ORÇAMENTO!$X$15,ROW(AE114)-ROW(AE$15),0),
ROUND(ROUND(OFFSET($P114,0,AE$13),15-13*ORÇAMENTO!$AF$7)*OFFSET(ORÇAMENTO!$W$15,ROW(AE114)-ROW(AE$15),0),15-13*ORÇAMENTO!$AF$11)),0)</f>
        <v>0</v>
      </c>
      <c r="AF114" s="631">
        <f ca="1">IF(AND($D114="Serviço",AF$12&lt;&gt;0,$H114&gt;0,OR(AUTOEVENTO&lt;&gt;"manual",$M114&lt;&gt;1)),
IF(Import.TipoArredondamento&lt;&gt;"TransfereGOV",
ROUND(OFFSET($P114,0,AF$13),15-13*ORÇAMENTO!$AF$7)/$H114*OFFSET(ORÇAMENTO!$X$15,ROW(AF114)-ROW(AF$15),0),
ROUND(ROUND(OFFSET($P114,0,AF$13),15-13*ORÇAMENTO!$AF$7)*OFFSET(ORÇAMENTO!$W$15,ROW(AF114)-ROW(AF$15),0),15-13*ORÇAMENTO!$AF$11)),0)</f>
        <v>0</v>
      </c>
      <c r="AG114" s="631">
        <f ca="1">IF(AND($D114="Serviço",AG$12&lt;&gt;0,$H114&gt;0,OR(AUTOEVENTO&lt;&gt;"manual",$M114&lt;&gt;1)),
IF(Import.TipoArredondamento&lt;&gt;"TransfereGOV",
ROUND(OFFSET($P114,0,AG$13),15-13*ORÇAMENTO!$AF$7)/$H114*OFFSET(ORÇAMENTO!$X$15,ROW(AG114)-ROW(AG$15),0),
ROUND(ROUND(OFFSET($P114,0,AG$13),15-13*ORÇAMENTO!$AF$7)*OFFSET(ORÇAMENTO!$W$15,ROW(AG114)-ROW(AG$15),0),15-13*ORÇAMENTO!$AF$11)),0)</f>
        <v>0</v>
      </c>
      <c r="AH114" s="631">
        <f ca="1">IF(AND($D114="Serviço",AH$12&lt;&gt;0,$H114&gt;0,OR(AUTOEVENTO&lt;&gt;"manual",$M114&lt;&gt;1)),
IF(Import.TipoArredondamento&lt;&gt;"TransfereGOV",
ROUND(OFFSET($P114,0,AH$13),15-13*ORÇAMENTO!$AF$7)/$H114*OFFSET(ORÇAMENTO!$X$15,ROW(AH114)-ROW(AH$15),0),
ROUND(ROUND(OFFSET($P114,0,AH$13),15-13*ORÇAMENTO!$AF$7)*OFFSET(ORÇAMENTO!$W$15,ROW(AH114)-ROW(AH$15),0),15-13*ORÇAMENTO!$AF$11)),0)</f>
        <v>0</v>
      </c>
      <c r="AI114" s="631">
        <f ca="1">IF(AND($D114="Serviço",AI$12&lt;&gt;0,$H114&gt;0,OR(AUTOEVENTO&lt;&gt;"manual",$M114&lt;&gt;1)),
IF(Import.TipoArredondamento&lt;&gt;"TransfereGOV",
ROUND(OFFSET($P114,0,AI$13),15-13*ORÇAMENTO!$AF$7)/$H114*OFFSET(ORÇAMENTO!$X$15,ROW(AI114)-ROW(AI$15),0),
ROUND(ROUND(OFFSET($P114,0,AI$13),15-13*ORÇAMENTO!$AF$7)*OFFSET(ORÇAMENTO!$W$15,ROW(AI114)-ROW(AI$15),0),15-13*ORÇAMENTO!$AF$11)),0)</f>
        <v>0</v>
      </c>
      <c r="AJ114" s="631">
        <f ca="1">IF(AND($D114="Serviço",AJ$12&lt;&gt;0,$H114&gt;0,OR(AUTOEVENTO&lt;&gt;"manual",$M114&lt;&gt;1)),
IF(Import.TipoArredondamento&lt;&gt;"TransfereGOV",
ROUND(OFFSET($P114,0,AJ$13),15-13*ORÇAMENTO!$AF$7)/$H114*OFFSET(ORÇAMENTO!$X$15,ROW(AJ114)-ROW(AJ$15),0),
ROUND(ROUND(OFFSET($P114,0,AJ$13),15-13*ORÇAMENTO!$AF$7)*OFFSET(ORÇAMENTO!$W$15,ROW(AJ114)-ROW(AJ$15),0),15-13*ORÇAMENTO!$AF$11)),0)</f>
        <v>0</v>
      </c>
      <c r="AK114" s="632">
        <f ca="1">IF(AND($D114="Serviço",AK$12&lt;&gt;0,$H114&gt;0,OR(AUTOEVENTO&lt;&gt;"manual",$M114&lt;&gt;1)),
IF(Import.TipoArredondamento&lt;&gt;"TransfereGOV",
ROUND(OFFSET($P114,0,AK$13),15-13*ORÇAMENTO!$AF$7)/$H114*OFFSET(ORÇAMENTO!$X$15,ROW(AK114)-ROW(AK$15),0),
ROUND(ROUND(OFFSET($P114,0,AK$13),15-13*ORÇAMENTO!$AF$7)*OFFSET(ORÇAMENTO!$W$15,ROW(AK114)-ROW(AK$15),0),15-13*ORÇAMENTO!$AF$11)),0)</f>
        <v>0</v>
      </c>
      <c r="AM114" s="215">
        <f ca="1">IF($D114&lt;&gt;"Serviço",0,IF(AND(AUTOEVENTO="Manual",$M114=1),0,IF(OFFSET(CRONOPLE!$F$14,$M114,AM$13)="",10^12,OFFSET(CRONOPLE!$F$14,$M114,AM$13))))</f>
        <v>1000000000000</v>
      </c>
      <c r="AN114" s="215">
        <f ca="1">IF($D114&lt;&gt;"Serviço",0,IF(AND(AUTOEVENTO="Manual",$M114=1),0,IF(OFFSET(CRONOPLE!$F$14,$M114,AN$13)="",10^12,OFFSET(CRONOPLE!$F$14,$M114,AN$13))))</f>
        <v>1000000000000</v>
      </c>
      <c r="AO114" s="215">
        <f ca="1">IF($D114&lt;&gt;"Serviço",0,IF(AND(AUTOEVENTO="Manual",$M114=1),0,IF(OFFSET(CRONOPLE!$F$14,$M114,AO$13)="",10^12,OFFSET(CRONOPLE!$F$14,$M114,AO$13))))</f>
        <v>1000000000000</v>
      </c>
      <c r="AP114" s="215">
        <f ca="1">IF($D114&lt;&gt;"Serviço",0,IF(AND(AUTOEVENTO="Manual",$M114=1),0,IF(OFFSET(CRONOPLE!$F$14,$M114,AP$13)="",10^12,OFFSET(CRONOPLE!$F$14,$M114,AP$13))))</f>
        <v>1000000000000</v>
      </c>
      <c r="AQ114" s="215">
        <f ca="1">IF($D114&lt;&gt;"Serviço",0,IF(AND(AUTOEVENTO="Manual",$M114=1),0,IF(OFFSET(CRONOPLE!$F$14,$M114,AQ$13)="",10^12,OFFSET(CRONOPLE!$F$14,$M114,AQ$13))))</f>
        <v>1000000000000</v>
      </c>
      <c r="AR114" s="215">
        <f ca="1">IF($D114&lt;&gt;"Serviço",0,IF(AND(AUTOEVENTO="Manual",$M114=1),0,IF(OFFSET(CRONOPLE!$F$14,$M114,AR$13)="",10^12,OFFSET(CRONOPLE!$F$14,$M114,AR$13))))</f>
        <v>1000000000000</v>
      </c>
      <c r="AS114" s="215">
        <f ca="1">IF($D114&lt;&gt;"Serviço",0,IF(AND(AUTOEVENTO="Manual",$M114=1),0,IF(OFFSET(CRONOPLE!$F$14,$M114,AS$13)="",10^12,OFFSET(CRONOPLE!$F$14,$M114,AS$13))))</f>
        <v>1000000000000</v>
      </c>
      <c r="AT114" s="215">
        <f ca="1">IF($D114&lt;&gt;"Serviço",0,IF(AND(AUTOEVENTO="Manual",$M114=1),0,IF(OFFSET(CRONOPLE!$F$14,$M114,AT$13)="",10^12,OFFSET(CRONOPLE!$F$14,$M114,AT$13))))</f>
        <v>1000000000000</v>
      </c>
      <c r="AU114" s="215">
        <f ca="1">IF($D114&lt;&gt;"Serviço",0,IF(AND(AUTOEVENTO="Manual",$M114=1),0,IF(OFFSET(CRONOPLE!$F$14,$M114,AU$13)="",10^12,OFFSET(CRONOPLE!$F$14,$M114,AU$13))))</f>
        <v>1000000000000</v>
      </c>
      <c r="AV114" s="215">
        <f ca="1">IF($D114&lt;&gt;"Serviço",0,IF(AND(AUTOEVENTO="Manual",$M114=1),0,IF(OFFSET(CRONOPLE!$F$14,$M114,AV$13)="",10^12,OFFSET(CRONOPLE!$F$14,$M114,AV$13))))</f>
        <v>1000000000000</v>
      </c>
      <c r="AX114" s="216">
        <f ca="1">IF($D114&lt;&gt;"Serviço",0,IF(OR(AND(AUTOEVENTO="Manual",$M114=1),$M114&gt;(ROW(PLE.lastrow)-ROW(PLE.firstrow))),0,IF(OFFSET(PLE!$G$14,$M114,AX$13)="",10^12,OFFSET(PLE!$G$14,$M114,AX$13))))</f>
        <v>1000000000000</v>
      </c>
      <c r="AY114" s="216">
        <f ca="1">IF($D114&lt;&gt;"Serviço",0,IF(OR(AND(AUTOEVENTO="Manual",$M114=1),$M114&gt;(ROW(PLE.lastrow)-ROW(PLE.firstrow))),0,IF(OFFSET(PLE!$G$14,$M114,AY$13)="",10^12,OFFSET(PLE!$G$14,$M114,AY$13))))</f>
        <v>1000000000000</v>
      </c>
      <c r="AZ114" s="216">
        <f ca="1">IF($D114&lt;&gt;"Serviço",0,IF(OR(AND(AUTOEVENTO="Manual",$M114=1),$M114&gt;(ROW(PLE.lastrow)-ROW(PLE.firstrow))),0,IF(OFFSET(PLE!$G$14,$M114,AZ$13)="",10^12,OFFSET(PLE!$G$14,$M114,AZ$13))))</f>
        <v>1000000000000</v>
      </c>
      <c r="BA114" s="216">
        <f ca="1">IF($D114&lt;&gt;"Serviço",0,IF(OR(AND(AUTOEVENTO="Manual",$M114=1),$M114&gt;(ROW(PLE.lastrow)-ROW(PLE.firstrow))),0,IF(OFFSET(PLE!$G$14,$M114,BA$13)="",10^12,OFFSET(PLE!$G$14,$M114,BA$13))))</f>
        <v>1000000000000</v>
      </c>
      <c r="BB114" s="216">
        <f ca="1">IF($D114&lt;&gt;"Serviço",0,IF(OR(AND(AUTOEVENTO="Manual",$M114=1),$M114&gt;(ROW(PLE.lastrow)-ROW(PLE.firstrow))),0,IF(OFFSET(PLE!$G$14,$M114,BB$13)="",10^12,OFFSET(PLE!$G$14,$M114,BB$13))))</f>
        <v>1000000000000</v>
      </c>
      <c r="BC114" s="216">
        <f ca="1">IF($D114&lt;&gt;"Serviço",0,IF(OR(AND(AUTOEVENTO="Manual",$M114=1),$M114&gt;(ROW(PLE.lastrow)-ROW(PLE.firstrow))),0,IF(OFFSET(PLE!$G$14,$M114,BC$13)="",10^12,OFFSET(PLE!$G$14,$M114,BC$13))))</f>
        <v>1000000000000</v>
      </c>
      <c r="BD114" s="216">
        <f ca="1">IF($D114&lt;&gt;"Serviço",0,IF(OR(AND(AUTOEVENTO="Manual",$M114=1),$M114&gt;(ROW(PLE.lastrow)-ROW(PLE.firstrow))),0,IF(OFFSET(PLE!$G$14,$M114,BD$13)="",10^12,OFFSET(PLE!$G$14,$M114,BD$13))))</f>
        <v>1000000000000</v>
      </c>
      <c r="BE114" s="216">
        <f ca="1">IF($D114&lt;&gt;"Serviço",0,IF(OR(AND(AUTOEVENTO="Manual",$M114=1),$M114&gt;(ROW(PLE.lastrow)-ROW(PLE.firstrow))),0,IF(OFFSET(PLE!$G$14,$M114,BE$13)="",10^12,OFFSET(PLE!$G$14,$M114,BE$13))))</f>
        <v>1000000000000</v>
      </c>
      <c r="BF114" s="216">
        <f ca="1">IF($D114&lt;&gt;"Serviço",0,IF(OR(AND(AUTOEVENTO="Manual",$M114=1),$M114&gt;(ROW(PLE.lastrow)-ROW(PLE.firstrow))),0,IF(OFFSET(PLE!$G$14,$M114,BF$13)="",10^12,OFFSET(PLE!$G$14,$M114,BF$13))))</f>
        <v>1000000000000</v>
      </c>
      <c r="BG114" s="216">
        <f ca="1">IF($D114&lt;&gt;"Serviço",0,IF(OR(AND(AUTOEVENTO="Manual",$M114=1),$M114&gt;(ROW(PLE.lastrow)-ROW(PLE.firstrow))),0,IF(OFFSET(PLE!$G$14,$M114,BG$13)="",10^12,OFFSET(PLE!$G$14,$M114,BG$13))))</f>
        <v>1000000000000</v>
      </c>
    </row>
    <row r="115" spans="1:59" ht="25.5" x14ac:dyDescent="0.2">
      <c r="A115" s="9" t="str">
        <f t="shared" ca="1" si="10"/>
        <v>93</v>
      </c>
      <c r="B115" s="9" t="str">
        <f ca="1">OFFSET(ORÇAMENTO!C$15,ROW(B115)-ROW(B$15),0)</f>
        <v>S</v>
      </c>
      <c r="C115" s="9" t="str">
        <f ca="1">OFFSET(ORÇAMENTO!L$15,ROW(C115)-ROW(C$15),0)</f>
        <v/>
      </c>
      <c r="D115" s="145" t="str">
        <f ca="1">OFFSET(ORÇAMENTO!N$15,ROW(D115)-ROW(D$15),0)</f>
        <v>Serviço</v>
      </c>
      <c r="E115" s="205" t="str">
        <f ca="1">OFFSET(ORÇAMENTO!O$15,ROW(E115)-ROW(E$15),0)</f>
        <v>-</v>
      </c>
      <c r="F115" s="206" t="str">
        <f ca="1">OFFSET(ORÇAMENTO!R$15,ROW(F115)-ROW(F$15),0)</f>
        <v>TOMADA MÉDIA DE EMBUTIR (2 MÓDULOS), 2P+T 10 A, INCLUINDO SUPORTE E PLACA - FORNECIMENTO E INSTALAÇÃO. AF_03/2023</v>
      </c>
      <c r="G115" s="207" t="str">
        <f ca="1">IF($D115&lt;&gt;"Serviço","",OFFSET(ORÇAMENTO!S$15,ROW(G115)-ROW(G$15),0))</f>
        <v>UN</v>
      </c>
      <c r="H115" s="151">
        <f ca="1">IF($D115&lt;&gt;"Serviço",0,IF(ACOMPANHAMENTO="BM",ROUND(OFFSET(ORÇAMENTO!AJ$15,ROW(H115)-ROW(H$15),0),15-13*ORÇAMENTO!$AF$7),SUMPRODUCT(($Q$12:$AA$12&lt;&gt;"")*ROUND($Q115:$AA115,15-13*ORÇAMENTO!$AF$7))))</f>
        <v>49</v>
      </c>
      <c r="I115" s="649"/>
      <c r="K115" s="208"/>
      <c r="L115" s="209" t="s">
        <v>255</v>
      </c>
      <c r="M115" s="210">
        <f ca="1">IF($D115&lt;&gt;"Serviço","",IF(AUTOEVENTO="manual",$A115,IF(ISERROR(MATCH($A115,$A$15:OFFSET($A115,-1,0),0)),MAX($M$15:OFFSET(M115,-1,0))+1,INDEX($M$15:OFFSET(M115,-1,0),MATCH($A115,$A$15:OFFSET($A115,-1,0),0)))))</f>
        <v>19</v>
      </c>
      <c r="N115" s="211" t="str">
        <f ca="1">IF($D115&lt;&gt;"Serviço","",IF(AUTOEVENTO="Manual",IF($A115=0,"&lt;-- defina o número do agrupador",OFFSET(EVENTOS!$D$14,$A115,0)),OFFSET($F$15,$A115,0)))</f>
        <v xml:space="preserve">ELÉTRICA </v>
      </c>
      <c r="O115" s="212"/>
      <c r="Q115" s="212"/>
      <c r="R115" s="213"/>
      <c r="S115" s="213"/>
      <c r="T115" s="213"/>
      <c r="U115" s="213"/>
      <c r="V115" s="213"/>
      <c r="W115" s="213"/>
      <c r="X115" s="213"/>
      <c r="Y115" s="213"/>
      <c r="Z115" s="214"/>
      <c r="AB115" s="630">
        <f ca="1">IF(AND($D115="Serviço",AB$12&lt;&gt;0,$H115&gt;0,OR(AUTOEVENTO&lt;&gt;"manual",$M115&lt;&gt;1)),
IF(Import.TipoArredondamento&lt;&gt;"TransfereGOV",
ROUND(OFFSET($P115,0,AB$13),15-13*ORÇAMENTO!$AF$7)/$H115*OFFSET(ORÇAMENTO!$X$15,ROW(AB115)-ROW(AB$15),0),
ROUND(ROUND(OFFSET($P115,0,AB$13),15-13*ORÇAMENTO!$AF$7)*OFFSET(ORÇAMENTO!$W$15,ROW(AB115)-ROW(AB$15),0),15-13*ORÇAMENTO!$AF$11)),0)</f>
        <v>0</v>
      </c>
      <c r="AC115" s="631">
        <f ca="1">IF(AND($D115="Serviço",AC$12&lt;&gt;0,$H115&gt;0,OR(AUTOEVENTO&lt;&gt;"manual",$M115&lt;&gt;1)),
IF(Import.TipoArredondamento&lt;&gt;"TransfereGOV",
ROUND(OFFSET($P115,0,AC$13),15-13*ORÇAMENTO!$AF$7)/$H115*OFFSET(ORÇAMENTO!$X$15,ROW(AC115)-ROW(AC$15),0),
ROUND(ROUND(OFFSET($P115,0,AC$13),15-13*ORÇAMENTO!$AF$7)*OFFSET(ORÇAMENTO!$W$15,ROW(AC115)-ROW(AC$15),0),15-13*ORÇAMENTO!$AF$11)),0)</f>
        <v>0</v>
      </c>
      <c r="AD115" s="631">
        <f ca="1">IF(AND($D115="Serviço",AD$12&lt;&gt;0,$H115&gt;0,OR(AUTOEVENTO&lt;&gt;"manual",$M115&lt;&gt;1)),
IF(Import.TipoArredondamento&lt;&gt;"TransfereGOV",
ROUND(OFFSET($P115,0,AD$13),15-13*ORÇAMENTO!$AF$7)/$H115*OFFSET(ORÇAMENTO!$X$15,ROW(AD115)-ROW(AD$15),0),
ROUND(ROUND(OFFSET($P115,0,AD$13),15-13*ORÇAMENTO!$AF$7)*OFFSET(ORÇAMENTO!$W$15,ROW(AD115)-ROW(AD$15),0),15-13*ORÇAMENTO!$AF$11)),0)</f>
        <v>0</v>
      </c>
      <c r="AE115" s="631">
        <f ca="1">IF(AND($D115="Serviço",AE$12&lt;&gt;0,$H115&gt;0,OR(AUTOEVENTO&lt;&gt;"manual",$M115&lt;&gt;1)),
IF(Import.TipoArredondamento&lt;&gt;"TransfereGOV",
ROUND(OFFSET($P115,0,AE$13),15-13*ORÇAMENTO!$AF$7)/$H115*OFFSET(ORÇAMENTO!$X$15,ROW(AE115)-ROW(AE$15),0),
ROUND(ROUND(OFFSET($P115,0,AE$13),15-13*ORÇAMENTO!$AF$7)*OFFSET(ORÇAMENTO!$W$15,ROW(AE115)-ROW(AE$15),0),15-13*ORÇAMENTO!$AF$11)),0)</f>
        <v>0</v>
      </c>
      <c r="AF115" s="631">
        <f ca="1">IF(AND($D115="Serviço",AF$12&lt;&gt;0,$H115&gt;0,OR(AUTOEVENTO&lt;&gt;"manual",$M115&lt;&gt;1)),
IF(Import.TipoArredondamento&lt;&gt;"TransfereGOV",
ROUND(OFFSET($P115,0,AF$13),15-13*ORÇAMENTO!$AF$7)/$H115*OFFSET(ORÇAMENTO!$X$15,ROW(AF115)-ROW(AF$15),0),
ROUND(ROUND(OFFSET($P115,0,AF$13),15-13*ORÇAMENTO!$AF$7)*OFFSET(ORÇAMENTO!$W$15,ROW(AF115)-ROW(AF$15),0),15-13*ORÇAMENTO!$AF$11)),0)</f>
        <v>0</v>
      </c>
      <c r="AG115" s="631">
        <f ca="1">IF(AND($D115="Serviço",AG$12&lt;&gt;0,$H115&gt;0,OR(AUTOEVENTO&lt;&gt;"manual",$M115&lt;&gt;1)),
IF(Import.TipoArredondamento&lt;&gt;"TransfereGOV",
ROUND(OFFSET($P115,0,AG$13),15-13*ORÇAMENTO!$AF$7)/$H115*OFFSET(ORÇAMENTO!$X$15,ROW(AG115)-ROW(AG$15),0),
ROUND(ROUND(OFFSET($P115,0,AG$13),15-13*ORÇAMENTO!$AF$7)*OFFSET(ORÇAMENTO!$W$15,ROW(AG115)-ROW(AG$15),0),15-13*ORÇAMENTO!$AF$11)),0)</f>
        <v>0</v>
      </c>
      <c r="AH115" s="631">
        <f ca="1">IF(AND($D115="Serviço",AH$12&lt;&gt;0,$H115&gt;0,OR(AUTOEVENTO&lt;&gt;"manual",$M115&lt;&gt;1)),
IF(Import.TipoArredondamento&lt;&gt;"TransfereGOV",
ROUND(OFFSET($P115,0,AH$13),15-13*ORÇAMENTO!$AF$7)/$H115*OFFSET(ORÇAMENTO!$X$15,ROW(AH115)-ROW(AH$15),0),
ROUND(ROUND(OFFSET($P115,0,AH$13),15-13*ORÇAMENTO!$AF$7)*OFFSET(ORÇAMENTO!$W$15,ROW(AH115)-ROW(AH$15),0),15-13*ORÇAMENTO!$AF$11)),0)</f>
        <v>0</v>
      </c>
      <c r="AI115" s="631">
        <f ca="1">IF(AND($D115="Serviço",AI$12&lt;&gt;0,$H115&gt;0,OR(AUTOEVENTO&lt;&gt;"manual",$M115&lt;&gt;1)),
IF(Import.TipoArredondamento&lt;&gt;"TransfereGOV",
ROUND(OFFSET($P115,0,AI$13),15-13*ORÇAMENTO!$AF$7)/$H115*OFFSET(ORÇAMENTO!$X$15,ROW(AI115)-ROW(AI$15),0),
ROUND(ROUND(OFFSET($P115,0,AI$13),15-13*ORÇAMENTO!$AF$7)*OFFSET(ORÇAMENTO!$W$15,ROW(AI115)-ROW(AI$15),0),15-13*ORÇAMENTO!$AF$11)),0)</f>
        <v>0</v>
      </c>
      <c r="AJ115" s="631">
        <f ca="1">IF(AND($D115="Serviço",AJ$12&lt;&gt;0,$H115&gt;0,OR(AUTOEVENTO&lt;&gt;"manual",$M115&lt;&gt;1)),
IF(Import.TipoArredondamento&lt;&gt;"TransfereGOV",
ROUND(OFFSET($P115,0,AJ$13),15-13*ORÇAMENTO!$AF$7)/$H115*OFFSET(ORÇAMENTO!$X$15,ROW(AJ115)-ROW(AJ$15),0),
ROUND(ROUND(OFFSET($P115,0,AJ$13),15-13*ORÇAMENTO!$AF$7)*OFFSET(ORÇAMENTO!$W$15,ROW(AJ115)-ROW(AJ$15),0),15-13*ORÇAMENTO!$AF$11)),0)</f>
        <v>0</v>
      </c>
      <c r="AK115" s="632">
        <f ca="1">IF(AND($D115="Serviço",AK$12&lt;&gt;0,$H115&gt;0,OR(AUTOEVENTO&lt;&gt;"manual",$M115&lt;&gt;1)),
IF(Import.TipoArredondamento&lt;&gt;"TransfereGOV",
ROUND(OFFSET($P115,0,AK$13),15-13*ORÇAMENTO!$AF$7)/$H115*OFFSET(ORÇAMENTO!$X$15,ROW(AK115)-ROW(AK$15),0),
ROUND(ROUND(OFFSET($P115,0,AK$13),15-13*ORÇAMENTO!$AF$7)*OFFSET(ORÇAMENTO!$W$15,ROW(AK115)-ROW(AK$15),0),15-13*ORÇAMENTO!$AF$11)),0)</f>
        <v>0</v>
      </c>
      <c r="AM115" s="215">
        <f ca="1">IF($D115&lt;&gt;"Serviço",0,IF(AND(AUTOEVENTO="Manual",$M115=1),0,IF(OFFSET(CRONOPLE!$F$14,$M115,AM$13)="",10^12,OFFSET(CRONOPLE!$F$14,$M115,AM$13))))</f>
        <v>1000000000000</v>
      </c>
      <c r="AN115" s="215">
        <f ca="1">IF($D115&lt;&gt;"Serviço",0,IF(AND(AUTOEVENTO="Manual",$M115=1),0,IF(OFFSET(CRONOPLE!$F$14,$M115,AN$13)="",10^12,OFFSET(CRONOPLE!$F$14,$M115,AN$13))))</f>
        <v>1000000000000</v>
      </c>
      <c r="AO115" s="215">
        <f ca="1">IF($D115&lt;&gt;"Serviço",0,IF(AND(AUTOEVENTO="Manual",$M115=1),0,IF(OFFSET(CRONOPLE!$F$14,$M115,AO$13)="",10^12,OFFSET(CRONOPLE!$F$14,$M115,AO$13))))</f>
        <v>1000000000000</v>
      </c>
      <c r="AP115" s="215">
        <f ca="1">IF($D115&lt;&gt;"Serviço",0,IF(AND(AUTOEVENTO="Manual",$M115=1),0,IF(OFFSET(CRONOPLE!$F$14,$M115,AP$13)="",10^12,OFFSET(CRONOPLE!$F$14,$M115,AP$13))))</f>
        <v>1000000000000</v>
      </c>
      <c r="AQ115" s="215">
        <f ca="1">IF($D115&lt;&gt;"Serviço",0,IF(AND(AUTOEVENTO="Manual",$M115=1),0,IF(OFFSET(CRONOPLE!$F$14,$M115,AQ$13)="",10^12,OFFSET(CRONOPLE!$F$14,$M115,AQ$13))))</f>
        <v>1000000000000</v>
      </c>
      <c r="AR115" s="215">
        <f ca="1">IF($D115&lt;&gt;"Serviço",0,IF(AND(AUTOEVENTO="Manual",$M115=1),0,IF(OFFSET(CRONOPLE!$F$14,$M115,AR$13)="",10^12,OFFSET(CRONOPLE!$F$14,$M115,AR$13))))</f>
        <v>1000000000000</v>
      </c>
      <c r="AS115" s="215">
        <f ca="1">IF($D115&lt;&gt;"Serviço",0,IF(AND(AUTOEVENTO="Manual",$M115=1),0,IF(OFFSET(CRONOPLE!$F$14,$M115,AS$13)="",10^12,OFFSET(CRONOPLE!$F$14,$M115,AS$13))))</f>
        <v>1000000000000</v>
      </c>
      <c r="AT115" s="215">
        <f ca="1">IF($D115&lt;&gt;"Serviço",0,IF(AND(AUTOEVENTO="Manual",$M115=1),0,IF(OFFSET(CRONOPLE!$F$14,$M115,AT$13)="",10^12,OFFSET(CRONOPLE!$F$14,$M115,AT$13))))</f>
        <v>1000000000000</v>
      </c>
      <c r="AU115" s="215">
        <f ca="1">IF($D115&lt;&gt;"Serviço",0,IF(AND(AUTOEVENTO="Manual",$M115=1),0,IF(OFFSET(CRONOPLE!$F$14,$M115,AU$13)="",10^12,OFFSET(CRONOPLE!$F$14,$M115,AU$13))))</f>
        <v>1000000000000</v>
      </c>
      <c r="AV115" s="215">
        <f ca="1">IF($D115&lt;&gt;"Serviço",0,IF(AND(AUTOEVENTO="Manual",$M115=1),0,IF(OFFSET(CRONOPLE!$F$14,$M115,AV$13)="",10^12,OFFSET(CRONOPLE!$F$14,$M115,AV$13))))</f>
        <v>1000000000000</v>
      </c>
      <c r="AX115" s="216">
        <f ca="1">IF($D115&lt;&gt;"Serviço",0,IF(OR(AND(AUTOEVENTO="Manual",$M115=1),$M115&gt;(ROW(PLE.lastrow)-ROW(PLE.firstrow))),0,IF(OFFSET(PLE!$G$14,$M115,AX$13)="",10^12,OFFSET(PLE!$G$14,$M115,AX$13))))</f>
        <v>1000000000000</v>
      </c>
      <c r="AY115" s="216">
        <f ca="1">IF($D115&lt;&gt;"Serviço",0,IF(OR(AND(AUTOEVENTO="Manual",$M115=1),$M115&gt;(ROW(PLE.lastrow)-ROW(PLE.firstrow))),0,IF(OFFSET(PLE!$G$14,$M115,AY$13)="",10^12,OFFSET(PLE!$G$14,$M115,AY$13))))</f>
        <v>1000000000000</v>
      </c>
      <c r="AZ115" s="216">
        <f ca="1">IF($D115&lt;&gt;"Serviço",0,IF(OR(AND(AUTOEVENTO="Manual",$M115=1),$M115&gt;(ROW(PLE.lastrow)-ROW(PLE.firstrow))),0,IF(OFFSET(PLE!$G$14,$M115,AZ$13)="",10^12,OFFSET(PLE!$G$14,$M115,AZ$13))))</f>
        <v>1000000000000</v>
      </c>
      <c r="BA115" s="216">
        <f ca="1">IF($D115&lt;&gt;"Serviço",0,IF(OR(AND(AUTOEVENTO="Manual",$M115=1),$M115&gt;(ROW(PLE.lastrow)-ROW(PLE.firstrow))),0,IF(OFFSET(PLE!$G$14,$M115,BA$13)="",10^12,OFFSET(PLE!$G$14,$M115,BA$13))))</f>
        <v>1000000000000</v>
      </c>
      <c r="BB115" s="216">
        <f ca="1">IF($D115&lt;&gt;"Serviço",0,IF(OR(AND(AUTOEVENTO="Manual",$M115=1),$M115&gt;(ROW(PLE.lastrow)-ROW(PLE.firstrow))),0,IF(OFFSET(PLE!$G$14,$M115,BB$13)="",10^12,OFFSET(PLE!$G$14,$M115,BB$13))))</f>
        <v>1000000000000</v>
      </c>
      <c r="BC115" s="216">
        <f ca="1">IF($D115&lt;&gt;"Serviço",0,IF(OR(AND(AUTOEVENTO="Manual",$M115=1),$M115&gt;(ROW(PLE.lastrow)-ROW(PLE.firstrow))),0,IF(OFFSET(PLE!$G$14,$M115,BC$13)="",10^12,OFFSET(PLE!$G$14,$M115,BC$13))))</f>
        <v>1000000000000</v>
      </c>
      <c r="BD115" s="216">
        <f ca="1">IF($D115&lt;&gt;"Serviço",0,IF(OR(AND(AUTOEVENTO="Manual",$M115=1),$M115&gt;(ROW(PLE.lastrow)-ROW(PLE.firstrow))),0,IF(OFFSET(PLE!$G$14,$M115,BD$13)="",10^12,OFFSET(PLE!$G$14,$M115,BD$13))))</f>
        <v>1000000000000</v>
      </c>
      <c r="BE115" s="216">
        <f ca="1">IF($D115&lt;&gt;"Serviço",0,IF(OR(AND(AUTOEVENTO="Manual",$M115=1),$M115&gt;(ROW(PLE.lastrow)-ROW(PLE.firstrow))),0,IF(OFFSET(PLE!$G$14,$M115,BE$13)="",10^12,OFFSET(PLE!$G$14,$M115,BE$13))))</f>
        <v>1000000000000</v>
      </c>
      <c r="BF115" s="216">
        <f ca="1">IF($D115&lt;&gt;"Serviço",0,IF(OR(AND(AUTOEVENTO="Manual",$M115=1),$M115&gt;(ROW(PLE.lastrow)-ROW(PLE.firstrow))),0,IF(OFFSET(PLE!$G$14,$M115,BF$13)="",10^12,OFFSET(PLE!$G$14,$M115,BF$13))))</f>
        <v>1000000000000</v>
      </c>
      <c r="BG115" s="216">
        <f ca="1">IF($D115&lt;&gt;"Serviço",0,IF(OR(AND(AUTOEVENTO="Manual",$M115=1),$M115&gt;(ROW(PLE.lastrow)-ROW(PLE.firstrow))),0,IF(OFFSET(PLE!$G$14,$M115,BG$13)="",10^12,OFFSET(PLE!$G$14,$M115,BG$13))))</f>
        <v>1000000000000</v>
      </c>
    </row>
    <row r="116" spans="1:59" ht="38.25" x14ac:dyDescent="0.2">
      <c r="A116" s="9" t="str">
        <f t="shared" ca="1" si="10"/>
        <v>93</v>
      </c>
      <c r="B116" s="9" t="str">
        <f ca="1">OFFSET(ORÇAMENTO!C$15,ROW(B116)-ROW(B$15),0)</f>
        <v>S</v>
      </c>
      <c r="C116" s="9" t="str">
        <f ca="1">OFFSET(ORÇAMENTO!L$15,ROW(C116)-ROW(C$15),0)</f>
        <v/>
      </c>
      <c r="D116" s="145" t="str">
        <f ca="1">OFFSET(ORÇAMENTO!N$15,ROW(D116)-ROW(D$15),0)</f>
        <v>Serviço</v>
      </c>
      <c r="E116" s="205" t="str">
        <f ca="1">OFFSET(ORÇAMENTO!O$15,ROW(E116)-ROW(E$15),0)</f>
        <v>-</v>
      </c>
      <c r="F116" s="206" t="str">
        <f ca="1">OFFSET(ORÇAMENTO!R$15,ROW(F116)-ROW(F$15),0)</f>
        <v>INTERRUPTOR SIMPLES (1 MÓDULO) COM 1 TOMADA DE EMBUTIR 2P+T 10 A, INCLUINDO SUPORTE E PLACA - FORNECIMENTO E INSTALAÇÃO. AF_03/2023</v>
      </c>
      <c r="G116" s="207" t="str">
        <f ca="1">IF($D116&lt;&gt;"Serviço","",OFFSET(ORÇAMENTO!S$15,ROW(G116)-ROW(G$15),0))</f>
        <v>UN</v>
      </c>
      <c r="H116" s="151">
        <f ca="1">IF($D116&lt;&gt;"Serviço",0,IF(ACOMPANHAMENTO="BM",ROUND(OFFSET(ORÇAMENTO!AJ$15,ROW(H116)-ROW(H$15),0),15-13*ORÇAMENTO!$AF$7),SUMPRODUCT(($Q$12:$AA$12&lt;&gt;"")*ROUND($Q116:$AA116,15-13*ORÇAMENTO!$AF$7))))</f>
        <v>14</v>
      </c>
      <c r="I116" s="649"/>
      <c r="K116" s="208"/>
      <c r="L116" s="209" t="s">
        <v>255</v>
      </c>
      <c r="M116" s="210">
        <f ca="1">IF($D116&lt;&gt;"Serviço","",IF(AUTOEVENTO="manual",$A116,IF(ISERROR(MATCH($A116,$A$15:OFFSET($A116,-1,0),0)),MAX($M$15:OFFSET(M116,-1,0))+1,INDEX($M$15:OFFSET(M116,-1,0),MATCH($A116,$A$15:OFFSET($A116,-1,0),0)))))</f>
        <v>19</v>
      </c>
      <c r="N116" s="211" t="str">
        <f ca="1">IF($D116&lt;&gt;"Serviço","",IF(AUTOEVENTO="Manual",IF($A116=0,"&lt;-- defina o número do agrupador",OFFSET(EVENTOS!$D$14,$A116,0)),OFFSET($F$15,$A116,0)))</f>
        <v xml:space="preserve">ELÉTRICA </v>
      </c>
      <c r="O116" s="212"/>
      <c r="Q116" s="212"/>
      <c r="R116" s="213"/>
      <c r="S116" s="213"/>
      <c r="T116" s="213"/>
      <c r="U116" s="213"/>
      <c r="V116" s="213"/>
      <c r="W116" s="213"/>
      <c r="X116" s="213"/>
      <c r="Y116" s="213"/>
      <c r="Z116" s="214"/>
      <c r="AB116" s="630">
        <f ca="1">IF(AND($D116="Serviço",AB$12&lt;&gt;0,$H116&gt;0,OR(AUTOEVENTO&lt;&gt;"manual",$M116&lt;&gt;1)),
IF(Import.TipoArredondamento&lt;&gt;"TransfereGOV",
ROUND(OFFSET($P116,0,AB$13),15-13*ORÇAMENTO!$AF$7)/$H116*OFFSET(ORÇAMENTO!$X$15,ROW(AB116)-ROW(AB$15),0),
ROUND(ROUND(OFFSET($P116,0,AB$13),15-13*ORÇAMENTO!$AF$7)*OFFSET(ORÇAMENTO!$W$15,ROW(AB116)-ROW(AB$15),0),15-13*ORÇAMENTO!$AF$11)),0)</f>
        <v>0</v>
      </c>
      <c r="AC116" s="631">
        <f ca="1">IF(AND($D116="Serviço",AC$12&lt;&gt;0,$H116&gt;0,OR(AUTOEVENTO&lt;&gt;"manual",$M116&lt;&gt;1)),
IF(Import.TipoArredondamento&lt;&gt;"TransfereGOV",
ROUND(OFFSET($P116,0,AC$13),15-13*ORÇAMENTO!$AF$7)/$H116*OFFSET(ORÇAMENTO!$X$15,ROW(AC116)-ROW(AC$15),0),
ROUND(ROUND(OFFSET($P116,0,AC$13),15-13*ORÇAMENTO!$AF$7)*OFFSET(ORÇAMENTO!$W$15,ROW(AC116)-ROW(AC$15),0),15-13*ORÇAMENTO!$AF$11)),0)</f>
        <v>0</v>
      </c>
      <c r="AD116" s="631">
        <f ca="1">IF(AND($D116="Serviço",AD$12&lt;&gt;0,$H116&gt;0,OR(AUTOEVENTO&lt;&gt;"manual",$M116&lt;&gt;1)),
IF(Import.TipoArredondamento&lt;&gt;"TransfereGOV",
ROUND(OFFSET($P116,0,AD$13),15-13*ORÇAMENTO!$AF$7)/$H116*OFFSET(ORÇAMENTO!$X$15,ROW(AD116)-ROW(AD$15),0),
ROUND(ROUND(OFFSET($P116,0,AD$13),15-13*ORÇAMENTO!$AF$7)*OFFSET(ORÇAMENTO!$W$15,ROW(AD116)-ROW(AD$15),0),15-13*ORÇAMENTO!$AF$11)),0)</f>
        <v>0</v>
      </c>
      <c r="AE116" s="631">
        <f ca="1">IF(AND($D116="Serviço",AE$12&lt;&gt;0,$H116&gt;0,OR(AUTOEVENTO&lt;&gt;"manual",$M116&lt;&gt;1)),
IF(Import.TipoArredondamento&lt;&gt;"TransfereGOV",
ROUND(OFFSET($P116,0,AE$13),15-13*ORÇAMENTO!$AF$7)/$H116*OFFSET(ORÇAMENTO!$X$15,ROW(AE116)-ROW(AE$15),0),
ROUND(ROUND(OFFSET($P116,0,AE$13),15-13*ORÇAMENTO!$AF$7)*OFFSET(ORÇAMENTO!$W$15,ROW(AE116)-ROW(AE$15),0),15-13*ORÇAMENTO!$AF$11)),0)</f>
        <v>0</v>
      </c>
      <c r="AF116" s="631">
        <f ca="1">IF(AND($D116="Serviço",AF$12&lt;&gt;0,$H116&gt;0,OR(AUTOEVENTO&lt;&gt;"manual",$M116&lt;&gt;1)),
IF(Import.TipoArredondamento&lt;&gt;"TransfereGOV",
ROUND(OFFSET($P116,0,AF$13),15-13*ORÇAMENTO!$AF$7)/$H116*OFFSET(ORÇAMENTO!$X$15,ROW(AF116)-ROW(AF$15),0),
ROUND(ROUND(OFFSET($P116,0,AF$13),15-13*ORÇAMENTO!$AF$7)*OFFSET(ORÇAMENTO!$W$15,ROW(AF116)-ROW(AF$15),0),15-13*ORÇAMENTO!$AF$11)),0)</f>
        <v>0</v>
      </c>
      <c r="AG116" s="631">
        <f ca="1">IF(AND($D116="Serviço",AG$12&lt;&gt;0,$H116&gt;0,OR(AUTOEVENTO&lt;&gt;"manual",$M116&lt;&gt;1)),
IF(Import.TipoArredondamento&lt;&gt;"TransfereGOV",
ROUND(OFFSET($P116,0,AG$13),15-13*ORÇAMENTO!$AF$7)/$H116*OFFSET(ORÇAMENTO!$X$15,ROW(AG116)-ROW(AG$15),0),
ROUND(ROUND(OFFSET($P116,0,AG$13),15-13*ORÇAMENTO!$AF$7)*OFFSET(ORÇAMENTO!$W$15,ROW(AG116)-ROW(AG$15),0),15-13*ORÇAMENTO!$AF$11)),0)</f>
        <v>0</v>
      </c>
      <c r="AH116" s="631">
        <f ca="1">IF(AND($D116="Serviço",AH$12&lt;&gt;0,$H116&gt;0,OR(AUTOEVENTO&lt;&gt;"manual",$M116&lt;&gt;1)),
IF(Import.TipoArredondamento&lt;&gt;"TransfereGOV",
ROUND(OFFSET($P116,0,AH$13),15-13*ORÇAMENTO!$AF$7)/$H116*OFFSET(ORÇAMENTO!$X$15,ROW(AH116)-ROW(AH$15),0),
ROUND(ROUND(OFFSET($P116,0,AH$13),15-13*ORÇAMENTO!$AF$7)*OFFSET(ORÇAMENTO!$W$15,ROW(AH116)-ROW(AH$15),0),15-13*ORÇAMENTO!$AF$11)),0)</f>
        <v>0</v>
      </c>
      <c r="AI116" s="631">
        <f ca="1">IF(AND($D116="Serviço",AI$12&lt;&gt;0,$H116&gt;0,OR(AUTOEVENTO&lt;&gt;"manual",$M116&lt;&gt;1)),
IF(Import.TipoArredondamento&lt;&gt;"TransfereGOV",
ROUND(OFFSET($P116,0,AI$13),15-13*ORÇAMENTO!$AF$7)/$H116*OFFSET(ORÇAMENTO!$X$15,ROW(AI116)-ROW(AI$15),0),
ROUND(ROUND(OFFSET($P116,0,AI$13),15-13*ORÇAMENTO!$AF$7)*OFFSET(ORÇAMENTO!$W$15,ROW(AI116)-ROW(AI$15),0),15-13*ORÇAMENTO!$AF$11)),0)</f>
        <v>0</v>
      </c>
      <c r="AJ116" s="631">
        <f ca="1">IF(AND($D116="Serviço",AJ$12&lt;&gt;0,$H116&gt;0,OR(AUTOEVENTO&lt;&gt;"manual",$M116&lt;&gt;1)),
IF(Import.TipoArredondamento&lt;&gt;"TransfereGOV",
ROUND(OFFSET($P116,0,AJ$13),15-13*ORÇAMENTO!$AF$7)/$H116*OFFSET(ORÇAMENTO!$X$15,ROW(AJ116)-ROW(AJ$15),0),
ROUND(ROUND(OFFSET($P116,0,AJ$13),15-13*ORÇAMENTO!$AF$7)*OFFSET(ORÇAMENTO!$W$15,ROW(AJ116)-ROW(AJ$15),0),15-13*ORÇAMENTO!$AF$11)),0)</f>
        <v>0</v>
      </c>
      <c r="AK116" s="632">
        <f ca="1">IF(AND($D116="Serviço",AK$12&lt;&gt;0,$H116&gt;0,OR(AUTOEVENTO&lt;&gt;"manual",$M116&lt;&gt;1)),
IF(Import.TipoArredondamento&lt;&gt;"TransfereGOV",
ROUND(OFFSET($P116,0,AK$13),15-13*ORÇAMENTO!$AF$7)/$H116*OFFSET(ORÇAMENTO!$X$15,ROW(AK116)-ROW(AK$15),0),
ROUND(ROUND(OFFSET($P116,0,AK$13),15-13*ORÇAMENTO!$AF$7)*OFFSET(ORÇAMENTO!$W$15,ROW(AK116)-ROW(AK$15),0),15-13*ORÇAMENTO!$AF$11)),0)</f>
        <v>0</v>
      </c>
      <c r="AM116" s="215">
        <f ca="1">IF($D116&lt;&gt;"Serviço",0,IF(AND(AUTOEVENTO="Manual",$M116=1),0,IF(OFFSET(CRONOPLE!$F$14,$M116,AM$13)="",10^12,OFFSET(CRONOPLE!$F$14,$M116,AM$13))))</f>
        <v>1000000000000</v>
      </c>
      <c r="AN116" s="215">
        <f ca="1">IF($D116&lt;&gt;"Serviço",0,IF(AND(AUTOEVENTO="Manual",$M116=1),0,IF(OFFSET(CRONOPLE!$F$14,$M116,AN$13)="",10^12,OFFSET(CRONOPLE!$F$14,$M116,AN$13))))</f>
        <v>1000000000000</v>
      </c>
      <c r="AO116" s="215">
        <f ca="1">IF($D116&lt;&gt;"Serviço",0,IF(AND(AUTOEVENTO="Manual",$M116=1),0,IF(OFFSET(CRONOPLE!$F$14,$M116,AO$13)="",10^12,OFFSET(CRONOPLE!$F$14,$M116,AO$13))))</f>
        <v>1000000000000</v>
      </c>
      <c r="AP116" s="215">
        <f ca="1">IF($D116&lt;&gt;"Serviço",0,IF(AND(AUTOEVENTO="Manual",$M116=1),0,IF(OFFSET(CRONOPLE!$F$14,$M116,AP$13)="",10^12,OFFSET(CRONOPLE!$F$14,$M116,AP$13))))</f>
        <v>1000000000000</v>
      </c>
      <c r="AQ116" s="215">
        <f ca="1">IF($D116&lt;&gt;"Serviço",0,IF(AND(AUTOEVENTO="Manual",$M116=1),0,IF(OFFSET(CRONOPLE!$F$14,$M116,AQ$13)="",10^12,OFFSET(CRONOPLE!$F$14,$M116,AQ$13))))</f>
        <v>1000000000000</v>
      </c>
      <c r="AR116" s="215">
        <f ca="1">IF($D116&lt;&gt;"Serviço",0,IF(AND(AUTOEVENTO="Manual",$M116=1),0,IF(OFFSET(CRONOPLE!$F$14,$M116,AR$13)="",10^12,OFFSET(CRONOPLE!$F$14,$M116,AR$13))))</f>
        <v>1000000000000</v>
      </c>
      <c r="AS116" s="215">
        <f ca="1">IF($D116&lt;&gt;"Serviço",0,IF(AND(AUTOEVENTO="Manual",$M116=1),0,IF(OFFSET(CRONOPLE!$F$14,$M116,AS$13)="",10^12,OFFSET(CRONOPLE!$F$14,$M116,AS$13))))</f>
        <v>1000000000000</v>
      </c>
      <c r="AT116" s="215">
        <f ca="1">IF($D116&lt;&gt;"Serviço",0,IF(AND(AUTOEVENTO="Manual",$M116=1),0,IF(OFFSET(CRONOPLE!$F$14,$M116,AT$13)="",10^12,OFFSET(CRONOPLE!$F$14,$M116,AT$13))))</f>
        <v>1000000000000</v>
      </c>
      <c r="AU116" s="215">
        <f ca="1">IF($D116&lt;&gt;"Serviço",0,IF(AND(AUTOEVENTO="Manual",$M116=1),0,IF(OFFSET(CRONOPLE!$F$14,$M116,AU$13)="",10^12,OFFSET(CRONOPLE!$F$14,$M116,AU$13))))</f>
        <v>1000000000000</v>
      </c>
      <c r="AV116" s="215">
        <f ca="1">IF($D116&lt;&gt;"Serviço",0,IF(AND(AUTOEVENTO="Manual",$M116=1),0,IF(OFFSET(CRONOPLE!$F$14,$M116,AV$13)="",10^12,OFFSET(CRONOPLE!$F$14,$M116,AV$13))))</f>
        <v>1000000000000</v>
      </c>
      <c r="AX116" s="216">
        <f ca="1">IF($D116&lt;&gt;"Serviço",0,IF(OR(AND(AUTOEVENTO="Manual",$M116=1),$M116&gt;(ROW(PLE.lastrow)-ROW(PLE.firstrow))),0,IF(OFFSET(PLE!$G$14,$M116,AX$13)="",10^12,OFFSET(PLE!$G$14,$M116,AX$13))))</f>
        <v>1000000000000</v>
      </c>
      <c r="AY116" s="216">
        <f ca="1">IF($D116&lt;&gt;"Serviço",0,IF(OR(AND(AUTOEVENTO="Manual",$M116=1),$M116&gt;(ROW(PLE.lastrow)-ROW(PLE.firstrow))),0,IF(OFFSET(PLE!$G$14,$M116,AY$13)="",10^12,OFFSET(PLE!$G$14,$M116,AY$13))))</f>
        <v>1000000000000</v>
      </c>
      <c r="AZ116" s="216">
        <f ca="1">IF($D116&lt;&gt;"Serviço",0,IF(OR(AND(AUTOEVENTO="Manual",$M116=1),$M116&gt;(ROW(PLE.lastrow)-ROW(PLE.firstrow))),0,IF(OFFSET(PLE!$G$14,$M116,AZ$13)="",10^12,OFFSET(PLE!$G$14,$M116,AZ$13))))</f>
        <v>1000000000000</v>
      </c>
      <c r="BA116" s="216">
        <f ca="1">IF($D116&lt;&gt;"Serviço",0,IF(OR(AND(AUTOEVENTO="Manual",$M116=1),$M116&gt;(ROW(PLE.lastrow)-ROW(PLE.firstrow))),0,IF(OFFSET(PLE!$G$14,$M116,BA$13)="",10^12,OFFSET(PLE!$G$14,$M116,BA$13))))</f>
        <v>1000000000000</v>
      </c>
      <c r="BB116" s="216">
        <f ca="1">IF($D116&lt;&gt;"Serviço",0,IF(OR(AND(AUTOEVENTO="Manual",$M116=1),$M116&gt;(ROW(PLE.lastrow)-ROW(PLE.firstrow))),0,IF(OFFSET(PLE!$G$14,$M116,BB$13)="",10^12,OFFSET(PLE!$G$14,$M116,BB$13))))</f>
        <v>1000000000000</v>
      </c>
      <c r="BC116" s="216">
        <f ca="1">IF($D116&lt;&gt;"Serviço",0,IF(OR(AND(AUTOEVENTO="Manual",$M116=1),$M116&gt;(ROW(PLE.lastrow)-ROW(PLE.firstrow))),0,IF(OFFSET(PLE!$G$14,$M116,BC$13)="",10^12,OFFSET(PLE!$G$14,$M116,BC$13))))</f>
        <v>1000000000000</v>
      </c>
      <c r="BD116" s="216">
        <f ca="1">IF($D116&lt;&gt;"Serviço",0,IF(OR(AND(AUTOEVENTO="Manual",$M116=1),$M116&gt;(ROW(PLE.lastrow)-ROW(PLE.firstrow))),0,IF(OFFSET(PLE!$G$14,$M116,BD$13)="",10^12,OFFSET(PLE!$G$14,$M116,BD$13))))</f>
        <v>1000000000000</v>
      </c>
      <c r="BE116" s="216">
        <f ca="1">IF($D116&lt;&gt;"Serviço",0,IF(OR(AND(AUTOEVENTO="Manual",$M116=1),$M116&gt;(ROW(PLE.lastrow)-ROW(PLE.firstrow))),0,IF(OFFSET(PLE!$G$14,$M116,BE$13)="",10^12,OFFSET(PLE!$G$14,$M116,BE$13))))</f>
        <v>1000000000000</v>
      </c>
      <c r="BF116" s="216">
        <f ca="1">IF($D116&lt;&gt;"Serviço",0,IF(OR(AND(AUTOEVENTO="Manual",$M116=1),$M116&gt;(ROW(PLE.lastrow)-ROW(PLE.firstrow))),0,IF(OFFSET(PLE!$G$14,$M116,BF$13)="",10^12,OFFSET(PLE!$G$14,$M116,BF$13))))</f>
        <v>1000000000000</v>
      </c>
      <c r="BG116" s="216">
        <f ca="1">IF($D116&lt;&gt;"Serviço",0,IF(OR(AND(AUTOEVENTO="Manual",$M116=1),$M116&gt;(ROW(PLE.lastrow)-ROW(PLE.firstrow))),0,IF(OFFSET(PLE!$G$14,$M116,BG$13)="",10^12,OFFSET(PLE!$G$14,$M116,BG$13))))</f>
        <v>1000000000000</v>
      </c>
    </row>
    <row r="117" spans="1:59" ht="38.25" x14ac:dyDescent="0.2">
      <c r="A117" s="9" t="str">
        <f t="shared" ca="1" si="10"/>
        <v>93</v>
      </c>
      <c r="B117" s="9" t="str">
        <f ca="1">OFFSET(ORÇAMENTO!C$15,ROW(B117)-ROW(B$15),0)</f>
        <v>S</v>
      </c>
      <c r="C117" s="9" t="str">
        <f ca="1">OFFSET(ORÇAMENTO!L$15,ROW(C117)-ROW(C$15),0)</f>
        <v/>
      </c>
      <c r="D117" s="145" t="str">
        <f ca="1">OFFSET(ORÇAMENTO!N$15,ROW(D117)-ROW(D$15),0)</f>
        <v>Serviço</v>
      </c>
      <c r="E117" s="205" t="str">
        <f ca="1">OFFSET(ORÇAMENTO!O$15,ROW(E117)-ROW(E$15),0)</f>
        <v>-</v>
      </c>
      <c r="F117" s="206" t="str">
        <f ca="1">OFFSET(ORÇAMENTO!R$15,ROW(F117)-ROW(F$15),0)</f>
        <v>INTERRUPTOR SIMPLES (2 MÓDULOS) COM 1 TOMADA DE EMBUTIR 2P+T 10 A, INCLUINDO SUPORTE E PLACA - FORNECIMENTO E INSTALAÇÃO. AF_03/2023</v>
      </c>
      <c r="G117" s="207" t="str">
        <f ca="1">IF($D117&lt;&gt;"Serviço","",OFFSET(ORÇAMENTO!S$15,ROW(G117)-ROW(G$15),0))</f>
        <v>UN</v>
      </c>
      <c r="H117" s="151">
        <f ca="1">IF($D117&lt;&gt;"Serviço",0,IF(ACOMPANHAMENTO="BM",ROUND(OFFSET(ORÇAMENTO!AJ$15,ROW(H117)-ROW(H$15),0),15-13*ORÇAMENTO!$AF$7),SUMPRODUCT(($Q$12:$AA$12&lt;&gt;"")*ROUND($Q117:$AA117,15-13*ORÇAMENTO!$AF$7))))</f>
        <v>1</v>
      </c>
      <c r="I117" s="649"/>
      <c r="K117" s="208"/>
      <c r="L117" s="209" t="s">
        <v>255</v>
      </c>
      <c r="M117" s="210">
        <f ca="1">IF($D117&lt;&gt;"Serviço","",IF(AUTOEVENTO="manual",$A117,IF(ISERROR(MATCH($A117,$A$15:OFFSET($A117,-1,0),0)),MAX($M$15:OFFSET(M117,-1,0))+1,INDEX($M$15:OFFSET(M117,-1,0),MATCH($A117,$A$15:OFFSET($A117,-1,0),0)))))</f>
        <v>19</v>
      </c>
      <c r="N117" s="211" t="str">
        <f ca="1">IF($D117&lt;&gt;"Serviço","",IF(AUTOEVENTO="Manual",IF($A117=0,"&lt;-- defina o número do agrupador",OFFSET(EVENTOS!$D$14,$A117,0)),OFFSET($F$15,$A117,0)))</f>
        <v xml:space="preserve">ELÉTRICA </v>
      </c>
      <c r="O117" s="212"/>
      <c r="Q117" s="212"/>
      <c r="R117" s="213"/>
      <c r="S117" s="213"/>
      <c r="T117" s="213"/>
      <c r="U117" s="213"/>
      <c r="V117" s="213"/>
      <c r="W117" s="213"/>
      <c r="X117" s="213"/>
      <c r="Y117" s="213"/>
      <c r="Z117" s="214"/>
      <c r="AB117" s="630">
        <f ca="1">IF(AND($D117="Serviço",AB$12&lt;&gt;0,$H117&gt;0,OR(AUTOEVENTO&lt;&gt;"manual",$M117&lt;&gt;1)),
IF(Import.TipoArredondamento&lt;&gt;"TransfereGOV",
ROUND(OFFSET($P117,0,AB$13),15-13*ORÇAMENTO!$AF$7)/$H117*OFFSET(ORÇAMENTO!$X$15,ROW(AB117)-ROW(AB$15),0),
ROUND(ROUND(OFFSET($P117,0,AB$13),15-13*ORÇAMENTO!$AF$7)*OFFSET(ORÇAMENTO!$W$15,ROW(AB117)-ROW(AB$15),0),15-13*ORÇAMENTO!$AF$11)),0)</f>
        <v>0</v>
      </c>
      <c r="AC117" s="631">
        <f ca="1">IF(AND($D117="Serviço",AC$12&lt;&gt;0,$H117&gt;0,OR(AUTOEVENTO&lt;&gt;"manual",$M117&lt;&gt;1)),
IF(Import.TipoArredondamento&lt;&gt;"TransfereGOV",
ROUND(OFFSET($P117,0,AC$13),15-13*ORÇAMENTO!$AF$7)/$H117*OFFSET(ORÇAMENTO!$X$15,ROW(AC117)-ROW(AC$15),0),
ROUND(ROUND(OFFSET($P117,0,AC$13),15-13*ORÇAMENTO!$AF$7)*OFFSET(ORÇAMENTO!$W$15,ROW(AC117)-ROW(AC$15),0),15-13*ORÇAMENTO!$AF$11)),0)</f>
        <v>0</v>
      </c>
      <c r="AD117" s="631">
        <f ca="1">IF(AND($D117="Serviço",AD$12&lt;&gt;0,$H117&gt;0,OR(AUTOEVENTO&lt;&gt;"manual",$M117&lt;&gt;1)),
IF(Import.TipoArredondamento&lt;&gt;"TransfereGOV",
ROUND(OFFSET($P117,0,AD$13),15-13*ORÇAMENTO!$AF$7)/$H117*OFFSET(ORÇAMENTO!$X$15,ROW(AD117)-ROW(AD$15),0),
ROUND(ROUND(OFFSET($P117,0,AD$13),15-13*ORÇAMENTO!$AF$7)*OFFSET(ORÇAMENTO!$W$15,ROW(AD117)-ROW(AD$15),0),15-13*ORÇAMENTO!$AF$11)),0)</f>
        <v>0</v>
      </c>
      <c r="AE117" s="631">
        <f ca="1">IF(AND($D117="Serviço",AE$12&lt;&gt;0,$H117&gt;0,OR(AUTOEVENTO&lt;&gt;"manual",$M117&lt;&gt;1)),
IF(Import.TipoArredondamento&lt;&gt;"TransfereGOV",
ROUND(OFFSET($P117,0,AE$13),15-13*ORÇAMENTO!$AF$7)/$H117*OFFSET(ORÇAMENTO!$X$15,ROW(AE117)-ROW(AE$15),0),
ROUND(ROUND(OFFSET($P117,0,AE$13),15-13*ORÇAMENTO!$AF$7)*OFFSET(ORÇAMENTO!$W$15,ROW(AE117)-ROW(AE$15),0),15-13*ORÇAMENTO!$AF$11)),0)</f>
        <v>0</v>
      </c>
      <c r="AF117" s="631">
        <f ca="1">IF(AND($D117="Serviço",AF$12&lt;&gt;0,$H117&gt;0,OR(AUTOEVENTO&lt;&gt;"manual",$M117&lt;&gt;1)),
IF(Import.TipoArredondamento&lt;&gt;"TransfereGOV",
ROUND(OFFSET($P117,0,AF$13),15-13*ORÇAMENTO!$AF$7)/$H117*OFFSET(ORÇAMENTO!$X$15,ROW(AF117)-ROW(AF$15),0),
ROUND(ROUND(OFFSET($P117,0,AF$13),15-13*ORÇAMENTO!$AF$7)*OFFSET(ORÇAMENTO!$W$15,ROW(AF117)-ROW(AF$15),0),15-13*ORÇAMENTO!$AF$11)),0)</f>
        <v>0</v>
      </c>
      <c r="AG117" s="631">
        <f ca="1">IF(AND($D117="Serviço",AG$12&lt;&gt;0,$H117&gt;0,OR(AUTOEVENTO&lt;&gt;"manual",$M117&lt;&gt;1)),
IF(Import.TipoArredondamento&lt;&gt;"TransfereGOV",
ROUND(OFFSET($P117,0,AG$13),15-13*ORÇAMENTO!$AF$7)/$H117*OFFSET(ORÇAMENTO!$X$15,ROW(AG117)-ROW(AG$15),0),
ROUND(ROUND(OFFSET($P117,0,AG$13),15-13*ORÇAMENTO!$AF$7)*OFFSET(ORÇAMENTO!$W$15,ROW(AG117)-ROW(AG$15),0),15-13*ORÇAMENTO!$AF$11)),0)</f>
        <v>0</v>
      </c>
      <c r="AH117" s="631">
        <f ca="1">IF(AND($D117="Serviço",AH$12&lt;&gt;0,$H117&gt;0,OR(AUTOEVENTO&lt;&gt;"manual",$M117&lt;&gt;1)),
IF(Import.TipoArredondamento&lt;&gt;"TransfereGOV",
ROUND(OFFSET($P117,0,AH$13),15-13*ORÇAMENTO!$AF$7)/$H117*OFFSET(ORÇAMENTO!$X$15,ROW(AH117)-ROW(AH$15),0),
ROUND(ROUND(OFFSET($P117,0,AH$13),15-13*ORÇAMENTO!$AF$7)*OFFSET(ORÇAMENTO!$W$15,ROW(AH117)-ROW(AH$15),0),15-13*ORÇAMENTO!$AF$11)),0)</f>
        <v>0</v>
      </c>
      <c r="AI117" s="631">
        <f ca="1">IF(AND($D117="Serviço",AI$12&lt;&gt;0,$H117&gt;0,OR(AUTOEVENTO&lt;&gt;"manual",$M117&lt;&gt;1)),
IF(Import.TipoArredondamento&lt;&gt;"TransfereGOV",
ROUND(OFFSET($P117,0,AI$13),15-13*ORÇAMENTO!$AF$7)/$H117*OFFSET(ORÇAMENTO!$X$15,ROW(AI117)-ROW(AI$15),0),
ROUND(ROUND(OFFSET($P117,0,AI$13),15-13*ORÇAMENTO!$AF$7)*OFFSET(ORÇAMENTO!$W$15,ROW(AI117)-ROW(AI$15),0),15-13*ORÇAMENTO!$AF$11)),0)</f>
        <v>0</v>
      </c>
      <c r="AJ117" s="631">
        <f ca="1">IF(AND($D117="Serviço",AJ$12&lt;&gt;0,$H117&gt;0,OR(AUTOEVENTO&lt;&gt;"manual",$M117&lt;&gt;1)),
IF(Import.TipoArredondamento&lt;&gt;"TransfereGOV",
ROUND(OFFSET($P117,0,AJ$13),15-13*ORÇAMENTO!$AF$7)/$H117*OFFSET(ORÇAMENTO!$X$15,ROW(AJ117)-ROW(AJ$15),0),
ROUND(ROUND(OFFSET($P117,0,AJ$13),15-13*ORÇAMENTO!$AF$7)*OFFSET(ORÇAMENTO!$W$15,ROW(AJ117)-ROW(AJ$15),0),15-13*ORÇAMENTO!$AF$11)),0)</f>
        <v>0</v>
      </c>
      <c r="AK117" s="632">
        <f ca="1">IF(AND($D117="Serviço",AK$12&lt;&gt;0,$H117&gt;0,OR(AUTOEVENTO&lt;&gt;"manual",$M117&lt;&gt;1)),
IF(Import.TipoArredondamento&lt;&gt;"TransfereGOV",
ROUND(OFFSET($P117,0,AK$13),15-13*ORÇAMENTO!$AF$7)/$H117*OFFSET(ORÇAMENTO!$X$15,ROW(AK117)-ROW(AK$15),0),
ROUND(ROUND(OFFSET($P117,0,AK$13),15-13*ORÇAMENTO!$AF$7)*OFFSET(ORÇAMENTO!$W$15,ROW(AK117)-ROW(AK$15),0),15-13*ORÇAMENTO!$AF$11)),0)</f>
        <v>0</v>
      </c>
      <c r="AM117" s="215">
        <f ca="1">IF($D117&lt;&gt;"Serviço",0,IF(AND(AUTOEVENTO="Manual",$M117=1),0,IF(OFFSET(CRONOPLE!$F$14,$M117,AM$13)="",10^12,OFFSET(CRONOPLE!$F$14,$M117,AM$13))))</f>
        <v>1000000000000</v>
      </c>
      <c r="AN117" s="215">
        <f ca="1">IF($D117&lt;&gt;"Serviço",0,IF(AND(AUTOEVENTO="Manual",$M117=1),0,IF(OFFSET(CRONOPLE!$F$14,$M117,AN$13)="",10^12,OFFSET(CRONOPLE!$F$14,$M117,AN$13))))</f>
        <v>1000000000000</v>
      </c>
      <c r="AO117" s="215">
        <f ca="1">IF($D117&lt;&gt;"Serviço",0,IF(AND(AUTOEVENTO="Manual",$M117=1),0,IF(OFFSET(CRONOPLE!$F$14,$M117,AO$13)="",10^12,OFFSET(CRONOPLE!$F$14,$M117,AO$13))))</f>
        <v>1000000000000</v>
      </c>
      <c r="AP117" s="215">
        <f ca="1">IF($D117&lt;&gt;"Serviço",0,IF(AND(AUTOEVENTO="Manual",$M117=1),0,IF(OFFSET(CRONOPLE!$F$14,$M117,AP$13)="",10^12,OFFSET(CRONOPLE!$F$14,$M117,AP$13))))</f>
        <v>1000000000000</v>
      </c>
      <c r="AQ117" s="215">
        <f ca="1">IF($D117&lt;&gt;"Serviço",0,IF(AND(AUTOEVENTO="Manual",$M117=1),0,IF(OFFSET(CRONOPLE!$F$14,$M117,AQ$13)="",10^12,OFFSET(CRONOPLE!$F$14,$M117,AQ$13))))</f>
        <v>1000000000000</v>
      </c>
      <c r="AR117" s="215">
        <f ca="1">IF($D117&lt;&gt;"Serviço",0,IF(AND(AUTOEVENTO="Manual",$M117=1),0,IF(OFFSET(CRONOPLE!$F$14,$M117,AR$13)="",10^12,OFFSET(CRONOPLE!$F$14,$M117,AR$13))))</f>
        <v>1000000000000</v>
      </c>
      <c r="AS117" s="215">
        <f ca="1">IF($D117&lt;&gt;"Serviço",0,IF(AND(AUTOEVENTO="Manual",$M117=1),0,IF(OFFSET(CRONOPLE!$F$14,$M117,AS$13)="",10^12,OFFSET(CRONOPLE!$F$14,$M117,AS$13))))</f>
        <v>1000000000000</v>
      </c>
      <c r="AT117" s="215">
        <f ca="1">IF($D117&lt;&gt;"Serviço",0,IF(AND(AUTOEVENTO="Manual",$M117=1),0,IF(OFFSET(CRONOPLE!$F$14,$M117,AT$13)="",10^12,OFFSET(CRONOPLE!$F$14,$M117,AT$13))))</f>
        <v>1000000000000</v>
      </c>
      <c r="AU117" s="215">
        <f ca="1">IF($D117&lt;&gt;"Serviço",0,IF(AND(AUTOEVENTO="Manual",$M117=1),0,IF(OFFSET(CRONOPLE!$F$14,$M117,AU$13)="",10^12,OFFSET(CRONOPLE!$F$14,$M117,AU$13))))</f>
        <v>1000000000000</v>
      </c>
      <c r="AV117" s="215">
        <f ca="1">IF($D117&lt;&gt;"Serviço",0,IF(AND(AUTOEVENTO="Manual",$M117=1),0,IF(OFFSET(CRONOPLE!$F$14,$M117,AV$13)="",10^12,OFFSET(CRONOPLE!$F$14,$M117,AV$13))))</f>
        <v>1000000000000</v>
      </c>
      <c r="AX117" s="216">
        <f ca="1">IF($D117&lt;&gt;"Serviço",0,IF(OR(AND(AUTOEVENTO="Manual",$M117=1),$M117&gt;(ROW(PLE.lastrow)-ROW(PLE.firstrow))),0,IF(OFFSET(PLE!$G$14,$M117,AX$13)="",10^12,OFFSET(PLE!$G$14,$M117,AX$13))))</f>
        <v>1000000000000</v>
      </c>
      <c r="AY117" s="216">
        <f ca="1">IF($D117&lt;&gt;"Serviço",0,IF(OR(AND(AUTOEVENTO="Manual",$M117=1),$M117&gt;(ROW(PLE.lastrow)-ROW(PLE.firstrow))),0,IF(OFFSET(PLE!$G$14,$M117,AY$13)="",10^12,OFFSET(PLE!$G$14,$M117,AY$13))))</f>
        <v>1000000000000</v>
      </c>
      <c r="AZ117" s="216">
        <f ca="1">IF($D117&lt;&gt;"Serviço",0,IF(OR(AND(AUTOEVENTO="Manual",$M117=1),$M117&gt;(ROW(PLE.lastrow)-ROW(PLE.firstrow))),0,IF(OFFSET(PLE!$G$14,$M117,AZ$13)="",10^12,OFFSET(PLE!$G$14,$M117,AZ$13))))</f>
        <v>1000000000000</v>
      </c>
      <c r="BA117" s="216">
        <f ca="1">IF($D117&lt;&gt;"Serviço",0,IF(OR(AND(AUTOEVENTO="Manual",$M117=1),$M117&gt;(ROW(PLE.lastrow)-ROW(PLE.firstrow))),0,IF(OFFSET(PLE!$G$14,$M117,BA$13)="",10^12,OFFSET(PLE!$G$14,$M117,BA$13))))</f>
        <v>1000000000000</v>
      </c>
      <c r="BB117" s="216">
        <f ca="1">IF($D117&lt;&gt;"Serviço",0,IF(OR(AND(AUTOEVENTO="Manual",$M117=1),$M117&gt;(ROW(PLE.lastrow)-ROW(PLE.firstrow))),0,IF(OFFSET(PLE!$G$14,$M117,BB$13)="",10^12,OFFSET(PLE!$G$14,$M117,BB$13))))</f>
        <v>1000000000000</v>
      </c>
      <c r="BC117" s="216">
        <f ca="1">IF($D117&lt;&gt;"Serviço",0,IF(OR(AND(AUTOEVENTO="Manual",$M117=1),$M117&gt;(ROW(PLE.lastrow)-ROW(PLE.firstrow))),0,IF(OFFSET(PLE!$G$14,$M117,BC$13)="",10^12,OFFSET(PLE!$G$14,$M117,BC$13))))</f>
        <v>1000000000000</v>
      </c>
      <c r="BD117" s="216">
        <f ca="1">IF($D117&lt;&gt;"Serviço",0,IF(OR(AND(AUTOEVENTO="Manual",$M117=1),$M117&gt;(ROW(PLE.lastrow)-ROW(PLE.firstrow))),0,IF(OFFSET(PLE!$G$14,$M117,BD$13)="",10^12,OFFSET(PLE!$G$14,$M117,BD$13))))</f>
        <v>1000000000000</v>
      </c>
      <c r="BE117" s="216">
        <f ca="1">IF($D117&lt;&gt;"Serviço",0,IF(OR(AND(AUTOEVENTO="Manual",$M117=1),$M117&gt;(ROW(PLE.lastrow)-ROW(PLE.firstrow))),0,IF(OFFSET(PLE!$G$14,$M117,BE$13)="",10^12,OFFSET(PLE!$G$14,$M117,BE$13))))</f>
        <v>1000000000000</v>
      </c>
      <c r="BF117" s="216">
        <f ca="1">IF($D117&lt;&gt;"Serviço",0,IF(OR(AND(AUTOEVENTO="Manual",$M117=1),$M117&gt;(ROW(PLE.lastrow)-ROW(PLE.firstrow))),0,IF(OFFSET(PLE!$G$14,$M117,BF$13)="",10^12,OFFSET(PLE!$G$14,$M117,BF$13))))</f>
        <v>1000000000000</v>
      </c>
      <c r="BG117" s="216">
        <f ca="1">IF($D117&lt;&gt;"Serviço",0,IF(OR(AND(AUTOEVENTO="Manual",$M117=1),$M117&gt;(ROW(PLE.lastrow)-ROW(PLE.firstrow))),0,IF(OFFSET(PLE!$G$14,$M117,BG$13)="",10^12,OFFSET(PLE!$G$14,$M117,BG$13))))</f>
        <v>1000000000000</v>
      </c>
    </row>
    <row r="118" spans="1:59" ht="38.25" x14ac:dyDescent="0.2">
      <c r="A118" s="9" t="str">
        <f ca="1">IF(AUTOEVENTO="Manual",IF(K118&lt;&gt;"",MIN(VALUE(LEFT(K118,FIND(".",K118)-1)),COUNTA(EVENTOS.Lista)),0),IF(OR($B118&gt;AUTOEVENTO,$B118="S",$B118=0),SUBSTITUTE(OFFSET($A118,-1,0),IF($D118="Serviço",".",""),""),ROW(A118)-ROW($A$15)&amp;"."))</f>
        <v>93</v>
      </c>
      <c r="B118" s="9" t="str">
        <f ca="1">OFFSET(ORÇAMENTO!C$15,ROW(B118)-ROW(B$15),0)</f>
        <v>S</v>
      </c>
      <c r="C118" s="9" t="str">
        <f ca="1">OFFSET(ORÇAMENTO!L$15,ROW(C118)-ROW(C$15),0)</f>
        <v/>
      </c>
      <c r="D118" s="145" t="str">
        <f ca="1">OFFSET(ORÇAMENTO!N$15,ROW(D118)-ROW(D$15),0)</f>
        <v>Serviço</v>
      </c>
      <c r="E118" s="205" t="str">
        <f ca="1">OFFSET(ORÇAMENTO!O$15,ROW(E118)-ROW(E$15),0)</f>
        <v>-</v>
      </c>
      <c r="F118" s="206" t="str">
        <f ca="1">OFFSET(ORÇAMENTO!R$15,ROW(F118)-ROW(F$15),0)</f>
        <v>CAIXA RETANGULAR 4" X 2" MÉDIA (1,30 M DO PISO), METÁLICA, INSTALADA EM PAREDE - FORNECIMENTO E INSTALAÇÃO. AF_03/2023</v>
      </c>
      <c r="G118" s="207" t="str">
        <f ca="1">IF($D118&lt;&gt;"Serviço","",OFFSET(ORÇAMENTO!S$15,ROW(G118)-ROW(G$15),0))</f>
        <v>UN</v>
      </c>
      <c r="H118" s="151">
        <f ca="1">IF($D118&lt;&gt;"Serviço",0,IF(ACOMPANHAMENTO="BM",ROUND(OFFSET(ORÇAMENTO!AJ$15,ROW(H118)-ROW(H$15),0),15-13*ORÇAMENTO!$AF$7),SUMPRODUCT(($Q$12:$AA$12&lt;&gt;"")*ROUND($Q118:$AA118,15-13*ORÇAMENTO!$AF$7))))</f>
        <v>71</v>
      </c>
      <c r="I118" s="649"/>
      <c r="K118" s="208"/>
      <c r="L118" s="209" t="s">
        <v>255</v>
      </c>
      <c r="M118" s="210">
        <f ca="1">IF($D118&lt;&gt;"Serviço","",IF(AUTOEVENTO="manual",$A118,IF(ISERROR(MATCH($A118,$A$15:OFFSET($A118,-1,0),0)),MAX($M$15:OFFSET(M118,-1,0))+1,INDEX($M$15:OFFSET(M118,-1,0),MATCH($A118,$A$15:OFFSET($A118,-1,0),0)))))</f>
        <v>19</v>
      </c>
      <c r="N118" s="211" t="str">
        <f ca="1">IF($D118&lt;&gt;"Serviço","",IF(AUTOEVENTO="Manual",IF($A118=0,"&lt;-- defina o número do agrupador",OFFSET(EVENTOS!$D$14,$A118,0)),OFFSET($F$15,$A118,0)))</f>
        <v xml:space="preserve">ELÉTRICA </v>
      </c>
      <c r="O118" s="212"/>
      <c r="Q118" s="212"/>
      <c r="R118" s="213"/>
      <c r="S118" s="213"/>
      <c r="T118" s="213"/>
      <c r="U118" s="213"/>
      <c r="V118" s="213"/>
      <c r="W118" s="213"/>
      <c r="X118" s="213"/>
      <c r="Y118" s="213"/>
      <c r="Z118" s="214"/>
      <c r="AB118" s="630">
        <f ca="1">IF(AND($D118="Serviço",AB$12&lt;&gt;0,$H118&gt;0,OR(AUTOEVENTO&lt;&gt;"manual",$M118&lt;&gt;1)),
IF(Import.TipoArredondamento&lt;&gt;"TransfereGOV",
ROUND(OFFSET($P118,0,AB$13),15-13*ORÇAMENTO!$AF$7)/$H118*OFFSET(ORÇAMENTO!$X$15,ROW(AB118)-ROW(AB$15),0),
ROUND(ROUND(OFFSET($P118,0,AB$13),15-13*ORÇAMENTO!$AF$7)*OFFSET(ORÇAMENTO!$W$15,ROW(AB118)-ROW(AB$15),0),15-13*ORÇAMENTO!$AF$11)),0)</f>
        <v>0</v>
      </c>
      <c r="AC118" s="631">
        <f ca="1">IF(AND($D118="Serviço",AC$12&lt;&gt;0,$H118&gt;0,OR(AUTOEVENTO&lt;&gt;"manual",$M118&lt;&gt;1)),
IF(Import.TipoArredondamento&lt;&gt;"TransfereGOV",
ROUND(OFFSET($P118,0,AC$13),15-13*ORÇAMENTO!$AF$7)/$H118*OFFSET(ORÇAMENTO!$X$15,ROW(AC118)-ROW(AC$15),0),
ROUND(ROUND(OFFSET($P118,0,AC$13),15-13*ORÇAMENTO!$AF$7)*OFFSET(ORÇAMENTO!$W$15,ROW(AC118)-ROW(AC$15),0),15-13*ORÇAMENTO!$AF$11)),0)</f>
        <v>0</v>
      </c>
      <c r="AD118" s="631">
        <f ca="1">IF(AND($D118="Serviço",AD$12&lt;&gt;0,$H118&gt;0,OR(AUTOEVENTO&lt;&gt;"manual",$M118&lt;&gt;1)),
IF(Import.TipoArredondamento&lt;&gt;"TransfereGOV",
ROUND(OFFSET($P118,0,AD$13),15-13*ORÇAMENTO!$AF$7)/$H118*OFFSET(ORÇAMENTO!$X$15,ROW(AD118)-ROW(AD$15),0),
ROUND(ROUND(OFFSET($P118,0,AD$13),15-13*ORÇAMENTO!$AF$7)*OFFSET(ORÇAMENTO!$W$15,ROW(AD118)-ROW(AD$15),0),15-13*ORÇAMENTO!$AF$11)),0)</f>
        <v>0</v>
      </c>
      <c r="AE118" s="631">
        <f ca="1">IF(AND($D118="Serviço",AE$12&lt;&gt;0,$H118&gt;0,OR(AUTOEVENTO&lt;&gt;"manual",$M118&lt;&gt;1)),
IF(Import.TipoArredondamento&lt;&gt;"TransfereGOV",
ROUND(OFFSET($P118,0,AE$13),15-13*ORÇAMENTO!$AF$7)/$H118*OFFSET(ORÇAMENTO!$X$15,ROW(AE118)-ROW(AE$15),0),
ROUND(ROUND(OFFSET($P118,0,AE$13),15-13*ORÇAMENTO!$AF$7)*OFFSET(ORÇAMENTO!$W$15,ROW(AE118)-ROW(AE$15),0),15-13*ORÇAMENTO!$AF$11)),0)</f>
        <v>0</v>
      </c>
      <c r="AF118" s="631">
        <f ca="1">IF(AND($D118="Serviço",AF$12&lt;&gt;0,$H118&gt;0,OR(AUTOEVENTO&lt;&gt;"manual",$M118&lt;&gt;1)),
IF(Import.TipoArredondamento&lt;&gt;"TransfereGOV",
ROUND(OFFSET($P118,0,AF$13),15-13*ORÇAMENTO!$AF$7)/$H118*OFFSET(ORÇAMENTO!$X$15,ROW(AF118)-ROW(AF$15),0),
ROUND(ROUND(OFFSET($P118,0,AF$13),15-13*ORÇAMENTO!$AF$7)*OFFSET(ORÇAMENTO!$W$15,ROW(AF118)-ROW(AF$15),0),15-13*ORÇAMENTO!$AF$11)),0)</f>
        <v>0</v>
      </c>
      <c r="AG118" s="631">
        <f ca="1">IF(AND($D118="Serviço",AG$12&lt;&gt;0,$H118&gt;0,OR(AUTOEVENTO&lt;&gt;"manual",$M118&lt;&gt;1)),
IF(Import.TipoArredondamento&lt;&gt;"TransfereGOV",
ROUND(OFFSET($P118,0,AG$13),15-13*ORÇAMENTO!$AF$7)/$H118*OFFSET(ORÇAMENTO!$X$15,ROW(AG118)-ROW(AG$15),0),
ROUND(ROUND(OFFSET($P118,0,AG$13),15-13*ORÇAMENTO!$AF$7)*OFFSET(ORÇAMENTO!$W$15,ROW(AG118)-ROW(AG$15),0),15-13*ORÇAMENTO!$AF$11)),0)</f>
        <v>0</v>
      </c>
      <c r="AH118" s="631">
        <f ca="1">IF(AND($D118="Serviço",AH$12&lt;&gt;0,$H118&gt;0,OR(AUTOEVENTO&lt;&gt;"manual",$M118&lt;&gt;1)),
IF(Import.TipoArredondamento&lt;&gt;"TransfereGOV",
ROUND(OFFSET($P118,0,AH$13),15-13*ORÇAMENTO!$AF$7)/$H118*OFFSET(ORÇAMENTO!$X$15,ROW(AH118)-ROW(AH$15),0),
ROUND(ROUND(OFFSET($P118,0,AH$13),15-13*ORÇAMENTO!$AF$7)*OFFSET(ORÇAMENTO!$W$15,ROW(AH118)-ROW(AH$15),0),15-13*ORÇAMENTO!$AF$11)),0)</f>
        <v>0</v>
      </c>
      <c r="AI118" s="631">
        <f ca="1">IF(AND($D118="Serviço",AI$12&lt;&gt;0,$H118&gt;0,OR(AUTOEVENTO&lt;&gt;"manual",$M118&lt;&gt;1)),
IF(Import.TipoArredondamento&lt;&gt;"TransfereGOV",
ROUND(OFFSET($P118,0,AI$13),15-13*ORÇAMENTO!$AF$7)/$H118*OFFSET(ORÇAMENTO!$X$15,ROW(AI118)-ROW(AI$15),0),
ROUND(ROUND(OFFSET($P118,0,AI$13),15-13*ORÇAMENTO!$AF$7)*OFFSET(ORÇAMENTO!$W$15,ROW(AI118)-ROW(AI$15),0),15-13*ORÇAMENTO!$AF$11)),0)</f>
        <v>0</v>
      </c>
      <c r="AJ118" s="631">
        <f ca="1">IF(AND($D118="Serviço",AJ$12&lt;&gt;0,$H118&gt;0,OR(AUTOEVENTO&lt;&gt;"manual",$M118&lt;&gt;1)),
IF(Import.TipoArredondamento&lt;&gt;"TransfereGOV",
ROUND(OFFSET($P118,0,AJ$13),15-13*ORÇAMENTO!$AF$7)/$H118*OFFSET(ORÇAMENTO!$X$15,ROW(AJ118)-ROW(AJ$15),0),
ROUND(ROUND(OFFSET($P118,0,AJ$13),15-13*ORÇAMENTO!$AF$7)*OFFSET(ORÇAMENTO!$W$15,ROW(AJ118)-ROW(AJ$15),0),15-13*ORÇAMENTO!$AF$11)),0)</f>
        <v>0</v>
      </c>
      <c r="AK118" s="632">
        <f ca="1">IF(AND($D118="Serviço",AK$12&lt;&gt;0,$H118&gt;0,OR(AUTOEVENTO&lt;&gt;"manual",$M118&lt;&gt;1)),
IF(Import.TipoArredondamento&lt;&gt;"TransfereGOV",
ROUND(OFFSET($P118,0,AK$13),15-13*ORÇAMENTO!$AF$7)/$H118*OFFSET(ORÇAMENTO!$X$15,ROW(AK118)-ROW(AK$15),0),
ROUND(ROUND(OFFSET($P118,0,AK$13),15-13*ORÇAMENTO!$AF$7)*OFFSET(ORÇAMENTO!$W$15,ROW(AK118)-ROW(AK$15),0),15-13*ORÇAMENTO!$AF$11)),0)</f>
        <v>0</v>
      </c>
      <c r="AM118" s="215">
        <f ca="1">IF($D118&lt;&gt;"Serviço",0,IF(AND(AUTOEVENTO="Manual",$M118=1),0,IF(OFFSET(CRONOPLE!$F$14,$M118,AM$13)="",10^12,OFFSET(CRONOPLE!$F$14,$M118,AM$13))))</f>
        <v>1000000000000</v>
      </c>
      <c r="AN118" s="215">
        <f ca="1">IF($D118&lt;&gt;"Serviço",0,IF(AND(AUTOEVENTO="Manual",$M118=1),0,IF(OFFSET(CRONOPLE!$F$14,$M118,AN$13)="",10^12,OFFSET(CRONOPLE!$F$14,$M118,AN$13))))</f>
        <v>1000000000000</v>
      </c>
      <c r="AO118" s="215">
        <f ca="1">IF($D118&lt;&gt;"Serviço",0,IF(AND(AUTOEVENTO="Manual",$M118=1),0,IF(OFFSET(CRONOPLE!$F$14,$M118,AO$13)="",10^12,OFFSET(CRONOPLE!$F$14,$M118,AO$13))))</f>
        <v>1000000000000</v>
      </c>
      <c r="AP118" s="215">
        <f ca="1">IF($D118&lt;&gt;"Serviço",0,IF(AND(AUTOEVENTO="Manual",$M118=1),0,IF(OFFSET(CRONOPLE!$F$14,$M118,AP$13)="",10^12,OFFSET(CRONOPLE!$F$14,$M118,AP$13))))</f>
        <v>1000000000000</v>
      </c>
      <c r="AQ118" s="215">
        <f ca="1">IF($D118&lt;&gt;"Serviço",0,IF(AND(AUTOEVENTO="Manual",$M118=1),0,IF(OFFSET(CRONOPLE!$F$14,$M118,AQ$13)="",10^12,OFFSET(CRONOPLE!$F$14,$M118,AQ$13))))</f>
        <v>1000000000000</v>
      </c>
      <c r="AR118" s="215">
        <f ca="1">IF($D118&lt;&gt;"Serviço",0,IF(AND(AUTOEVENTO="Manual",$M118=1),0,IF(OFFSET(CRONOPLE!$F$14,$M118,AR$13)="",10^12,OFFSET(CRONOPLE!$F$14,$M118,AR$13))))</f>
        <v>1000000000000</v>
      </c>
      <c r="AS118" s="215">
        <f ca="1">IF($D118&lt;&gt;"Serviço",0,IF(AND(AUTOEVENTO="Manual",$M118=1),0,IF(OFFSET(CRONOPLE!$F$14,$M118,AS$13)="",10^12,OFFSET(CRONOPLE!$F$14,$M118,AS$13))))</f>
        <v>1000000000000</v>
      </c>
      <c r="AT118" s="215">
        <f ca="1">IF($D118&lt;&gt;"Serviço",0,IF(AND(AUTOEVENTO="Manual",$M118=1),0,IF(OFFSET(CRONOPLE!$F$14,$M118,AT$13)="",10^12,OFFSET(CRONOPLE!$F$14,$M118,AT$13))))</f>
        <v>1000000000000</v>
      </c>
      <c r="AU118" s="215">
        <f ca="1">IF($D118&lt;&gt;"Serviço",0,IF(AND(AUTOEVENTO="Manual",$M118=1),0,IF(OFFSET(CRONOPLE!$F$14,$M118,AU$13)="",10^12,OFFSET(CRONOPLE!$F$14,$M118,AU$13))))</f>
        <v>1000000000000</v>
      </c>
      <c r="AV118" s="215">
        <f ca="1">IF($D118&lt;&gt;"Serviço",0,IF(AND(AUTOEVENTO="Manual",$M118=1),0,IF(OFFSET(CRONOPLE!$F$14,$M118,AV$13)="",10^12,OFFSET(CRONOPLE!$F$14,$M118,AV$13))))</f>
        <v>1000000000000</v>
      </c>
      <c r="AX118" s="216">
        <f ca="1">IF($D118&lt;&gt;"Serviço",0,IF(OR(AND(AUTOEVENTO="Manual",$M118=1),$M118&gt;(ROW(PLE.lastrow)-ROW(PLE.firstrow))),0,IF(OFFSET(PLE!$G$14,$M118,AX$13)="",10^12,OFFSET(PLE!$G$14,$M118,AX$13))))</f>
        <v>1000000000000</v>
      </c>
      <c r="AY118" s="216">
        <f ca="1">IF($D118&lt;&gt;"Serviço",0,IF(OR(AND(AUTOEVENTO="Manual",$M118=1),$M118&gt;(ROW(PLE.lastrow)-ROW(PLE.firstrow))),0,IF(OFFSET(PLE!$G$14,$M118,AY$13)="",10^12,OFFSET(PLE!$G$14,$M118,AY$13))))</f>
        <v>1000000000000</v>
      </c>
      <c r="AZ118" s="216">
        <f ca="1">IF($D118&lt;&gt;"Serviço",0,IF(OR(AND(AUTOEVENTO="Manual",$M118=1),$M118&gt;(ROW(PLE.lastrow)-ROW(PLE.firstrow))),0,IF(OFFSET(PLE!$G$14,$M118,AZ$13)="",10^12,OFFSET(PLE!$G$14,$M118,AZ$13))))</f>
        <v>1000000000000</v>
      </c>
      <c r="BA118" s="216">
        <f ca="1">IF($D118&lt;&gt;"Serviço",0,IF(OR(AND(AUTOEVENTO="Manual",$M118=1),$M118&gt;(ROW(PLE.lastrow)-ROW(PLE.firstrow))),0,IF(OFFSET(PLE!$G$14,$M118,BA$13)="",10^12,OFFSET(PLE!$G$14,$M118,BA$13))))</f>
        <v>1000000000000</v>
      </c>
      <c r="BB118" s="216">
        <f ca="1">IF($D118&lt;&gt;"Serviço",0,IF(OR(AND(AUTOEVENTO="Manual",$M118=1),$M118&gt;(ROW(PLE.lastrow)-ROW(PLE.firstrow))),0,IF(OFFSET(PLE!$G$14,$M118,BB$13)="",10^12,OFFSET(PLE!$G$14,$M118,BB$13))))</f>
        <v>1000000000000</v>
      </c>
      <c r="BC118" s="216">
        <f ca="1">IF($D118&lt;&gt;"Serviço",0,IF(OR(AND(AUTOEVENTO="Manual",$M118=1),$M118&gt;(ROW(PLE.lastrow)-ROW(PLE.firstrow))),0,IF(OFFSET(PLE!$G$14,$M118,BC$13)="",10^12,OFFSET(PLE!$G$14,$M118,BC$13))))</f>
        <v>1000000000000</v>
      </c>
      <c r="BD118" s="216">
        <f ca="1">IF($D118&lt;&gt;"Serviço",0,IF(OR(AND(AUTOEVENTO="Manual",$M118=1),$M118&gt;(ROW(PLE.lastrow)-ROW(PLE.firstrow))),0,IF(OFFSET(PLE!$G$14,$M118,BD$13)="",10^12,OFFSET(PLE!$G$14,$M118,BD$13))))</f>
        <v>1000000000000</v>
      </c>
      <c r="BE118" s="216">
        <f ca="1">IF($D118&lt;&gt;"Serviço",0,IF(OR(AND(AUTOEVENTO="Manual",$M118=1),$M118&gt;(ROW(PLE.lastrow)-ROW(PLE.firstrow))),0,IF(OFFSET(PLE!$G$14,$M118,BE$13)="",10^12,OFFSET(PLE!$G$14,$M118,BE$13))))</f>
        <v>1000000000000</v>
      </c>
      <c r="BF118" s="216">
        <f ca="1">IF($D118&lt;&gt;"Serviço",0,IF(OR(AND(AUTOEVENTO="Manual",$M118=1),$M118&gt;(ROW(PLE.lastrow)-ROW(PLE.firstrow))),0,IF(OFFSET(PLE!$G$14,$M118,BF$13)="",10^12,OFFSET(PLE!$G$14,$M118,BF$13))))</f>
        <v>1000000000000</v>
      </c>
      <c r="BG118" s="216">
        <f ca="1">IF($D118&lt;&gt;"Serviço",0,IF(OR(AND(AUTOEVENTO="Manual",$M118=1),$M118&gt;(ROW(PLE.lastrow)-ROW(PLE.firstrow))),0,IF(OFFSET(PLE!$G$14,$M118,BG$13)="",10^12,OFFSET(PLE!$G$14,$M118,BG$13))))</f>
        <v>1000000000000</v>
      </c>
    </row>
    <row r="119" spans="1:59" ht="25.5" x14ac:dyDescent="0.2">
      <c r="A119" s="9" t="str">
        <f ca="1">IF(AUTOEVENTO="Manual",IF(K119&lt;&gt;"",MIN(VALUE(LEFT(K119,FIND(".",K119)-1)),COUNTA(EVENTOS.Lista)),0),IF(OR($B119&gt;AUTOEVENTO,$B119="S",$B119=0),SUBSTITUTE(OFFSET($A119,-1,0),IF($D119="Serviço",".",""),""),ROW(A119)-ROW($A$15)&amp;"."))</f>
        <v>93</v>
      </c>
      <c r="B119" s="9" t="str">
        <f ca="1">OFFSET(ORÇAMENTO!C$15,ROW(B119)-ROW(B$15),0)</f>
        <v>S</v>
      </c>
      <c r="C119" s="9" t="str">
        <f ca="1">OFFSET(ORÇAMENTO!L$15,ROW(C119)-ROW(C$15),0)</f>
        <v/>
      </c>
      <c r="D119" s="145" t="str">
        <f ca="1">OFFSET(ORÇAMENTO!N$15,ROW(D119)-ROW(D$15),0)</f>
        <v>Serviço</v>
      </c>
      <c r="E119" s="205" t="str">
        <f ca="1">OFFSET(ORÇAMENTO!O$15,ROW(E119)-ROW(E$15),0)</f>
        <v>-</v>
      </c>
      <c r="F119" s="206" t="str">
        <f ca="1">OFFSET(ORÇAMENTO!R$15,ROW(F119)-ROW(F$15),0)</f>
        <v xml:space="preserve">ESPELHO / PLACA CEGA 4" X 2", PARA INSTALACAO DE TOMADAS E INTERRUPTORES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G119" s="207" t="str">
        <f ca="1">IF($D119&lt;&gt;"Serviço","",OFFSET(ORÇAMENTO!S$15,ROW(G119)-ROW(G$15),0))</f>
        <v xml:space="preserve">UN    </v>
      </c>
      <c r="H119" s="151">
        <f ca="1">IF($D119&lt;&gt;"Serviço",0,IF(ACOMPANHAMENTO="BM",ROUND(OFFSET(ORÇAMENTO!AJ$15,ROW(H119)-ROW(H$15),0),15-13*ORÇAMENTO!$AF$7),SUMPRODUCT(($Q$12:$AA$12&lt;&gt;"")*ROUND($Q119:$AA119,15-13*ORÇAMENTO!$AF$7))))</f>
        <v>7</v>
      </c>
      <c r="I119" s="649"/>
      <c r="K119" s="208"/>
      <c r="L119" s="209" t="s">
        <v>255</v>
      </c>
      <c r="M119" s="210">
        <f ca="1">IF($D119&lt;&gt;"Serviço","",IF(AUTOEVENTO="manual",$A119,IF(ISERROR(MATCH($A119,$A$15:OFFSET($A119,-1,0),0)),MAX($M$15:OFFSET(M119,-1,0))+1,INDEX($M$15:OFFSET(M119,-1,0),MATCH($A119,$A$15:OFFSET($A119,-1,0),0)))))</f>
        <v>19</v>
      </c>
      <c r="N119" s="211" t="str">
        <f ca="1">IF($D119&lt;&gt;"Serviço","",IF(AUTOEVENTO="Manual",IF($A119=0,"&lt;-- defina o número do agrupador",OFFSET(EVENTOS!$D$14,$A119,0)),OFFSET($F$15,$A119,0)))</f>
        <v xml:space="preserve">ELÉTRICA </v>
      </c>
      <c r="O119" s="212"/>
      <c r="Q119" s="212"/>
      <c r="R119" s="213"/>
      <c r="S119" s="213"/>
      <c r="T119" s="213"/>
      <c r="U119" s="213"/>
      <c r="V119" s="213"/>
      <c r="W119" s="213"/>
      <c r="X119" s="213"/>
      <c r="Y119" s="213"/>
      <c r="Z119" s="214"/>
      <c r="AB119" s="630">
        <f ca="1">IF(AND($D119="Serviço",AB$12&lt;&gt;0,$H119&gt;0,OR(AUTOEVENTO&lt;&gt;"manual",$M119&lt;&gt;1)),
IF(Import.TipoArredondamento&lt;&gt;"TransfereGOV",
ROUND(OFFSET($P119,0,AB$13),15-13*ORÇAMENTO!$AF$7)/$H119*OFFSET(ORÇAMENTO!$X$15,ROW(AB119)-ROW(AB$15),0),
ROUND(ROUND(OFFSET($P119,0,AB$13),15-13*ORÇAMENTO!$AF$7)*OFFSET(ORÇAMENTO!$W$15,ROW(AB119)-ROW(AB$15),0),15-13*ORÇAMENTO!$AF$11)),0)</f>
        <v>0</v>
      </c>
      <c r="AC119" s="631">
        <f ca="1">IF(AND($D119="Serviço",AC$12&lt;&gt;0,$H119&gt;0,OR(AUTOEVENTO&lt;&gt;"manual",$M119&lt;&gt;1)),
IF(Import.TipoArredondamento&lt;&gt;"TransfereGOV",
ROUND(OFFSET($P119,0,AC$13),15-13*ORÇAMENTO!$AF$7)/$H119*OFFSET(ORÇAMENTO!$X$15,ROW(AC119)-ROW(AC$15),0),
ROUND(ROUND(OFFSET($P119,0,AC$13),15-13*ORÇAMENTO!$AF$7)*OFFSET(ORÇAMENTO!$W$15,ROW(AC119)-ROW(AC$15),0),15-13*ORÇAMENTO!$AF$11)),0)</f>
        <v>0</v>
      </c>
      <c r="AD119" s="631">
        <f ca="1">IF(AND($D119="Serviço",AD$12&lt;&gt;0,$H119&gt;0,OR(AUTOEVENTO&lt;&gt;"manual",$M119&lt;&gt;1)),
IF(Import.TipoArredondamento&lt;&gt;"TransfereGOV",
ROUND(OFFSET($P119,0,AD$13),15-13*ORÇAMENTO!$AF$7)/$H119*OFFSET(ORÇAMENTO!$X$15,ROW(AD119)-ROW(AD$15),0),
ROUND(ROUND(OFFSET($P119,0,AD$13),15-13*ORÇAMENTO!$AF$7)*OFFSET(ORÇAMENTO!$W$15,ROW(AD119)-ROW(AD$15),0),15-13*ORÇAMENTO!$AF$11)),0)</f>
        <v>0</v>
      </c>
      <c r="AE119" s="631">
        <f ca="1">IF(AND($D119="Serviço",AE$12&lt;&gt;0,$H119&gt;0,OR(AUTOEVENTO&lt;&gt;"manual",$M119&lt;&gt;1)),
IF(Import.TipoArredondamento&lt;&gt;"TransfereGOV",
ROUND(OFFSET($P119,0,AE$13),15-13*ORÇAMENTO!$AF$7)/$H119*OFFSET(ORÇAMENTO!$X$15,ROW(AE119)-ROW(AE$15),0),
ROUND(ROUND(OFFSET($P119,0,AE$13),15-13*ORÇAMENTO!$AF$7)*OFFSET(ORÇAMENTO!$W$15,ROW(AE119)-ROW(AE$15),0),15-13*ORÇAMENTO!$AF$11)),0)</f>
        <v>0</v>
      </c>
      <c r="AF119" s="631">
        <f ca="1">IF(AND($D119="Serviço",AF$12&lt;&gt;0,$H119&gt;0,OR(AUTOEVENTO&lt;&gt;"manual",$M119&lt;&gt;1)),
IF(Import.TipoArredondamento&lt;&gt;"TransfereGOV",
ROUND(OFFSET($P119,0,AF$13),15-13*ORÇAMENTO!$AF$7)/$H119*OFFSET(ORÇAMENTO!$X$15,ROW(AF119)-ROW(AF$15),0),
ROUND(ROUND(OFFSET($P119,0,AF$13),15-13*ORÇAMENTO!$AF$7)*OFFSET(ORÇAMENTO!$W$15,ROW(AF119)-ROW(AF$15),0),15-13*ORÇAMENTO!$AF$11)),0)</f>
        <v>0</v>
      </c>
      <c r="AG119" s="631">
        <f ca="1">IF(AND($D119="Serviço",AG$12&lt;&gt;0,$H119&gt;0,OR(AUTOEVENTO&lt;&gt;"manual",$M119&lt;&gt;1)),
IF(Import.TipoArredondamento&lt;&gt;"TransfereGOV",
ROUND(OFFSET($P119,0,AG$13),15-13*ORÇAMENTO!$AF$7)/$H119*OFFSET(ORÇAMENTO!$X$15,ROW(AG119)-ROW(AG$15),0),
ROUND(ROUND(OFFSET($P119,0,AG$13),15-13*ORÇAMENTO!$AF$7)*OFFSET(ORÇAMENTO!$W$15,ROW(AG119)-ROW(AG$15),0),15-13*ORÇAMENTO!$AF$11)),0)</f>
        <v>0</v>
      </c>
      <c r="AH119" s="631">
        <f ca="1">IF(AND($D119="Serviço",AH$12&lt;&gt;0,$H119&gt;0,OR(AUTOEVENTO&lt;&gt;"manual",$M119&lt;&gt;1)),
IF(Import.TipoArredondamento&lt;&gt;"TransfereGOV",
ROUND(OFFSET($P119,0,AH$13),15-13*ORÇAMENTO!$AF$7)/$H119*OFFSET(ORÇAMENTO!$X$15,ROW(AH119)-ROW(AH$15),0),
ROUND(ROUND(OFFSET($P119,0,AH$13),15-13*ORÇAMENTO!$AF$7)*OFFSET(ORÇAMENTO!$W$15,ROW(AH119)-ROW(AH$15),0),15-13*ORÇAMENTO!$AF$11)),0)</f>
        <v>0</v>
      </c>
      <c r="AI119" s="631">
        <f ca="1">IF(AND($D119="Serviço",AI$12&lt;&gt;0,$H119&gt;0,OR(AUTOEVENTO&lt;&gt;"manual",$M119&lt;&gt;1)),
IF(Import.TipoArredondamento&lt;&gt;"TransfereGOV",
ROUND(OFFSET($P119,0,AI$13),15-13*ORÇAMENTO!$AF$7)/$H119*OFFSET(ORÇAMENTO!$X$15,ROW(AI119)-ROW(AI$15),0),
ROUND(ROUND(OFFSET($P119,0,AI$13),15-13*ORÇAMENTO!$AF$7)*OFFSET(ORÇAMENTO!$W$15,ROW(AI119)-ROW(AI$15),0),15-13*ORÇAMENTO!$AF$11)),0)</f>
        <v>0</v>
      </c>
      <c r="AJ119" s="631">
        <f ca="1">IF(AND($D119="Serviço",AJ$12&lt;&gt;0,$H119&gt;0,OR(AUTOEVENTO&lt;&gt;"manual",$M119&lt;&gt;1)),
IF(Import.TipoArredondamento&lt;&gt;"TransfereGOV",
ROUND(OFFSET($P119,0,AJ$13),15-13*ORÇAMENTO!$AF$7)/$H119*OFFSET(ORÇAMENTO!$X$15,ROW(AJ119)-ROW(AJ$15),0),
ROUND(ROUND(OFFSET($P119,0,AJ$13),15-13*ORÇAMENTO!$AF$7)*OFFSET(ORÇAMENTO!$W$15,ROW(AJ119)-ROW(AJ$15),0),15-13*ORÇAMENTO!$AF$11)),0)</f>
        <v>0</v>
      </c>
      <c r="AK119" s="632">
        <f ca="1">IF(AND($D119="Serviço",AK$12&lt;&gt;0,$H119&gt;0,OR(AUTOEVENTO&lt;&gt;"manual",$M119&lt;&gt;1)),
IF(Import.TipoArredondamento&lt;&gt;"TransfereGOV",
ROUND(OFFSET($P119,0,AK$13),15-13*ORÇAMENTO!$AF$7)/$H119*OFFSET(ORÇAMENTO!$X$15,ROW(AK119)-ROW(AK$15),0),
ROUND(ROUND(OFFSET($P119,0,AK$13),15-13*ORÇAMENTO!$AF$7)*OFFSET(ORÇAMENTO!$W$15,ROW(AK119)-ROW(AK$15),0),15-13*ORÇAMENTO!$AF$11)),0)</f>
        <v>0</v>
      </c>
      <c r="AM119" s="215">
        <f ca="1">IF($D119&lt;&gt;"Serviço",0,IF(AND(AUTOEVENTO="Manual",$M119=1),0,IF(OFFSET(CRONOPLE!$F$14,$M119,AM$13)="",10^12,OFFSET(CRONOPLE!$F$14,$M119,AM$13))))</f>
        <v>1000000000000</v>
      </c>
      <c r="AN119" s="215">
        <f ca="1">IF($D119&lt;&gt;"Serviço",0,IF(AND(AUTOEVENTO="Manual",$M119=1),0,IF(OFFSET(CRONOPLE!$F$14,$M119,AN$13)="",10^12,OFFSET(CRONOPLE!$F$14,$M119,AN$13))))</f>
        <v>1000000000000</v>
      </c>
      <c r="AO119" s="215">
        <f ca="1">IF($D119&lt;&gt;"Serviço",0,IF(AND(AUTOEVENTO="Manual",$M119=1),0,IF(OFFSET(CRONOPLE!$F$14,$M119,AO$13)="",10^12,OFFSET(CRONOPLE!$F$14,$M119,AO$13))))</f>
        <v>1000000000000</v>
      </c>
      <c r="AP119" s="215">
        <f ca="1">IF($D119&lt;&gt;"Serviço",0,IF(AND(AUTOEVENTO="Manual",$M119=1),0,IF(OFFSET(CRONOPLE!$F$14,$M119,AP$13)="",10^12,OFFSET(CRONOPLE!$F$14,$M119,AP$13))))</f>
        <v>1000000000000</v>
      </c>
      <c r="AQ119" s="215">
        <f ca="1">IF($D119&lt;&gt;"Serviço",0,IF(AND(AUTOEVENTO="Manual",$M119=1),0,IF(OFFSET(CRONOPLE!$F$14,$M119,AQ$13)="",10^12,OFFSET(CRONOPLE!$F$14,$M119,AQ$13))))</f>
        <v>1000000000000</v>
      </c>
      <c r="AR119" s="215">
        <f ca="1">IF($D119&lt;&gt;"Serviço",0,IF(AND(AUTOEVENTO="Manual",$M119=1),0,IF(OFFSET(CRONOPLE!$F$14,$M119,AR$13)="",10^12,OFFSET(CRONOPLE!$F$14,$M119,AR$13))))</f>
        <v>1000000000000</v>
      </c>
      <c r="AS119" s="215">
        <f ca="1">IF($D119&lt;&gt;"Serviço",0,IF(AND(AUTOEVENTO="Manual",$M119=1),0,IF(OFFSET(CRONOPLE!$F$14,$M119,AS$13)="",10^12,OFFSET(CRONOPLE!$F$14,$M119,AS$13))))</f>
        <v>1000000000000</v>
      </c>
      <c r="AT119" s="215">
        <f ca="1">IF($D119&lt;&gt;"Serviço",0,IF(AND(AUTOEVENTO="Manual",$M119=1),0,IF(OFFSET(CRONOPLE!$F$14,$M119,AT$13)="",10^12,OFFSET(CRONOPLE!$F$14,$M119,AT$13))))</f>
        <v>1000000000000</v>
      </c>
      <c r="AU119" s="215">
        <f ca="1">IF($D119&lt;&gt;"Serviço",0,IF(AND(AUTOEVENTO="Manual",$M119=1),0,IF(OFFSET(CRONOPLE!$F$14,$M119,AU$13)="",10^12,OFFSET(CRONOPLE!$F$14,$M119,AU$13))))</f>
        <v>1000000000000</v>
      </c>
      <c r="AV119" s="215">
        <f ca="1">IF($D119&lt;&gt;"Serviço",0,IF(AND(AUTOEVENTO="Manual",$M119=1),0,IF(OFFSET(CRONOPLE!$F$14,$M119,AV$13)="",10^12,OFFSET(CRONOPLE!$F$14,$M119,AV$13))))</f>
        <v>1000000000000</v>
      </c>
      <c r="AX119" s="216">
        <f ca="1">IF($D119&lt;&gt;"Serviço",0,IF(OR(AND(AUTOEVENTO="Manual",$M119=1),$M119&gt;(ROW(PLE.lastrow)-ROW(PLE.firstrow))),0,IF(OFFSET(PLE!$G$14,$M119,AX$13)="",10^12,OFFSET(PLE!$G$14,$M119,AX$13))))</f>
        <v>1000000000000</v>
      </c>
      <c r="AY119" s="216">
        <f ca="1">IF($D119&lt;&gt;"Serviço",0,IF(OR(AND(AUTOEVENTO="Manual",$M119=1),$M119&gt;(ROW(PLE.lastrow)-ROW(PLE.firstrow))),0,IF(OFFSET(PLE!$G$14,$M119,AY$13)="",10^12,OFFSET(PLE!$G$14,$M119,AY$13))))</f>
        <v>1000000000000</v>
      </c>
      <c r="AZ119" s="216">
        <f ca="1">IF($D119&lt;&gt;"Serviço",0,IF(OR(AND(AUTOEVENTO="Manual",$M119=1),$M119&gt;(ROW(PLE.lastrow)-ROW(PLE.firstrow))),0,IF(OFFSET(PLE!$G$14,$M119,AZ$13)="",10^12,OFFSET(PLE!$G$14,$M119,AZ$13))))</f>
        <v>1000000000000</v>
      </c>
      <c r="BA119" s="216">
        <f ca="1">IF($D119&lt;&gt;"Serviço",0,IF(OR(AND(AUTOEVENTO="Manual",$M119=1),$M119&gt;(ROW(PLE.lastrow)-ROW(PLE.firstrow))),0,IF(OFFSET(PLE!$G$14,$M119,BA$13)="",10^12,OFFSET(PLE!$G$14,$M119,BA$13))))</f>
        <v>1000000000000</v>
      </c>
      <c r="BB119" s="216">
        <f ca="1">IF($D119&lt;&gt;"Serviço",0,IF(OR(AND(AUTOEVENTO="Manual",$M119=1),$M119&gt;(ROW(PLE.lastrow)-ROW(PLE.firstrow))),0,IF(OFFSET(PLE!$G$14,$M119,BB$13)="",10^12,OFFSET(PLE!$G$14,$M119,BB$13))))</f>
        <v>1000000000000</v>
      </c>
      <c r="BC119" s="216">
        <f ca="1">IF($D119&lt;&gt;"Serviço",0,IF(OR(AND(AUTOEVENTO="Manual",$M119=1),$M119&gt;(ROW(PLE.lastrow)-ROW(PLE.firstrow))),0,IF(OFFSET(PLE!$G$14,$M119,BC$13)="",10^12,OFFSET(PLE!$G$14,$M119,BC$13))))</f>
        <v>1000000000000</v>
      </c>
      <c r="BD119" s="216">
        <f ca="1">IF($D119&lt;&gt;"Serviço",0,IF(OR(AND(AUTOEVENTO="Manual",$M119=1),$M119&gt;(ROW(PLE.lastrow)-ROW(PLE.firstrow))),0,IF(OFFSET(PLE!$G$14,$M119,BD$13)="",10^12,OFFSET(PLE!$G$14,$M119,BD$13))))</f>
        <v>1000000000000</v>
      </c>
      <c r="BE119" s="216">
        <f ca="1">IF($D119&lt;&gt;"Serviço",0,IF(OR(AND(AUTOEVENTO="Manual",$M119=1),$M119&gt;(ROW(PLE.lastrow)-ROW(PLE.firstrow))),0,IF(OFFSET(PLE!$G$14,$M119,BE$13)="",10^12,OFFSET(PLE!$G$14,$M119,BE$13))))</f>
        <v>1000000000000</v>
      </c>
      <c r="BF119" s="216">
        <f ca="1">IF($D119&lt;&gt;"Serviço",0,IF(OR(AND(AUTOEVENTO="Manual",$M119=1),$M119&gt;(ROW(PLE.lastrow)-ROW(PLE.firstrow))),0,IF(OFFSET(PLE!$G$14,$M119,BF$13)="",10^12,OFFSET(PLE!$G$14,$M119,BF$13))))</f>
        <v>1000000000000</v>
      </c>
      <c r="BG119" s="216">
        <f ca="1">IF($D119&lt;&gt;"Serviço",0,IF(OR(AND(AUTOEVENTO="Manual",$M119=1),$M119&gt;(ROW(PLE.lastrow)-ROW(PLE.firstrow))),0,IF(OFFSET(PLE!$G$14,$M119,BG$13)="",10^12,OFFSET(PLE!$G$14,$M119,BG$13))))</f>
        <v>1000000000000</v>
      </c>
    </row>
    <row r="120" spans="1:59" ht="25.5" x14ac:dyDescent="0.2">
      <c r="A120" s="9" t="str">
        <f ca="1">IF(AUTOEVENTO="Manual",IF(K120&lt;&gt;"",MIN(VALUE(LEFT(K120,FIND(".",K120)-1)),COUNTA(EVENTOS.Lista)),0),IF(OR($B120&gt;AUTOEVENTO,$B120="S",$B120=0),SUBSTITUTE(OFFSET($A120,-1,0),IF($D120="Serviço",".",""),""),ROW(A120)-ROW($A$15)&amp;"."))</f>
        <v>93</v>
      </c>
      <c r="B120" s="9" t="str">
        <f ca="1">OFFSET(ORÇAMENTO!C$15,ROW(B120)-ROW(B$15),0)</f>
        <v>S</v>
      </c>
      <c r="C120" s="9" t="str">
        <f ca="1">OFFSET(ORÇAMENTO!L$15,ROW(C120)-ROW(C$15),0)</f>
        <v/>
      </c>
      <c r="D120" s="145" t="str">
        <f ca="1">OFFSET(ORÇAMENTO!N$15,ROW(D120)-ROW(D$15),0)</f>
        <v>Serviço</v>
      </c>
      <c r="E120" s="205" t="str">
        <f ca="1">OFFSET(ORÇAMENTO!O$15,ROW(E120)-ROW(E$15),0)</f>
        <v>-</v>
      </c>
      <c r="F120" s="206" t="str">
        <f ca="1">OFFSET(ORÇAMENTO!R$15,ROW(F120)-ROW(F$15),0)</f>
        <v xml:space="preserve">DISJUNTOR TERMOMAGNETICO AJUSTAVEL, TRIPOLAR DE 100 ATE 250A, CAPACIDADE DE INTERRUPCAO DE 35KA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G120" s="207" t="str">
        <f ca="1">IF($D120&lt;&gt;"Serviço","",OFFSET(ORÇAMENTO!S$15,ROW(G120)-ROW(G$15),0))</f>
        <v xml:space="preserve">UN    </v>
      </c>
      <c r="H120" s="151">
        <f ca="1">IF($D120&lt;&gt;"Serviço",0,IF(ACOMPANHAMENTO="BM",ROUND(OFFSET(ORÇAMENTO!AJ$15,ROW(H120)-ROW(H$15),0),15-13*ORÇAMENTO!$AF$7),SUMPRODUCT(($Q$12:$AA$12&lt;&gt;"")*ROUND($Q120:$AA120,15-13*ORÇAMENTO!$AF$7))))</f>
        <v>1</v>
      </c>
      <c r="I120" s="649"/>
      <c r="K120" s="208"/>
      <c r="L120" s="209" t="s">
        <v>255</v>
      </c>
      <c r="M120" s="210">
        <f ca="1">IF($D120&lt;&gt;"Serviço","",IF(AUTOEVENTO="manual",$A120,IF(ISERROR(MATCH($A120,$A$15:OFFSET($A120,-1,0),0)),MAX($M$15:OFFSET(M120,-1,0))+1,INDEX($M$15:OFFSET(M120,-1,0),MATCH($A120,$A$15:OFFSET($A120,-1,0),0)))))</f>
        <v>19</v>
      </c>
      <c r="N120" s="211" t="str">
        <f ca="1">IF($D120&lt;&gt;"Serviço","",IF(AUTOEVENTO="Manual",IF($A120=0,"&lt;-- defina o número do agrupador",OFFSET(EVENTOS!$D$14,$A120,0)),OFFSET($F$15,$A120,0)))</f>
        <v xml:space="preserve">ELÉTRICA </v>
      </c>
      <c r="O120" s="212"/>
      <c r="Q120" s="212"/>
      <c r="R120" s="213"/>
      <c r="S120" s="213"/>
      <c r="T120" s="213"/>
      <c r="U120" s="213"/>
      <c r="V120" s="213"/>
      <c r="W120" s="213"/>
      <c r="X120" s="213"/>
      <c r="Y120" s="213"/>
      <c r="Z120" s="214"/>
      <c r="AB120" s="630">
        <f ca="1">IF(AND($D120="Serviço",AB$12&lt;&gt;0,$H120&gt;0,OR(AUTOEVENTO&lt;&gt;"manual",$M120&lt;&gt;1)),
IF(Import.TipoArredondamento&lt;&gt;"TransfereGOV",
ROUND(OFFSET($P120,0,AB$13),15-13*ORÇAMENTO!$AF$7)/$H120*OFFSET(ORÇAMENTO!$X$15,ROW(AB120)-ROW(AB$15),0),
ROUND(ROUND(OFFSET($P120,0,AB$13),15-13*ORÇAMENTO!$AF$7)*OFFSET(ORÇAMENTO!$W$15,ROW(AB120)-ROW(AB$15),0),15-13*ORÇAMENTO!$AF$11)),0)</f>
        <v>0</v>
      </c>
      <c r="AC120" s="631">
        <f ca="1">IF(AND($D120="Serviço",AC$12&lt;&gt;0,$H120&gt;0,OR(AUTOEVENTO&lt;&gt;"manual",$M120&lt;&gt;1)),
IF(Import.TipoArredondamento&lt;&gt;"TransfereGOV",
ROUND(OFFSET($P120,0,AC$13),15-13*ORÇAMENTO!$AF$7)/$H120*OFFSET(ORÇAMENTO!$X$15,ROW(AC120)-ROW(AC$15),0),
ROUND(ROUND(OFFSET($P120,0,AC$13),15-13*ORÇAMENTO!$AF$7)*OFFSET(ORÇAMENTO!$W$15,ROW(AC120)-ROW(AC$15),0),15-13*ORÇAMENTO!$AF$11)),0)</f>
        <v>0</v>
      </c>
      <c r="AD120" s="631">
        <f ca="1">IF(AND($D120="Serviço",AD$12&lt;&gt;0,$H120&gt;0,OR(AUTOEVENTO&lt;&gt;"manual",$M120&lt;&gt;1)),
IF(Import.TipoArredondamento&lt;&gt;"TransfereGOV",
ROUND(OFFSET($P120,0,AD$13),15-13*ORÇAMENTO!$AF$7)/$H120*OFFSET(ORÇAMENTO!$X$15,ROW(AD120)-ROW(AD$15),0),
ROUND(ROUND(OFFSET($P120,0,AD$13),15-13*ORÇAMENTO!$AF$7)*OFFSET(ORÇAMENTO!$W$15,ROW(AD120)-ROW(AD$15),0),15-13*ORÇAMENTO!$AF$11)),0)</f>
        <v>0</v>
      </c>
      <c r="AE120" s="631">
        <f ca="1">IF(AND($D120="Serviço",AE$12&lt;&gt;0,$H120&gt;0,OR(AUTOEVENTO&lt;&gt;"manual",$M120&lt;&gt;1)),
IF(Import.TipoArredondamento&lt;&gt;"TransfereGOV",
ROUND(OFFSET($P120,0,AE$13),15-13*ORÇAMENTO!$AF$7)/$H120*OFFSET(ORÇAMENTO!$X$15,ROW(AE120)-ROW(AE$15),0),
ROUND(ROUND(OFFSET($P120,0,AE$13),15-13*ORÇAMENTO!$AF$7)*OFFSET(ORÇAMENTO!$W$15,ROW(AE120)-ROW(AE$15),0),15-13*ORÇAMENTO!$AF$11)),0)</f>
        <v>0</v>
      </c>
      <c r="AF120" s="631">
        <f ca="1">IF(AND($D120="Serviço",AF$12&lt;&gt;0,$H120&gt;0,OR(AUTOEVENTO&lt;&gt;"manual",$M120&lt;&gt;1)),
IF(Import.TipoArredondamento&lt;&gt;"TransfereGOV",
ROUND(OFFSET($P120,0,AF$13),15-13*ORÇAMENTO!$AF$7)/$H120*OFFSET(ORÇAMENTO!$X$15,ROW(AF120)-ROW(AF$15),0),
ROUND(ROUND(OFFSET($P120,0,AF$13),15-13*ORÇAMENTO!$AF$7)*OFFSET(ORÇAMENTO!$W$15,ROW(AF120)-ROW(AF$15),0),15-13*ORÇAMENTO!$AF$11)),0)</f>
        <v>0</v>
      </c>
      <c r="AG120" s="631">
        <f ca="1">IF(AND($D120="Serviço",AG$12&lt;&gt;0,$H120&gt;0,OR(AUTOEVENTO&lt;&gt;"manual",$M120&lt;&gt;1)),
IF(Import.TipoArredondamento&lt;&gt;"TransfereGOV",
ROUND(OFFSET($P120,0,AG$13),15-13*ORÇAMENTO!$AF$7)/$H120*OFFSET(ORÇAMENTO!$X$15,ROW(AG120)-ROW(AG$15),0),
ROUND(ROUND(OFFSET($P120,0,AG$13),15-13*ORÇAMENTO!$AF$7)*OFFSET(ORÇAMENTO!$W$15,ROW(AG120)-ROW(AG$15),0),15-13*ORÇAMENTO!$AF$11)),0)</f>
        <v>0</v>
      </c>
      <c r="AH120" s="631">
        <f ca="1">IF(AND($D120="Serviço",AH$12&lt;&gt;0,$H120&gt;0,OR(AUTOEVENTO&lt;&gt;"manual",$M120&lt;&gt;1)),
IF(Import.TipoArredondamento&lt;&gt;"TransfereGOV",
ROUND(OFFSET($P120,0,AH$13),15-13*ORÇAMENTO!$AF$7)/$H120*OFFSET(ORÇAMENTO!$X$15,ROW(AH120)-ROW(AH$15),0),
ROUND(ROUND(OFFSET($P120,0,AH$13),15-13*ORÇAMENTO!$AF$7)*OFFSET(ORÇAMENTO!$W$15,ROW(AH120)-ROW(AH$15),0),15-13*ORÇAMENTO!$AF$11)),0)</f>
        <v>0</v>
      </c>
      <c r="AI120" s="631">
        <f ca="1">IF(AND($D120="Serviço",AI$12&lt;&gt;0,$H120&gt;0,OR(AUTOEVENTO&lt;&gt;"manual",$M120&lt;&gt;1)),
IF(Import.TipoArredondamento&lt;&gt;"TransfereGOV",
ROUND(OFFSET($P120,0,AI$13),15-13*ORÇAMENTO!$AF$7)/$H120*OFFSET(ORÇAMENTO!$X$15,ROW(AI120)-ROW(AI$15),0),
ROUND(ROUND(OFFSET($P120,0,AI$13),15-13*ORÇAMENTO!$AF$7)*OFFSET(ORÇAMENTO!$W$15,ROW(AI120)-ROW(AI$15),0),15-13*ORÇAMENTO!$AF$11)),0)</f>
        <v>0</v>
      </c>
      <c r="AJ120" s="631">
        <f ca="1">IF(AND($D120="Serviço",AJ$12&lt;&gt;0,$H120&gt;0,OR(AUTOEVENTO&lt;&gt;"manual",$M120&lt;&gt;1)),
IF(Import.TipoArredondamento&lt;&gt;"TransfereGOV",
ROUND(OFFSET($P120,0,AJ$13),15-13*ORÇAMENTO!$AF$7)/$H120*OFFSET(ORÇAMENTO!$X$15,ROW(AJ120)-ROW(AJ$15),0),
ROUND(ROUND(OFFSET($P120,0,AJ$13),15-13*ORÇAMENTO!$AF$7)*OFFSET(ORÇAMENTO!$W$15,ROW(AJ120)-ROW(AJ$15),0),15-13*ORÇAMENTO!$AF$11)),0)</f>
        <v>0</v>
      </c>
      <c r="AK120" s="632">
        <f ca="1">IF(AND($D120="Serviço",AK$12&lt;&gt;0,$H120&gt;0,OR(AUTOEVENTO&lt;&gt;"manual",$M120&lt;&gt;1)),
IF(Import.TipoArredondamento&lt;&gt;"TransfereGOV",
ROUND(OFFSET($P120,0,AK$13),15-13*ORÇAMENTO!$AF$7)/$H120*OFFSET(ORÇAMENTO!$X$15,ROW(AK120)-ROW(AK$15),0),
ROUND(ROUND(OFFSET($P120,0,AK$13),15-13*ORÇAMENTO!$AF$7)*OFFSET(ORÇAMENTO!$W$15,ROW(AK120)-ROW(AK$15),0),15-13*ORÇAMENTO!$AF$11)),0)</f>
        <v>0</v>
      </c>
      <c r="AM120" s="215">
        <f ca="1">IF($D120&lt;&gt;"Serviço",0,IF(AND(AUTOEVENTO="Manual",$M120=1),0,IF(OFFSET(CRONOPLE!$F$14,$M120,AM$13)="",10^12,OFFSET(CRONOPLE!$F$14,$M120,AM$13))))</f>
        <v>1000000000000</v>
      </c>
      <c r="AN120" s="215">
        <f ca="1">IF($D120&lt;&gt;"Serviço",0,IF(AND(AUTOEVENTO="Manual",$M120=1),0,IF(OFFSET(CRONOPLE!$F$14,$M120,AN$13)="",10^12,OFFSET(CRONOPLE!$F$14,$M120,AN$13))))</f>
        <v>1000000000000</v>
      </c>
      <c r="AO120" s="215">
        <f ca="1">IF($D120&lt;&gt;"Serviço",0,IF(AND(AUTOEVENTO="Manual",$M120=1),0,IF(OFFSET(CRONOPLE!$F$14,$M120,AO$13)="",10^12,OFFSET(CRONOPLE!$F$14,$M120,AO$13))))</f>
        <v>1000000000000</v>
      </c>
      <c r="AP120" s="215">
        <f ca="1">IF($D120&lt;&gt;"Serviço",0,IF(AND(AUTOEVENTO="Manual",$M120=1),0,IF(OFFSET(CRONOPLE!$F$14,$M120,AP$13)="",10^12,OFFSET(CRONOPLE!$F$14,$M120,AP$13))))</f>
        <v>1000000000000</v>
      </c>
      <c r="AQ120" s="215">
        <f ca="1">IF($D120&lt;&gt;"Serviço",0,IF(AND(AUTOEVENTO="Manual",$M120=1),0,IF(OFFSET(CRONOPLE!$F$14,$M120,AQ$13)="",10^12,OFFSET(CRONOPLE!$F$14,$M120,AQ$13))))</f>
        <v>1000000000000</v>
      </c>
      <c r="AR120" s="215">
        <f ca="1">IF($D120&lt;&gt;"Serviço",0,IF(AND(AUTOEVENTO="Manual",$M120=1),0,IF(OFFSET(CRONOPLE!$F$14,$M120,AR$13)="",10^12,OFFSET(CRONOPLE!$F$14,$M120,AR$13))))</f>
        <v>1000000000000</v>
      </c>
      <c r="AS120" s="215">
        <f ca="1">IF($D120&lt;&gt;"Serviço",0,IF(AND(AUTOEVENTO="Manual",$M120=1),0,IF(OFFSET(CRONOPLE!$F$14,$M120,AS$13)="",10^12,OFFSET(CRONOPLE!$F$14,$M120,AS$13))))</f>
        <v>1000000000000</v>
      </c>
      <c r="AT120" s="215">
        <f ca="1">IF($D120&lt;&gt;"Serviço",0,IF(AND(AUTOEVENTO="Manual",$M120=1),0,IF(OFFSET(CRONOPLE!$F$14,$M120,AT$13)="",10^12,OFFSET(CRONOPLE!$F$14,$M120,AT$13))))</f>
        <v>1000000000000</v>
      </c>
      <c r="AU120" s="215">
        <f ca="1">IF($D120&lt;&gt;"Serviço",0,IF(AND(AUTOEVENTO="Manual",$M120=1),0,IF(OFFSET(CRONOPLE!$F$14,$M120,AU$13)="",10^12,OFFSET(CRONOPLE!$F$14,$M120,AU$13))))</f>
        <v>1000000000000</v>
      </c>
      <c r="AV120" s="215">
        <f ca="1">IF($D120&lt;&gt;"Serviço",0,IF(AND(AUTOEVENTO="Manual",$M120=1),0,IF(OFFSET(CRONOPLE!$F$14,$M120,AV$13)="",10^12,OFFSET(CRONOPLE!$F$14,$M120,AV$13))))</f>
        <v>1000000000000</v>
      </c>
      <c r="AX120" s="216">
        <f ca="1">IF($D120&lt;&gt;"Serviço",0,IF(OR(AND(AUTOEVENTO="Manual",$M120=1),$M120&gt;(ROW(PLE.lastrow)-ROW(PLE.firstrow))),0,IF(OFFSET(PLE!$G$14,$M120,AX$13)="",10^12,OFFSET(PLE!$G$14,$M120,AX$13))))</f>
        <v>1000000000000</v>
      </c>
      <c r="AY120" s="216">
        <f ca="1">IF($D120&lt;&gt;"Serviço",0,IF(OR(AND(AUTOEVENTO="Manual",$M120=1),$M120&gt;(ROW(PLE.lastrow)-ROW(PLE.firstrow))),0,IF(OFFSET(PLE!$G$14,$M120,AY$13)="",10^12,OFFSET(PLE!$G$14,$M120,AY$13))))</f>
        <v>1000000000000</v>
      </c>
      <c r="AZ120" s="216">
        <f ca="1">IF($D120&lt;&gt;"Serviço",0,IF(OR(AND(AUTOEVENTO="Manual",$M120=1),$M120&gt;(ROW(PLE.lastrow)-ROW(PLE.firstrow))),0,IF(OFFSET(PLE!$G$14,$M120,AZ$13)="",10^12,OFFSET(PLE!$G$14,$M120,AZ$13))))</f>
        <v>1000000000000</v>
      </c>
      <c r="BA120" s="216">
        <f ca="1">IF($D120&lt;&gt;"Serviço",0,IF(OR(AND(AUTOEVENTO="Manual",$M120=1),$M120&gt;(ROW(PLE.lastrow)-ROW(PLE.firstrow))),0,IF(OFFSET(PLE!$G$14,$M120,BA$13)="",10^12,OFFSET(PLE!$G$14,$M120,BA$13))))</f>
        <v>1000000000000</v>
      </c>
      <c r="BB120" s="216">
        <f ca="1">IF($D120&lt;&gt;"Serviço",0,IF(OR(AND(AUTOEVENTO="Manual",$M120=1),$M120&gt;(ROW(PLE.lastrow)-ROW(PLE.firstrow))),0,IF(OFFSET(PLE!$G$14,$M120,BB$13)="",10^12,OFFSET(PLE!$G$14,$M120,BB$13))))</f>
        <v>1000000000000</v>
      </c>
      <c r="BC120" s="216">
        <f ca="1">IF($D120&lt;&gt;"Serviço",0,IF(OR(AND(AUTOEVENTO="Manual",$M120=1),$M120&gt;(ROW(PLE.lastrow)-ROW(PLE.firstrow))),0,IF(OFFSET(PLE!$G$14,$M120,BC$13)="",10^12,OFFSET(PLE!$G$14,$M120,BC$13))))</f>
        <v>1000000000000</v>
      </c>
      <c r="BD120" s="216">
        <f ca="1">IF($D120&lt;&gt;"Serviço",0,IF(OR(AND(AUTOEVENTO="Manual",$M120=1),$M120&gt;(ROW(PLE.lastrow)-ROW(PLE.firstrow))),0,IF(OFFSET(PLE!$G$14,$M120,BD$13)="",10^12,OFFSET(PLE!$G$14,$M120,BD$13))))</f>
        <v>1000000000000</v>
      </c>
      <c r="BE120" s="216">
        <f ca="1">IF($D120&lt;&gt;"Serviço",0,IF(OR(AND(AUTOEVENTO="Manual",$M120=1),$M120&gt;(ROW(PLE.lastrow)-ROW(PLE.firstrow))),0,IF(OFFSET(PLE!$G$14,$M120,BE$13)="",10^12,OFFSET(PLE!$G$14,$M120,BE$13))))</f>
        <v>1000000000000</v>
      </c>
      <c r="BF120" s="216">
        <f ca="1">IF($D120&lt;&gt;"Serviço",0,IF(OR(AND(AUTOEVENTO="Manual",$M120=1),$M120&gt;(ROW(PLE.lastrow)-ROW(PLE.firstrow))),0,IF(OFFSET(PLE!$G$14,$M120,BF$13)="",10^12,OFFSET(PLE!$G$14,$M120,BF$13))))</f>
        <v>1000000000000</v>
      </c>
      <c r="BG120" s="216">
        <f ca="1">IF($D120&lt;&gt;"Serviço",0,IF(OR(AND(AUTOEVENTO="Manual",$M120=1),$M120&gt;(ROW(PLE.lastrow)-ROW(PLE.firstrow))),0,IF(OFFSET(PLE!$G$14,$M120,BG$13)="",10^12,OFFSET(PLE!$G$14,$M120,BG$13))))</f>
        <v>1000000000000</v>
      </c>
    </row>
    <row r="121" spans="1:59" ht="25.5" x14ac:dyDescent="0.2">
      <c r="A121" s="9" t="str">
        <f ca="1">IF(AUTOEVENTO="Manual",IF(K121&lt;&gt;"",MIN(VALUE(LEFT(K121,FIND(".",K121)-1)),COUNTA(EVENTOS.Lista)),0),IF(OR($B121&gt;AUTOEVENTO,$B121="S",$B121=0),SUBSTITUTE(OFFSET($A121,-1,0),IF($D121="Serviço",".",""),""),ROW(A121)-ROW($A$15)&amp;"."))</f>
        <v>93</v>
      </c>
      <c r="B121" s="9" t="str">
        <f ca="1">OFFSET(ORÇAMENTO!C$15,ROW(B121)-ROW(B$15),0)</f>
        <v>S</v>
      </c>
      <c r="C121" s="9" t="str">
        <f ca="1">OFFSET(ORÇAMENTO!L$15,ROW(C121)-ROW(C$15),0)</f>
        <v/>
      </c>
      <c r="D121" s="145" t="str">
        <f ca="1">OFFSET(ORÇAMENTO!N$15,ROW(D121)-ROW(D$15),0)</f>
        <v>Serviço</v>
      </c>
      <c r="E121" s="205" t="str">
        <f ca="1">OFFSET(ORÇAMENTO!O$15,ROW(E121)-ROW(E$15),0)</f>
        <v>-</v>
      </c>
      <c r="F121" s="206" t="str">
        <f ca="1">OFFSET(ORÇAMENTO!R$15,ROW(F121)-ROW(F$15),0)</f>
        <v xml:space="preserve">DISJUNTOR TERMOMAGNETICO PARA TRILHO DIN (IEC), MONOPOLAR, 6 - 32 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G121" s="207" t="str">
        <f ca="1">IF($D121&lt;&gt;"Serviço","",OFFSET(ORÇAMENTO!S$15,ROW(G121)-ROW(G$15),0))</f>
        <v xml:space="preserve">UN    </v>
      </c>
      <c r="H121" s="151">
        <f ca="1">IF($D121&lt;&gt;"Serviço",0,IF(ACOMPANHAMENTO="BM",ROUND(OFFSET(ORÇAMENTO!AJ$15,ROW(H121)-ROW(H$15),0),15-13*ORÇAMENTO!$AF$7),SUMPRODUCT(($Q$12:$AA$12&lt;&gt;"")*ROUND($Q121:$AA121,15-13*ORÇAMENTO!$AF$7))))</f>
        <v>19</v>
      </c>
      <c r="I121" s="649"/>
      <c r="K121" s="208"/>
      <c r="L121" s="209" t="s">
        <v>255</v>
      </c>
      <c r="M121" s="210">
        <f ca="1">IF($D121&lt;&gt;"Serviço","",IF(AUTOEVENTO="manual",$A121,IF(ISERROR(MATCH($A121,$A$15:OFFSET($A121,-1,0),0)),MAX($M$15:OFFSET(M121,-1,0))+1,INDEX($M$15:OFFSET(M121,-1,0),MATCH($A121,$A$15:OFFSET($A121,-1,0),0)))))</f>
        <v>19</v>
      </c>
      <c r="N121" s="211" t="str">
        <f ca="1">IF($D121&lt;&gt;"Serviço","",IF(AUTOEVENTO="Manual",IF($A121=0,"&lt;-- defina o número do agrupador",OFFSET(EVENTOS!$D$14,$A121,0)),OFFSET($F$15,$A121,0)))</f>
        <v xml:space="preserve">ELÉTRICA </v>
      </c>
      <c r="O121" s="212"/>
      <c r="Q121" s="212"/>
      <c r="R121" s="213"/>
      <c r="S121" s="213"/>
      <c r="T121" s="213"/>
      <c r="U121" s="213"/>
      <c r="V121" s="213"/>
      <c r="W121" s="213"/>
      <c r="X121" s="213"/>
      <c r="Y121" s="213"/>
      <c r="Z121" s="214"/>
      <c r="AB121" s="630">
        <f ca="1">IF(AND($D121="Serviço",AB$12&lt;&gt;0,$H121&gt;0,OR(AUTOEVENTO&lt;&gt;"manual",$M121&lt;&gt;1)),
IF(Import.TipoArredondamento&lt;&gt;"TransfereGOV",
ROUND(OFFSET($P121,0,AB$13),15-13*ORÇAMENTO!$AF$7)/$H121*OFFSET(ORÇAMENTO!$X$15,ROW(AB121)-ROW(AB$15),0),
ROUND(ROUND(OFFSET($P121,0,AB$13),15-13*ORÇAMENTO!$AF$7)*OFFSET(ORÇAMENTO!$W$15,ROW(AB121)-ROW(AB$15),0),15-13*ORÇAMENTO!$AF$11)),0)</f>
        <v>0</v>
      </c>
      <c r="AC121" s="631">
        <f ca="1">IF(AND($D121="Serviço",AC$12&lt;&gt;0,$H121&gt;0,OR(AUTOEVENTO&lt;&gt;"manual",$M121&lt;&gt;1)),
IF(Import.TipoArredondamento&lt;&gt;"TransfereGOV",
ROUND(OFFSET($P121,0,AC$13),15-13*ORÇAMENTO!$AF$7)/$H121*OFFSET(ORÇAMENTO!$X$15,ROW(AC121)-ROW(AC$15),0),
ROUND(ROUND(OFFSET($P121,0,AC$13),15-13*ORÇAMENTO!$AF$7)*OFFSET(ORÇAMENTO!$W$15,ROW(AC121)-ROW(AC$15),0),15-13*ORÇAMENTO!$AF$11)),0)</f>
        <v>0</v>
      </c>
      <c r="AD121" s="631">
        <f ca="1">IF(AND($D121="Serviço",AD$12&lt;&gt;0,$H121&gt;0,OR(AUTOEVENTO&lt;&gt;"manual",$M121&lt;&gt;1)),
IF(Import.TipoArredondamento&lt;&gt;"TransfereGOV",
ROUND(OFFSET($P121,0,AD$13),15-13*ORÇAMENTO!$AF$7)/$H121*OFFSET(ORÇAMENTO!$X$15,ROW(AD121)-ROW(AD$15),0),
ROUND(ROUND(OFFSET($P121,0,AD$13),15-13*ORÇAMENTO!$AF$7)*OFFSET(ORÇAMENTO!$W$15,ROW(AD121)-ROW(AD$15),0),15-13*ORÇAMENTO!$AF$11)),0)</f>
        <v>0</v>
      </c>
      <c r="AE121" s="631">
        <f ca="1">IF(AND($D121="Serviço",AE$12&lt;&gt;0,$H121&gt;0,OR(AUTOEVENTO&lt;&gt;"manual",$M121&lt;&gt;1)),
IF(Import.TipoArredondamento&lt;&gt;"TransfereGOV",
ROUND(OFFSET($P121,0,AE$13),15-13*ORÇAMENTO!$AF$7)/$H121*OFFSET(ORÇAMENTO!$X$15,ROW(AE121)-ROW(AE$15),0),
ROUND(ROUND(OFFSET($P121,0,AE$13),15-13*ORÇAMENTO!$AF$7)*OFFSET(ORÇAMENTO!$W$15,ROW(AE121)-ROW(AE$15),0),15-13*ORÇAMENTO!$AF$11)),0)</f>
        <v>0</v>
      </c>
      <c r="AF121" s="631">
        <f ca="1">IF(AND($D121="Serviço",AF$12&lt;&gt;0,$H121&gt;0,OR(AUTOEVENTO&lt;&gt;"manual",$M121&lt;&gt;1)),
IF(Import.TipoArredondamento&lt;&gt;"TransfereGOV",
ROUND(OFFSET($P121,0,AF$13),15-13*ORÇAMENTO!$AF$7)/$H121*OFFSET(ORÇAMENTO!$X$15,ROW(AF121)-ROW(AF$15),0),
ROUND(ROUND(OFFSET($P121,0,AF$13),15-13*ORÇAMENTO!$AF$7)*OFFSET(ORÇAMENTO!$W$15,ROW(AF121)-ROW(AF$15),0),15-13*ORÇAMENTO!$AF$11)),0)</f>
        <v>0</v>
      </c>
      <c r="AG121" s="631">
        <f ca="1">IF(AND($D121="Serviço",AG$12&lt;&gt;0,$H121&gt;0,OR(AUTOEVENTO&lt;&gt;"manual",$M121&lt;&gt;1)),
IF(Import.TipoArredondamento&lt;&gt;"TransfereGOV",
ROUND(OFFSET($P121,0,AG$13),15-13*ORÇAMENTO!$AF$7)/$H121*OFFSET(ORÇAMENTO!$X$15,ROW(AG121)-ROW(AG$15),0),
ROUND(ROUND(OFFSET($P121,0,AG$13),15-13*ORÇAMENTO!$AF$7)*OFFSET(ORÇAMENTO!$W$15,ROW(AG121)-ROW(AG$15),0),15-13*ORÇAMENTO!$AF$11)),0)</f>
        <v>0</v>
      </c>
      <c r="AH121" s="631">
        <f ca="1">IF(AND($D121="Serviço",AH$12&lt;&gt;0,$H121&gt;0,OR(AUTOEVENTO&lt;&gt;"manual",$M121&lt;&gt;1)),
IF(Import.TipoArredondamento&lt;&gt;"TransfereGOV",
ROUND(OFFSET($P121,0,AH$13),15-13*ORÇAMENTO!$AF$7)/$H121*OFFSET(ORÇAMENTO!$X$15,ROW(AH121)-ROW(AH$15),0),
ROUND(ROUND(OFFSET($P121,0,AH$13),15-13*ORÇAMENTO!$AF$7)*OFFSET(ORÇAMENTO!$W$15,ROW(AH121)-ROW(AH$15),0),15-13*ORÇAMENTO!$AF$11)),0)</f>
        <v>0</v>
      </c>
      <c r="AI121" s="631">
        <f ca="1">IF(AND($D121="Serviço",AI$12&lt;&gt;0,$H121&gt;0,OR(AUTOEVENTO&lt;&gt;"manual",$M121&lt;&gt;1)),
IF(Import.TipoArredondamento&lt;&gt;"TransfereGOV",
ROUND(OFFSET($P121,0,AI$13),15-13*ORÇAMENTO!$AF$7)/$H121*OFFSET(ORÇAMENTO!$X$15,ROW(AI121)-ROW(AI$15),0),
ROUND(ROUND(OFFSET($P121,0,AI$13),15-13*ORÇAMENTO!$AF$7)*OFFSET(ORÇAMENTO!$W$15,ROW(AI121)-ROW(AI$15),0),15-13*ORÇAMENTO!$AF$11)),0)</f>
        <v>0</v>
      </c>
      <c r="AJ121" s="631">
        <f ca="1">IF(AND($D121="Serviço",AJ$12&lt;&gt;0,$H121&gt;0,OR(AUTOEVENTO&lt;&gt;"manual",$M121&lt;&gt;1)),
IF(Import.TipoArredondamento&lt;&gt;"TransfereGOV",
ROUND(OFFSET($P121,0,AJ$13),15-13*ORÇAMENTO!$AF$7)/$H121*OFFSET(ORÇAMENTO!$X$15,ROW(AJ121)-ROW(AJ$15),0),
ROUND(ROUND(OFFSET($P121,0,AJ$13),15-13*ORÇAMENTO!$AF$7)*OFFSET(ORÇAMENTO!$W$15,ROW(AJ121)-ROW(AJ$15),0),15-13*ORÇAMENTO!$AF$11)),0)</f>
        <v>0</v>
      </c>
      <c r="AK121" s="632">
        <f ca="1">IF(AND($D121="Serviço",AK$12&lt;&gt;0,$H121&gt;0,OR(AUTOEVENTO&lt;&gt;"manual",$M121&lt;&gt;1)),
IF(Import.TipoArredondamento&lt;&gt;"TransfereGOV",
ROUND(OFFSET($P121,0,AK$13),15-13*ORÇAMENTO!$AF$7)/$H121*OFFSET(ORÇAMENTO!$X$15,ROW(AK121)-ROW(AK$15),0),
ROUND(ROUND(OFFSET($P121,0,AK$13),15-13*ORÇAMENTO!$AF$7)*OFFSET(ORÇAMENTO!$W$15,ROW(AK121)-ROW(AK$15),0),15-13*ORÇAMENTO!$AF$11)),0)</f>
        <v>0</v>
      </c>
      <c r="AM121" s="215">
        <f ca="1">IF($D121&lt;&gt;"Serviço",0,IF(AND(AUTOEVENTO="Manual",$M121=1),0,IF(OFFSET(CRONOPLE!$F$14,$M121,AM$13)="",10^12,OFFSET(CRONOPLE!$F$14,$M121,AM$13))))</f>
        <v>1000000000000</v>
      </c>
      <c r="AN121" s="215">
        <f ca="1">IF($D121&lt;&gt;"Serviço",0,IF(AND(AUTOEVENTO="Manual",$M121=1),0,IF(OFFSET(CRONOPLE!$F$14,$M121,AN$13)="",10^12,OFFSET(CRONOPLE!$F$14,$M121,AN$13))))</f>
        <v>1000000000000</v>
      </c>
      <c r="AO121" s="215">
        <f ca="1">IF($D121&lt;&gt;"Serviço",0,IF(AND(AUTOEVENTO="Manual",$M121=1),0,IF(OFFSET(CRONOPLE!$F$14,$M121,AO$13)="",10^12,OFFSET(CRONOPLE!$F$14,$M121,AO$13))))</f>
        <v>1000000000000</v>
      </c>
      <c r="AP121" s="215">
        <f ca="1">IF($D121&lt;&gt;"Serviço",0,IF(AND(AUTOEVENTO="Manual",$M121=1),0,IF(OFFSET(CRONOPLE!$F$14,$M121,AP$13)="",10^12,OFFSET(CRONOPLE!$F$14,$M121,AP$13))))</f>
        <v>1000000000000</v>
      </c>
      <c r="AQ121" s="215">
        <f ca="1">IF($D121&lt;&gt;"Serviço",0,IF(AND(AUTOEVENTO="Manual",$M121=1),0,IF(OFFSET(CRONOPLE!$F$14,$M121,AQ$13)="",10^12,OFFSET(CRONOPLE!$F$14,$M121,AQ$13))))</f>
        <v>1000000000000</v>
      </c>
      <c r="AR121" s="215">
        <f ca="1">IF($D121&lt;&gt;"Serviço",0,IF(AND(AUTOEVENTO="Manual",$M121=1),0,IF(OFFSET(CRONOPLE!$F$14,$M121,AR$13)="",10^12,OFFSET(CRONOPLE!$F$14,$M121,AR$13))))</f>
        <v>1000000000000</v>
      </c>
      <c r="AS121" s="215">
        <f ca="1">IF($D121&lt;&gt;"Serviço",0,IF(AND(AUTOEVENTO="Manual",$M121=1),0,IF(OFFSET(CRONOPLE!$F$14,$M121,AS$13)="",10^12,OFFSET(CRONOPLE!$F$14,$M121,AS$13))))</f>
        <v>1000000000000</v>
      </c>
      <c r="AT121" s="215">
        <f ca="1">IF($D121&lt;&gt;"Serviço",0,IF(AND(AUTOEVENTO="Manual",$M121=1),0,IF(OFFSET(CRONOPLE!$F$14,$M121,AT$13)="",10^12,OFFSET(CRONOPLE!$F$14,$M121,AT$13))))</f>
        <v>1000000000000</v>
      </c>
      <c r="AU121" s="215">
        <f ca="1">IF($D121&lt;&gt;"Serviço",0,IF(AND(AUTOEVENTO="Manual",$M121=1),0,IF(OFFSET(CRONOPLE!$F$14,$M121,AU$13)="",10^12,OFFSET(CRONOPLE!$F$14,$M121,AU$13))))</f>
        <v>1000000000000</v>
      </c>
      <c r="AV121" s="215">
        <f ca="1">IF($D121&lt;&gt;"Serviço",0,IF(AND(AUTOEVENTO="Manual",$M121=1),0,IF(OFFSET(CRONOPLE!$F$14,$M121,AV$13)="",10^12,OFFSET(CRONOPLE!$F$14,$M121,AV$13))))</f>
        <v>1000000000000</v>
      </c>
      <c r="AX121" s="216">
        <f ca="1">IF($D121&lt;&gt;"Serviço",0,IF(OR(AND(AUTOEVENTO="Manual",$M121=1),$M121&gt;(ROW(PLE.lastrow)-ROW(PLE.firstrow))),0,IF(OFFSET(PLE!$G$14,$M121,AX$13)="",10^12,OFFSET(PLE!$G$14,$M121,AX$13))))</f>
        <v>1000000000000</v>
      </c>
      <c r="AY121" s="216">
        <f ca="1">IF($D121&lt;&gt;"Serviço",0,IF(OR(AND(AUTOEVENTO="Manual",$M121=1),$M121&gt;(ROW(PLE.lastrow)-ROW(PLE.firstrow))),0,IF(OFFSET(PLE!$G$14,$M121,AY$13)="",10^12,OFFSET(PLE!$G$14,$M121,AY$13))))</f>
        <v>1000000000000</v>
      </c>
      <c r="AZ121" s="216">
        <f ca="1">IF($D121&lt;&gt;"Serviço",0,IF(OR(AND(AUTOEVENTO="Manual",$M121=1),$M121&gt;(ROW(PLE.lastrow)-ROW(PLE.firstrow))),0,IF(OFFSET(PLE!$G$14,$M121,AZ$13)="",10^12,OFFSET(PLE!$G$14,$M121,AZ$13))))</f>
        <v>1000000000000</v>
      </c>
      <c r="BA121" s="216">
        <f ca="1">IF($D121&lt;&gt;"Serviço",0,IF(OR(AND(AUTOEVENTO="Manual",$M121=1),$M121&gt;(ROW(PLE.lastrow)-ROW(PLE.firstrow))),0,IF(OFFSET(PLE!$G$14,$M121,BA$13)="",10^12,OFFSET(PLE!$G$14,$M121,BA$13))))</f>
        <v>1000000000000</v>
      </c>
      <c r="BB121" s="216">
        <f ca="1">IF($D121&lt;&gt;"Serviço",0,IF(OR(AND(AUTOEVENTO="Manual",$M121=1),$M121&gt;(ROW(PLE.lastrow)-ROW(PLE.firstrow))),0,IF(OFFSET(PLE!$G$14,$M121,BB$13)="",10^12,OFFSET(PLE!$G$14,$M121,BB$13))))</f>
        <v>1000000000000</v>
      </c>
      <c r="BC121" s="216">
        <f ca="1">IF($D121&lt;&gt;"Serviço",0,IF(OR(AND(AUTOEVENTO="Manual",$M121=1),$M121&gt;(ROW(PLE.lastrow)-ROW(PLE.firstrow))),0,IF(OFFSET(PLE!$G$14,$M121,BC$13)="",10^12,OFFSET(PLE!$G$14,$M121,BC$13))))</f>
        <v>1000000000000</v>
      </c>
      <c r="BD121" s="216">
        <f ca="1">IF($D121&lt;&gt;"Serviço",0,IF(OR(AND(AUTOEVENTO="Manual",$M121=1),$M121&gt;(ROW(PLE.lastrow)-ROW(PLE.firstrow))),0,IF(OFFSET(PLE!$G$14,$M121,BD$13)="",10^12,OFFSET(PLE!$G$14,$M121,BD$13))))</f>
        <v>1000000000000</v>
      </c>
      <c r="BE121" s="216">
        <f ca="1">IF($D121&lt;&gt;"Serviço",0,IF(OR(AND(AUTOEVENTO="Manual",$M121=1),$M121&gt;(ROW(PLE.lastrow)-ROW(PLE.firstrow))),0,IF(OFFSET(PLE!$G$14,$M121,BE$13)="",10^12,OFFSET(PLE!$G$14,$M121,BE$13))))</f>
        <v>1000000000000</v>
      </c>
      <c r="BF121" s="216">
        <f ca="1">IF($D121&lt;&gt;"Serviço",0,IF(OR(AND(AUTOEVENTO="Manual",$M121=1),$M121&gt;(ROW(PLE.lastrow)-ROW(PLE.firstrow))),0,IF(OFFSET(PLE!$G$14,$M121,BF$13)="",10^12,OFFSET(PLE!$G$14,$M121,BF$13))))</f>
        <v>1000000000000</v>
      </c>
      <c r="BG121" s="216">
        <f ca="1">IF($D121&lt;&gt;"Serviço",0,IF(OR(AND(AUTOEVENTO="Manual",$M121=1),$M121&gt;(ROW(PLE.lastrow)-ROW(PLE.firstrow))),0,IF(OFFSET(PLE!$G$14,$M121,BG$13)="",10^12,OFFSET(PLE!$G$14,$M121,BG$13))))</f>
        <v>1000000000000</v>
      </c>
    </row>
    <row r="122" spans="1:59" ht="25.5" x14ac:dyDescent="0.2">
      <c r="A122" s="9" t="str">
        <f t="shared" ca="1" si="10"/>
        <v>93</v>
      </c>
      <c r="B122" s="9" t="str">
        <f ca="1">OFFSET(ORÇAMENTO!C$15,ROW(B122)-ROW(B$15),0)</f>
        <v>S</v>
      </c>
      <c r="C122" s="9" t="str">
        <f ca="1">OFFSET(ORÇAMENTO!L$15,ROW(C122)-ROW(C$15),0)</f>
        <v/>
      </c>
      <c r="D122" s="145" t="str">
        <f ca="1">OFFSET(ORÇAMENTO!N$15,ROW(D122)-ROW(D$15),0)</f>
        <v>Serviço</v>
      </c>
      <c r="E122" s="205" t="str">
        <f ca="1">OFFSET(ORÇAMENTO!O$15,ROW(E122)-ROW(E$15),0)</f>
        <v>-</v>
      </c>
      <c r="F122" s="206" t="str">
        <f ca="1">OFFSET(ORÇAMENTO!R$15,ROW(F122)-ROW(F$15),0)</f>
        <v xml:space="preserve">DISPOSITIVO DPS CLASSE II, 1 POLO, TENSAO MAXIMA DE 275 V, CORRENTE MAXIMA DE *20* KA (TIPO AC)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G122" s="207" t="str">
        <f ca="1">IF($D122&lt;&gt;"Serviço","",OFFSET(ORÇAMENTO!S$15,ROW(G122)-ROW(G$15),0))</f>
        <v xml:space="preserve">UN    </v>
      </c>
      <c r="H122" s="151">
        <f ca="1">IF($D122&lt;&gt;"Serviço",0,IF(ACOMPANHAMENTO="BM",ROUND(OFFSET(ORÇAMENTO!AJ$15,ROW(H122)-ROW(H$15),0),15-13*ORÇAMENTO!$AF$7),SUMPRODUCT(($Q$12:$AA$12&lt;&gt;"")*ROUND($Q122:$AA122,15-13*ORÇAMENTO!$AF$7))))</f>
        <v>4</v>
      </c>
      <c r="I122" s="649"/>
      <c r="K122" s="208"/>
      <c r="L122" s="209" t="s">
        <v>255</v>
      </c>
      <c r="M122" s="210">
        <f ca="1">IF($D122&lt;&gt;"Serviço","",IF(AUTOEVENTO="manual",$A122,IF(ISERROR(MATCH($A122,$A$15:OFFSET($A122,-1,0),0)),MAX($M$15:OFFSET(M122,-1,0))+1,INDEX($M$15:OFFSET(M122,-1,0),MATCH($A122,$A$15:OFFSET($A122,-1,0),0)))))</f>
        <v>19</v>
      </c>
      <c r="N122" s="211" t="str">
        <f ca="1">IF($D122&lt;&gt;"Serviço","",IF(AUTOEVENTO="Manual",IF($A122=0,"&lt;-- defina o número do agrupador",OFFSET(EVENTOS!$D$14,$A122,0)),OFFSET($F$15,$A122,0)))</f>
        <v xml:space="preserve">ELÉTRICA </v>
      </c>
      <c r="O122" s="212"/>
      <c r="Q122" s="212"/>
      <c r="R122" s="213"/>
      <c r="S122" s="213"/>
      <c r="T122" s="213"/>
      <c r="U122" s="213"/>
      <c r="V122" s="213"/>
      <c r="W122" s="213"/>
      <c r="X122" s="213"/>
      <c r="Y122" s="213"/>
      <c r="Z122" s="214"/>
      <c r="AB122" s="630">
        <f ca="1">IF(AND($D122="Serviço",AB$12&lt;&gt;0,$H122&gt;0,OR(AUTOEVENTO&lt;&gt;"manual",$M122&lt;&gt;1)),
IF(Import.TipoArredondamento&lt;&gt;"TransfereGOV",
ROUND(OFFSET($P122,0,AB$13),15-13*ORÇAMENTO!$AF$7)/$H122*OFFSET(ORÇAMENTO!$X$15,ROW(AB122)-ROW(AB$15),0),
ROUND(ROUND(OFFSET($P122,0,AB$13),15-13*ORÇAMENTO!$AF$7)*OFFSET(ORÇAMENTO!$W$15,ROW(AB122)-ROW(AB$15),0),15-13*ORÇAMENTO!$AF$11)),0)</f>
        <v>0</v>
      </c>
      <c r="AC122" s="631">
        <f ca="1">IF(AND($D122="Serviço",AC$12&lt;&gt;0,$H122&gt;0,OR(AUTOEVENTO&lt;&gt;"manual",$M122&lt;&gt;1)),
IF(Import.TipoArredondamento&lt;&gt;"TransfereGOV",
ROUND(OFFSET($P122,0,AC$13),15-13*ORÇAMENTO!$AF$7)/$H122*OFFSET(ORÇAMENTO!$X$15,ROW(AC122)-ROW(AC$15),0),
ROUND(ROUND(OFFSET($P122,0,AC$13),15-13*ORÇAMENTO!$AF$7)*OFFSET(ORÇAMENTO!$W$15,ROW(AC122)-ROW(AC$15),0),15-13*ORÇAMENTO!$AF$11)),0)</f>
        <v>0</v>
      </c>
      <c r="AD122" s="631">
        <f ca="1">IF(AND($D122="Serviço",AD$12&lt;&gt;0,$H122&gt;0,OR(AUTOEVENTO&lt;&gt;"manual",$M122&lt;&gt;1)),
IF(Import.TipoArredondamento&lt;&gt;"TransfereGOV",
ROUND(OFFSET($P122,0,AD$13),15-13*ORÇAMENTO!$AF$7)/$H122*OFFSET(ORÇAMENTO!$X$15,ROW(AD122)-ROW(AD$15),0),
ROUND(ROUND(OFFSET($P122,0,AD$13),15-13*ORÇAMENTO!$AF$7)*OFFSET(ORÇAMENTO!$W$15,ROW(AD122)-ROW(AD$15),0),15-13*ORÇAMENTO!$AF$11)),0)</f>
        <v>0</v>
      </c>
      <c r="AE122" s="631">
        <f ca="1">IF(AND($D122="Serviço",AE$12&lt;&gt;0,$H122&gt;0,OR(AUTOEVENTO&lt;&gt;"manual",$M122&lt;&gt;1)),
IF(Import.TipoArredondamento&lt;&gt;"TransfereGOV",
ROUND(OFFSET($P122,0,AE$13),15-13*ORÇAMENTO!$AF$7)/$H122*OFFSET(ORÇAMENTO!$X$15,ROW(AE122)-ROW(AE$15),0),
ROUND(ROUND(OFFSET($P122,0,AE$13),15-13*ORÇAMENTO!$AF$7)*OFFSET(ORÇAMENTO!$W$15,ROW(AE122)-ROW(AE$15),0),15-13*ORÇAMENTO!$AF$11)),0)</f>
        <v>0</v>
      </c>
      <c r="AF122" s="631">
        <f ca="1">IF(AND($D122="Serviço",AF$12&lt;&gt;0,$H122&gt;0,OR(AUTOEVENTO&lt;&gt;"manual",$M122&lt;&gt;1)),
IF(Import.TipoArredondamento&lt;&gt;"TransfereGOV",
ROUND(OFFSET($P122,0,AF$13),15-13*ORÇAMENTO!$AF$7)/$H122*OFFSET(ORÇAMENTO!$X$15,ROW(AF122)-ROW(AF$15),0),
ROUND(ROUND(OFFSET($P122,0,AF$13),15-13*ORÇAMENTO!$AF$7)*OFFSET(ORÇAMENTO!$W$15,ROW(AF122)-ROW(AF$15),0),15-13*ORÇAMENTO!$AF$11)),0)</f>
        <v>0</v>
      </c>
      <c r="AG122" s="631">
        <f ca="1">IF(AND($D122="Serviço",AG$12&lt;&gt;0,$H122&gt;0,OR(AUTOEVENTO&lt;&gt;"manual",$M122&lt;&gt;1)),
IF(Import.TipoArredondamento&lt;&gt;"TransfereGOV",
ROUND(OFFSET($P122,0,AG$13),15-13*ORÇAMENTO!$AF$7)/$H122*OFFSET(ORÇAMENTO!$X$15,ROW(AG122)-ROW(AG$15),0),
ROUND(ROUND(OFFSET($P122,0,AG$13),15-13*ORÇAMENTO!$AF$7)*OFFSET(ORÇAMENTO!$W$15,ROW(AG122)-ROW(AG$15),0),15-13*ORÇAMENTO!$AF$11)),0)</f>
        <v>0</v>
      </c>
      <c r="AH122" s="631">
        <f ca="1">IF(AND($D122="Serviço",AH$12&lt;&gt;0,$H122&gt;0,OR(AUTOEVENTO&lt;&gt;"manual",$M122&lt;&gt;1)),
IF(Import.TipoArredondamento&lt;&gt;"TransfereGOV",
ROUND(OFFSET($P122,0,AH$13),15-13*ORÇAMENTO!$AF$7)/$H122*OFFSET(ORÇAMENTO!$X$15,ROW(AH122)-ROW(AH$15),0),
ROUND(ROUND(OFFSET($P122,0,AH$13),15-13*ORÇAMENTO!$AF$7)*OFFSET(ORÇAMENTO!$W$15,ROW(AH122)-ROW(AH$15),0),15-13*ORÇAMENTO!$AF$11)),0)</f>
        <v>0</v>
      </c>
      <c r="AI122" s="631">
        <f ca="1">IF(AND($D122="Serviço",AI$12&lt;&gt;0,$H122&gt;0,OR(AUTOEVENTO&lt;&gt;"manual",$M122&lt;&gt;1)),
IF(Import.TipoArredondamento&lt;&gt;"TransfereGOV",
ROUND(OFFSET($P122,0,AI$13),15-13*ORÇAMENTO!$AF$7)/$H122*OFFSET(ORÇAMENTO!$X$15,ROW(AI122)-ROW(AI$15),0),
ROUND(ROUND(OFFSET($P122,0,AI$13),15-13*ORÇAMENTO!$AF$7)*OFFSET(ORÇAMENTO!$W$15,ROW(AI122)-ROW(AI$15),0),15-13*ORÇAMENTO!$AF$11)),0)</f>
        <v>0</v>
      </c>
      <c r="AJ122" s="631">
        <f ca="1">IF(AND($D122="Serviço",AJ$12&lt;&gt;0,$H122&gt;0,OR(AUTOEVENTO&lt;&gt;"manual",$M122&lt;&gt;1)),
IF(Import.TipoArredondamento&lt;&gt;"TransfereGOV",
ROUND(OFFSET($P122,0,AJ$13),15-13*ORÇAMENTO!$AF$7)/$H122*OFFSET(ORÇAMENTO!$X$15,ROW(AJ122)-ROW(AJ$15),0),
ROUND(ROUND(OFFSET($P122,0,AJ$13),15-13*ORÇAMENTO!$AF$7)*OFFSET(ORÇAMENTO!$W$15,ROW(AJ122)-ROW(AJ$15),0),15-13*ORÇAMENTO!$AF$11)),0)</f>
        <v>0</v>
      </c>
      <c r="AK122" s="632">
        <f ca="1">IF(AND($D122="Serviço",AK$12&lt;&gt;0,$H122&gt;0,OR(AUTOEVENTO&lt;&gt;"manual",$M122&lt;&gt;1)),
IF(Import.TipoArredondamento&lt;&gt;"TransfereGOV",
ROUND(OFFSET($P122,0,AK$13),15-13*ORÇAMENTO!$AF$7)/$H122*OFFSET(ORÇAMENTO!$X$15,ROW(AK122)-ROW(AK$15),0),
ROUND(ROUND(OFFSET($P122,0,AK$13),15-13*ORÇAMENTO!$AF$7)*OFFSET(ORÇAMENTO!$W$15,ROW(AK122)-ROW(AK$15),0),15-13*ORÇAMENTO!$AF$11)),0)</f>
        <v>0</v>
      </c>
      <c r="AM122" s="215">
        <f ca="1">IF($D122&lt;&gt;"Serviço",0,IF(AND(AUTOEVENTO="Manual",$M122=1),0,IF(OFFSET(CRONOPLE!$F$14,$M122,AM$13)="",10^12,OFFSET(CRONOPLE!$F$14,$M122,AM$13))))</f>
        <v>1000000000000</v>
      </c>
      <c r="AN122" s="215">
        <f ca="1">IF($D122&lt;&gt;"Serviço",0,IF(AND(AUTOEVENTO="Manual",$M122=1),0,IF(OFFSET(CRONOPLE!$F$14,$M122,AN$13)="",10^12,OFFSET(CRONOPLE!$F$14,$M122,AN$13))))</f>
        <v>1000000000000</v>
      </c>
      <c r="AO122" s="215">
        <f ca="1">IF($D122&lt;&gt;"Serviço",0,IF(AND(AUTOEVENTO="Manual",$M122=1),0,IF(OFFSET(CRONOPLE!$F$14,$M122,AO$13)="",10^12,OFFSET(CRONOPLE!$F$14,$M122,AO$13))))</f>
        <v>1000000000000</v>
      </c>
      <c r="AP122" s="215">
        <f ca="1">IF($D122&lt;&gt;"Serviço",0,IF(AND(AUTOEVENTO="Manual",$M122=1),0,IF(OFFSET(CRONOPLE!$F$14,$M122,AP$13)="",10^12,OFFSET(CRONOPLE!$F$14,$M122,AP$13))))</f>
        <v>1000000000000</v>
      </c>
      <c r="AQ122" s="215">
        <f ca="1">IF($D122&lt;&gt;"Serviço",0,IF(AND(AUTOEVENTO="Manual",$M122=1),0,IF(OFFSET(CRONOPLE!$F$14,$M122,AQ$13)="",10^12,OFFSET(CRONOPLE!$F$14,$M122,AQ$13))))</f>
        <v>1000000000000</v>
      </c>
      <c r="AR122" s="215">
        <f ca="1">IF($D122&lt;&gt;"Serviço",0,IF(AND(AUTOEVENTO="Manual",$M122=1),0,IF(OFFSET(CRONOPLE!$F$14,$M122,AR$13)="",10^12,OFFSET(CRONOPLE!$F$14,$M122,AR$13))))</f>
        <v>1000000000000</v>
      </c>
      <c r="AS122" s="215">
        <f ca="1">IF($D122&lt;&gt;"Serviço",0,IF(AND(AUTOEVENTO="Manual",$M122=1),0,IF(OFFSET(CRONOPLE!$F$14,$M122,AS$13)="",10^12,OFFSET(CRONOPLE!$F$14,$M122,AS$13))))</f>
        <v>1000000000000</v>
      </c>
      <c r="AT122" s="215">
        <f ca="1">IF($D122&lt;&gt;"Serviço",0,IF(AND(AUTOEVENTO="Manual",$M122=1),0,IF(OFFSET(CRONOPLE!$F$14,$M122,AT$13)="",10^12,OFFSET(CRONOPLE!$F$14,$M122,AT$13))))</f>
        <v>1000000000000</v>
      </c>
      <c r="AU122" s="215">
        <f ca="1">IF($D122&lt;&gt;"Serviço",0,IF(AND(AUTOEVENTO="Manual",$M122=1),0,IF(OFFSET(CRONOPLE!$F$14,$M122,AU$13)="",10^12,OFFSET(CRONOPLE!$F$14,$M122,AU$13))))</f>
        <v>1000000000000</v>
      </c>
      <c r="AV122" s="215">
        <f ca="1">IF($D122&lt;&gt;"Serviço",0,IF(AND(AUTOEVENTO="Manual",$M122=1),0,IF(OFFSET(CRONOPLE!$F$14,$M122,AV$13)="",10^12,OFFSET(CRONOPLE!$F$14,$M122,AV$13))))</f>
        <v>1000000000000</v>
      </c>
      <c r="AX122" s="216">
        <f ca="1">IF($D122&lt;&gt;"Serviço",0,IF(OR(AND(AUTOEVENTO="Manual",$M122=1),$M122&gt;(ROW(PLE.lastrow)-ROW(PLE.firstrow))),0,IF(OFFSET(PLE!$G$14,$M122,AX$13)="",10^12,OFFSET(PLE!$G$14,$M122,AX$13))))</f>
        <v>1000000000000</v>
      </c>
      <c r="AY122" s="216">
        <f ca="1">IF($D122&lt;&gt;"Serviço",0,IF(OR(AND(AUTOEVENTO="Manual",$M122=1),$M122&gt;(ROW(PLE.lastrow)-ROW(PLE.firstrow))),0,IF(OFFSET(PLE!$G$14,$M122,AY$13)="",10^12,OFFSET(PLE!$G$14,$M122,AY$13))))</f>
        <v>1000000000000</v>
      </c>
      <c r="AZ122" s="216">
        <f ca="1">IF($D122&lt;&gt;"Serviço",0,IF(OR(AND(AUTOEVENTO="Manual",$M122=1),$M122&gt;(ROW(PLE.lastrow)-ROW(PLE.firstrow))),0,IF(OFFSET(PLE!$G$14,$M122,AZ$13)="",10^12,OFFSET(PLE!$G$14,$M122,AZ$13))))</f>
        <v>1000000000000</v>
      </c>
      <c r="BA122" s="216">
        <f ca="1">IF($D122&lt;&gt;"Serviço",0,IF(OR(AND(AUTOEVENTO="Manual",$M122=1),$M122&gt;(ROW(PLE.lastrow)-ROW(PLE.firstrow))),0,IF(OFFSET(PLE!$G$14,$M122,BA$13)="",10^12,OFFSET(PLE!$G$14,$M122,BA$13))))</f>
        <v>1000000000000</v>
      </c>
      <c r="BB122" s="216">
        <f ca="1">IF($D122&lt;&gt;"Serviço",0,IF(OR(AND(AUTOEVENTO="Manual",$M122=1),$M122&gt;(ROW(PLE.lastrow)-ROW(PLE.firstrow))),0,IF(OFFSET(PLE!$G$14,$M122,BB$13)="",10^12,OFFSET(PLE!$G$14,$M122,BB$13))))</f>
        <v>1000000000000</v>
      </c>
      <c r="BC122" s="216">
        <f ca="1">IF($D122&lt;&gt;"Serviço",0,IF(OR(AND(AUTOEVENTO="Manual",$M122=1),$M122&gt;(ROW(PLE.lastrow)-ROW(PLE.firstrow))),0,IF(OFFSET(PLE!$G$14,$M122,BC$13)="",10^12,OFFSET(PLE!$G$14,$M122,BC$13))))</f>
        <v>1000000000000</v>
      </c>
      <c r="BD122" s="216">
        <f ca="1">IF($D122&lt;&gt;"Serviço",0,IF(OR(AND(AUTOEVENTO="Manual",$M122=1),$M122&gt;(ROW(PLE.lastrow)-ROW(PLE.firstrow))),0,IF(OFFSET(PLE!$G$14,$M122,BD$13)="",10^12,OFFSET(PLE!$G$14,$M122,BD$13))))</f>
        <v>1000000000000</v>
      </c>
      <c r="BE122" s="216">
        <f ca="1">IF($D122&lt;&gt;"Serviço",0,IF(OR(AND(AUTOEVENTO="Manual",$M122=1),$M122&gt;(ROW(PLE.lastrow)-ROW(PLE.firstrow))),0,IF(OFFSET(PLE!$G$14,$M122,BE$13)="",10^12,OFFSET(PLE!$G$14,$M122,BE$13))))</f>
        <v>1000000000000</v>
      </c>
      <c r="BF122" s="216">
        <f ca="1">IF($D122&lt;&gt;"Serviço",0,IF(OR(AND(AUTOEVENTO="Manual",$M122=1),$M122&gt;(ROW(PLE.lastrow)-ROW(PLE.firstrow))),0,IF(OFFSET(PLE!$G$14,$M122,BF$13)="",10^12,OFFSET(PLE!$G$14,$M122,BF$13))))</f>
        <v>1000000000000</v>
      </c>
      <c r="BG122" s="216">
        <f ca="1">IF($D122&lt;&gt;"Serviço",0,IF(OR(AND(AUTOEVENTO="Manual",$M122=1),$M122&gt;(ROW(PLE.lastrow)-ROW(PLE.firstrow))),0,IF(OFFSET(PLE!$G$14,$M122,BG$13)="",10^12,OFFSET(PLE!$G$14,$M122,BG$13))))</f>
        <v>1000000000000</v>
      </c>
    </row>
    <row r="123" spans="1:59" ht="25.5" x14ac:dyDescent="0.2">
      <c r="A123" s="9" t="str">
        <f t="shared" ca="1" si="10"/>
        <v>93</v>
      </c>
      <c r="B123" s="9" t="str">
        <f ca="1">OFFSET(ORÇAMENTO!C$15,ROW(B123)-ROW(B$15),0)</f>
        <v>S</v>
      </c>
      <c r="C123" s="9" t="str">
        <f ca="1">OFFSET(ORÇAMENTO!L$15,ROW(C123)-ROW(C$15),0)</f>
        <v/>
      </c>
      <c r="D123" s="145" t="str">
        <f ca="1">OFFSET(ORÇAMENTO!N$15,ROW(D123)-ROW(D$15),0)</f>
        <v>Serviço</v>
      </c>
      <c r="E123" s="205" t="str">
        <f ca="1">OFFSET(ORÇAMENTO!O$15,ROW(E123)-ROW(E$15),0)</f>
        <v>-</v>
      </c>
      <c r="F123" s="206" t="str">
        <f ca="1">OFFSET(ORÇAMENTO!R$15,ROW(F123)-ROW(F$15),0)</f>
        <v xml:space="preserve">DISPOSITIVO DR, 2 POLOS, SENSIBILIDADE DE 30 MA, CORRENTE DE 25 A, TIPO AC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G123" s="207" t="str">
        <f ca="1">IF($D123&lt;&gt;"Serviço","",OFFSET(ORÇAMENTO!S$15,ROW(G123)-ROW(G$15),0))</f>
        <v xml:space="preserve">UN    </v>
      </c>
      <c r="H123" s="151">
        <f ca="1">IF($D123&lt;&gt;"Serviço",0,IF(ACOMPANHAMENTO="BM",ROUND(OFFSET(ORÇAMENTO!AJ$15,ROW(H123)-ROW(H$15),0),15-13*ORÇAMENTO!$AF$7),SUMPRODUCT(($Q$12:$AA$12&lt;&gt;"")*ROUND($Q123:$AA123,15-13*ORÇAMENTO!$AF$7))))</f>
        <v>3</v>
      </c>
      <c r="I123" s="649"/>
      <c r="K123" s="208"/>
      <c r="L123" s="209" t="s">
        <v>255</v>
      </c>
      <c r="M123" s="210">
        <f ca="1">IF($D123&lt;&gt;"Serviço","",IF(AUTOEVENTO="manual",$A123,IF(ISERROR(MATCH($A123,$A$15:OFFSET($A123,-1,0),0)),MAX($M$15:OFFSET(M123,-1,0))+1,INDEX($M$15:OFFSET(M123,-1,0),MATCH($A123,$A$15:OFFSET($A123,-1,0),0)))))</f>
        <v>19</v>
      </c>
      <c r="N123" s="211" t="str">
        <f ca="1">IF($D123&lt;&gt;"Serviço","",IF(AUTOEVENTO="Manual",IF($A123=0,"&lt;-- defina o número do agrupador",OFFSET(EVENTOS!$D$14,$A123,0)),OFFSET($F$15,$A123,0)))</f>
        <v xml:space="preserve">ELÉTRICA </v>
      </c>
      <c r="O123" s="212"/>
      <c r="Q123" s="212"/>
      <c r="R123" s="213"/>
      <c r="S123" s="213"/>
      <c r="T123" s="213"/>
      <c r="U123" s="213"/>
      <c r="V123" s="213"/>
      <c r="W123" s="213"/>
      <c r="X123" s="213"/>
      <c r="Y123" s="213"/>
      <c r="Z123" s="214"/>
      <c r="AB123" s="630">
        <f ca="1">IF(AND($D123="Serviço",AB$12&lt;&gt;0,$H123&gt;0,OR(AUTOEVENTO&lt;&gt;"manual",$M123&lt;&gt;1)),
IF(Import.TipoArredondamento&lt;&gt;"TransfereGOV",
ROUND(OFFSET($P123,0,AB$13),15-13*ORÇAMENTO!$AF$7)/$H123*OFFSET(ORÇAMENTO!$X$15,ROW(AB123)-ROW(AB$15),0),
ROUND(ROUND(OFFSET($P123,0,AB$13),15-13*ORÇAMENTO!$AF$7)*OFFSET(ORÇAMENTO!$W$15,ROW(AB123)-ROW(AB$15),0),15-13*ORÇAMENTO!$AF$11)),0)</f>
        <v>0</v>
      </c>
      <c r="AC123" s="631">
        <f ca="1">IF(AND($D123="Serviço",AC$12&lt;&gt;0,$H123&gt;0,OR(AUTOEVENTO&lt;&gt;"manual",$M123&lt;&gt;1)),
IF(Import.TipoArredondamento&lt;&gt;"TransfereGOV",
ROUND(OFFSET($P123,0,AC$13),15-13*ORÇAMENTO!$AF$7)/$H123*OFFSET(ORÇAMENTO!$X$15,ROW(AC123)-ROW(AC$15),0),
ROUND(ROUND(OFFSET($P123,0,AC$13),15-13*ORÇAMENTO!$AF$7)*OFFSET(ORÇAMENTO!$W$15,ROW(AC123)-ROW(AC$15),0),15-13*ORÇAMENTO!$AF$11)),0)</f>
        <v>0</v>
      </c>
      <c r="AD123" s="631">
        <f ca="1">IF(AND($D123="Serviço",AD$12&lt;&gt;0,$H123&gt;0,OR(AUTOEVENTO&lt;&gt;"manual",$M123&lt;&gt;1)),
IF(Import.TipoArredondamento&lt;&gt;"TransfereGOV",
ROUND(OFFSET($P123,0,AD$13),15-13*ORÇAMENTO!$AF$7)/$H123*OFFSET(ORÇAMENTO!$X$15,ROW(AD123)-ROW(AD$15),0),
ROUND(ROUND(OFFSET($P123,0,AD$13),15-13*ORÇAMENTO!$AF$7)*OFFSET(ORÇAMENTO!$W$15,ROW(AD123)-ROW(AD$15),0),15-13*ORÇAMENTO!$AF$11)),0)</f>
        <v>0</v>
      </c>
      <c r="AE123" s="631">
        <f ca="1">IF(AND($D123="Serviço",AE$12&lt;&gt;0,$H123&gt;0,OR(AUTOEVENTO&lt;&gt;"manual",$M123&lt;&gt;1)),
IF(Import.TipoArredondamento&lt;&gt;"TransfereGOV",
ROUND(OFFSET($P123,0,AE$13),15-13*ORÇAMENTO!$AF$7)/$H123*OFFSET(ORÇAMENTO!$X$15,ROW(AE123)-ROW(AE$15),0),
ROUND(ROUND(OFFSET($P123,0,AE$13),15-13*ORÇAMENTO!$AF$7)*OFFSET(ORÇAMENTO!$W$15,ROW(AE123)-ROW(AE$15),0),15-13*ORÇAMENTO!$AF$11)),0)</f>
        <v>0</v>
      </c>
      <c r="AF123" s="631">
        <f ca="1">IF(AND($D123="Serviço",AF$12&lt;&gt;0,$H123&gt;0,OR(AUTOEVENTO&lt;&gt;"manual",$M123&lt;&gt;1)),
IF(Import.TipoArredondamento&lt;&gt;"TransfereGOV",
ROUND(OFFSET($P123,0,AF$13),15-13*ORÇAMENTO!$AF$7)/$H123*OFFSET(ORÇAMENTO!$X$15,ROW(AF123)-ROW(AF$15),0),
ROUND(ROUND(OFFSET($P123,0,AF$13),15-13*ORÇAMENTO!$AF$7)*OFFSET(ORÇAMENTO!$W$15,ROW(AF123)-ROW(AF$15),0),15-13*ORÇAMENTO!$AF$11)),0)</f>
        <v>0</v>
      </c>
      <c r="AG123" s="631">
        <f ca="1">IF(AND($D123="Serviço",AG$12&lt;&gt;0,$H123&gt;0,OR(AUTOEVENTO&lt;&gt;"manual",$M123&lt;&gt;1)),
IF(Import.TipoArredondamento&lt;&gt;"TransfereGOV",
ROUND(OFFSET($P123,0,AG$13),15-13*ORÇAMENTO!$AF$7)/$H123*OFFSET(ORÇAMENTO!$X$15,ROW(AG123)-ROW(AG$15),0),
ROUND(ROUND(OFFSET($P123,0,AG$13),15-13*ORÇAMENTO!$AF$7)*OFFSET(ORÇAMENTO!$W$15,ROW(AG123)-ROW(AG$15),0),15-13*ORÇAMENTO!$AF$11)),0)</f>
        <v>0</v>
      </c>
      <c r="AH123" s="631">
        <f ca="1">IF(AND($D123="Serviço",AH$12&lt;&gt;0,$H123&gt;0,OR(AUTOEVENTO&lt;&gt;"manual",$M123&lt;&gt;1)),
IF(Import.TipoArredondamento&lt;&gt;"TransfereGOV",
ROUND(OFFSET($P123,0,AH$13),15-13*ORÇAMENTO!$AF$7)/$H123*OFFSET(ORÇAMENTO!$X$15,ROW(AH123)-ROW(AH$15),0),
ROUND(ROUND(OFFSET($P123,0,AH$13),15-13*ORÇAMENTO!$AF$7)*OFFSET(ORÇAMENTO!$W$15,ROW(AH123)-ROW(AH$15),0),15-13*ORÇAMENTO!$AF$11)),0)</f>
        <v>0</v>
      </c>
      <c r="AI123" s="631">
        <f ca="1">IF(AND($D123="Serviço",AI$12&lt;&gt;0,$H123&gt;0,OR(AUTOEVENTO&lt;&gt;"manual",$M123&lt;&gt;1)),
IF(Import.TipoArredondamento&lt;&gt;"TransfereGOV",
ROUND(OFFSET($P123,0,AI$13),15-13*ORÇAMENTO!$AF$7)/$H123*OFFSET(ORÇAMENTO!$X$15,ROW(AI123)-ROW(AI$15),0),
ROUND(ROUND(OFFSET($P123,0,AI$13),15-13*ORÇAMENTO!$AF$7)*OFFSET(ORÇAMENTO!$W$15,ROW(AI123)-ROW(AI$15),0),15-13*ORÇAMENTO!$AF$11)),0)</f>
        <v>0</v>
      </c>
      <c r="AJ123" s="631">
        <f ca="1">IF(AND($D123="Serviço",AJ$12&lt;&gt;0,$H123&gt;0,OR(AUTOEVENTO&lt;&gt;"manual",$M123&lt;&gt;1)),
IF(Import.TipoArredondamento&lt;&gt;"TransfereGOV",
ROUND(OFFSET($P123,0,AJ$13),15-13*ORÇAMENTO!$AF$7)/$H123*OFFSET(ORÇAMENTO!$X$15,ROW(AJ123)-ROW(AJ$15),0),
ROUND(ROUND(OFFSET($P123,0,AJ$13),15-13*ORÇAMENTO!$AF$7)*OFFSET(ORÇAMENTO!$W$15,ROW(AJ123)-ROW(AJ$15),0),15-13*ORÇAMENTO!$AF$11)),0)</f>
        <v>0</v>
      </c>
      <c r="AK123" s="632">
        <f ca="1">IF(AND($D123="Serviço",AK$12&lt;&gt;0,$H123&gt;0,OR(AUTOEVENTO&lt;&gt;"manual",$M123&lt;&gt;1)),
IF(Import.TipoArredondamento&lt;&gt;"TransfereGOV",
ROUND(OFFSET($P123,0,AK$13),15-13*ORÇAMENTO!$AF$7)/$H123*OFFSET(ORÇAMENTO!$X$15,ROW(AK123)-ROW(AK$15),0),
ROUND(ROUND(OFFSET($P123,0,AK$13),15-13*ORÇAMENTO!$AF$7)*OFFSET(ORÇAMENTO!$W$15,ROW(AK123)-ROW(AK$15),0),15-13*ORÇAMENTO!$AF$11)),0)</f>
        <v>0</v>
      </c>
      <c r="AM123" s="215">
        <f ca="1">IF($D123&lt;&gt;"Serviço",0,IF(AND(AUTOEVENTO="Manual",$M123=1),0,IF(OFFSET(CRONOPLE!$F$14,$M123,AM$13)="",10^12,OFFSET(CRONOPLE!$F$14,$M123,AM$13))))</f>
        <v>1000000000000</v>
      </c>
      <c r="AN123" s="215">
        <f ca="1">IF($D123&lt;&gt;"Serviço",0,IF(AND(AUTOEVENTO="Manual",$M123=1),0,IF(OFFSET(CRONOPLE!$F$14,$M123,AN$13)="",10^12,OFFSET(CRONOPLE!$F$14,$M123,AN$13))))</f>
        <v>1000000000000</v>
      </c>
      <c r="AO123" s="215">
        <f ca="1">IF($D123&lt;&gt;"Serviço",0,IF(AND(AUTOEVENTO="Manual",$M123=1),0,IF(OFFSET(CRONOPLE!$F$14,$M123,AO$13)="",10^12,OFFSET(CRONOPLE!$F$14,$M123,AO$13))))</f>
        <v>1000000000000</v>
      </c>
      <c r="AP123" s="215">
        <f ca="1">IF($D123&lt;&gt;"Serviço",0,IF(AND(AUTOEVENTO="Manual",$M123=1),0,IF(OFFSET(CRONOPLE!$F$14,$M123,AP$13)="",10^12,OFFSET(CRONOPLE!$F$14,$M123,AP$13))))</f>
        <v>1000000000000</v>
      </c>
      <c r="AQ123" s="215">
        <f ca="1">IF($D123&lt;&gt;"Serviço",0,IF(AND(AUTOEVENTO="Manual",$M123=1),0,IF(OFFSET(CRONOPLE!$F$14,$M123,AQ$13)="",10^12,OFFSET(CRONOPLE!$F$14,$M123,AQ$13))))</f>
        <v>1000000000000</v>
      </c>
      <c r="AR123" s="215">
        <f ca="1">IF($D123&lt;&gt;"Serviço",0,IF(AND(AUTOEVENTO="Manual",$M123=1),0,IF(OFFSET(CRONOPLE!$F$14,$M123,AR$13)="",10^12,OFFSET(CRONOPLE!$F$14,$M123,AR$13))))</f>
        <v>1000000000000</v>
      </c>
      <c r="AS123" s="215">
        <f ca="1">IF($D123&lt;&gt;"Serviço",0,IF(AND(AUTOEVENTO="Manual",$M123=1),0,IF(OFFSET(CRONOPLE!$F$14,$M123,AS$13)="",10^12,OFFSET(CRONOPLE!$F$14,$M123,AS$13))))</f>
        <v>1000000000000</v>
      </c>
      <c r="AT123" s="215">
        <f ca="1">IF($D123&lt;&gt;"Serviço",0,IF(AND(AUTOEVENTO="Manual",$M123=1),0,IF(OFFSET(CRONOPLE!$F$14,$M123,AT$13)="",10^12,OFFSET(CRONOPLE!$F$14,$M123,AT$13))))</f>
        <v>1000000000000</v>
      </c>
      <c r="AU123" s="215">
        <f ca="1">IF($D123&lt;&gt;"Serviço",0,IF(AND(AUTOEVENTO="Manual",$M123=1),0,IF(OFFSET(CRONOPLE!$F$14,$M123,AU$13)="",10^12,OFFSET(CRONOPLE!$F$14,$M123,AU$13))))</f>
        <v>1000000000000</v>
      </c>
      <c r="AV123" s="215">
        <f ca="1">IF($D123&lt;&gt;"Serviço",0,IF(AND(AUTOEVENTO="Manual",$M123=1),0,IF(OFFSET(CRONOPLE!$F$14,$M123,AV$13)="",10^12,OFFSET(CRONOPLE!$F$14,$M123,AV$13))))</f>
        <v>1000000000000</v>
      </c>
      <c r="AX123" s="216">
        <f ca="1">IF($D123&lt;&gt;"Serviço",0,IF(OR(AND(AUTOEVENTO="Manual",$M123=1),$M123&gt;(ROW(PLE.lastrow)-ROW(PLE.firstrow))),0,IF(OFFSET(PLE!$G$14,$M123,AX$13)="",10^12,OFFSET(PLE!$G$14,$M123,AX$13))))</f>
        <v>1000000000000</v>
      </c>
      <c r="AY123" s="216">
        <f ca="1">IF($D123&lt;&gt;"Serviço",0,IF(OR(AND(AUTOEVENTO="Manual",$M123=1),$M123&gt;(ROW(PLE.lastrow)-ROW(PLE.firstrow))),0,IF(OFFSET(PLE!$G$14,$M123,AY$13)="",10^12,OFFSET(PLE!$G$14,$M123,AY$13))))</f>
        <v>1000000000000</v>
      </c>
      <c r="AZ123" s="216">
        <f ca="1">IF($D123&lt;&gt;"Serviço",0,IF(OR(AND(AUTOEVENTO="Manual",$M123=1),$M123&gt;(ROW(PLE.lastrow)-ROW(PLE.firstrow))),0,IF(OFFSET(PLE!$G$14,$M123,AZ$13)="",10^12,OFFSET(PLE!$G$14,$M123,AZ$13))))</f>
        <v>1000000000000</v>
      </c>
      <c r="BA123" s="216">
        <f ca="1">IF($D123&lt;&gt;"Serviço",0,IF(OR(AND(AUTOEVENTO="Manual",$M123=1),$M123&gt;(ROW(PLE.lastrow)-ROW(PLE.firstrow))),0,IF(OFFSET(PLE!$G$14,$M123,BA$13)="",10^12,OFFSET(PLE!$G$14,$M123,BA$13))))</f>
        <v>1000000000000</v>
      </c>
      <c r="BB123" s="216">
        <f ca="1">IF($D123&lt;&gt;"Serviço",0,IF(OR(AND(AUTOEVENTO="Manual",$M123=1),$M123&gt;(ROW(PLE.lastrow)-ROW(PLE.firstrow))),0,IF(OFFSET(PLE!$G$14,$M123,BB$13)="",10^12,OFFSET(PLE!$G$14,$M123,BB$13))))</f>
        <v>1000000000000</v>
      </c>
      <c r="BC123" s="216">
        <f ca="1">IF($D123&lt;&gt;"Serviço",0,IF(OR(AND(AUTOEVENTO="Manual",$M123=1),$M123&gt;(ROW(PLE.lastrow)-ROW(PLE.firstrow))),0,IF(OFFSET(PLE!$G$14,$M123,BC$13)="",10^12,OFFSET(PLE!$G$14,$M123,BC$13))))</f>
        <v>1000000000000</v>
      </c>
      <c r="BD123" s="216">
        <f ca="1">IF($D123&lt;&gt;"Serviço",0,IF(OR(AND(AUTOEVENTO="Manual",$M123=1),$M123&gt;(ROW(PLE.lastrow)-ROW(PLE.firstrow))),0,IF(OFFSET(PLE!$G$14,$M123,BD$13)="",10^12,OFFSET(PLE!$G$14,$M123,BD$13))))</f>
        <v>1000000000000</v>
      </c>
      <c r="BE123" s="216">
        <f ca="1">IF($D123&lt;&gt;"Serviço",0,IF(OR(AND(AUTOEVENTO="Manual",$M123=1),$M123&gt;(ROW(PLE.lastrow)-ROW(PLE.firstrow))),0,IF(OFFSET(PLE!$G$14,$M123,BE$13)="",10^12,OFFSET(PLE!$G$14,$M123,BE$13))))</f>
        <v>1000000000000</v>
      </c>
      <c r="BF123" s="216">
        <f ca="1">IF($D123&lt;&gt;"Serviço",0,IF(OR(AND(AUTOEVENTO="Manual",$M123=1),$M123&gt;(ROW(PLE.lastrow)-ROW(PLE.firstrow))),0,IF(OFFSET(PLE!$G$14,$M123,BF$13)="",10^12,OFFSET(PLE!$G$14,$M123,BF$13))))</f>
        <v>1000000000000</v>
      </c>
      <c r="BG123" s="216">
        <f ca="1">IF($D123&lt;&gt;"Serviço",0,IF(OR(AND(AUTOEVENTO="Manual",$M123=1),$M123&gt;(ROW(PLE.lastrow)-ROW(PLE.firstrow))),0,IF(OFFSET(PLE!$G$14,$M123,BG$13)="",10^12,OFFSET(PLE!$G$14,$M123,BG$13))))</f>
        <v>1000000000000</v>
      </c>
    </row>
    <row r="124" spans="1:59" ht="25.5" x14ac:dyDescent="0.2">
      <c r="A124" s="9" t="str">
        <f t="shared" ca="1" si="10"/>
        <v>93</v>
      </c>
      <c r="B124" s="9" t="str">
        <f ca="1">OFFSET(ORÇAMENTO!C$15,ROW(B124)-ROW(B$15),0)</f>
        <v>S</v>
      </c>
      <c r="C124" s="9" t="str">
        <f ca="1">OFFSET(ORÇAMENTO!L$15,ROW(C124)-ROW(C$15),0)</f>
        <v/>
      </c>
      <c r="D124" s="145" t="str">
        <f ca="1">OFFSET(ORÇAMENTO!N$15,ROW(D124)-ROW(D$15),0)</f>
        <v>Serviço</v>
      </c>
      <c r="E124" s="205" t="str">
        <f ca="1">OFFSET(ORÇAMENTO!O$15,ROW(E124)-ROW(E$15),0)</f>
        <v>-</v>
      </c>
      <c r="F124" s="206" t="str">
        <f ca="1">OFFSET(ORÇAMENTO!R$15,ROW(F124)-ROW(F$15),0)</f>
        <v xml:space="preserve">DISPOSITIVO DR, 2 POLOS, SENSIBILIDADE DE 30 MA, CORRENTE DE 40 A, TIPO AC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G124" s="207" t="str">
        <f ca="1">IF($D124&lt;&gt;"Serviço","",OFFSET(ORÇAMENTO!S$15,ROW(G124)-ROW(G$15),0))</f>
        <v xml:space="preserve">UN    </v>
      </c>
      <c r="H124" s="151">
        <f ca="1">IF($D124&lt;&gt;"Serviço",0,IF(ACOMPANHAMENTO="BM",ROUND(OFFSET(ORÇAMENTO!AJ$15,ROW(H124)-ROW(H$15),0),15-13*ORÇAMENTO!$AF$7),SUMPRODUCT(($Q$12:$AA$12&lt;&gt;"")*ROUND($Q124:$AA124,15-13*ORÇAMENTO!$AF$7))))</f>
        <v>7</v>
      </c>
      <c r="I124" s="649"/>
      <c r="K124" s="208"/>
      <c r="L124" s="209" t="s">
        <v>255</v>
      </c>
      <c r="M124" s="210">
        <f ca="1">IF($D124&lt;&gt;"Serviço","",IF(AUTOEVENTO="manual",$A124,IF(ISERROR(MATCH($A124,$A$15:OFFSET($A124,-1,0),0)),MAX($M$15:OFFSET(M124,-1,0))+1,INDEX($M$15:OFFSET(M124,-1,0),MATCH($A124,$A$15:OFFSET($A124,-1,0),0)))))</f>
        <v>19</v>
      </c>
      <c r="N124" s="211" t="str">
        <f ca="1">IF($D124&lt;&gt;"Serviço","",IF(AUTOEVENTO="Manual",IF($A124=0,"&lt;-- defina o número do agrupador",OFFSET(EVENTOS!$D$14,$A124,0)),OFFSET($F$15,$A124,0)))</f>
        <v xml:space="preserve">ELÉTRICA </v>
      </c>
      <c r="O124" s="212"/>
      <c r="Q124" s="212"/>
      <c r="R124" s="213"/>
      <c r="S124" s="213"/>
      <c r="T124" s="213"/>
      <c r="U124" s="213"/>
      <c r="V124" s="213"/>
      <c r="W124" s="213"/>
      <c r="X124" s="213"/>
      <c r="Y124" s="213"/>
      <c r="Z124" s="214"/>
      <c r="AB124" s="630">
        <f ca="1">IF(AND($D124="Serviço",AB$12&lt;&gt;0,$H124&gt;0,OR(AUTOEVENTO&lt;&gt;"manual",$M124&lt;&gt;1)),
IF(Import.TipoArredondamento&lt;&gt;"TransfereGOV",
ROUND(OFFSET($P124,0,AB$13),15-13*ORÇAMENTO!$AF$7)/$H124*OFFSET(ORÇAMENTO!$X$15,ROW(AB124)-ROW(AB$15),0),
ROUND(ROUND(OFFSET($P124,0,AB$13),15-13*ORÇAMENTO!$AF$7)*OFFSET(ORÇAMENTO!$W$15,ROW(AB124)-ROW(AB$15),0),15-13*ORÇAMENTO!$AF$11)),0)</f>
        <v>0</v>
      </c>
      <c r="AC124" s="631">
        <f ca="1">IF(AND($D124="Serviço",AC$12&lt;&gt;0,$H124&gt;0,OR(AUTOEVENTO&lt;&gt;"manual",$M124&lt;&gt;1)),
IF(Import.TipoArredondamento&lt;&gt;"TransfereGOV",
ROUND(OFFSET($P124,0,AC$13),15-13*ORÇAMENTO!$AF$7)/$H124*OFFSET(ORÇAMENTO!$X$15,ROW(AC124)-ROW(AC$15),0),
ROUND(ROUND(OFFSET($P124,0,AC$13),15-13*ORÇAMENTO!$AF$7)*OFFSET(ORÇAMENTO!$W$15,ROW(AC124)-ROW(AC$15),0),15-13*ORÇAMENTO!$AF$11)),0)</f>
        <v>0</v>
      </c>
      <c r="AD124" s="631">
        <f ca="1">IF(AND($D124="Serviço",AD$12&lt;&gt;0,$H124&gt;0,OR(AUTOEVENTO&lt;&gt;"manual",$M124&lt;&gt;1)),
IF(Import.TipoArredondamento&lt;&gt;"TransfereGOV",
ROUND(OFFSET($P124,0,AD$13),15-13*ORÇAMENTO!$AF$7)/$H124*OFFSET(ORÇAMENTO!$X$15,ROW(AD124)-ROW(AD$15),0),
ROUND(ROUND(OFFSET($P124,0,AD$13),15-13*ORÇAMENTO!$AF$7)*OFFSET(ORÇAMENTO!$W$15,ROW(AD124)-ROW(AD$15),0),15-13*ORÇAMENTO!$AF$11)),0)</f>
        <v>0</v>
      </c>
      <c r="AE124" s="631">
        <f ca="1">IF(AND($D124="Serviço",AE$12&lt;&gt;0,$H124&gt;0,OR(AUTOEVENTO&lt;&gt;"manual",$M124&lt;&gt;1)),
IF(Import.TipoArredondamento&lt;&gt;"TransfereGOV",
ROUND(OFFSET($P124,0,AE$13),15-13*ORÇAMENTO!$AF$7)/$H124*OFFSET(ORÇAMENTO!$X$15,ROW(AE124)-ROW(AE$15),0),
ROUND(ROUND(OFFSET($P124,0,AE$13),15-13*ORÇAMENTO!$AF$7)*OFFSET(ORÇAMENTO!$W$15,ROW(AE124)-ROW(AE$15),0),15-13*ORÇAMENTO!$AF$11)),0)</f>
        <v>0</v>
      </c>
      <c r="AF124" s="631">
        <f ca="1">IF(AND($D124="Serviço",AF$12&lt;&gt;0,$H124&gt;0,OR(AUTOEVENTO&lt;&gt;"manual",$M124&lt;&gt;1)),
IF(Import.TipoArredondamento&lt;&gt;"TransfereGOV",
ROUND(OFFSET($P124,0,AF$13),15-13*ORÇAMENTO!$AF$7)/$H124*OFFSET(ORÇAMENTO!$X$15,ROW(AF124)-ROW(AF$15),0),
ROUND(ROUND(OFFSET($P124,0,AF$13),15-13*ORÇAMENTO!$AF$7)*OFFSET(ORÇAMENTO!$W$15,ROW(AF124)-ROW(AF$15),0),15-13*ORÇAMENTO!$AF$11)),0)</f>
        <v>0</v>
      </c>
      <c r="AG124" s="631">
        <f ca="1">IF(AND($D124="Serviço",AG$12&lt;&gt;0,$H124&gt;0,OR(AUTOEVENTO&lt;&gt;"manual",$M124&lt;&gt;1)),
IF(Import.TipoArredondamento&lt;&gt;"TransfereGOV",
ROUND(OFFSET($P124,0,AG$13),15-13*ORÇAMENTO!$AF$7)/$H124*OFFSET(ORÇAMENTO!$X$15,ROW(AG124)-ROW(AG$15),0),
ROUND(ROUND(OFFSET($P124,0,AG$13),15-13*ORÇAMENTO!$AF$7)*OFFSET(ORÇAMENTO!$W$15,ROW(AG124)-ROW(AG$15),0),15-13*ORÇAMENTO!$AF$11)),0)</f>
        <v>0</v>
      </c>
      <c r="AH124" s="631">
        <f ca="1">IF(AND($D124="Serviço",AH$12&lt;&gt;0,$H124&gt;0,OR(AUTOEVENTO&lt;&gt;"manual",$M124&lt;&gt;1)),
IF(Import.TipoArredondamento&lt;&gt;"TransfereGOV",
ROUND(OFFSET($P124,0,AH$13),15-13*ORÇAMENTO!$AF$7)/$H124*OFFSET(ORÇAMENTO!$X$15,ROW(AH124)-ROW(AH$15),0),
ROUND(ROUND(OFFSET($P124,0,AH$13),15-13*ORÇAMENTO!$AF$7)*OFFSET(ORÇAMENTO!$W$15,ROW(AH124)-ROW(AH$15),0),15-13*ORÇAMENTO!$AF$11)),0)</f>
        <v>0</v>
      </c>
      <c r="AI124" s="631">
        <f ca="1">IF(AND($D124="Serviço",AI$12&lt;&gt;0,$H124&gt;0,OR(AUTOEVENTO&lt;&gt;"manual",$M124&lt;&gt;1)),
IF(Import.TipoArredondamento&lt;&gt;"TransfereGOV",
ROUND(OFFSET($P124,0,AI$13),15-13*ORÇAMENTO!$AF$7)/$H124*OFFSET(ORÇAMENTO!$X$15,ROW(AI124)-ROW(AI$15),0),
ROUND(ROUND(OFFSET($P124,0,AI$13),15-13*ORÇAMENTO!$AF$7)*OFFSET(ORÇAMENTO!$W$15,ROW(AI124)-ROW(AI$15),0),15-13*ORÇAMENTO!$AF$11)),0)</f>
        <v>0</v>
      </c>
      <c r="AJ124" s="631">
        <f ca="1">IF(AND($D124="Serviço",AJ$12&lt;&gt;0,$H124&gt;0,OR(AUTOEVENTO&lt;&gt;"manual",$M124&lt;&gt;1)),
IF(Import.TipoArredondamento&lt;&gt;"TransfereGOV",
ROUND(OFFSET($P124,0,AJ$13),15-13*ORÇAMENTO!$AF$7)/$H124*OFFSET(ORÇAMENTO!$X$15,ROW(AJ124)-ROW(AJ$15),0),
ROUND(ROUND(OFFSET($P124,0,AJ$13),15-13*ORÇAMENTO!$AF$7)*OFFSET(ORÇAMENTO!$W$15,ROW(AJ124)-ROW(AJ$15),0),15-13*ORÇAMENTO!$AF$11)),0)</f>
        <v>0</v>
      </c>
      <c r="AK124" s="632">
        <f ca="1">IF(AND($D124="Serviço",AK$12&lt;&gt;0,$H124&gt;0,OR(AUTOEVENTO&lt;&gt;"manual",$M124&lt;&gt;1)),
IF(Import.TipoArredondamento&lt;&gt;"TransfereGOV",
ROUND(OFFSET($P124,0,AK$13),15-13*ORÇAMENTO!$AF$7)/$H124*OFFSET(ORÇAMENTO!$X$15,ROW(AK124)-ROW(AK$15),0),
ROUND(ROUND(OFFSET($P124,0,AK$13),15-13*ORÇAMENTO!$AF$7)*OFFSET(ORÇAMENTO!$W$15,ROW(AK124)-ROW(AK$15),0),15-13*ORÇAMENTO!$AF$11)),0)</f>
        <v>0</v>
      </c>
      <c r="AM124" s="215">
        <f ca="1">IF($D124&lt;&gt;"Serviço",0,IF(AND(AUTOEVENTO="Manual",$M124=1),0,IF(OFFSET(CRONOPLE!$F$14,$M124,AM$13)="",10^12,OFFSET(CRONOPLE!$F$14,$M124,AM$13))))</f>
        <v>1000000000000</v>
      </c>
      <c r="AN124" s="215">
        <f ca="1">IF($D124&lt;&gt;"Serviço",0,IF(AND(AUTOEVENTO="Manual",$M124=1),0,IF(OFFSET(CRONOPLE!$F$14,$M124,AN$13)="",10^12,OFFSET(CRONOPLE!$F$14,$M124,AN$13))))</f>
        <v>1000000000000</v>
      </c>
      <c r="AO124" s="215">
        <f ca="1">IF($D124&lt;&gt;"Serviço",0,IF(AND(AUTOEVENTO="Manual",$M124=1),0,IF(OFFSET(CRONOPLE!$F$14,$M124,AO$13)="",10^12,OFFSET(CRONOPLE!$F$14,$M124,AO$13))))</f>
        <v>1000000000000</v>
      </c>
      <c r="AP124" s="215">
        <f ca="1">IF($D124&lt;&gt;"Serviço",0,IF(AND(AUTOEVENTO="Manual",$M124=1),0,IF(OFFSET(CRONOPLE!$F$14,$M124,AP$13)="",10^12,OFFSET(CRONOPLE!$F$14,$M124,AP$13))))</f>
        <v>1000000000000</v>
      </c>
      <c r="AQ124" s="215">
        <f ca="1">IF($D124&lt;&gt;"Serviço",0,IF(AND(AUTOEVENTO="Manual",$M124=1),0,IF(OFFSET(CRONOPLE!$F$14,$M124,AQ$13)="",10^12,OFFSET(CRONOPLE!$F$14,$M124,AQ$13))))</f>
        <v>1000000000000</v>
      </c>
      <c r="AR124" s="215">
        <f ca="1">IF($D124&lt;&gt;"Serviço",0,IF(AND(AUTOEVENTO="Manual",$M124=1),0,IF(OFFSET(CRONOPLE!$F$14,$M124,AR$13)="",10^12,OFFSET(CRONOPLE!$F$14,$M124,AR$13))))</f>
        <v>1000000000000</v>
      </c>
      <c r="AS124" s="215">
        <f ca="1">IF($D124&lt;&gt;"Serviço",0,IF(AND(AUTOEVENTO="Manual",$M124=1),0,IF(OFFSET(CRONOPLE!$F$14,$M124,AS$13)="",10^12,OFFSET(CRONOPLE!$F$14,$M124,AS$13))))</f>
        <v>1000000000000</v>
      </c>
      <c r="AT124" s="215">
        <f ca="1">IF($D124&lt;&gt;"Serviço",0,IF(AND(AUTOEVENTO="Manual",$M124=1),0,IF(OFFSET(CRONOPLE!$F$14,$M124,AT$13)="",10^12,OFFSET(CRONOPLE!$F$14,$M124,AT$13))))</f>
        <v>1000000000000</v>
      </c>
      <c r="AU124" s="215">
        <f ca="1">IF($D124&lt;&gt;"Serviço",0,IF(AND(AUTOEVENTO="Manual",$M124=1),0,IF(OFFSET(CRONOPLE!$F$14,$M124,AU$13)="",10^12,OFFSET(CRONOPLE!$F$14,$M124,AU$13))))</f>
        <v>1000000000000</v>
      </c>
      <c r="AV124" s="215">
        <f ca="1">IF($D124&lt;&gt;"Serviço",0,IF(AND(AUTOEVENTO="Manual",$M124=1),0,IF(OFFSET(CRONOPLE!$F$14,$M124,AV$13)="",10^12,OFFSET(CRONOPLE!$F$14,$M124,AV$13))))</f>
        <v>1000000000000</v>
      </c>
      <c r="AX124" s="216">
        <f ca="1">IF($D124&lt;&gt;"Serviço",0,IF(OR(AND(AUTOEVENTO="Manual",$M124=1),$M124&gt;(ROW(PLE.lastrow)-ROW(PLE.firstrow))),0,IF(OFFSET(PLE!$G$14,$M124,AX$13)="",10^12,OFFSET(PLE!$G$14,$M124,AX$13))))</f>
        <v>1000000000000</v>
      </c>
      <c r="AY124" s="216">
        <f ca="1">IF($D124&lt;&gt;"Serviço",0,IF(OR(AND(AUTOEVENTO="Manual",$M124=1),$M124&gt;(ROW(PLE.lastrow)-ROW(PLE.firstrow))),0,IF(OFFSET(PLE!$G$14,$M124,AY$13)="",10^12,OFFSET(PLE!$G$14,$M124,AY$13))))</f>
        <v>1000000000000</v>
      </c>
      <c r="AZ124" s="216">
        <f ca="1">IF($D124&lt;&gt;"Serviço",0,IF(OR(AND(AUTOEVENTO="Manual",$M124=1),$M124&gt;(ROW(PLE.lastrow)-ROW(PLE.firstrow))),0,IF(OFFSET(PLE!$G$14,$M124,AZ$13)="",10^12,OFFSET(PLE!$G$14,$M124,AZ$13))))</f>
        <v>1000000000000</v>
      </c>
      <c r="BA124" s="216">
        <f ca="1">IF($D124&lt;&gt;"Serviço",0,IF(OR(AND(AUTOEVENTO="Manual",$M124=1),$M124&gt;(ROW(PLE.lastrow)-ROW(PLE.firstrow))),0,IF(OFFSET(PLE!$G$14,$M124,BA$13)="",10^12,OFFSET(PLE!$G$14,$M124,BA$13))))</f>
        <v>1000000000000</v>
      </c>
      <c r="BB124" s="216">
        <f ca="1">IF($D124&lt;&gt;"Serviço",0,IF(OR(AND(AUTOEVENTO="Manual",$M124=1),$M124&gt;(ROW(PLE.lastrow)-ROW(PLE.firstrow))),0,IF(OFFSET(PLE!$G$14,$M124,BB$13)="",10^12,OFFSET(PLE!$G$14,$M124,BB$13))))</f>
        <v>1000000000000</v>
      </c>
      <c r="BC124" s="216">
        <f ca="1">IF($D124&lt;&gt;"Serviço",0,IF(OR(AND(AUTOEVENTO="Manual",$M124=1),$M124&gt;(ROW(PLE.lastrow)-ROW(PLE.firstrow))),0,IF(OFFSET(PLE!$G$14,$M124,BC$13)="",10^12,OFFSET(PLE!$G$14,$M124,BC$13))))</f>
        <v>1000000000000</v>
      </c>
      <c r="BD124" s="216">
        <f ca="1">IF($D124&lt;&gt;"Serviço",0,IF(OR(AND(AUTOEVENTO="Manual",$M124=1),$M124&gt;(ROW(PLE.lastrow)-ROW(PLE.firstrow))),0,IF(OFFSET(PLE!$G$14,$M124,BD$13)="",10^12,OFFSET(PLE!$G$14,$M124,BD$13))))</f>
        <v>1000000000000</v>
      </c>
      <c r="BE124" s="216">
        <f ca="1">IF($D124&lt;&gt;"Serviço",0,IF(OR(AND(AUTOEVENTO="Manual",$M124=1),$M124&gt;(ROW(PLE.lastrow)-ROW(PLE.firstrow))),0,IF(OFFSET(PLE!$G$14,$M124,BE$13)="",10^12,OFFSET(PLE!$G$14,$M124,BE$13))))</f>
        <v>1000000000000</v>
      </c>
      <c r="BF124" s="216">
        <f ca="1">IF($D124&lt;&gt;"Serviço",0,IF(OR(AND(AUTOEVENTO="Manual",$M124=1),$M124&gt;(ROW(PLE.lastrow)-ROW(PLE.firstrow))),0,IF(OFFSET(PLE!$G$14,$M124,BF$13)="",10^12,OFFSET(PLE!$G$14,$M124,BF$13))))</f>
        <v>1000000000000</v>
      </c>
      <c r="BG124" s="216">
        <f ca="1">IF($D124&lt;&gt;"Serviço",0,IF(OR(AND(AUTOEVENTO="Manual",$M124=1),$M124&gt;(ROW(PLE.lastrow)-ROW(PLE.firstrow))),0,IF(OFFSET(PLE!$G$14,$M124,BG$13)="",10^12,OFFSET(PLE!$G$14,$M124,BG$13))))</f>
        <v>1000000000000</v>
      </c>
    </row>
    <row r="125" spans="1:59" ht="38.25" x14ac:dyDescent="0.2">
      <c r="A125" s="9" t="str">
        <f ca="1">IF(AUTOEVENTO="Manual",IF(K125&lt;&gt;"",MIN(VALUE(LEFT(K125,FIND(".",K125)-1)),COUNTA(EVENTOS.Lista)),0),IF(OR($B125&gt;AUTOEVENTO,$B125="S",$B125=0),SUBSTITUTE(OFFSET($A125,-1,0),IF($D125="Serviço",".",""),""),ROW(A125)-ROW($A$15)&amp;"."))</f>
        <v>93</v>
      </c>
      <c r="B125" s="9" t="str">
        <f ca="1">OFFSET(ORÇAMENTO!C$15,ROW(B125)-ROW(B$15),0)</f>
        <v>S</v>
      </c>
      <c r="C125" s="9" t="str">
        <f ca="1">OFFSET(ORÇAMENTO!L$15,ROW(C125)-ROW(C$15),0)</f>
        <v/>
      </c>
      <c r="D125" s="145" t="str">
        <f ca="1">OFFSET(ORÇAMENTO!N$15,ROW(D125)-ROW(D$15),0)</f>
        <v>Serviço</v>
      </c>
      <c r="E125" s="205" t="str">
        <f ca="1">OFFSET(ORÇAMENTO!O$15,ROW(E125)-ROW(E$15),0)</f>
        <v>-</v>
      </c>
      <c r="F125" s="206" t="str">
        <f ca="1">OFFSET(ORÇAMENTO!R$15,ROW(F125)-ROW(F$15),0)</f>
        <v>ELETRODUTO FLEXÍVEL CORRUGADO REFORÇADO, PVC, DN 25 MM (3/4"), PARA CIRCUITOS TERMINAIS, INSTALADO EM FORRO - FORNECIMENTO E INSTALAÇÃO. AF_03/2023_PA</v>
      </c>
      <c r="G125" s="207" t="str">
        <f ca="1">IF($D125&lt;&gt;"Serviço","",OFFSET(ORÇAMENTO!S$15,ROW(G125)-ROW(G$15),0))</f>
        <v>M</v>
      </c>
      <c r="H125" s="151">
        <f ca="1">IF($D125&lt;&gt;"Serviço",0,IF(ACOMPANHAMENTO="BM",ROUND(OFFSET(ORÇAMENTO!AJ$15,ROW(H125)-ROW(H$15),0),15-13*ORÇAMENTO!$AF$7),SUMPRODUCT(($Q$12:$AA$12&lt;&gt;"")*ROUND($Q125:$AA125,15-13*ORÇAMENTO!$AF$7))))</f>
        <v>202.2</v>
      </c>
      <c r="I125" s="649"/>
      <c r="K125" s="208"/>
      <c r="L125" s="209" t="s">
        <v>255</v>
      </c>
      <c r="M125" s="210">
        <f ca="1">IF($D125&lt;&gt;"Serviço","",IF(AUTOEVENTO="manual",$A125,IF(ISERROR(MATCH($A125,$A$15:OFFSET($A125,-1,0),0)),MAX($M$15:OFFSET(M125,-1,0))+1,INDEX($M$15:OFFSET(M125,-1,0),MATCH($A125,$A$15:OFFSET($A125,-1,0),0)))))</f>
        <v>19</v>
      </c>
      <c r="N125" s="211" t="str">
        <f ca="1">IF($D125&lt;&gt;"Serviço","",IF(AUTOEVENTO="Manual",IF($A125=0,"&lt;-- defina o número do agrupador",OFFSET(EVENTOS!$D$14,$A125,0)),OFFSET($F$15,$A125,0)))</f>
        <v xml:space="preserve">ELÉTRICA </v>
      </c>
      <c r="O125" s="212"/>
      <c r="Q125" s="212"/>
      <c r="R125" s="213"/>
      <c r="S125" s="213"/>
      <c r="T125" s="213"/>
      <c r="U125" s="213"/>
      <c r="V125" s="213"/>
      <c r="W125" s="213"/>
      <c r="X125" s="213"/>
      <c r="Y125" s="213"/>
      <c r="Z125" s="214"/>
      <c r="AB125" s="630">
        <f ca="1">IF(AND($D125="Serviço",AB$12&lt;&gt;0,$H125&gt;0,OR(AUTOEVENTO&lt;&gt;"manual",$M125&lt;&gt;1)),
IF(Import.TipoArredondamento&lt;&gt;"TransfereGOV",
ROUND(OFFSET($P125,0,AB$13),15-13*ORÇAMENTO!$AF$7)/$H125*OFFSET(ORÇAMENTO!$X$15,ROW(AB125)-ROW(AB$15),0),
ROUND(ROUND(OFFSET($P125,0,AB$13),15-13*ORÇAMENTO!$AF$7)*OFFSET(ORÇAMENTO!$W$15,ROW(AB125)-ROW(AB$15),0),15-13*ORÇAMENTO!$AF$11)),0)</f>
        <v>0</v>
      </c>
      <c r="AC125" s="631">
        <f ca="1">IF(AND($D125="Serviço",AC$12&lt;&gt;0,$H125&gt;0,OR(AUTOEVENTO&lt;&gt;"manual",$M125&lt;&gt;1)),
IF(Import.TipoArredondamento&lt;&gt;"TransfereGOV",
ROUND(OFFSET($P125,0,AC$13),15-13*ORÇAMENTO!$AF$7)/$H125*OFFSET(ORÇAMENTO!$X$15,ROW(AC125)-ROW(AC$15),0),
ROUND(ROUND(OFFSET($P125,0,AC$13),15-13*ORÇAMENTO!$AF$7)*OFFSET(ORÇAMENTO!$W$15,ROW(AC125)-ROW(AC$15),0),15-13*ORÇAMENTO!$AF$11)),0)</f>
        <v>0</v>
      </c>
      <c r="AD125" s="631">
        <f ca="1">IF(AND($D125="Serviço",AD$12&lt;&gt;0,$H125&gt;0,OR(AUTOEVENTO&lt;&gt;"manual",$M125&lt;&gt;1)),
IF(Import.TipoArredondamento&lt;&gt;"TransfereGOV",
ROUND(OFFSET($P125,0,AD$13),15-13*ORÇAMENTO!$AF$7)/$H125*OFFSET(ORÇAMENTO!$X$15,ROW(AD125)-ROW(AD$15),0),
ROUND(ROUND(OFFSET($P125,0,AD$13),15-13*ORÇAMENTO!$AF$7)*OFFSET(ORÇAMENTO!$W$15,ROW(AD125)-ROW(AD$15),0),15-13*ORÇAMENTO!$AF$11)),0)</f>
        <v>0</v>
      </c>
      <c r="AE125" s="631">
        <f ca="1">IF(AND($D125="Serviço",AE$12&lt;&gt;0,$H125&gt;0,OR(AUTOEVENTO&lt;&gt;"manual",$M125&lt;&gt;1)),
IF(Import.TipoArredondamento&lt;&gt;"TransfereGOV",
ROUND(OFFSET($P125,0,AE$13),15-13*ORÇAMENTO!$AF$7)/$H125*OFFSET(ORÇAMENTO!$X$15,ROW(AE125)-ROW(AE$15),0),
ROUND(ROUND(OFFSET($P125,0,AE$13),15-13*ORÇAMENTO!$AF$7)*OFFSET(ORÇAMENTO!$W$15,ROW(AE125)-ROW(AE$15),0),15-13*ORÇAMENTO!$AF$11)),0)</f>
        <v>0</v>
      </c>
      <c r="AF125" s="631">
        <f ca="1">IF(AND($D125="Serviço",AF$12&lt;&gt;0,$H125&gt;0,OR(AUTOEVENTO&lt;&gt;"manual",$M125&lt;&gt;1)),
IF(Import.TipoArredondamento&lt;&gt;"TransfereGOV",
ROUND(OFFSET($P125,0,AF$13),15-13*ORÇAMENTO!$AF$7)/$H125*OFFSET(ORÇAMENTO!$X$15,ROW(AF125)-ROW(AF$15),0),
ROUND(ROUND(OFFSET($P125,0,AF$13),15-13*ORÇAMENTO!$AF$7)*OFFSET(ORÇAMENTO!$W$15,ROW(AF125)-ROW(AF$15),0),15-13*ORÇAMENTO!$AF$11)),0)</f>
        <v>0</v>
      </c>
      <c r="AG125" s="631">
        <f ca="1">IF(AND($D125="Serviço",AG$12&lt;&gt;0,$H125&gt;0,OR(AUTOEVENTO&lt;&gt;"manual",$M125&lt;&gt;1)),
IF(Import.TipoArredondamento&lt;&gt;"TransfereGOV",
ROUND(OFFSET($P125,0,AG$13),15-13*ORÇAMENTO!$AF$7)/$H125*OFFSET(ORÇAMENTO!$X$15,ROW(AG125)-ROW(AG$15),0),
ROUND(ROUND(OFFSET($P125,0,AG$13),15-13*ORÇAMENTO!$AF$7)*OFFSET(ORÇAMENTO!$W$15,ROW(AG125)-ROW(AG$15),0),15-13*ORÇAMENTO!$AF$11)),0)</f>
        <v>0</v>
      </c>
      <c r="AH125" s="631">
        <f ca="1">IF(AND($D125="Serviço",AH$12&lt;&gt;0,$H125&gt;0,OR(AUTOEVENTO&lt;&gt;"manual",$M125&lt;&gt;1)),
IF(Import.TipoArredondamento&lt;&gt;"TransfereGOV",
ROUND(OFFSET($P125,0,AH$13),15-13*ORÇAMENTO!$AF$7)/$H125*OFFSET(ORÇAMENTO!$X$15,ROW(AH125)-ROW(AH$15),0),
ROUND(ROUND(OFFSET($P125,0,AH$13),15-13*ORÇAMENTO!$AF$7)*OFFSET(ORÇAMENTO!$W$15,ROW(AH125)-ROW(AH$15),0),15-13*ORÇAMENTO!$AF$11)),0)</f>
        <v>0</v>
      </c>
      <c r="AI125" s="631">
        <f ca="1">IF(AND($D125="Serviço",AI$12&lt;&gt;0,$H125&gt;0,OR(AUTOEVENTO&lt;&gt;"manual",$M125&lt;&gt;1)),
IF(Import.TipoArredondamento&lt;&gt;"TransfereGOV",
ROUND(OFFSET($P125,0,AI$13),15-13*ORÇAMENTO!$AF$7)/$H125*OFFSET(ORÇAMENTO!$X$15,ROW(AI125)-ROW(AI$15),0),
ROUND(ROUND(OFFSET($P125,0,AI$13),15-13*ORÇAMENTO!$AF$7)*OFFSET(ORÇAMENTO!$W$15,ROW(AI125)-ROW(AI$15),0),15-13*ORÇAMENTO!$AF$11)),0)</f>
        <v>0</v>
      </c>
      <c r="AJ125" s="631">
        <f ca="1">IF(AND($D125="Serviço",AJ$12&lt;&gt;0,$H125&gt;0,OR(AUTOEVENTO&lt;&gt;"manual",$M125&lt;&gt;1)),
IF(Import.TipoArredondamento&lt;&gt;"TransfereGOV",
ROUND(OFFSET($P125,0,AJ$13),15-13*ORÇAMENTO!$AF$7)/$H125*OFFSET(ORÇAMENTO!$X$15,ROW(AJ125)-ROW(AJ$15),0),
ROUND(ROUND(OFFSET($P125,0,AJ$13),15-13*ORÇAMENTO!$AF$7)*OFFSET(ORÇAMENTO!$W$15,ROW(AJ125)-ROW(AJ$15),0),15-13*ORÇAMENTO!$AF$11)),0)</f>
        <v>0</v>
      </c>
      <c r="AK125" s="632">
        <f ca="1">IF(AND($D125="Serviço",AK$12&lt;&gt;0,$H125&gt;0,OR(AUTOEVENTO&lt;&gt;"manual",$M125&lt;&gt;1)),
IF(Import.TipoArredondamento&lt;&gt;"TransfereGOV",
ROUND(OFFSET($P125,0,AK$13),15-13*ORÇAMENTO!$AF$7)/$H125*OFFSET(ORÇAMENTO!$X$15,ROW(AK125)-ROW(AK$15),0),
ROUND(ROUND(OFFSET($P125,0,AK$13),15-13*ORÇAMENTO!$AF$7)*OFFSET(ORÇAMENTO!$W$15,ROW(AK125)-ROW(AK$15),0),15-13*ORÇAMENTO!$AF$11)),0)</f>
        <v>0</v>
      </c>
      <c r="AM125" s="215">
        <f ca="1">IF($D125&lt;&gt;"Serviço",0,IF(AND(AUTOEVENTO="Manual",$M125=1),0,IF(OFFSET(CRONOPLE!$F$14,$M125,AM$13)="",10^12,OFFSET(CRONOPLE!$F$14,$M125,AM$13))))</f>
        <v>1000000000000</v>
      </c>
      <c r="AN125" s="215">
        <f ca="1">IF($D125&lt;&gt;"Serviço",0,IF(AND(AUTOEVENTO="Manual",$M125=1),0,IF(OFFSET(CRONOPLE!$F$14,$M125,AN$13)="",10^12,OFFSET(CRONOPLE!$F$14,$M125,AN$13))))</f>
        <v>1000000000000</v>
      </c>
      <c r="AO125" s="215">
        <f ca="1">IF($D125&lt;&gt;"Serviço",0,IF(AND(AUTOEVENTO="Manual",$M125=1),0,IF(OFFSET(CRONOPLE!$F$14,$M125,AO$13)="",10^12,OFFSET(CRONOPLE!$F$14,$M125,AO$13))))</f>
        <v>1000000000000</v>
      </c>
      <c r="AP125" s="215">
        <f ca="1">IF($D125&lt;&gt;"Serviço",0,IF(AND(AUTOEVENTO="Manual",$M125=1),0,IF(OFFSET(CRONOPLE!$F$14,$M125,AP$13)="",10^12,OFFSET(CRONOPLE!$F$14,$M125,AP$13))))</f>
        <v>1000000000000</v>
      </c>
      <c r="AQ125" s="215">
        <f ca="1">IF($D125&lt;&gt;"Serviço",0,IF(AND(AUTOEVENTO="Manual",$M125=1),0,IF(OFFSET(CRONOPLE!$F$14,$M125,AQ$13)="",10^12,OFFSET(CRONOPLE!$F$14,$M125,AQ$13))))</f>
        <v>1000000000000</v>
      </c>
      <c r="AR125" s="215">
        <f ca="1">IF($D125&lt;&gt;"Serviço",0,IF(AND(AUTOEVENTO="Manual",$M125=1),0,IF(OFFSET(CRONOPLE!$F$14,$M125,AR$13)="",10^12,OFFSET(CRONOPLE!$F$14,$M125,AR$13))))</f>
        <v>1000000000000</v>
      </c>
      <c r="AS125" s="215">
        <f ca="1">IF($D125&lt;&gt;"Serviço",0,IF(AND(AUTOEVENTO="Manual",$M125=1),0,IF(OFFSET(CRONOPLE!$F$14,$M125,AS$13)="",10^12,OFFSET(CRONOPLE!$F$14,$M125,AS$13))))</f>
        <v>1000000000000</v>
      </c>
      <c r="AT125" s="215">
        <f ca="1">IF($D125&lt;&gt;"Serviço",0,IF(AND(AUTOEVENTO="Manual",$M125=1),0,IF(OFFSET(CRONOPLE!$F$14,$M125,AT$13)="",10^12,OFFSET(CRONOPLE!$F$14,$M125,AT$13))))</f>
        <v>1000000000000</v>
      </c>
      <c r="AU125" s="215">
        <f ca="1">IF($D125&lt;&gt;"Serviço",0,IF(AND(AUTOEVENTO="Manual",$M125=1),0,IF(OFFSET(CRONOPLE!$F$14,$M125,AU$13)="",10^12,OFFSET(CRONOPLE!$F$14,$M125,AU$13))))</f>
        <v>1000000000000</v>
      </c>
      <c r="AV125" s="215">
        <f ca="1">IF($D125&lt;&gt;"Serviço",0,IF(AND(AUTOEVENTO="Manual",$M125=1),0,IF(OFFSET(CRONOPLE!$F$14,$M125,AV$13)="",10^12,OFFSET(CRONOPLE!$F$14,$M125,AV$13))))</f>
        <v>1000000000000</v>
      </c>
      <c r="AX125" s="216">
        <f ca="1">IF($D125&lt;&gt;"Serviço",0,IF(OR(AND(AUTOEVENTO="Manual",$M125=1),$M125&gt;(ROW(PLE.lastrow)-ROW(PLE.firstrow))),0,IF(OFFSET(PLE!$G$14,$M125,AX$13)="",10^12,OFFSET(PLE!$G$14,$M125,AX$13))))</f>
        <v>1000000000000</v>
      </c>
      <c r="AY125" s="216">
        <f ca="1">IF($D125&lt;&gt;"Serviço",0,IF(OR(AND(AUTOEVENTO="Manual",$M125=1),$M125&gt;(ROW(PLE.lastrow)-ROW(PLE.firstrow))),0,IF(OFFSET(PLE!$G$14,$M125,AY$13)="",10^12,OFFSET(PLE!$G$14,$M125,AY$13))))</f>
        <v>1000000000000</v>
      </c>
      <c r="AZ125" s="216">
        <f ca="1">IF($D125&lt;&gt;"Serviço",0,IF(OR(AND(AUTOEVENTO="Manual",$M125=1),$M125&gt;(ROW(PLE.lastrow)-ROW(PLE.firstrow))),0,IF(OFFSET(PLE!$G$14,$M125,AZ$13)="",10^12,OFFSET(PLE!$G$14,$M125,AZ$13))))</f>
        <v>1000000000000</v>
      </c>
      <c r="BA125" s="216">
        <f ca="1">IF($D125&lt;&gt;"Serviço",0,IF(OR(AND(AUTOEVENTO="Manual",$M125=1),$M125&gt;(ROW(PLE.lastrow)-ROW(PLE.firstrow))),0,IF(OFFSET(PLE!$G$14,$M125,BA$13)="",10^12,OFFSET(PLE!$G$14,$M125,BA$13))))</f>
        <v>1000000000000</v>
      </c>
      <c r="BB125" s="216">
        <f ca="1">IF($D125&lt;&gt;"Serviço",0,IF(OR(AND(AUTOEVENTO="Manual",$M125=1),$M125&gt;(ROW(PLE.lastrow)-ROW(PLE.firstrow))),0,IF(OFFSET(PLE!$G$14,$M125,BB$13)="",10^12,OFFSET(PLE!$G$14,$M125,BB$13))))</f>
        <v>1000000000000</v>
      </c>
      <c r="BC125" s="216">
        <f ca="1">IF($D125&lt;&gt;"Serviço",0,IF(OR(AND(AUTOEVENTO="Manual",$M125=1),$M125&gt;(ROW(PLE.lastrow)-ROW(PLE.firstrow))),0,IF(OFFSET(PLE!$G$14,$M125,BC$13)="",10^12,OFFSET(PLE!$G$14,$M125,BC$13))))</f>
        <v>1000000000000</v>
      </c>
      <c r="BD125" s="216">
        <f ca="1">IF($D125&lt;&gt;"Serviço",0,IF(OR(AND(AUTOEVENTO="Manual",$M125=1),$M125&gt;(ROW(PLE.lastrow)-ROW(PLE.firstrow))),0,IF(OFFSET(PLE!$G$14,$M125,BD$13)="",10^12,OFFSET(PLE!$G$14,$M125,BD$13))))</f>
        <v>1000000000000</v>
      </c>
      <c r="BE125" s="216">
        <f ca="1">IF($D125&lt;&gt;"Serviço",0,IF(OR(AND(AUTOEVENTO="Manual",$M125=1),$M125&gt;(ROW(PLE.lastrow)-ROW(PLE.firstrow))),0,IF(OFFSET(PLE!$G$14,$M125,BE$13)="",10^12,OFFSET(PLE!$G$14,$M125,BE$13))))</f>
        <v>1000000000000</v>
      </c>
      <c r="BF125" s="216">
        <f ca="1">IF($D125&lt;&gt;"Serviço",0,IF(OR(AND(AUTOEVENTO="Manual",$M125=1),$M125&gt;(ROW(PLE.lastrow)-ROW(PLE.firstrow))),0,IF(OFFSET(PLE!$G$14,$M125,BF$13)="",10^12,OFFSET(PLE!$G$14,$M125,BF$13))))</f>
        <v>1000000000000</v>
      </c>
      <c r="BG125" s="216">
        <f ca="1">IF($D125&lt;&gt;"Serviço",0,IF(OR(AND(AUTOEVENTO="Manual",$M125=1),$M125&gt;(ROW(PLE.lastrow)-ROW(PLE.firstrow))),0,IF(OFFSET(PLE!$G$14,$M125,BG$13)="",10^12,OFFSET(PLE!$G$14,$M125,BG$13))))</f>
        <v>1000000000000</v>
      </c>
    </row>
    <row r="126" spans="1:59" ht="38.25" x14ac:dyDescent="0.2">
      <c r="A126" s="9" t="str">
        <f t="shared" ca="1" si="10"/>
        <v>93</v>
      </c>
      <c r="B126" s="9" t="str">
        <f ca="1">OFFSET(ORÇAMENTO!C$15,ROW(B126)-ROW(B$15),0)</f>
        <v>S</v>
      </c>
      <c r="C126" s="9" t="str">
        <f ca="1">OFFSET(ORÇAMENTO!L$15,ROW(C126)-ROW(C$15),0)</f>
        <v/>
      </c>
      <c r="D126" s="145" t="str">
        <f ca="1">OFFSET(ORÇAMENTO!N$15,ROW(D126)-ROW(D$15),0)</f>
        <v>Serviço</v>
      </c>
      <c r="E126" s="205" t="str">
        <f ca="1">OFFSET(ORÇAMENTO!O$15,ROW(E126)-ROW(E$15),0)</f>
        <v>-</v>
      </c>
      <c r="F126" s="206" t="str">
        <f ca="1">OFFSET(ORÇAMENTO!R$15,ROW(F126)-ROW(F$15),0)</f>
        <v>ELETRODUTO FLEXÍVEL CORRUGADO REFORÇADO, PVC, DN 20 MM (1/2"), PARA CIRCUITOS TERMINAIS, INSTALADO EM PAREDE - FORNECIMENTO E INSTALAÇÃO. AF_03/2023</v>
      </c>
      <c r="G126" s="207" t="str">
        <f ca="1">IF($D126&lt;&gt;"Serviço","",OFFSET(ORÇAMENTO!S$15,ROW(G126)-ROW(G$15),0))</f>
        <v>M</v>
      </c>
      <c r="H126" s="151">
        <f ca="1">IF($D126&lt;&gt;"Serviço",0,IF(ACOMPANHAMENTO="BM",ROUND(OFFSET(ORÇAMENTO!AJ$15,ROW(H126)-ROW(H$15),0),15-13*ORÇAMENTO!$AF$7),SUMPRODUCT(($Q$12:$AA$12&lt;&gt;"")*ROUND($Q126:$AA126,15-13*ORÇAMENTO!$AF$7))))</f>
        <v>462</v>
      </c>
      <c r="I126" s="649"/>
      <c r="K126" s="208"/>
      <c r="L126" s="209" t="s">
        <v>255</v>
      </c>
      <c r="M126" s="210">
        <f ca="1">IF($D126&lt;&gt;"Serviço","",IF(AUTOEVENTO="manual",$A126,IF(ISERROR(MATCH($A126,$A$15:OFFSET($A126,-1,0),0)),MAX($M$15:OFFSET(M126,-1,0))+1,INDEX($M$15:OFFSET(M126,-1,0),MATCH($A126,$A$15:OFFSET($A126,-1,0),0)))))</f>
        <v>19</v>
      </c>
      <c r="N126" s="211" t="str">
        <f ca="1">IF($D126&lt;&gt;"Serviço","",IF(AUTOEVENTO="Manual",IF($A126=0,"&lt;-- defina o número do agrupador",OFFSET(EVENTOS!$D$14,$A126,0)),OFFSET($F$15,$A126,0)))</f>
        <v xml:space="preserve">ELÉTRICA </v>
      </c>
      <c r="O126" s="212"/>
      <c r="Q126" s="212"/>
      <c r="R126" s="213"/>
      <c r="S126" s="213"/>
      <c r="T126" s="213"/>
      <c r="U126" s="213"/>
      <c r="V126" s="213"/>
      <c r="W126" s="213"/>
      <c r="X126" s="213"/>
      <c r="Y126" s="213"/>
      <c r="Z126" s="214"/>
      <c r="AB126" s="630">
        <f ca="1">IF(AND($D126="Serviço",AB$12&lt;&gt;0,$H126&gt;0,OR(AUTOEVENTO&lt;&gt;"manual",$M126&lt;&gt;1)),
IF(Import.TipoArredondamento&lt;&gt;"TransfereGOV",
ROUND(OFFSET($P126,0,AB$13),15-13*ORÇAMENTO!$AF$7)/$H126*OFFSET(ORÇAMENTO!$X$15,ROW(AB126)-ROW(AB$15),0),
ROUND(ROUND(OFFSET($P126,0,AB$13),15-13*ORÇAMENTO!$AF$7)*OFFSET(ORÇAMENTO!$W$15,ROW(AB126)-ROW(AB$15),0),15-13*ORÇAMENTO!$AF$11)),0)</f>
        <v>0</v>
      </c>
      <c r="AC126" s="631">
        <f ca="1">IF(AND($D126="Serviço",AC$12&lt;&gt;0,$H126&gt;0,OR(AUTOEVENTO&lt;&gt;"manual",$M126&lt;&gt;1)),
IF(Import.TipoArredondamento&lt;&gt;"TransfereGOV",
ROUND(OFFSET($P126,0,AC$13),15-13*ORÇAMENTO!$AF$7)/$H126*OFFSET(ORÇAMENTO!$X$15,ROW(AC126)-ROW(AC$15),0),
ROUND(ROUND(OFFSET($P126,0,AC$13),15-13*ORÇAMENTO!$AF$7)*OFFSET(ORÇAMENTO!$W$15,ROW(AC126)-ROW(AC$15),0),15-13*ORÇAMENTO!$AF$11)),0)</f>
        <v>0</v>
      </c>
      <c r="AD126" s="631">
        <f ca="1">IF(AND($D126="Serviço",AD$12&lt;&gt;0,$H126&gt;0,OR(AUTOEVENTO&lt;&gt;"manual",$M126&lt;&gt;1)),
IF(Import.TipoArredondamento&lt;&gt;"TransfereGOV",
ROUND(OFFSET($P126,0,AD$13),15-13*ORÇAMENTO!$AF$7)/$H126*OFFSET(ORÇAMENTO!$X$15,ROW(AD126)-ROW(AD$15),0),
ROUND(ROUND(OFFSET($P126,0,AD$13),15-13*ORÇAMENTO!$AF$7)*OFFSET(ORÇAMENTO!$W$15,ROW(AD126)-ROW(AD$15),0),15-13*ORÇAMENTO!$AF$11)),0)</f>
        <v>0</v>
      </c>
      <c r="AE126" s="631">
        <f ca="1">IF(AND($D126="Serviço",AE$12&lt;&gt;0,$H126&gt;0,OR(AUTOEVENTO&lt;&gt;"manual",$M126&lt;&gt;1)),
IF(Import.TipoArredondamento&lt;&gt;"TransfereGOV",
ROUND(OFFSET($P126,0,AE$13),15-13*ORÇAMENTO!$AF$7)/$H126*OFFSET(ORÇAMENTO!$X$15,ROW(AE126)-ROW(AE$15),0),
ROUND(ROUND(OFFSET($P126,0,AE$13),15-13*ORÇAMENTO!$AF$7)*OFFSET(ORÇAMENTO!$W$15,ROW(AE126)-ROW(AE$15),0),15-13*ORÇAMENTO!$AF$11)),0)</f>
        <v>0</v>
      </c>
      <c r="AF126" s="631">
        <f ca="1">IF(AND($D126="Serviço",AF$12&lt;&gt;0,$H126&gt;0,OR(AUTOEVENTO&lt;&gt;"manual",$M126&lt;&gt;1)),
IF(Import.TipoArredondamento&lt;&gt;"TransfereGOV",
ROUND(OFFSET($P126,0,AF$13),15-13*ORÇAMENTO!$AF$7)/$H126*OFFSET(ORÇAMENTO!$X$15,ROW(AF126)-ROW(AF$15),0),
ROUND(ROUND(OFFSET($P126,0,AF$13),15-13*ORÇAMENTO!$AF$7)*OFFSET(ORÇAMENTO!$W$15,ROW(AF126)-ROW(AF$15),0),15-13*ORÇAMENTO!$AF$11)),0)</f>
        <v>0</v>
      </c>
      <c r="AG126" s="631">
        <f ca="1">IF(AND($D126="Serviço",AG$12&lt;&gt;0,$H126&gt;0,OR(AUTOEVENTO&lt;&gt;"manual",$M126&lt;&gt;1)),
IF(Import.TipoArredondamento&lt;&gt;"TransfereGOV",
ROUND(OFFSET($P126,0,AG$13),15-13*ORÇAMENTO!$AF$7)/$H126*OFFSET(ORÇAMENTO!$X$15,ROW(AG126)-ROW(AG$15),0),
ROUND(ROUND(OFFSET($P126,0,AG$13),15-13*ORÇAMENTO!$AF$7)*OFFSET(ORÇAMENTO!$W$15,ROW(AG126)-ROW(AG$15),0),15-13*ORÇAMENTO!$AF$11)),0)</f>
        <v>0</v>
      </c>
      <c r="AH126" s="631">
        <f ca="1">IF(AND($D126="Serviço",AH$12&lt;&gt;0,$H126&gt;0,OR(AUTOEVENTO&lt;&gt;"manual",$M126&lt;&gt;1)),
IF(Import.TipoArredondamento&lt;&gt;"TransfereGOV",
ROUND(OFFSET($P126,0,AH$13),15-13*ORÇAMENTO!$AF$7)/$H126*OFFSET(ORÇAMENTO!$X$15,ROW(AH126)-ROW(AH$15),0),
ROUND(ROUND(OFFSET($P126,0,AH$13),15-13*ORÇAMENTO!$AF$7)*OFFSET(ORÇAMENTO!$W$15,ROW(AH126)-ROW(AH$15),0),15-13*ORÇAMENTO!$AF$11)),0)</f>
        <v>0</v>
      </c>
      <c r="AI126" s="631">
        <f ca="1">IF(AND($D126="Serviço",AI$12&lt;&gt;0,$H126&gt;0,OR(AUTOEVENTO&lt;&gt;"manual",$M126&lt;&gt;1)),
IF(Import.TipoArredondamento&lt;&gt;"TransfereGOV",
ROUND(OFFSET($P126,0,AI$13),15-13*ORÇAMENTO!$AF$7)/$H126*OFFSET(ORÇAMENTO!$X$15,ROW(AI126)-ROW(AI$15),0),
ROUND(ROUND(OFFSET($P126,0,AI$13),15-13*ORÇAMENTO!$AF$7)*OFFSET(ORÇAMENTO!$W$15,ROW(AI126)-ROW(AI$15),0),15-13*ORÇAMENTO!$AF$11)),0)</f>
        <v>0</v>
      </c>
      <c r="AJ126" s="631">
        <f ca="1">IF(AND($D126="Serviço",AJ$12&lt;&gt;0,$H126&gt;0,OR(AUTOEVENTO&lt;&gt;"manual",$M126&lt;&gt;1)),
IF(Import.TipoArredondamento&lt;&gt;"TransfereGOV",
ROUND(OFFSET($P126,0,AJ$13),15-13*ORÇAMENTO!$AF$7)/$H126*OFFSET(ORÇAMENTO!$X$15,ROW(AJ126)-ROW(AJ$15),0),
ROUND(ROUND(OFFSET($P126,0,AJ$13),15-13*ORÇAMENTO!$AF$7)*OFFSET(ORÇAMENTO!$W$15,ROW(AJ126)-ROW(AJ$15),0),15-13*ORÇAMENTO!$AF$11)),0)</f>
        <v>0</v>
      </c>
      <c r="AK126" s="632">
        <f ca="1">IF(AND($D126="Serviço",AK$12&lt;&gt;0,$H126&gt;0,OR(AUTOEVENTO&lt;&gt;"manual",$M126&lt;&gt;1)),
IF(Import.TipoArredondamento&lt;&gt;"TransfereGOV",
ROUND(OFFSET($P126,0,AK$13),15-13*ORÇAMENTO!$AF$7)/$H126*OFFSET(ORÇAMENTO!$X$15,ROW(AK126)-ROW(AK$15),0),
ROUND(ROUND(OFFSET($P126,0,AK$13),15-13*ORÇAMENTO!$AF$7)*OFFSET(ORÇAMENTO!$W$15,ROW(AK126)-ROW(AK$15),0),15-13*ORÇAMENTO!$AF$11)),0)</f>
        <v>0</v>
      </c>
      <c r="AM126" s="215">
        <f ca="1">IF($D126&lt;&gt;"Serviço",0,IF(AND(AUTOEVENTO="Manual",$M126=1),0,IF(OFFSET(CRONOPLE!$F$14,$M126,AM$13)="",10^12,OFFSET(CRONOPLE!$F$14,$M126,AM$13))))</f>
        <v>1000000000000</v>
      </c>
      <c r="AN126" s="215">
        <f ca="1">IF($D126&lt;&gt;"Serviço",0,IF(AND(AUTOEVENTO="Manual",$M126=1),0,IF(OFFSET(CRONOPLE!$F$14,$M126,AN$13)="",10^12,OFFSET(CRONOPLE!$F$14,$M126,AN$13))))</f>
        <v>1000000000000</v>
      </c>
      <c r="AO126" s="215">
        <f ca="1">IF($D126&lt;&gt;"Serviço",0,IF(AND(AUTOEVENTO="Manual",$M126=1),0,IF(OFFSET(CRONOPLE!$F$14,$M126,AO$13)="",10^12,OFFSET(CRONOPLE!$F$14,$M126,AO$13))))</f>
        <v>1000000000000</v>
      </c>
      <c r="AP126" s="215">
        <f ca="1">IF($D126&lt;&gt;"Serviço",0,IF(AND(AUTOEVENTO="Manual",$M126=1),0,IF(OFFSET(CRONOPLE!$F$14,$M126,AP$13)="",10^12,OFFSET(CRONOPLE!$F$14,$M126,AP$13))))</f>
        <v>1000000000000</v>
      </c>
      <c r="AQ126" s="215">
        <f ca="1">IF($D126&lt;&gt;"Serviço",0,IF(AND(AUTOEVENTO="Manual",$M126=1),0,IF(OFFSET(CRONOPLE!$F$14,$M126,AQ$13)="",10^12,OFFSET(CRONOPLE!$F$14,$M126,AQ$13))))</f>
        <v>1000000000000</v>
      </c>
      <c r="AR126" s="215">
        <f ca="1">IF($D126&lt;&gt;"Serviço",0,IF(AND(AUTOEVENTO="Manual",$M126=1),0,IF(OFFSET(CRONOPLE!$F$14,$M126,AR$13)="",10^12,OFFSET(CRONOPLE!$F$14,$M126,AR$13))))</f>
        <v>1000000000000</v>
      </c>
      <c r="AS126" s="215">
        <f ca="1">IF($D126&lt;&gt;"Serviço",0,IF(AND(AUTOEVENTO="Manual",$M126=1),0,IF(OFFSET(CRONOPLE!$F$14,$M126,AS$13)="",10^12,OFFSET(CRONOPLE!$F$14,$M126,AS$13))))</f>
        <v>1000000000000</v>
      </c>
      <c r="AT126" s="215">
        <f ca="1">IF($D126&lt;&gt;"Serviço",0,IF(AND(AUTOEVENTO="Manual",$M126=1),0,IF(OFFSET(CRONOPLE!$F$14,$M126,AT$13)="",10^12,OFFSET(CRONOPLE!$F$14,$M126,AT$13))))</f>
        <v>1000000000000</v>
      </c>
      <c r="AU126" s="215">
        <f ca="1">IF($D126&lt;&gt;"Serviço",0,IF(AND(AUTOEVENTO="Manual",$M126=1),0,IF(OFFSET(CRONOPLE!$F$14,$M126,AU$13)="",10^12,OFFSET(CRONOPLE!$F$14,$M126,AU$13))))</f>
        <v>1000000000000</v>
      </c>
      <c r="AV126" s="215">
        <f ca="1">IF($D126&lt;&gt;"Serviço",0,IF(AND(AUTOEVENTO="Manual",$M126=1),0,IF(OFFSET(CRONOPLE!$F$14,$M126,AV$13)="",10^12,OFFSET(CRONOPLE!$F$14,$M126,AV$13))))</f>
        <v>1000000000000</v>
      </c>
      <c r="AX126" s="216">
        <f ca="1">IF($D126&lt;&gt;"Serviço",0,IF(OR(AND(AUTOEVENTO="Manual",$M126=1),$M126&gt;(ROW(PLE.lastrow)-ROW(PLE.firstrow))),0,IF(OFFSET(PLE!$G$14,$M126,AX$13)="",10^12,OFFSET(PLE!$G$14,$M126,AX$13))))</f>
        <v>1000000000000</v>
      </c>
      <c r="AY126" s="216">
        <f ca="1">IF($D126&lt;&gt;"Serviço",0,IF(OR(AND(AUTOEVENTO="Manual",$M126=1),$M126&gt;(ROW(PLE.lastrow)-ROW(PLE.firstrow))),0,IF(OFFSET(PLE!$G$14,$M126,AY$13)="",10^12,OFFSET(PLE!$G$14,$M126,AY$13))))</f>
        <v>1000000000000</v>
      </c>
      <c r="AZ126" s="216">
        <f ca="1">IF($D126&lt;&gt;"Serviço",0,IF(OR(AND(AUTOEVENTO="Manual",$M126=1),$M126&gt;(ROW(PLE.lastrow)-ROW(PLE.firstrow))),0,IF(OFFSET(PLE!$G$14,$M126,AZ$13)="",10^12,OFFSET(PLE!$G$14,$M126,AZ$13))))</f>
        <v>1000000000000</v>
      </c>
      <c r="BA126" s="216">
        <f ca="1">IF($D126&lt;&gt;"Serviço",0,IF(OR(AND(AUTOEVENTO="Manual",$M126=1),$M126&gt;(ROW(PLE.lastrow)-ROW(PLE.firstrow))),0,IF(OFFSET(PLE!$G$14,$M126,BA$13)="",10^12,OFFSET(PLE!$G$14,$M126,BA$13))))</f>
        <v>1000000000000</v>
      </c>
      <c r="BB126" s="216">
        <f ca="1">IF($D126&lt;&gt;"Serviço",0,IF(OR(AND(AUTOEVENTO="Manual",$M126=1),$M126&gt;(ROW(PLE.lastrow)-ROW(PLE.firstrow))),0,IF(OFFSET(PLE!$G$14,$M126,BB$13)="",10^12,OFFSET(PLE!$G$14,$M126,BB$13))))</f>
        <v>1000000000000</v>
      </c>
      <c r="BC126" s="216">
        <f ca="1">IF($D126&lt;&gt;"Serviço",0,IF(OR(AND(AUTOEVENTO="Manual",$M126=1),$M126&gt;(ROW(PLE.lastrow)-ROW(PLE.firstrow))),0,IF(OFFSET(PLE!$G$14,$M126,BC$13)="",10^12,OFFSET(PLE!$G$14,$M126,BC$13))))</f>
        <v>1000000000000</v>
      </c>
      <c r="BD126" s="216">
        <f ca="1">IF($D126&lt;&gt;"Serviço",0,IF(OR(AND(AUTOEVENTO="Manual",$M126=1),$M126&gt;(ROW(PLE.lastrow)-ROW(PLE.firstrow))),0,IF(OFFSET(PLE!$G$14,$M126,BD$13)="",10^12,OFFSET(PLE!$G$14,$M126,BD$13))))</f>
        <v>1000000000000</v>
      </c>
      <c r="BE126" s="216">
        <f ca="1">IF($D126&lt;&gt;"Serviço",0,IF(OR(AND(AUTOEVENTO="Manual",$M126=1),$M126&gt;(ROW(PLE.lastrow)-ROW(PLE.firstrow))),0,IF(OFFSET(PLE!$G$14,$M126,BE$13)="",10^12,OFFSET(PLE!$G$14,$M126,BE$13))))</f>
        <v>1000000000000</v>
      </c>
      <c r="BF126" s="216">
        <f ca="1">IF($D126&lt;&gt;"Serviço",0,IF(OR(AND(AUTOEVENTO="Manual",$M126=1),$M126&gt;(ROW(PLE.lastrow)-ROW(PLE.firstrow))),0,IF(OFFSET(PLE!$G$14,$M126,BF$13)="",10^12,OFFSET(PLE!$G$14,$M126,BF$13))))</f>
        <v>1000000000000</v>
      </c>
      <c r="BG126" s="216">
        <f ca="1">IF($D126&lt;&gt;"Serviço",0,IF(OR(AND(AUTOEVENTO="Manual",$M126=1),$M126&gt;(ROW(PLE.lastrow)-ROW(PLE.firstrow))),0,IF(OFFSET(PLE!$G$14,$M126,BG$13)="",10^12,OFFSET(PLE!$G$14,$M126,BG$13))))</f>
        <v>1000000000000</v>
      </c>
    </row>
    <row r="127" spans="1:59" ht="38.25" x14ac:dyDescent="0.2">
      <c r="A127" s="9" t="str">
        <f t="shared" ca="1" si="10"/>
        <v>93</v>
      </c>
      <c r="B127" s="9" t="str">
        <f ca="1">OFFSET(ORÇAMENTO!C$15,ROW(B127)-ROW(B$15),0)</f>
        <v>S</v>
      </c>
      <c r="C127" s="9" t="str">
        <f ca="1">OFFSET(ORÇAMENTO!L$15,ROW(C127)-ROW(C$15),0)</f>
        <v/>
      </c>
      <c r="D127" s="145" t="str">
        <f ca="1">OFFSET(ORÇAMENTO!N$15,ROW(D127)-ROW(D$15),0)</f>
        <v>Serviço</v>
      </c>
      <c r="E127" s="205" t="str">
        <f ca="1">OFFSET(ORÇAMENTO!O$15,ROW(E127)-ROW(E$15),0)</f>
        <v>-</v>
      </c>
      <c r="F127" s="206" t="str">
        <f ca="1">OFFSET(ORÇAMENTO!R$15,ROW(F127)-ROW(F$15),0)</f>
        <v>ELETRODUTO RÍGIDO ROSCÁVEL, PVC, DN 75 MM (2 1/2"), PARA REDE ENTERRADA DE DISTRIBUIÇÃO DE ENERGIA ELÉTRICA - FORNECIMENTO E INSTALAÇÃO. AF_12/2021</v>
      </c>
      <c r="G127" s="207" t="str">
        <f ca="1">IF($D127&lt;&gt;"Serviço","",OFFSET(ORÇAMENTO!S$15,ROW(G127)-ROW(G$15),0))</f>
        <v>M</v>
      </c>
      <c r="H127" s="151">
        <f ca="1">IF($D127&lt;&gt;"Serviço",0,IF(ACOMPANHAMENTO="BM",ROUND(OFFSET(ORÇAMENTO!AJ$15,ROW(H127)-ROW(H$15),0),15-13*ORÇAMENTO!$AF$7),SUMPRODUCT(($Q$12:$AA$12&lt;&gt;"")*ROUND($Q127:$AA127,15-13*ORÇAMENTO!$AF$7))))</f>
        <v>100</v>
      </c>
      <c r="I127" s="649"/>
      <c r="K127" s="208"/>
      <c r="L127" s="209" t="s">
        <v>255</v>
      </c>
      <c r="M127" s="210">
        <f ca="1">IF($D127&lt;&gt;"Serviço","",IF(AUTOEVENTO="manual",$A127,IF(ISERROR(MATCH($A127,$A$15:OFFSET($A127,-1,0),0)),MAX($M$15:OFFSET(M127,-1,0))+1,INDEX($M$15:OFFSET(M127,-1,0),MATCH($A127,$A$15:OFFSET($A127,-1,0),0)))))</f>
        <v>19</v>
      </c>
      <c r="N127" s="211" t="str">
        <f ca="1">IF($D127&lt;&gt;"Serviço","",IF(AUTOEVENTO="Manual",IF($A127=0,"&lt;-- defina o número do agrupador",OFFSET(EVENTOS!$D$14,$A127,0)),OFFSET($F$15,$A127,0)))</f>
        <v xml:space="preserve">ELÉTRICA </v>
      </c>
      <c r="O127" s="212"/>
      <c r="Q127" s="212"/>
      <c r="R127" s="213"/>
      <c r="S127" s="213"/>
      <c r="T127" s="213"/>
      <c r="U127" s="213"/>
      <c r="V127" s="213"/>
      <c r="W127" s="213"/>
      <c r="X127" s="213"/>
      <c r="Y127" s="213"/>
      <c r="Z127" s="214"/>
      <c r="AB127" s="630">
        <f ca="1">IF(AND($D127="Serviço",AB$12&lt;&gt;0,$H127&gt;0,OR(AUTOEVENTO&lt;&gt;"manual",$M127&lt;&gt;1)),
IF(Import.TipoArredondamento&lt;&gt;"TransfereGOV",
ROUND(OFFSET($P127,0,AB$13),15-13*ORÇAMENTO!$AF$7)/$H127*OFFSET(ORÇAMENTO!$X$15,ROW(AB127)-ROW(AB$15),0),
ROUND(ROUND(OFFSET($P127,0,AB$13),15-13*ORÇAMENTO!$AF$7)*OFFSET(ORÇAMENTO!$W$15,ROW(AB127)-ROW(AB$15),0),15-13*ORÇAMENTO!$AF$11)),0)</f>
        <v>0</v>
      </c>
      <c r="AC127" s="631">
        <f ca="1">IF(AND($D127="Serviço",AC$12&lt;&gt;0,$H127&gt;0,OR(AUTOEVENTO&lt;&gt;"manual",$M127&lt;&gt;1)),
IF(Import.TipoArredondamento&lt;&gt;"TransfereGOV",
ROUND(OFFSET($P127,0,AC$13),15-13*ORÇAMENTO!$AF$7)/$H127*OFFSET(ORÇAMENTO!$X$15,ROW(AC127)-ROW(AC$15),0),
ROUND(ROUND(OFFSET($P127,0,AC$13),15-13*ORÇAMENTO!$AF$7)*OFFSET(ORÇAMENTO!$W$15,ROW(AC127)-ROW(AC$15),0),15-13*ORÇAMENTO!$AF$11)),0)</f>
        <v>0</v>
      </c>
      <c r="AD127" s="631">
        <f ca="1">IF(AND($D127="Serviço",AD$12&lt;&gt;0,$H127&gt;0,OR(AUTOEVENTO&lt;&gt;"manual",$M127&lt;&gt;1)),
IF(Import.TipoArredondamento&lt;&gt;"TransfereGOV",
ROUND(OFFSET($P127,0,AD$13),15-13*ORÇAMENTO!$AF$7)/$H127*OFFSET(ORÇAMENTO!$X$15,ROW(AD127)-ROW(AD$15),0),
ROUND(ROUND(OFFSET($P127,0,AD$13),15-13*ORÇAMENTO!$AF$7)*OFFSET(ORÇAMENTO!$W$15,ROW(AD127)-ROW(AD$15),0),15-13*ORÇAMENTO!$AF$11)),0)</f>
        <v>0</v>
      </c>
      <c r="AE127" s="631">
        <f ca="1">IF(AND($D127="Serviço",AE$12&lt;&gt;0,$H127&gt;0,OR(AUTOEVENTO&lt;&gt;"manual",$M127&lt;&gt;1)),
IF(Import.TipoArredondamento&lt;&gt;"TransfereGOV",
ROUND(OFFSET($P127,0,AE$13),15-13*ORÇAMENTO!$AF$7)/$H127*OFFSET(ORÇAMENTO!$X$15,ROW(AE127)-ROW(AE$15),0),
ROUND(ROUND(OFFSET($P127,0,AE$13),15-13*ORÇAMENTO!$AF$7)*OFFSET(ORÇAMENTO!$W$15,ROW(AE127)-ROW(AE$15),0),15-13*ORÇAMENTO!$AF$11)),0)</f>
        <v>0</v>
      </c>
      <c r="AF127" s="631">
        <f ca="1">IF(AND($D127="Serviço",AF$12&lt;&gt;0,$H127&gt;0,OR(AUTOEVENTO&lt;&gt;"manual",$M127&lt;&gt;1)),
IF(Import.TipoArredondamento&lt;&gt;"TransfereGOV",
ROUND(OFFSET($P127,0,AF$13),15-13*ORÇAMENTO!$AF$7)/$H127*OFFSET(ORÇAMENTO!$X$15,ROW(AF127)-ROW(AF$15),0),
ROUND(ROUND(OFFSET($P127,0,AF$13),15-13*ORÇAMENTO!$AF$7)*OFFSET(ORÇAMENTO!$W$15,ROW(AF127)-ROW(AF$15),0),15-13*ORÇAMENTO!$AF$11)),0)</f>
        <v>0</v>
      </c>
      <c r="AG127" s="631">
        <f ca="1">IF(AND($D127="Serviço",AG$12&lt;&gt;0,$H127&gt;0,OR(AUTOEVENTO&lt;&gt;"manual",$M127&lt;&gt;1)),
IF(Import.TipoArredondamento&lt;&gt;"TransfereGOV",
ROUND(OFFSET($P127,0,AG$13),15-13*ORÇAMENTO!$AF$7)/$H127*OFFSET(ORÇAMENTO!$X$15,ROW(AG127)-ROW(AG$15),0),
ROUND(ROUND(OFFSET($P127,0,AG$13),15-13*ORÇAMENTO!$AF$7)*OFFSET(ORÇAMENTO!$W$15,ROW(AG127)-ROW(AG$15),0),15-13*ORÇAMENTO!$AF$11)),0)</f>
        <v>0</v>
      </c>
      <c r="AH127" s="631">
        <f ca="1">IF(AND($D127="Serviço",AH$12&lt;&gt;0,$H127&gt;0,OR(AUTOEVENTO&lt;&gt;"manual",$M127&lt;&gt;1)),
IF(Import.TipoArredondamento&lt;&gt;"TransfereGOV",
ROUND(OFFSET($P127,0,AH$13),15-13*ORÇAMENTO!$AF$7)/$H127*OFFSET(ORÇAMENTO!$X$15,ROW(AH127)-ROW(AH$15),0),
ROUND(ROUND(OFFSET($P127,0,AH$13),15-13*ORÇAMENTO!$AF$7)*OFFSET(ORÇAMENTO!$W$15,ROW(AH127)-ROW(AH$15),0),15-13*ORÇAMENTO!$AF$11)),0)</f>
        <v>0</v>
      </c>
      <c r="AI127" s="631">
        <f ca="1">IF(AND($D127="Serviço",AI$12&lt;&gt;0,$H127&gt;0,OR(AUTOEVENTO&lt;&gt;"manual",$M127&lt;&gt;1)),
IF(Import.TipoArredondamento&lt;&gt;"TransfereGOV",
ROUND(OFFSET($P127,0,AI$13),15-13*ORÇAMENTO!$AF$7)/$H127*OFFSET(ORÇAMENTO!$X$15,ROW(AI127)-ROW(AI$15),0),
ROUND(ROUND(OFFSET($P127,0,AI$13),15-13*ORÇAMENTO!$AF$7)*OFFSET(ORÇAMENTO!$W$15,ROW(AI127)-ROW(AI$15),0),15-13*ORÇAMENTO!$AF$11)),0)</f>
        <v>0</v>
      </c>
      <c r="AJ127" s="631">
        <f ca="1">IF(AND($D127="Serviço",AJ$12&lt;&gt;0,$H127&gt;0,OR(AUTOEVENTO&lt;&gt;"manual",$M127&lt;&gt;1)),
IF(Import.TipoArredondamento&lt;&gt;"TransfereGOV",
ROUND(OFFSET($P127,0,AJ$13),15-13*ORÇAMENTO!$AF$7)/$H127*OFFSET(ORÇAMENTO!$X$15,ROW(AJ127)-ROW(AJ$15),0),
ROUND(ROUND(OFFSET($P127,0,AJ$13),15-13*ORÇAMENTO!$AF$7)*OFFSET(ORÇAMENTO!$W$15,ROW(AJ127)-ROW(AJ$15),0),15-13*ORÇAMENTO!$AF$11)),0)</f>
        <v>0</v>
      </c>
      <c r="AK127" s="632">
        <f ca="1">IF(AND($D127="Serviço",AK$12&lt;&gt;0,$H127&gt;0,OR(AUTOEVENTO&lt;&gt;"manual",$M127&lt;&gt;1)),
IF(Import.TipoArredondamento&lt;&gt;"TransfereGOV",
ROUND(OFFSET($P127,0,AK$13),15-13*ORÇAMENTO!$AF$7)/$H127*OFFSET(ORÇAMENTO!$X$15,ROW(AK127)-ROW(AK$15),0),
ROUND(ROUND(OFFSET($P127,0,AK$13),15-13*ORÇAMENTO!$AF$7)*OFFSET(ORÇAMENTO!$W$15,ROW(AK127)-ROW(AK$15),0),15-13*ORÇAMENTO!$AF$11)),0)</f>
        <v>0</v>
      </c>
      <c r="AM127" s="215">
        <f ca="1">IF($D127&lt;&gt;"Serviço",0,IF(AND(AUTOEVENTO="Manual",$M127=1),0,IF(OFFSET(CRONOPLE!$F$14,$M127,AM$13)="",10^12,OFFSET(CRONOPLE!$F$14,$M127,AM$13))))</f>
        <v>1000000000000</v>
      </c>
      <c r="AN127" s="215">
        <f ca="1">IF($D127&lt;&gt;"Serviço",0,IF(AND(AUTOEVENTO="Manual",$M127=1),0,IF(OFFSET(CRONOPLE!$F$14,$M127,AN$13)="",10^12,OFFSET(CRONOPLE!$F$14,$M127,AN$13))))</f>
        <v>1000000000000</v>
      </c>
      <c r="AO127" s="215">
        <f ca="1">IF($D127&lt;&gt;"Serviço",0,IF(AND(AUTOEVENTO="Manual",$M127=1),0,IF(OFFSET(CRONOPLE!$F$14,$M127,AO$13)="",10^12,OFFSET(CRONOPLE!$F$14,$M127,AO$13))))</f>
        <v>1000000000000</v>
      </c>
      <c r="AP127" s="215">
        <f ca="1">IF($D127&lt;&gt;"Serviço",0,IF(AND(AUTOEVENTO="Manual",$M127=1),0,IF(OFFSET(CRONOPLE!$F$14,$M127,AP$13)="",10^12,OFFSET(CRONOPLE!$F$14,$M127,AP$13))))</f>
        <v>1000000000000</v>
      </c>
      <c r="AQ127" s="215">
        <f ca="1">IF($D127&lt;&gt;"Serviço",0,IF(AND(AUTOEVENTO="Manual",$M127=1),0,IF(OFFSET(CRONOPLE!$F$14,$M127,AQ$13)="",10^12,OFFSET(CRONOPLE!$F$14,$M127,AQ$13))))</f>
        <v>1000000000000</v>
      </c>
      <c r="AR127" s="215">
        <f ca="1">IF($D127&lt;&gt;"Serviço",0,IF(AND(AUTOEVENTO="Manual",$M127=1),0,IF(OFFSET(CRONOPLE!$F$14,$M127,AR$13)="",10^12,OFFSET(CRONOPLE!$F$14,$M127,AR$13))))</f>
        <v>1000000000000</v>
      </c>
      <c r="AS127" s="215">
        <f ca="1">IF($D127&lt;&gt;"Serviço",0,IF(AND(AUTOEVENTO="Manual",$M127=1),0,IF(OFFSET(CRONOPLE!$F$14,$M127,AS$13)="",10^12,OFFSET(CRONOPLE!$F$14,$M127,AS$13))))</f>
        <v>1000000000000</v>
      </c>
      <c r="AT127" s="215">
        <f ca="1">IF($D127&lt;&gt;"Serviço",0,IF(AND(AUTOEVENTO="Manual",$M127=1),0,IF(OFFSET(CRONOPLE!$F$14,$M127,AT$13)="",10^12,OFFSET(CRONOPLE!$F$14,$M127,AT$13))))</f>
        <v>1000000000000</v>
      </c>
      <c r="AU127" s="215">
        <f ca="1">IF($D127&lt;&gt;"Serviço",0,IF(AND(AUTOEVENTO="Manual",$M127=1),0,IF(OFFSET(CRONOPLE!$F$14,$M127,AU$13)="",10^12,OFFSET(CRONOPLE!$F$14,$M127,AU$13))))</f>
        <v>1000000000000</v>
      </c>
      <c r="AV127" s="215">
        <f ca="1">IF($D127&lt;&gt;"Serviço",0,IF(AND(AUTOEVENTO="Manual",$M127=1),0,IF(OFFSET(CRONOPLE!$F$14,$M127,AV$13)="",10^12,OFFSET(CRONOPLE!$F$14,$M127,AV$13))))</f>
        <v>1000000000000</v>
      </c>
      <c r="AX127" s="216">
        <f ca="1">IF($D127&lt;&gt;"Serviço",0,IF(OR(AND(AUTOEVENTO="Manual",$M127=1),$M127&gt;(ROW(PLE.lastrow)-ROW(PLE.firstrow))),0,IF(OFFSET(PLE!$G$14,$M127,AX$13)="",10^12,OFFSET(PLE!$G$14,$M127,AX$13))))</f>
        <v>1000000000000</v>
      </c>
      <c r="AY127" s="216">
        <f ca="1">IF($D127&lt;&gt;"Serviço",0,IF(OR(AND(AUTOEVENTO="Manual",$M127=1),$M127&gt;(ROW(PLE.lastrow)-ROW(PLE.firstrow))),0,IF(OFFSET(PLE!$G$14,$M127,AY$13)="",10^12,OFFSET(PLE!$G$14,$M127,AY$13))))</f>
        <v>1000000000000</v>
      </c>
      <c r="AZ127" s="216">
        <f ca="1">IF($D127&lt;&gt;"Serviço",0,IF(OR(AND(AUTOEVENTO="Manual",$M127=1),$M127&gt;(ROW(PLE.lastrow)-ROW(PLE.firstrow))),0,IF(OFFSET(PLE!$G$14,$M127,AZ$13)="",10^12,OFFSET(PLE!$G$14,$M127,AZ$13))))</f>
        <v>1000000000000</v>
      </c>
      <c r="BA127" s="216">
        <f ca="1">IF($D127&lt;&gt;"Serviço",0,IF(OR(AND(AUTOEVENTO="Manual",$M127=1),$M127&gt;(ROW(PLE.lastrow)-ROW(PLE.firstrow))),0,IF(OFFSET(PLE!$G$14,$M127,BA$13)="",10^12,OFFSET(PLE!$G$14,$M127,BA$13))))</f>
        <v>1000000000000</v>
      </c>
      <c r="BB127" s="216">
        <f ca="1">IF($D127&lt;&gt;"Serviço",0,IF(OR(AND(AUTOEVENTO="Manual",$M127=1),$M127&gt;(ROW(PLE.lastrow)-ROW(PLE.firstrow))),0,IF(OFFSET(PLE!$G$14,$M127,BB$13)="",10^12,OFFSET(PLE!$G$14,$M127,BB$13))))</f>
        <v>1000000000000</v>
      </c>
      <c r="BC127" s="216">
        <f ca="1">IF($D127&lt;&gt;"Serviço",0,IF(OR(AND(AUTOEVENTO="Manual",$M127=1),$M127&gt;(ROW(PLE.lastrow)-ROW(PLE.firstrow))),0,IF(OFFSET(PLE!$G$14,$M127,BC$13)="",10^12,OFFSET(PLE!$G$14,$M127,BC$13))))</f>
        <v>1000000000000</v>
      </c>
      <c r="BD127" s="216">
        <f ca="1">IF($D127&lt;&gt;"Serviço",0,IF(OR(AND(AUTOEVENTO="Manual",$M127=1),$M127&gt;(ROW(PLE.lastrow)-ROW(PLE.firstrow))),0,IF(OFFSET(PLE!$G$14,$M127,BD$13)="",10^12,OFFSET(PLE!$G$14,$M127,BD$13))))</f>
        <v>1000000000000</v>
      </c>
      <c r="BE127" s="216">
        <f ca="1">IF($D127&lt;&gt;"Serviço",0,IF(OR(AND(AUTOEVENTO="Manual",$M127=1),$M127&gt;(ROW(PLE.lastrow)-ROW(PLE.firstrow))),0,IF(OFFSET(PLE!$G$14,$M127,BE$13)="",10^12,OFFSET(PLE!$G$14,$M127,BE$13))))</f>
        <v>1000000000000</v>
      </c>
      <c r="BF127" s="216">
        <f ca="1">IF($D127&lt;&gt;"Serviço",0,IF(OR(AND(AUTOEVENTO="Manual",$M127=1),$M127&gt;(ROW(PLE.lastrow)-ROW(PLE.firstrow))),0,IF(OFFSET(PLE!$G$14,$M127,BF$13)="",10^12,OFFSET(PLE!$G$14,$M127,BF$13))))</f>
        <v>1000000000000</v>
      </c>
      <c r="BG127" s="216">
        <f ca="1">IF($D127&lt;&gt;"Serviço",0,IF(OR(AND(AUTOEVENTO="Manual",$M127=1),$M127&gt;(ROW(PLE.lastrow)-ROW(PLE.firstrow))),0,IF(OFFSET(PLE!$G$14,$M127,BG$13)="",10^12,OFFSET(PLE!$G$14,$M127,BG$13))))</f>
        <v>1000000000000</v>
      </c>
    </row>
    <row r="128" spans="1:59" ht="51" x14ac:dyDescent="0.2">
      <c r="A128" s="9" t="str">
        <f ca="1">IF(AUTOEVENTO="Manual",IF(K128&lt;&gt;"",MIN(VALUE(LEFT(K128,FIND(".",K128)-1)),COUNTA(EVENTOS.Lista)),0),IF(OR($B128&gt;AUTOEVENTO,$B128="S",$B128=0),SUBSTITUTE(OFFSET($A128,-1,0),IF($D128="Serviço",".",""),""),ROW(A128)-ROW($A$15)&amp;"."))</f>
        <v>93</v>
      </c>
      <c r="B128" s="9" t="str">
        <f ca="1">OFFSET(ORÇAMENTO!C$15,ROW(B128)-ROW(B$15),0)</f>
        <v>S</v>
      </c>
      <c r="C128" s="9" t="str">
        <f ca="1">OFFSET(ORÇAMENTO!L$15,ROW(C128)-ROW(C$15),0)</f>
        <v/>
      </c>
      <c r="D128" s="145" t="str">
        <f ca="1">OFFSET(ORÇAMENTO!N$15,ROW(D128)-ROW(D$15),0)</f>
        <v>Serviço</v>
      </c>
      <c r="E128" s="205" t="str">
        <f ca="1">OFFSET(ORÇAMENTO!O$15,ROW(E128)-ROW(E$15),0)</f>
        <v>-</v>
      </c>
      <c r="F128" s="206" t="str">
        <f ca="1">OFFSET(ORÇAMENTO!R$15,ROW(F128)-ROW(F$15),0)</f>
        <v>QUADRO DE DISTRIBUIÇÃO DE ENERGIA EM CHAPA DE AÇO GALVANIZADO, DE EMBUTIR, COM BARRAMENTO TRIFÁSICO, PARA 40 DISJUNTORES DIN 100A - FORNECIMENTO E INSTALAÇÃO. AF_10/2020</v>
      </c>
      <c r="G128" s="207" t="str">
        <f ca="1">IF($D128&lt;&gt;"Serviço","",OFFSET(ORÇAMENTO!S$15,ROW(G128)-ROW(G$15),0))</f>
        <v>UN</v>
      </c>
      <c r="H128" s="151">
        <f ca="1">IF($D128&lt;&gt;"Serviço",0,IF(ACOMPANHAMENTO="BM",ROUND(OFFSET(ORÇAMENTO!AJ$15,ROW(H128)-ROW(H$15),0),15-13*ORÇAMENTO!$AF$7),SUMPRODUCT(($Q$12:$AA$12&lt;&gt;"")*ROUND($Q128:$AA128,15-13*ORÇAMENTO!$AF$7))))</f>
        <v>1</v>
      </c>
      <c r="I128" s="649"/>
      <c r="K128" s="208"/>
      <c r="L128" s="209" t="s">
        <v>255</v>
      </c>
      <c r="M128" s="210">
        <f ca="1">IF($D128&lt;&gt;"Serviço","",IF(AUTOEVENTO="manual",$A128,IF(ISERROR(MATCH($A128,$A$15:OFFSET($A128,-1,0),0)),MAX($M$15:OFFSET(M128,-1,0))+1,INDEX($M$15:OFFSET(M128,-1,0),MATCH($A128,$A$15:OFFSET($A128,-1,0),0)))))</f>
        <v>19</v>
      </c>
      <c r="N128" s="211" t="str">
        <f ca="1">IF($D128&lt;&gt;"Serviço","",IF(AUTOEVENTO="Manual",IF($A128=0,"&lt;-- defina o número do agrupador",OFFSET(EVENTOS!$D$14,$A128,0)),OFFSET($F$15,$A128,0)))</f>
        <v xml:space="preserve">ELÉTRICA </v>
      </c>
      <c r="O128" s="212"/>
      <c r="Q128" s="212"/>
      <c r="R128" s="213"/>
      <c r="S128" s="213"/>
      <c r="T128" s="213"/>
      <c r="U128" s="213"/>
      <c r="V128" s="213"/>
      <c r="W128" s="213"/>
      <c r="X128" s="213"/>
      <c r="Y128" s="213"/>
      <c r="Z128" s="214"/>
      <c r="AB128" s="630">
        <f ca="1">IF(AND($D128="Serviço",AB$12&lt;&gt;0,$H128&gt;0,OR(AUTOEVENTO&lt;&gt;"manual",$M128&lt;&gt;1)),
IF(Import.TipoArredondamento&lt;&gt;"TransfereGOV",
ROUND(OFFSET($P128,0,AB$13),15-13*ORÇAMENTO!$AF$7)/$H128*OFFSET(ORÇAMENTO!$X$15,ROW(AB128)-ROW(AB$15),0),
ROUND(ROUND(OFFSET($P128,0,AB$13),15-13*ORÇAMENTO!$AF$7)*OFFSET(ORÇAMENTO!$W$15,ROW(AB128)-ROW(AB$15),0),15-13*ORÇAMENTO!$AF$11)),0)</f>
        <v>0</v>
      </c>
      <c r="AC128" s="631">
        <f ca="1">IF(AND($D128="Serviço",AC$12&lt;&gt;0,$H128&gt;0,OR(AUTOEVENTO&lt;&gt;"manual",$M128&lt;&gt;1)),
IF(Import.TipoArredondamento&lt;&gt;"TransfereGOV",
ROUND(OFFSET($P128,0,AC$13),15-13*ORÇAMENTO!$AF$7)/$H128*OFFSET(ORÇAMENTO!$X$15,ROW(AC128)-ROW(AC$15),0),
ROUND(ROUND(OFFSET($P128,0,AC$13),15-13*ORÇAMENTO!$AF$7)*OFFSET(ORÇAMENTO!$W$15,ROW(AC128)-ROW(AC$15),0),15-13*ORÇAMENTO!$AF$11)),0)</f>
        <v>0</v>
      </c>
      <c r="AD128" s="631">
        <f ca="1">IF(AND($D128="Serviço",AD$12&lt;&gt;0,$H128&gt;0,OR(AUTOEVENTO&lt;&gt;"manual",$M128&lt;&gt;1)),
IF(Import.TipoArredondamento&lt;&gt;"TransfereGOV",
ROUND(OFFSET($P128,0,AD$13),15-13*ORÇAMENTO!$AF$7)/$H128*OFFSET(ORÇAMENTO!$X$15,ROW(AD128)-ROW(AD$15),0),
ROUND(ROUND(OFFSET($P128,0,AD$13),15-13*ORÇAMENTO!$AF$7)*OFFSET(ORÇAMENTO!$W$15,ROW(AD128)-ROW(AD$15),0),15-13*ORÇAMENTO!$AF$11)),0)</f>
        <v>0</v>
      </c>
      <c r="AE128" s="631">
        <f ca="1">IF(AND($D128="Serviço",AE$12&lt;&gt;0,$H128&gt;0,OR(AUTOEVENTO&lt;&gt;"manual",$M128&lt;&gt;1)),
IF(Import.TipoArredondamento&lt;&gt;"TransfereGOV",
ROUND(OFFSET($P128,0,AE$13),15-13*ORÇAMENTO!$AF$7)/$H128*OFFSET(ORÇAMENTO!$X$15,ROW(AE128)-ROW(AE$15),0),
ROUND(ROUND(OFFSET($P128,0,AE$13),15-13*ORÇAMENTO!$AF$7)*OFFSET(ORÇAMENTO!$W$15,ROW(AE128)-ROW(AE$15),0),15-13*ORÇAMENTO!$AF$11)),0)</f>
        <v>0</v>
      </c>
      <c r="AF128" s="631">
        <f ca="1">IF(AND($D128="Serviço",AF$12&lt;&gt;0,$H128&gt;0,OR(AUTOEVENTO&lt;&gt;"manual",$M128&lt;&gt;1)),
IF(Import.TipoArredondamento&lt;&gt;"TransfereGOV",
ROUND(OFFSET($P128,0,AF$13),15-13*ORÇAMENTO!$AF$7)/$H128*OFFSET(ORÇAMENTO!$X$15,ROW(AF128)-ROW(AF$15),0),
ROUND(ROUND(OFFSET($P128,0,AF$13),15-13*ORÇAMENTO!$AF$7)*OFFSET(ORÇAMENTO!$W$15,ROW(AF128)-ROW(AF$15),0),15-13*ORÇAMENTO!$AF$11)),0)</f>
        <v>0</v>
      </c>
      <c r="AG128" s="631">
        <f ca="1">IF(AND($D128="Serviço",AG$12&lt;&gt;0,$H128&gt;0,OR(AUTOEVENTO&lt;&gt;"manual",$M128&lt;&gt;1)),
IF(Import.TipoArredondamento&lt;&gt;"TransfereGOV",
ROUND(OFFSET($P128,0,AG$13),15-13*ORÇAMENTO!$AF$7)/$H128*OFFSET(ORÇAMENTO!$X$15,ROW(AG128)-ROW(AG$15),0),
ROUND(ROUND(OFFSET($P128,0,AG$13),15-13*ORÇAMENTO!$AF$7)*OFFSET(ORÇAMENTO!$W$15,ROW(AG128)-ROW(AG$15),0),15-13*ORÇAMENTO!$AF$11)),0)</f>
        <v>0</v>
      </c>
      <c r="AH128" s="631">
        <f ca="1">IF(AND($D128="Serviço",AH$12&lt;&gt;0,$H128&gt;0,OR(AUTOEVENTO&lt;&gt;"manual",$M128&lt;&gt;1)),
IF(Import.TipoArredondamento&lt;&gt;"TransfereGOV",
ROUND(OFFSET($P128,0,AH$13),15-13*ORÇAMENTO!$AF$7)/$H128*OFFSET(ORÇAMENTO!$X$15,ROW(AH128)-ROW(AH$15),0),
ROUND(ROUND(OFFSET($P128,0,AH$13),15-13*ORÇAMENTO!$AF$7)*OFFSET(ORÇAMENTO!$W$15,ROW(AH128)-ROW(AH$15),0),15-13*ORÇAMENTO!$AF$11)),0)</f>
        <v>0</v>
      </c>
      <c r="AI128" s="631">
        <f ca="1">IF(AND($D128="Serviço",AI$12&lt;&gt;0,$H128&gt;0,OR(AUTOEVENTO&lt;&gt;"manual",$M128&lt;&gt;1)),
IF(Import.TipoArredondamento&lt;&gt;"TransfereGOV",
ROUND(OFFSET($P128,0,AI$13),15-13*ORÇAMENTO!$AF$7)/$H128*OFFSET(ORÇAMENTO!$X$15,ROW(AI128)-ROW(AI$15),0),
ROUND(ROUND(OFFSET($P128,0,AI$13),15-13*ORÇAMENTO!$AF$7)*OFFSET(ORÇAMENTO!$W$15,ROW(AI128)-ROW(AI$15),0),15-13*ORÇAMENTO!$AF$11)),0)</f>
        <v>0</v>
      </c>
      <c r="AJ128" s="631">
        <f ca="1">IF(AND($D128="Serviço",AJ$12&lt;&gt;0,$H128&gt;0,OR(AUTOEVENTO&lt;&gt;"manual",$M128&lt;&gt;1)),
IF(Import.TipoArredondamento&lt;&gt;"TransfereGOV",
ROUND(OFFSET($P128,0,AJ$13),15-13*ORÇAMENTO!$AF$7)/$H128*OFFSET(ORÇAMENTO!$X$15,ROW(AJ128)-ROW(AJ$15),0),
ROUND(ROUND(OFFSET($P128,0,AJ$13),15-13*ORÇAMENTO!$AF$7)*OFFSET(ORÇAMENTO!$W$15,ROW(AJ128)-ROW(AJ$15),0),15-13*ORÇAMENTO!$AF$11)),0)</f>
        <v>0</v>
      </c>
      <c r="AK128" s="632">
        <f ca="1">IF(AND($D128="Serviço",AK$12&lt;&gt;0,$H128&gt;0,OR(AUTOEVENTO&lt;&gt;"manual",$M128&lt;&gt;1)),
IF(Import.TipoArredondamento&lt;&gt;"TransfereGOV",
ROUND(OFFSET($P128,0,AK$13),15-13*ORÇAMENTO!$AF$7)/$H128*OFFSET(ORÇAMENTO!$X$15,ROW(AK128)-ROW(AK$15),0),
ROUND(ROUND(OFFSET($P128,0,AK$13),15-13*ORÇAMENTO!$AF$7)*OFFSET(ORÇAMENTO!$W$15,ROW(AK128)-ROW(AK$15),0),15-13*ORÇAMENTO!$AF$11)),0)</f>
        <v>0</v>
      </c>
      <c r="AM128" s="215">
        <f ca="1">IF($D128&lt;&gt;"Serviço",0,IF(AND(AUTOEVENTO="Manual",$M128=1),0,IF(OFFSET(CRONOPLE!$F$14,$M128,AM$13)="",10^12,OFFSET(CRONOPLE!$F$14,$M128,AM$13))))</f>
        <v>1000000000000</v>
      </c>
      <c r="AN128" s="215">
        <f ca="1">IF($D128&lt;&gt;"Serviço",0,IF(AND(AUTOEVENTO="Manual",$M128=1),0,IF(OFFSET(CRONOPLE!$F$14,$M128,AN$13)="",10^12,OFFSET(CRONOPLE!$F$14,$M128,AN$13))))</f>
        <v>1000000000000</v>
      </c>
      <c r="AO128" s="215">
        <f ca="1">IF($D128&lt;&gt;"Serviço",0,IF(AND(AUTOEVENTO="Manual",$M128=1),0,IF(OFFSET(CRONOPLE!$F$14,$M128,AO$13)="",10^12,OFFSET(CRONOPLE!$F$14,$M128,AO$13))))</f>
        <v>1000000000000</v>
      </c>
      <c r="AP128" s="215">
        <f ca="1">IF($D128&lt;&gt;"Serviço",0,IF(AND(AUTOEVENTO="Manual",$M128=1),0,IF(OFFSET(CRONOPLE!$F$14,$M128,AP$13)="",10^12,OFFSET(CRONOPLE!$F$14,$M128,AP$13))))</f>
        <v>1000000000000</v>
      </c>
      <c r="AQ128" s="215">
        <f ca="1">IF($D128&lt;&gt;"Serviço",0,IF(AND(AUTOEVENTO="Manual",$M128=1),0,IF(OFFSET(CRONOPLE!$F$14,$M128,AQ$13)="",10^12,OFFSET(CRONOPLE!$F$14,$M128,AQ$13))))</f>
        <v>1000000000000</v>
      </c>
      <c r="AR128" s="215">
        <f ca="1">IF($D128&lt;&gt;"Serviço",0,IF(AND(AUTOEVENTO="Manual",$M128=1),0,IF(OFFSET(CRONOPLE!$F$14,$M128,AR$13)="",10^12,OFFSET(CRONOPLE!$F$14,$M128,AR$13))))</f>
        <v>1000000000000</v>
      </c>
      <c r="AS128" s="215">
        <f ca="1">IF($D128&lt;&gt;"Serviço",0,IF(AND(AUTOEVENTO="Manual",$M128=1),0,IF(OFFSET(CRONOPLE!$F$14,$M128,AS$13)="",10^12,OFFSET(CRONOPLE!$F$14,$M128,AS$13))))</f>
        <v>1000000000000</v>
      </c>
      <c r="AT128" s="215">
        <f ca="1">IF($D128&lt;&gt;"Serviço",0,IF(AND(AUTOEVENTO="Manual",$M128=1),0,IF(OFFSET(CRONOPLE!$F$14,$M128,AT$13)="",10^12,OFFSET(CRONOPLE!$F$14,$M128,AT$13))))</f>
        <v>1000000000000</v>
      </c>
      <c r="AU128" s="215">
        <f ca="1">IF($D128&lt;&gt;"Serviço",0,IF(AND(AUTOEVENTO="Manual",$M128=1),0,IF(OFFSET(CRONOPLE!$F$14,$M128,AU$13)="",10^12,OFFSET(CRONOPLE!$F$14,$M128,AU$13))))</f>
        <v>1000000000000</v>
      </c>
      <c r="AV128" s="215">
        <f ca="1">IF($D128&lt;&gt;"Serviço",0,IF(AND(AUTOEVENTO="Manual",$M128=1),0,IF(OFFSET(CRONOPLE!$F$14,$M128,AV$13)="",10^12,OFFSET(CRONOPLE!$F$14,$M128,AV$13))))</f>
        <v>1000000000000</v>
      </c>
      <c r="AX128" s="216">
        <f ca="1">IF($D128&lt;&gt;"Serviço",0,IF(OR(AND(AUTOEVENTO="Manual",$M128=1),$M128&gt;(ROW(PLE.lastrow)-ROW(PLE.firstrow))),0,IF(OFFSET(PLE!$G$14,$M128,AX$13)="",10^12,OFFSET(PLE!$G$14,$M128,AX$13))))</f>
        <v>1000000000000</v>
      </c>
      <c r="AY128" s="216">
        <f ca="1">IF($D128&lt;&gt;"Serviço",0,IF(OR(AND(AUTOEVENTO="Manual",$M128=1),$M128&gt;(ROW(PLE.lastrow)-ROW(PLE.firstrow))),0,IF(OFFSET(PLE!$G$14,$M128,AY$13)="",10^12,OFFSET(PLE!$G$14,$M128,AY$13))))</f>
        <v>1000000000000</v>
      </c>
      <c r="AZ128" s="216">
        <f ca="1">IF($D128&lt;&gt;"Serviço",0,IF(OR(AND(AUTOEVENTO="Manual",$M128=1),$M128&gt;(ROW(PLE.lastrow)-ROW(PLE.firstrow))),0,IF(OFFSET(PLE!$G$14,$M128,AZ$13)="",10^12,OFFSET(PLE!$G$14,$M128,AZ$13))))</f>
        <v>1000000000000</v>
      </c>
      <c r="BA128" s="216">
        <f ca="1">IF($D128&lt;&gt;"Serviço",0,IF(OR(AND(AUTOEVENTO="Manual",$M128=1),$M128&gt;(ROW(PLE.lastrow)-ROW(PLE.firstrow))),0,IF(OFFSET(PLE!$G$14,$M128,BA$13)="",10^12,OFFSET(PLE!$G$14,$M128,BA$13))))</f>
        <v>1000000000000</v>
      </c>
      <c r="BB128" s="216">
        <f ca="1">IF($D128&lt;&gt;"Serviço",0,IF(OR(AND(AUTOEVENTO="Manual",$M128=1),$M128&gt;(ROW(PLE.lastrow)-ROW(PLE.firstrow))),0,IF(OFFSET(PLE!$G$14,$M128,BB$13)="",10^12,OFFSET(PLE!$G$14,$M128,BB$13))))</f>
        <v>1000000000000</v>
      </c>
      <c r="BC128" s="216">
        <f ca="1">IF($D128&lt;&gt;"Serviço",0,IF(OR(AND(AUTOEVENTO="Manual",$M128=1),$M128&gt;(ROW(PLE.lastrow)-ROW(PLE.firstrow))),0,IF(OFFSET(PLE!$G$14,$M128,BC$13)="",10^12,OFFSET(PLE!$G$14,$M128,BC$13))))</f>
        <v>1000000000000</v>
      </c>
      <c r="BD128" s="216">
        <f ca="1">IF($D128&lt;&gt;"Serviço",0,IF(OR(AND(AUTOEVENTO="Manual",$M128=1),$M128&gt;(ROW(PLE.lastrow)-ROW(PLE.firstrow))),0,IF(OFFSET(PLE!$G$14,$M128,BD$13)="",10^12,OFFSET(PLE!$G$14,$M128,BD$13))))</f>
        <v>1000000000000</v>
      </c>
      <c r="BE128" s="216">
        <f ca="1">IF($D128&lt;&gt;"Serviço",0,IF(OR(AND(AUTOEVENTO="Manual",$M128=1),$M128&gt;(ROW(PLE.lastrow)-ROW(PLE.firstrow))),0,IF(OFFSET(PLE!$G$14,$M128,BE$13)="",10^12,OFFSET(PLE!$G$14,$M128,BE$13))))</f>
        <v>1000000000000</v>
      </c>
      <c r="BF128" s="216">
        <f ca="1">IF($D128&lt;&gt;"Serviço",0,IF(OR(AND(AUTOEVENTO="Manual",$M128=1),$M128&gt;(ROW(PLE.lastrow)-ROW(PLE.firstrow))),0,IF(OFFSET(PLE!$G$14,$M128,BF$13)="",10^12,OFFSET(PLE!$G$14,$M128,BF$13))))</f>
        <v>1000000000000</v>
      </c>
      <c r="BG128" s="216">
        <f ca="1">IF($D128&lt;&gt;"Serviço",0,IF(OR(AND(AUTOEVENTO="Manual",$M128=1),$M128&gt;(ROW(PLE.lastrow)-ROW(PLE.firstrow))),0,IF(OFFSET(PLE!$G$14,$M128,BG$13)="",10^12,OFFSET(PLE!$G$14,$M128,BG$13))))</f>
        <v>1000000000000</v>
      </c>
    </row>
    <row r="129" spans="1:59" ht="38.25" x14ac:dyDescent="0.2">
      <c r="A129" s="9" t="str">
        <f t="shared" ca="1" si="10"/>
        <v>93</v>
      </c>
      <c r="B129" s="9" t="str">
        <f ca="1">OFFSET(ORÇAMENTO!C$15,ROW(B129)-ROW(B$15),0)</f>
        <v>S</v>
      </c>
      <c r="C129" s="9" t="str">
        <f ca="1">OFFSET(ORÇAMENTO!L$15,ROW(C129)-ROW(C$15),0)</f>
        <v/>
      </c>
      <c r="D129" s="145" t="str">
        <f ca="1">OFFSET(ORÇAMENTO!N$15,ROW(D129)-ROW(D$15),0)</f>
        <v>Serviço</v>
      </c>
      <c r="E129" s="205" t="str">
        <f ca="1">OFFSET(ORÇAMENTO!O$15,ROW(E129)-ROW(E$15),0)</f>
        <v>-</v>
      </c>
      <c r="F129" s="206" t="str">
        <f ca="1">OFFSET(ORÇAMENTO!R$15,ROW(F129)-ROW(F$15),0)</f>
        <v>CAIXA ENTERRADA PARA INSTALAÇÕES TELEFÔNICAS TIPO R1, EM ALVENARIA COM BLOCOS DE CONCRETO, DIMENSÕES INTERNAS: 0,35X0,60X0,60 M, EXCLUINDO TAMPÃO. AF_12/2020</v>
      </c>
      <c r="G129" s="207" t="str">
        <f ca="1">IF($D129&lt;&gt;"Serviço","",OFFSET(ORÇAMENTO!S$15,ROW(G129)-ROW(G$15),0))</f>
        <v>UN</v>
      </c>
      <c r="H129" s="151">
        <f ca="1">IF($D129&lt;&gt;"Serviço",0,IF(ACOMPANHAMENTO="BM",ROUND(OFFSET(ORÇAMENTO!AJ$15,ROW(H129)-ROW(H$15),0),15-13*ORÇAMENTO!$AF$7),SUMPRODUCT(($Q$12:$AA$12&lt;&gt;"")*ROUND($Q129:$AA129,15-13*ORÇAMENTO!$AF$7))))</f>
        <v>1</v>
      </c>
      <c r="I129" s="649"/>
      <c r="K129" s="208"/>
      <c r="L129" s="209" t="s">
        <v>255</v>
      </c>
      <c r="M129" s="210">
        <f ca="1">IF($D129&lt;&gt;"Serviço","",IF(AUTOEVENTO="manual",$A129,IF(ISERROR(MATCH($A129,$A$15:OFFSET($A129,-1,0),0)),MAX($M$15:OFFSET(M129,-1,0))+1,INDEX($M$15:OFFSET(M129,-1,0),MATCH($A129,$A$15:OFFSET($A129,-1,0),0)))))</f>
        <v>19</v>
      </c>
      <c r="N129" s="211" t="str">
        <f ca="1">IF($D129&lt;&gt;"Serviço","",IF(AUTOEVENTO="Manual",IF($A129=0,"&lt;-- defina o número do agrupador",OFFSET(EVENTOS!$D$14,$A129,0)),OFFSET($F$15,$A129,0)))</f>
        <v xml:space="preserve">ELÉTRICA </v>
      </c>
      <c r="O129" s="212"/>
      <c r="Q129" s="212"/>
      <c r="R129" s="213"/>
      <c r="S129" s="213"/>
      <c r="T129" s="213"/>
      <c r="U129" s="213"/>
      <c r="V129" s="213"/>
      <c r="W129" s="213"/>
      <c r="X129" s="213"/>
      <c r="Y129" s="213"/>
      <c r="Z129" s="214"/>
      <c r="AB129" s="630">
        <f ca="1">IF(AND($D129="Serviço",AB$12&lt;&gt;0,$H129&gt;0,OR(AUTOEVENTO&lt;&gt;"manual",$M129&lt;&gt;1)),
IF(Import.TipoArredondamento&lt;&gt;"TransfereGOV",
ROUND(OFFSET($P129,0,AB$13),15-13*ORÇAMENTO!$AF$7)/$H129*OFFSET(ORÇAMENTO!$X$15,ROW(AB129)-ROW(AB$15),0),
ROUND(ROUND(OFFSET($P129,0,AB$13),15-13*ORÇAMENTO!$AF$7)*OFFSET(ORÇAMENTO!$W$15,ROW(AB129)-ROW(AB$15),0),15-13*ORÇAMENTO!$AF$11)),0)</f>
        <v>0</v>
      </c>
      <c r="AC129" s="631">
        <f ca="1">IF(AND($D129="Serviço",AC$12&lt;&gt;0,$H129&gt;0,OR(AUTOEVENTO&lt;&gt;"manual",$M129&lt;&gt;1)),
IF(Import.TipoArredondamento&lt;&gt;"TransfereGOV",
ROUND(OFFSET($P129,0,AC$13),15-13*ORÇAMENTO!$AF$7)/$H129*OFFSET(ORÇAMENTO!$X$15,ROW(AC129)-ROW(AC$15),0),
ROUND(ROUND(OFFSET($P129,0,AC$13),15-13*ORÇAMENTO!$AF$7)*OFFSET(ORÇAMENTO!$W$15,ROW(AC129)-ROW(AC$15),0),15-13*ORÇAMENTO!$AF$11)),0)</f>
        <v>0</v>
      </c>
      <c r="AD129" s="631">
        <f ca="1">IF(AND($D129="Serviço",AD$12&lt;&gt;0,$H129&gt;0,OR(AUTOEVENTO&lt;&gt;"manual",$M129&lt;&gt;1)),
IF(Import.TipoArredondamento&lt;&gt;"TransfereGOV",
ROUND(OFFSET($P129,0,AD$13),15-13*ORÇAMENTO!$AF$7)/$H129*OFFSET(ORÇAMENTO!$X$15,ROW(AD129)-ROW(AD$15),0),
ROUND(ROUND(OFFSET($P129,0,AD$13),15-13*ORÇAMENTO!$AF$7)*OFFSET(ORÇAMENTO!$W$15,ROW(AD129)-ROW(AD$15),0),15-13*ORÇAMENTO!$AF$11)),0)</f>
        <v>0</v>
      </c>
      <c r="AE129" s="631">
        <f ca="1">IF(AND($D129="Serviço",AE$12&lt;&gt;0,$H129&gt;0,OR(AUTOEVENTO&lt;&gt;"manual",$M129&lt;&gt;1)),
IF(Import.TipoArredondamento&lt;&gt;"TransfereGOV",
ROUND(OFFSET($P129,0,AE$13),15-13*ORÇAMENTO!$AF$7)/$H129*OFFSET(ORÇAMENTO!$X$15,ROW(AE129)-ROW(AE$15),0),
ROUND(ROUND(OFFSET($P129,0,AE$13),15-13*ORÇAMENTO!$AF$7)*OFFSET(ORÇAMENTO!$W$15,ROW(AE129)-ROW(AE$15),0),15-13*ORÇAMENTO!$AF$11)),0)</f>
        <v>0</v>
      </c>
      <c r="AF129" s="631">
        <f ca="1">IF(AND($D129="Serviço",AF$12&lt;&gt;0,$H129&gt;0,OR(AUTOEVENTO&lt;&gt;"manual",$M129&lt;&gt;1)),
IF(Import.TipoArredondamento&lt;&gt;"TransfereGOV",
ROUND(OFFSET($P129,0,AF$13),15-13*ORÇAMENTO!$AF$7)/$H129*OFFSET(ORÇAMENTO!$X$15,ROW(AF129)-ROW(AF$15),0),
ROUND(ROUND(OFFSET($P129,0,AF$13),15-13*ORÇAMENTO!$AF$7)*OFFSET(ORÇAMENTO!$W$15,ROW(AF129)-ROW(AF$15),0),15-13*ORÇAMENTO!$AF$11)),0)</f>
        <v>0</v>
      </c>
      <c r="AG129" s="631">
        <f ca="1">IF(AND($D129="Serviço",AG$12&lt;&gt;0,$H129&gt;0,OR(AUTOEVENTO&lt;&gt;"manual",$M129&lt;&gt;1)),
IF(Import.TipoArredondamento&lt;&gt;"TransfereGOV",
ROUND(OFFSET($P129,0,AG$13),15-13*ORÇAMENTO!$AF$7)/$H129*OFFSET(ORÇAMENTO!$X$15,ROW(AG129)-ROW(AG$15),0),
ROUND(ROUND(OFFSET($P129,0,AG$13),15-13*ORÇAMENTO!$AF$7)*OFFSET(ORÇAMENTO!$W$15,ROW(AG129)-ROW(AG$15),0),15-13*ORÇAMENTO!$AF$11)),0)</f>
        <v>0</v>
      </c>
      <c r="AH129" s="631">
        <f ca="1">IF(AND($D129="Serviço",AH$12&lt;&gt;0,$H129&gt;0,OR(AUTOEVENTO&lt;&gt;"manual",$M129&lt;&gt;1)),
IF(Import.TipoArredondamento&lt;&gt;"TransfereGOV",
ROUND(OFFSET($P129,0,AH$13),15-13*ORÇAMENTO!$AF$7)/$H129*OFFSET(ORÇAMENTO!$X$15,ROW(AH129)-ROW(AH$15),0),
ROUND(ROUND(OFFSET($P129,0,AH$13),15-13*ORÇAMENTO!$AF$7)*OFFSET(ORÇAMENTO!$W$15,ROW(AH129)-ROW(AH$15),0),15-13*ORÇAMENTO!$AF$11)),0)</f>
        <v>0</v>
      </c>
      <c r="AI129" s="631">
        <f ca="1">IF(AND($D129="Serviço",AI$12&lt;&gt;0,$H129&gt;0,OR(AUTOEVENTO&lt;&gt;"manual",$M129&lt;&gt;1)),
IF(Import.TipoArredondamento&lt;&gt;"TransfereGOV",
ROUND(OFFSET($P129,0,AI$13),15-13*ORÇAMENTO!$AF$7)/$H129*OFFSET(ORÇAMENTO!$X$15,ROW(AI129)-ROW(AI$15),0),
ROUND(ROUND(OFFSET($P129,0,AI$13),15-13*ORÇAMENTO!$AF$7)*OFFSET(ORÇAMENTO!$W$15,ROW(AI129)-ROW(AI$15),0),15-13*ORÇAMENTO!$AF$11)),0)</f>
        <v>0</v>
      </c>
      <c r="AJ129" s="631">
        <f ca="1">IF(AND($D129="Serviço",AJ$12&lt;&gt;0,$H129&gt;0,OR(AUTOEVENTO&lt;&gt;"manual",$M129&lt;&gt;1)),
IF(Import.TipoArredondamento&lt;&gt;"TransfereGOV",
ROUND(OFFSET($P129,0,AJ$13),15-13*ORÇAMENTO!$AF$7)/$H129*OFFSET(ORÇAMENTO!$X$15,ROW(AJ129)-ROW(AJ$15),0),
ROUND(ROUND(OFFSET($P129,0,AJ$13),15-13*ORÇAMENTO!$AF$7)*OFFSET(ORÇAMENTO!$W$15,ROW(AJ129)-ROW(AJ$15),0),15-13*ORÇAMENTO!$AF$11)),0)</f>
        <v>0</v>
      </c>
      <c r="AK129" s="632">
        <f ca="1">IF(AND($D129="Serviço",AK$12&lt;&gt;0,$H129&gt;0,OR(AUTOEVENTO&lt;&gt;"manual",$M129&lt;&gt;1)),
IF(Import.TipoArredondamento&lt;&gt;"TransfereGOV",
ROUND(OFFSET($P129,0,AK$13),15-13*ORÇAMENTO!$AF$7)/$H129*OFFSET(ORÇAMENTO!$X$15,ROW(AK129)-ROW(AK$15),0),
ROUND(ROUND(OFFSET($P129,0,AK$13),15-13*ORÇAMENTO!$AF$7)*OFFSET(ORÇAMENTO!$W$15,ROW(AK129)-ROW(AK$15),0),15-13*ORÇAMENTO!$AF$11)),0)</f>
        <v>0</v>
      </c>
      <c r="AM129" s="215">
        <f ca="1">IF($D129&lt;&gt;"Serviço",0,IF(AND(AUTOEVENTO="Manual",$M129=1),0,IF(OFFSET(CRONOPLE!$F$14,$M129,AM$13)="",10^12,OFFSET(CRONOPLE!$F$14,$M129,AM$13))))</f>
        <v>1000000000000</v>
      </c>
      <c r="AN129" s="215">
        <f ca="1">IF($D129&lt;&gt;"Serviço",0,IF(AND(AUTOEVENTO="Manual",$M129=1),0,IF(OFFSET(CRONOPLE!$F$14,$M129,AN$13)="",10^12,OFFSET(CRONOPLE!$F$14,$M129,AN$13))))</f>
        <v>1000000000000</v>
      </c>
      <c r="AO129" s="215">
        <f ca="1">IF($D129&lt;&gt;"Serviço",0,IF(AND(AUTOEVENTO="Manual",$M129=1),0,IF(OFFSET(CRONOPLE!$F$14,$M129,AO$13)="",10^12,OFFSET(CRONOPLE!$F$14,$M129,AO$13))))</f>
        <v>1000000000000</v>
      </c>
      <c r="AP129" s="215">
        <f ca="1">IF($D129&lt;&gt;"Serviço",0,IF(AND(AUTOEVENTO="Manual",$M129=1),0,IF(OFFSET(CRONOPLE!$F$14,$M129,AP$13)="",10^12,OFFSET(CRONOPLE!$F$14,$M129,AP$13))))</f>
        <v>1000000000000</v>
      </c>
      <c r="AQ129" s="215">
        <f ca="1">IF($D129&lt;&gt;"Serviço",0,IF(AND(AUTOEVENTO="Manual",$M129=1),0,IF(OFFSET(CRONOPLE!$F$14,$M129,AQ$13)="",10^12,OFFSET(CRONOPLE!$F$14,$M129,AQ$13))))</f>
        <v>1000000000000</v>
      </c>
      <c r="AR129" s="215">
        <f ca="1">IF($D129&lt;&gt;"Serviço",0,IF(AND(AUTOEVENTO="Manual",$M129=1),0,IF(OFFSET(CRONOPLE!$F$14,$M129,AR$13)="",10^12,OFFSET(CRONOPLE!$F$14,$M129,AR$13))))</f>
        <v>1000000000000</v>
      </c>
      <c r="AS129" s="215">
        <f ca="1">IF($D129&lt;&gt;"Serviço",0,IF(AND(AUTOEVENTO="Manual",$M129=1),0,IF(OFFSET(CRONOPLE!$F$14,$M129,AS$13)="",10^12,OFFSET(CRONOPLE!$F$14,$M129,AS$13))))</f>
        <v>1000000000000</v>
      </c>
      <c r="AT129" s="215">
        <f ca="1">IF($D129&lt;&gt;"Serviço",0,IF(AND(AUTOEVENTO="Manual",$M129=1),0,IF(OFFSET(CRONOPLE!$F$14,$M129,AT$13)="",10^12,OFFSET(CRONOPLE!$F$14,$M129,AT$13))))</f>
        <v>1000000000000</v>
      </c>
      <c r="AU129" s="215">
        <f ca="1">IF($D129&lt;&gt;"Serviço",0,IF(AND(AUTOEVENTO="Manual",$M129=1),0,IF(OFFSET(CRONOPLE!$F$14,$M129,AU$13)="",10^12,OFFSET(CRONOPLE!$F$14,$M129,AU$13))))</f>
        <v>1000000000000</v>
      </c>
      <c r="AV129" s="215">
        <f ca="1">IF($D129&lt;&gt;"Serviço",0,IF(AND(AUTOEVENTO="Manual",$M129=1),0,IF(OFFSET(CRONOPLE!$F$14,$M129,AV$13)="",10^12,OFFSET(CRONOPLE!$F$14,$M129,AV$13))))</f>
        <v>1000000000000</v>
      </c>
      <c r="AX129" s="216">
        <f ca="1">IF($D129&lt;&gt;"Serviço",0,IF(OR(AND(AUTOEVENTO="Manual",$M129=1),$M129&gt;(ROW(PLE.lastrow)-ROW(PLE.firstrow))),0,IF(OFFSET(PLE!$G$14,$M129,AX$13)="",10^12,OFFSET(PLE!$G$14,$M129,AX$13))))</f>
        <v>1000000000000</v>
      </c>
      <c r="AY129" s="216">
        <f ca="1">IF($D129&lt;&gt;"Serviço",0,IF(OR(AND(AUTOEVENTO="Manual",$M129=1),$M129&gt;(ROW(PLE.lastrow)-ROW(PLE.firstrow))),0,IF(OFFSET(PLE!$G$14,$M129,AY$13)="",10^12,OFFSET(PLE!$G$14,$M129,AY$13))))</f>
        <v>1000000000000</v>
      </c>
      <c r="AZ129" s="216">
        <f ca="1">IF($D129&lt;&gt;"Serviço",0,IF(OR(AND(AUTOEVENTO="Manual",$M129=1),$M129&gt;(ROW(PLE.lastrow)-ROW(PLE.firstrow))),0,IF(OFFSET(PLE!$G$14,$M129,AZ$13)="",10^12,OFFSET(PLE!$G$14,$M129,AZ$13))))</f>
        <v>1000000000000</v>
      </c>
      <c r="BA129" s="216">
        <f ca="1">IF($D129&lt;&gt;"Serviço",0,IF(OR(AND(AUTOEVENTO="Manual",$M129=1),$M129&gt;(ROW(PLE.lastrow)-ROW(PLE.firstrow))),0,IF(OFFSET(PLE!$G$14,$M129,BA$13)="",10^12,OFFSET(PLE!$G$14,$M129,BA$13))))</f>
        <v>1000000000000</v>
      </c>
      <c r="BB129" s="216">
        <f ca="1">IF($D129&lt;&gt;"Serviço",0,IF(OR(AND(AUTOEVENTO="Manual",$M129=1),$M129&gt;(ROW(PLE.lastrow)-ROW(PLE.firstrow))),0,IF(OFFSET(PLE!$G$14,$M129,BB$13)="",10^12,OFFSET(PLE!$G$14,$M129,BB$13))))</f>
        <v>1000000000000</v>
      </c>
      <c r="BC129" s="216">
        <f ca="1">IF($D129&lt;&gt;"Serviço",0,IF(OR(AND(AUTOEVENTO="Manual",$M129=1),$M129&gt;(ROW(PLE.lastrow)-ROW(PLE.firstrow))),0,IF(OFFSET(PLE!$G$14,$M129,BC$13)="",10^12,OFFSET(PLE!$G$14,$M129,BC$13))))</f>
        <v>1000000000000</v>
      </c>
      <c r="BD129" s="216">
        <f ca="1">IF($D129&lt;&gt;"Serviço",0,IF(OR(AND(AUTOEVENTO="Manual",$M129=1),$M129&gt;(ROW(PLE.lastrow)-ROW(PLE.firstrow))),0,IF(OFFSET(PLE!$G$14,$M129,BD$13)="",10^12,OFFSET(PLE!$G$14,$M129,BD$13))))</f>
        <v>1000000000000</v>
      </c>
      <c r="BE129" s="216">
        <f ca="1">IF($D129&lt;&gt;"Serviço",0,IF(OR(AND(AUTOEVENTO="Manual",$M129=1),$M129&gt;(ROW(PLE.lastrow)-ROW(PLE.firstrow))),0,IF(OFFSET(PLE!$G$14,$M129,BE$13)="",10^12,OFFSET(PLE!$G$14,$M129,BE$13))))</f>
        <v>1000000000000</v>
      </c>
      <c r="BF129" s="216">
        <f ca="1">IF($D129&lt;&gt;"Serviço",0,IF(OR(AND(AUTOEVENTO="Manual",$M129=1),$M129&gt;(ROW(PLE.lastrow)-ROW(PLE.firstrow))),0,IF(OFFSET(PLE!$G$14,$M129,BF$13)="",10^12,OFFSET(PLE!$G$14,$M129,BF$13))))</f>
        <v>1000000000000</v>
      </c>
      <c r="BG129" s="216">
        <f ca="1">IF($D129&lt;&gt;"Serviço",0,IF(OR(AND(AUTOEVENTO="Manual",$M129=1),$M129&gt;(ROW(PLE.lastrow)-ROW(PLE.firstrow))),0,IF(OFFSET(PLE!$G$14,$M129,BG$13)="",10^12,OFFSET(PLE!$G$14,$M129,BG$13))))</f>
        <v>1000000000000</v>
      </c>
    </row>
    <row r="130" spans="1:59" ht="25.5" x14ac:dyDescent="0.2">
      <c r="A130" s="9" t="str">
        <f t="shared" ca="1" si="10"/>
        <v>93</v>
      </c>
      <c r="B130" s="9" t="str">
        <f ca="1">OFFSET(ORÇAMENTO!C$15,ROW(B130)-ROW(B$15),0)</f>
        <v>S</v>
      </c>
      <c r="C130" s="9" t="str">
        <f ca="1">OFFSET(ORÇAMENTO!L$15,ROW(C130)-ROW(C$15),0)</f>
        <v/>
      </c>
      <c r="D130" s="145" t="str">
        <f ca="1">OFFSET(ORÇAMENTO!N$15,ROW(D130)-ROW(D$15),0)</f>
        <v>Serviço</v>
      </c>
      <c r="E130" s="205" t="str">
        <f ca="1">OFFSET(ORÇAMENTO!O$15,ROW(E130)-ROW(E$15),0)</f>
        <v>-</v>
      </c>
      <c r="F130" s="206" t="str">
        <f ca="1">OFFSET(ORÇAMENTO!R$15,ROW(F130)-ROW(F$15),0)</f>
        <v>CAIXA OCTOGONAL 4" X 4", PVC, INSTALADA EM LAJE - FORNECIMENTO E INSTALAÇÃO. AF_03/2023</v>
      </c>
      <c r="G130" s="207" t="str">
        <f ca="1">IF($D130&lt;&gt;"Serviço","",OFFSET(ORÇAMENTO!S$15,ROW(G130)-ROW(G$15),0))</f>
        <v>UN</v>
      </c>
      <c r="H130" s="151">
        <f ca="1">IF($D130&lt;&gt;"Serviço",0,IF(ACOMPANHAMENTO="BM",ROUND(OFFSET(ORÇAMENTO!AJ$15,ROW(H130)-ROW(H$15),0),15-13*ORÇAMENTO!$AF$7),SUMPRODUCT(($Q$12:$AA$12&lt;&gt;"")*ROUND($Q130:$AA130,15-13*ORÇAMENTO!$AF$7))))</f>
        <v>57</v>
      </c>
      <c r="I130" s="649"/>
      <c r="K130" s="208"/>
      <c r="L130" s="209" t="s">
        <v>255</v>
      </c>
      <c r="M130" s="210">
        <f ca="1">IF($D130&lt;&gt;"Serviço","",IF(AUTOEVENTO="manual",$A130,IF(ISERROR(MATCH($A130,$A$15:OFFSET($A130,-1,0),0)),MAX($M$15:OFFSET(M130,-1,0))+1,INDEX($M$15:OFFSET(M130,-1,0),MATCH($A130,$A$15:OFFSET($A130,-1,0),0)))))</f>
        <v>19</v>
      </c>
      <c r="N130" s="211" t="str">
        <f ca="1">IF($D130&lt;&gt;"Serviço","",IF(AUTOEVENTO="Manual",IF($A130=0,"&lt;-- defina o número do agrupador",OFFSET(EVENTOS!$D$14,$A130,0)),OFFSET($F$15,$A130,0)))</f>
        <v xml:space="preserve">ELÉTRICA </v>
      </c>
      <c r="O130" s="212"/>
      <c r="Q130" s="212"/>
      <c r="R130" s="213"/>
      <c r="S130" s="213"/>
      <c r="T130" s="213"/>
      <c r="U130" s="213"/>
      <c r="V130" s="213"/>
      <c r="W130" s="213"/>
      <c r="X130" s="213"/>
      <c r="Y130" s="213"/>
      <c r="Z130" s="214"/>
      <c r="AB130" s="630">
        <f ca="1">IF(AND($D130="Serviço",AB$12&lt;&gt;0,$H130&gt;0,OR(AUTOEVENTO&lt;&gt;"manual",$M130&lt;&gt;1)),
IF(Import.TipoArredondamento&lt;&gt;"TransfereGOV",
ROUND(OFFSET($P130,0,AB$13),15-13*ORÇAMENTO!$AF$7)/$H130*OFFSET(ORÇAMENTO!$X$15,ROW(AB130)-ROW(AB$15),0),
ROUND(ROUND(OFFSET($P130,0,AB$13),15-13*ORÇAMENTO!$AF$7)*OFFSET(ORÇAMENTO!$W$15,ROW(AB130)-ROW(AB$15),0),15-13*ORÇAMENTO!$AF$11)),0)</f>
        <v>0</v>
      </c>
      <c r="AC130" s="631">
        <f ca="1">IF(AND($D130="Serviço",AC$12&lt;&gt;0,$H130&gt;0,OR(AUTOEVENTO&lt;&gt;"manual",$M130&lt;&gt;1)),
IF(Import.TipoArredondamento&lt;&gt;"TransfereGOV",
ROUND(OFFSET($P130,0,AC$13),15-13*ORÇAMENTO!$AF$7)/$H130*OFFSET(ORÇAMENTO!$X$15,ROW(AC130)-ROW(AC$15),0),
ROUND(ROUND(OFFSET($P130,0,AC$13),15-13*ORÇAMENTO!$AF$7)*OFFSET(ORÇAMENTO!$W$15,ROW(AC130)-ROW(AC$15),0),15-13*ORÇAMENTO!$AF$11)),0)</f>
        <v>0</v>
      </c>
      <c r="AD130" s="631">
        <f ca="1">IF(AND($D130="Serviço",AD$12&lt;&gt;0,$H130&gt;0,OR(AUTOEVENTO&lt;&gt;"manual",$M130&lt;&gt;1)),
IF(Import.TipoArredondamento&lt;&gt;"TransfereGOV",
ROUND(OFFSET($P130,0,AD$13),15-13*ORÇAMENTO!$AF$7)/$H130*OFFSET(ORÇAMENTO!$X$15,ROW(AD130)-ROW(AD$15),0),
ROUND(ROUND(OFFSET($P130,0,AD$13),15-13*ORÇAMENTO!$AF$7)*OFFSET(ORÇAMENTO!$W$15,ROW(AD130)-ROW(AD$15),0),15-13*ORÇAMENTO!$AF$11)),0)</f>
        <v>0</v>
      </c>
      <c r="AE130" s="631">
        <f ca="1">IF(AND($D130="Serviço",AE$12&lt;&gt;0,$H130&gt;0,OR(AUTOEVENTO&lt;&gt;"manual",$M130&lt;&gt;1)),
IF(Import.TipoArredondamento&lt;&gt;"TransfereGOV",
ROUND(OFFSET($P130,0,AE$13),15-13*ORÇAMENTO!$AF$7)/$H130*OFFSET(ORÇAMENTO!$X$15,ROW(AE130)-ROW(AE$15),0),
ROUND(ROUND(OFFSET($P130,0,AE$13),15-13*ORÇAMENTO!$AF$7)*OFFSET(ORÇAMENTO!$W$15,ROW(AE130)-ROW(AE$15),0),15-13*ORÇAMENTO!$AF$11)),0)</f>
        <v>0</v>
      </c>
      <c r="AF130" s="631">
        <f ca="1">IF(AND($D130="Serviço",AF$12&lt;&gt;0,$H130&gt;0,OR(AUTOEVENTO&lt;&gt;"manual",$M130&lt;&gt;1)),
IF(Import.TipoArredondamento&lt;&gt;"TransfereGOV",
ROUND(OFFSET($P130,0,AF$13),15-13*ORÇAMENTO!$AF$7)/$H130*OFFSET(ORÇAMENTO!$X$15,ROW(AF130)-ROW(AF$15),0),
ROUND(ROUND(OFFSET($P130,0,AF$13),15-13*ORÇAMENTO!$AF$7)*OFFSET(ORÇAMENTO!$W$15,ROW(AF130)-ROW(AF$15),0),15-13*ORÇAMENTO!$AF$11)),0)</f>
        <v>0</v>
      </c>
      <c r="AG130" s="631">
        <f ca="1">IF(AND($D130="Serviço",AG$12&lt;&gt;0,$H130&gt;0,OR(AUTOEVENTO&lt;&gt;"manual",$M130&lt;&gt;1)),
IF(Import.TipoArredondamento&lt;&gt;"TransfereGOV",
ROUND(OFFSET($P130,0,AG$13),15-13*ORÇAMENTO!$AF$7)/$H130*OFFSET(ORÇAMENTO!$X$15,ROW(AG130)-ROW(AG$15),0),
ROUND(ROUND(OFFSET($P130,0,AG$13),15-13*ORÇAMENTO!$AF$7)*OFFSET(ORÇAMENTO!$W$15,ROW(AG130)-ROW(AG$15),0),15-13*ORÇAMENTO!$AF$11)),0)</f>
        <v>0</v>
      </c>
      <c r="AH130" s="631">
        <f ca="1">IF(AND($D130="Serviço",AH$12&lt;&gt;0,$H130&gt;0,OR(AUTOEVENTO&lt;&gt;"manual",$M130&lt;&gt;1)),
IF(Import.TipoArredondamento&lt;&gt;"TransfereGOV",
ROUND(OFFSET($P130,0,AH$13),15-13*ORÇAMENTO!$AF$7)/$H130*OFFSET(ORÇAMENTO!$X$15,ROW(AH130)-ROW(AH$15),0),
ROUND(ROUND(OFFSET($P130,0,AH$13),15-13*ORÇAMENTO!$AF$7)*OFFSET(ORÇAMENTO!$W$15,ROW(AH130)-ROW(AH$15),0),15-13*ORÇAMENTO!$AF$11)),0)</f>
        <v>0</v>
      </c>
      <c r="AI130" s="631">
        <f ca="1">IF(AND($D130="Serviço",AI$12&lt;&gt;0,$H130&gt;0,OR(AUTOEVENTO&lt;&gt;"manual",$M130&lt;&gt;1)),
IF(Import.TipoArredondamento&lt;&gt;"TransfereGOV",
ROUND(OFFSET($P130,0,AI$13),15-13*ORÇAMENTO!$AF$7)/$H130*OFFSET(ORÇAMENTO!$X$15,ROW(AI130)-ROW(AI$15),0),
ROUND(ROUND(OFFSET($P130,0,AI$13),15-13*ORÇAMENTO!$AF$7)*OFFSET(ORÇAMENTO!$W$15,ROW(AI130)-ROW(AI$15),0),15-13*ORÇAMENTO!$AF$11)),0)</f>
        <v>0</v>
      </c>
      <c r="AJ130" s="631">
        <f ca="1">IF(AND($D130="Serviço",AJ$12&lt;&gt;0,$H130&gt;0,OR(AUTOEVENTO&lt;&gt;"manual",$M130&lt;&gt;1)),
IF(Import.TipoArredondamento&lt;&gt;"TransfereGOV",
ROUND(OFFSET($P130,0,AJ$13),15-13*ORÇAMENTO!$AF$7)/$H130*OFFSET(ORÇAMENTO!$X$15,ROW(AJ130)-ROW(AJ$15),0),
ROUND(ROUND(OFFSET($P130,0,AJ$13),15-13*ORÇAMENTO!$AF$7)*OFFSET(ORÇAMENTO!$W$15,ROW(AJ130)-ROW(AJ$15),0),15-13*ORÇAMENTO!$AF$11)),0)</f>
        <v>0</v>
      </c>
      <c r="AK130" s="632">
        <f ca="1">IF(AND($D130="Serviço",AK$12&lt;&gt;0,$H130&gt;0,OR(AUTOEVENTO&lt;&gt;"manual",$M130&lt;&gt;1)),
IF(Import.TipoArredondamento&lt;&gt;"TransfereGOV",
ROUND(OFFSET($P130,0,AK$13),15-13*ORÇAMENTO!$AF$7)/$H130*OFFSET(ORÇAMENTO!$X$15,ROW(AK130)-ROW(AK$15),0),
ROUND(ROUND(OFFSET($P130,0,AK$13),15-13*ORÇAMENTO!$AF$7)*OFFSET(ORÇAMENTO!$W$15,ROW(AK130)-ROW(AK$15),0),15-13*ORÇAMENTO!$AF$11)),0)</f>
        <v>0</v>
      </c>
      <c r="AM130" s="215">
        <f ca="1">IF($D130&lt;&gt;"Serviço",0,IF(AND(AUTOEVENTO="Manual",$M130=1),0,IF(OFFSET(CRONOPLE!$F$14,$M130,AM$13)="",10^12,OFFSET(CRONOPLE!$F$14,$M130,AM$13))))</f>
        <v>1000000000000</v>
      </c>
      <c r="AN130" s="215">
        <f ca="1">IF($D130&lt;&gt;"Serviço",0,IF(AND(AUTOEVENTO="Manual",$M130=1),0,IF(OFFSET(CRONOPLE!$F$14,$M130,AN$13)="",10^12,OFFSET(CRONOPLE!$F$14,$M130,AN$13))))</f>
        <v>1000000000000</v>
      </c>
      <c r="AO130" s="215">
        <f ca="1">IF($D130&lt;&gt;"Serviço",0,IF(AND(AUTOEVENTO="Manual",$M130=1),0,IF(OFFSET(CRONOPLE!$F$14,$M130,AO$13)="",10^12,OFFSET(CRONOPLE!$F$14,$M130,AO$13))))</f>
        <v>1000000000000</v>
      </c>
      <c r="AP130" s="215">
        <f ca="1">IF($D130&lt;&gt;"Serviço",0,IF(AND(AUTOEVENTO="Manual",$M130=1),0,IF(OFFSET(CRONOPLE!$F$14,$M130,AP$13)="",10^12,OFFSET(CRONOPLE!$F$14,$M130,AP$13))))</f>
        <v>1000000000000</v>
      </c>
      <c r="AQ130" s="215">
        <f ca="1">IF($D130&lt;&gt;"Serviço",0,IF(AND(AUTOEVENTO="Manual",$M130=1),0,IF(OFFSET(CRONOPLE!$F$14,$M130,AQ$13)="",10^12,OFFSET(CRONOPLE!$F$14,$M130,AQ$13))))</f>
        <v>1000000000000</v>
      </c>
      <c r="AR130" s="215">
        <f ca="1">IF($D130&lt;&gt;"Serviço",0,IF(AND(AUTOEVENTO="Manual",$M130=1),0,IF(OFFSET(CRONOPLE!$F$14,$M130,AR$13)="",10^12,OFFSET(CRONOPLE!$F$14,$M130,AR$13))))</f>
        <v>1000000000000</v>
      </c>
      <c r="AS130" s="215">
        <f ca="1">IF($D130&lt;&gt;"Serviço",0,IF(AND(AUTOEVENTO="Manual",$M130=1),0,IF(OFFSET(CRONOPLE!$F$14,$M130,AS$13)="",10^12,OFFSET(CRONOPLE!$F$14,$M130,AS$13))))</f>
        <v>1000000000000</v>
      </c>
      <c r="AT130" s="215">
        <f ca="1">IF($D130&lt;&gt;"Serviço",0,IF(AND(AUTOEVENTO="Manual",$M130=1),0,IF(OFFSET(CRONOPLE!$F$14,$M130,AT$13)="",10^12,OFFSET(CRONOPLE!$F$14,$M130,AT$13))))</f>
        <v>1000000000000</v>
      </c>
      <c r="AU130" s="215">
        <f ca="1">IF($D130&lt;&gt;"Serviço",0,IF(AND(AUTOEVENTO="Manual",$M130=1),0,IF(OFFSET(CRONOPLE!$F$14,$M130,AU$13)="",10^12,OFFSET(CRONOPLE!$F$14,$M130,AU$13))))</f>
        <v>1000000000000</v>
      </c>
      <c r="AV130" s="215">
        <f ca="1">IF($D130&lt;&gt;"Serviço",0,IF(AND(AUTOEVENTO="Manual",$M130=1),0,IF(OFFSET(CRONOPLE!$F$14,$M130,AV$13)="",10^12,OFFSET(CRONOPLE!$F$14,$M130,AV$13))))</f>
        <v>1000000000000</v>
      </c>
      <c r="AX130" s="216">
        <f ca="1">IF($D130&lt;&gt;"Serviço",0,IF(OR(AND(AUTOEVENTO="Manual",$M130=1),$M130&gt;(ROW(PLE.lastrow)-ROW(PLE.firstrow))),0,IF(OFFSET(PLE!$G$14,$M130,AX$13)="",10^12,OFFSET(PLE!$G$14,$M130,AX$13))))</f>
        <v>1000000000000</v>
      </c>
      <c r="AY130" s="216">
        <f ca="1">IF($D130&lt;&gt;"Serviço",0,IF(OR(AND(AUTOEVENTO="Manual",$M130=1),$M130&gt;(ROW(PLE.lastrow)-ROW(PLE.firstrow))),0,IF(OFFSET(PLE!$G$14,$M130,AY$13)="",10^12,OFFSET(PLE!$G$14,$M130,AY$13))))</f>
        <v>1000000000000</v>
      </c>
      <c r="AZ130" s="216">
        <f ca="1">IF($D130&lt;&gt;"Serviço",0,IF(OR(AND(AUTOEVENTO="Manual",$M130=1),$M130&gt;(ROW(PLE.lastrow)-ROW(PLE.firstrow))),0,IF(OFFSET(PLE!$G$14,$M130,AZ$13)="",10^12,OFFSET(PLE!$G$14,$M130,AZ$13))))</f>
        <v>1000000000000</v>
      </c>
      <c r="BA130" s="216">
        <f ca="1">IF($D130&lt;&gt;"Serviço",0,IF(OR(AND(AUTOEVENTO="Manual",$M130=1),$M130&gt;(ROW(PLE.lastrow)-ROW(PLE.firstrow))),0,IF(OFFSET(PLE!$G$14,$M130,BA$13)="",10^12,OFFSET(PLE!$G$14,$M130,BA$13))))</f>
        <v>1000000000000</v>
      </c>
      <c r="BB130" s="216">
        <f ca="1">IF($D130&lt;&gt;"Serviço",0,IF(OR(AND(AUTOEVENTO="Manual",$M130=1),$M130&gt;(ROW(PLE.lastrow)-ROW(PLE.firstrow))),0,IF(OFFSET(PLE!$G$14,$M130,BB$13)="",10^12,OFFSET(PLE!$G$14,$M130,BB$13))))</f>
        <v>1000000000000</v>
      </c>
      <c r="BC130" s="216">
        <f ca="1">IF($D130&lt;&gt;"Serviço",0,IF(OR(AND(AUTOEVENTO="Manual",$M130=1),$M130&gt;(ROW(PLE.lastrow)-ROW(PLE.firstrow))),0,IF(OFFSET(PLE!$G$14,$M130,BC$13)="",10^12,OFFSET(PLE!$G$14,$M130,BC$13))))</f>
        <v>1000000000000</v>
      </c>
      <c r="BD130" s="216">
        <f ca="1">IF($D130&lt;&gt;"Serviço",0,IF(OR(AND(AUTOEVENTO="Manual",$M130=1),$M130&gt;(ROW(PLE.lastrow)-ROW(PLE.firstrow))),0,IF(OFFSET(PLE!$G$14,$M130,BD$13)="",10^12,OFFSET(PLE!$G$14,$M130,BD$13))))</f>
        <v>1000000000000</v>
      </c>
      <c r="BE130" s="216">
        <f ca="1">IF($D130&lt;&gt;"Serviço",0,IF(OR(AND(AUTOEVENTO="Manual",$M130=1),$M130&gt;(ROW(PLE.lastrow)-ROW(PLE.firstrow))),0,IF(OFFSET(PLE!$G$14,$M130,BE$13)="",10^12,OFFSET(PLE!$G$14,$M130,BE$13))))</f>
        <v>1000000000000</v>
      </c>
      <c r="BF130" s="216">
        <f ca="1">IF($D130&lt;&gt;"Serviço",0,IF(OR(AND(AUTOEVENTO="Manual",$M130=1),$M130&gt;(ROW(PLE.lastrow)-ROW(PLE.firstrow))),0,IF(OFFSET(PLE!$G$14,$M130,BF$13)="",10^12,OFFSET(PLE!$G$14,$M130,BF$13))))</f>
        <v>1000000000000</v>
      </c>
      <c r="BG130" s="216">
        <f ca="1">IF($D130&lt;&gt;"Serviço",0,IF(OR(AND(AUTOEVENTO="Manual",$M130=1),$M130&gt;(ROW(PLE.lastrow)-ROW(PLE.firstrow))),0,IF(OFFSET(PLE!$G$14,$M130,BG$13)="",10^12,OFFSET(PLE!$G$14,$M130,BG$13))))</f>
        <v>1000000000000</v>
      </c>
    </row>
    <row r="131" spans="1:59" ht="38.25" x14ac:dyDescent="0.2">
      <c r="A131" s="9" t="str">
        <f ca="1">IF(AUTOEVENTO="Manual",IF(K131&lt;&gt;"",MIN(VALUE(LEFT(K131,FIND(".",K131)-1)),COUNTA(EVENTOS.Lista)),0),IF(OR($B131&gt;AUTOEVENTO,$B131="S",$B131=0),SUBSTITUTE(OFFSET($A131,-1,0),IF($D131="Serviço",".",""),""),ROW(A131)-ROW($A$15)&amp;"."))</f>
        <v>93</v>
      </c>
      <c r="B131" s="9" t="str">
        <f ca="1">OFFSET(ORÇAMENTO!C$15,ROW(B131)-ROW(B$15),0)</f>
        <v>S</v>
      </c>
      <c r="C131" s="9" t="str">
        <f ca="1">OFFSET(ORÇAMENTO!L$15,ROW(C131)-ROW(C$15),0)</f>
        <v/>
      </c>
      <c r="D131" s="145" t="str">
        <f ca="1">OFFSET(ORÇAMENTO!N$15,ROW(D131)-ROW(D$15),0)</f>
        <v>Serviço</v>
      </c>
      <c r="E131" s="205" t="str">
        <f ca="1">OFFSET(ORÇAMENTO!O$15,ROW(E131)-ROW(E$15),0)</f>
        <v>-</v>
      </c>
      <c r="F131" s="206" t="str">
        <f ca="1">OFFSET(ORÇAMENTO!R$15,ROW(F131)-ROW(F$15),0)</f>
        <v>CAIXA RETANGULAR 4" X 2" BAIXA (0,30 M DO PISO), METÁLICA, INSTALADA EM PAREDE - FORNECIMENTO E INSTALAÇÃO. AF_03/2023</v>
      </c>
      <c r="G131" s="207" t="str">
        <f ca="1">IF($D131&lt;&gt;"Serviço","",OFFSET(ORÇAMENTO!S$15,ROW(G131)-ROW(G$15),0))</f>
        <v>UN</v>
      </c>
      <c r="H131" s="151">
        <f ca="1">IF($D131&lt;&gt;"Serviço",0,IF(ACOMPANHAMENTO="BM",ROUND(OFFSET(ORÇAMENTO!AJ$15,ROW(H131)-ROW(H$15),0),15-13*ORÇAMENTO!$AF$7),SUMPRODUCT(($Q$12:$AA$12&lt;&gt;"")*ROUND($Q131:$AA131,15-13*ORÇAMENTO!$AF$7))))</f>
        <v>4</v>
      </c>
      <c r="I131" s="649"/>
      <c r="K131" s="208"/>
      <c r="L131" s="209" t="s">
        <v>255</v>
      </c>
      <c r="M131" s="210">
        <f ca="1">IF($D131&lt;&gt;"Serviço","",IF(AUTOEVENTO="manual",$A131,IF(ISERROR(MATCH($A131,$A$15:OFFSET($A131,-1,0),0)),MAX($M$15:OFFSET(M131,-1,0))+1,INDEX($M$15:OFFSET(M131,-1,0),MATCH($A131,$A$15:OFFSET($A131,-1,0),0)))))</f>
        <v>19</v>
      </c>
      <c r="N131" s="211" t="str">
        <f ca="1">IF($D131&lt;&gt;"Serviço","",IF(AUTOEVENTO="Manual",IF($A131=0,"&lt;-- defina o número do agrupador",OFFSET(EVENTOS!$D$14,$A131,0)),OFFSET($F$15,$A131,0)))</f>
        <v xml:space="preserve">ELÉTRICA </v>
      </c>
      <c r="O131" s="212"/>
      <c r="Q131" s="212"/>
      <c r="R131" s="213"/>
      <c r="S131" s="213"/>
      <c r="T131" s="213"/>
      <c r="U131" s="213"/>
      <c r="V131" s="213"/>
      <c r="W131" s="213"/>
      <c r="X131" s="213"/>
      <c r="Y131" s="213"/>
      <c r="Z131" s="214"/>
      <c r="AB131" s="630">
        <f ca="1">IF(AND($D131="Serviço",AB$12&lt;&gt;0,$H131&gt;0,OR(AUTOEVENTO&lt;&gt;"manual",$M131&lt;&gt;1)),
IF(Import.TipoArredondamento&lt;&gt;"TransfereGOV",
ROUND(OFFSET($P131,0,AB$13),15-13*ORÇAMENTO!$AF$7)/$H131*OFFSET(ORÇAMENTO!$X$15,ROW(AB131)-ROW(AB$15),0),
ROUND(ROUND(OFFSET($P131,0,AB$13),15-13*ORÇAMENTO!$AF$7)*OFFSET(ORÇAMENTO!$W$15,ROW(AB131)-ROW(AB$15),0),15-13*ORÇAMENTO!$AF$11)),0)</f>
        <v>0</v>
      </c>
      <c r="AC131" s="631">
        <f ca="1">IF(AND($D131="Serviço",AC$12&lt;&gt;0,$H131&gt;0,OR(AUTOEVENTO&lt;&gt;"manual",$M131&lt;&gt;1)),
IF(Import.TipoArredondamento&lt;&gt;"TransfereGOV",
ROUND(OFFSET($P131,0,AC$13),15-13*ORÇAMENTO!$AF$7)/$H131*OFFSET(ORÇAMENTO!$X$15,ROW(AC131)-ROW(AC$15),0),
ROUND(ROUND(OFFSET($P131,0,AC$13),15-13*ORÇAMENTO!$AF$7)*OFFSET(ORÇAMENTO!$W$15,ROW(AC131)-ROW(AC$15),0),15-13*ORÇAMENTO!$AF$11)),0)</f>
        <v>0</v>
      </c>
      <c r="AD131" s="631">
        <f ca="1">IF(AND($D131="Serviço",AD$12&lt;&gt;0,$H131&gt;0,OR(AUTOEVENTO&lt;&gt;"manual",$M131&lt;&gt;1)),
IF(Import.TipoArredondamento&lt;&gt;"TransfereGOV",
ROUND(OFFSET($P131,0,AD$13),15-13*ORÇAMENTO!$AF$7)/$H131*OFFSET(ORÇAMENTO!$X$15,ROW(AD131)-ROW(AD$15),0),
ROUND(ROUND(OFFSET($P131,0,AD$13),15-13*ORÇAMENTO!$AF$7)*OFFSET(ORÇAMENTO!$W$15,ROW(AD131)-ROW(AD$15),0),15-13*ORÇAMENTO!$AF$11)),0)</f>
        <v>0</v>
      </c>
      <c r="AE131" s="631">
        <f ca="1">IF(AND($D131="Serviço",AE$12&lt;&gt;0,$H131&gt;0,OR(AUTOEVENTO&lt;&gt;"manual",$M131&lt;&gt;1)),
IF(Import.TipoArredondamento&lt;&gt;"TransfereGOV",
ROUND(OFFSET($P131,0,AE$13),15-13*ORÇAMENTO!$AF$7)/$H131*OFFSET(ORÇAMENTO!$X$15,ROW(AE131)-ROW(AE$15),0),
ROUND(ROUND(OFFSET($P131,0,AE$13),15-13*ORÇAMENTO!$AF$7)*OFFSET(ORÇAMENTO!$W$15,ROW(AE131)-ROW(AE$15),0),15-13*ORÇAMENTO!$AF$11)),0)</f>
        <v>0</v>
      </c>
      <c r="AF131" s="631">
        <f ca="1">IF(AND($D131="Serviço",AF$12&lt;&gt;0,$H131&gt;0,OR(AUTOEVENTO&lt;&gt;"manual",$M131&lt;&gt;1)),
IF(Import.TipoArredondamento&lt;&gt;"TransfereGOV",
ROUND(OFFSET($P131,0,AF$13),15-13*ORÇAMENTO!$AF$7)/$H131*OFFSET(ORÇAMENTO!$X$15,ROW(AF131)-ROW(AF$15),0),
ROUND(ROUND(OFFSET($P131,0,AF$13),15-13*ORÇAMENTO!$AF$7)*OFFSET(ORÇAMENTO!$W$15,ROW(AF131)-ROW(AF$15),0),15-13*ORÇAMENTO!$AF$11)),0)</f>
        <v>0</v>
      </c>
      <c r="AG131" s="631">
        <f ca="1">IF(AND($D131="Serviço",AG$12&lt;&gt;0,$H131&gt;0,OR(AUTOEVENTO&lt;&gt;"manual",$M131&lt;&gt;1)),
IF(Import.TipoArredondamento&lt;&gt;"TransfereGOV",
ROUND(OFFSET($P131,0,AG$13),15-13*ORÇAMENTO!$AF$7)/$H131*OFFSET(ORÇAMENTO!$X$15,ROW(AG131)-ROW(AG$15),0),
ROUND(ROUND(OFFSET($P131,0,AG$13),15-13*ORÇAMENTO!$AF$7)*OFFSET(ORÇAMENTO!$W$15,ROW(AG131)-ROW(AG$15),0),15-13*ORÇAMENTO!$AF$11)),0)</f>
        <v>0</v>
      </c>
      <c r="AH131" s="631">
        <f ca="1">IF(AND($D131="Serviço",AH$12&lt;&gt;0,$H131&gt;0,OR(AUTOEVENTO&lt;&gt;"manual",$M131&lt;&gt;1)),
IF(Import.TipoArredondamento&lt;&gt;"TransfereGOV",
ROUND(OFFSET($P131,0,AH$13),15-13*ORÇAMENTO!$AF$7)/$H131*OFFSET(ORÇAMENTO!$X$15,ROW(AH131)-ROW(AH$15),0),
ROUND(ROUND(OFFSET($P131,0,AH$13),15-13*ORÇAMENTO!$AF$7)*OFFSET(ORÇAMENTO!$W$15,ROW(AH131)-ROW(AH$15),0),15-13*ORÇAMENTO!$AF$11)),0)</f>
        <v>0</v>
      </c>
      <c r="AI131" s="631">
        <f ca="1">IF(AND($D131="Serviço",AI$12&lt;&gt;0,$H131&gt;0,OR(AUTOEVENTO&lt;&gt;"manual",$M131&lt;&gt;1)),
IF(Import.TipoArredondamento&lt;&gt;"TransfereGOV",
ROUND(OFFSET($P131,0,AI$13),15-13*ORÇAMENTO!$AF$7)/$H131*OFFSET(ORÇAMENTO!$X$15,ROW(AI131)-ROW(AI$15),0),
ROUND(ROUND(OFFSET($P131,0,AI$13),15-13*ORÇAMENTO!$AF$7)*OFFSET(ORÇAMENTO!$W$15,ROW(AI131)-ROW(AI$15),0),15-13*ORÇAMENTO!$AF$11)),0)</f>
        <v>0</v>
      </c>
      <c r="AJ131" s="631">
        <f ca="1">IF(AND($D131="Serviço",AJ$12&lt;&gt;0,$H131&gt;0,OR(AUTOEVENTO&lt;&gt;"manual",$M131&lt;&gt;1)),
IF(Import.TipoArredondamento&lt;&gt;"TransfereGOV",
ROUND(OFFSET($P131,0,AJ$13),15-13*ORÇAMENTO!$AF$7)/$H131*OFFSET(ORÇAMENTO!$X$15,ROW(AJ131)-ROW(AJ$15),0),
ROUND(ROUND(OFFSET($P131,0,AJ$13),15-13*ORÇAMENTO!$AF$7)*OFFSET(ORÇAMENTO!$W$15,ROW(AJ131)-ROW(AJ$15),0),15-13*ORÇAMENTO!$AF$11)),0)</f>
        <v>0</v>
      </c>
      <c r="AK131" s="632">
        <f ca="1">IF(AND($D131="Serviço",AK$12&lt;&gt;0,$H131&gt;0,OR(AUTOEVENTO&lt;&gt;"manual",$M131&lt;&gt;1)),
IF(Import.TipoArredondamento&lt;&gt;"TransfereGOV",
ROUND(OFFSET($P131,0,AK$13),15-13*ORÇAMENTO!$AF$7)/$H131*OFFSET(ORÇAMENTO!$X$15,ROW(AK131)-ROW(AK$15),0),
ROUND(ROUND(OFFSET($P131,0,AK$13),15-13*ORÇAMENTO!$AF$7)*OFFSET(ORÇAMENTO!$W$15,ROW(AK131)-ROW(AK$15),0),15-13*ORÇAMENTO!$AF$11)),0)</f>
        <v>0</v>
      </c>
      <c r="AM131" s="215">
        <f ca="1">IF($D131&lt;&gt;"Serviço",0,IF(AND(AUTOEVENTO="Manual",$M131=1),0,IF(OFFSET(CRONOPLE!$F$14,$M131,AM$13)="",10^12,OFFSET(CRONOPLE!$F$14,$M131,AM$13))))</f>
        <v>1000000000000</v>
      </c>
      <c r="AN131" s="215">
        <f ca="1">IF($D131&lt;&gt;"Serviço",0,IF(AND(AUTOEVENTO="Manual",$M131=1),0,IF(OFFSET(CRONOPLE!$F$14,$M131,AN$13)="",10^12,OFFSET(CRONOPLE!$F$14,$M131,AN$13))))</f>
        <v>1000000000000</v>
      </c>
      <c r="AO131" s="215">
        <f ca="1">IF($D131&lt;&gt;"Serviço",0,IF(AND(AUTOEVENTO="Manual",$M131=1),0,IF(OFFSET(CRONOPLE!$F$14,$M131,AO$13)="",10^12,OFFSET(CRONOPLE!$F$14,$M131,AO$13))))</f>
        <v>1000000000000</v>
      </c>
      <c r="AP131" s="215">
        <f ca="1">IF($D131&lt;&gt;"Serviço",0,IF(AND(AUTOEVENTO="Manual",$M131=1),0,IF(OFFSET(CRONOPLE!$F$14,$M131,AP$13)="",10^12,OFFSET(CRONOPLE!$F$14,$M131,AP$13))))</f>
        <v>1000000000000</v>
      </c>
      <c r="AQ131" s="215">
        <f ca="1">IF($D131&lt;&gt;"Serviço",0,IF(AND(AUTOEVENTO="Manual",$M131=1),0,IF(OFFSET(CRONOPLE!$F$14,$M131,AQ$13)="",10^12,OFFSET(CRONOPLE!$F$14,$M131,AQ$13))))</f>
        <v>1000000000000</v>
      </c>
      <c r="AR131" s="215">
        <f ca="1">IF($D131&lt;&gt;"Serviço",0,IF(AND(AUTOEVENTO="Manual",$M131=1),0,IF(OFFSET(CRONOPLE!$F$14,$M131,AR$13)="",10^12,OFFSET(CRONOPLE!$F$14,$M131,AR$13))))</f>
        <v>1000000000000</v>
      </c>
      <c r="AS131" s="215">
        <f ca="1">IF($D131&lt;&gt;"Serviço",0,IF(AND(AUTOEVENTO="Manual",$M131=1),0,IF(OFFSET(CRONOPLE!$F$14,$M131,AS$13)="",10^12,OFFSET(CRONOPLE!$F$14,$M131,AS$13))))</f>
        <v>1000000000000</v>
      </c>
      <c r="AT131" s="215">
        <f ca="1">IF($D131&lt;&gt;"Serviço",0,IF(AND(AUTOEVENTO="Manual",$M131=1),0,IF(OFFSET(CRONOPLE!$F$14,$M131,AT$13)="",10^12,OFFSET(CRONOPLE!$F$14,$M131,AT$13))))</f>
        <v>1000000000000</v>
      </c>
      <c r="AU131" s="215">
        <f ca="1">IF($D131&lt;&gt;"Serviço",0,IF(AND(AUTOEVENTO="Manual",$M131=1),0,IF(OFFSET(CRONOPLE!$F$14,$M131,AU$13)="",10^12,OFFSET(CRONOPLE!$F$14,$M131,AU$13))))</f>
        <v>1000000000000</v>
      </c>
      <c r="AV131" s="215">
        <f ca="1">IF($D131&lt;&gt;"Serviço",0,IF(AND(AUTOEVENTO="Manual",$M131=1),0,IF(OFFSET(CRONOPLE!$F$14,$M131,AV$13)="",10^12,OFFSET(CRONOPLE!$F$14,$M131,AV$13))))</f>
        <v>1000000000000</v>
      </c>
      <c r="AX131" s="216">
        <f ca="1">IF($D131&lt;&gt;"Serviço",0,IF(OR(AND(AUTOEVENTO="Manual",$M131=1),$M131&gt;(ROW(PLE.lastrow)-ROW(PLE.firstrow))),0,IF(OFFSET(PLE!$G$14,$M131,AX$13)="",10^12,OFFSET(PLE!$G$14,$M131,AX$13))))</f>
        <v>1000000000000</v>
      </c>
      <c r="AY131" s="216">
        <f ca="1">IF($D131&lt;&gt;"Serviço",0,IF(OR(AND(AUTOEVENTO="Manual",$M131=1),$M131&gt;(ROW(PLE.lastrow)-ROW(PLE.firstrow))),0,IF(OFFSET(PLE!$G$14,$M131,AY$13)="",10^12,OFFSET(PLE!$G$14,$M131,AY$13))))</f>
        <v>1000000000000</v>
      </c>
      <c r="AZ131" s="216">
        <f ca="1">IF($D131&lt;&gt;"Serviço",0,IF(OR(AND(AUTOEVENTO="Manual",$M131=1),$M131&gt;(ROW(PLE.lastrow)-ROW(PLE.firstrow))),0,IF(OFFSET(PLE!$G$14,$M131,AZ$13)="",10^12,OFFSET(PLE!$G$14,$M131,AZ$13))))</f>
        <v>1000000000000</v>
      </c>
      <c r="BA131" s="216">
        <f ca="1">IF($D131&lt;&gt;"Serviço",0,IF(OR(AND(AUTOEVENTO="Manual",$M131=1),$M131&gt;(ROW(PLE.lastrow)-ROW(PLE.firstrow))),0,IF(OFFSET(PLE!$G$14,$M131,BA$13)="",10^12,OFFSET(PLE!$G$14,$M131,BA$13))))</f>
        <v>1000000000000</v>
      </c>
      <c r="BB131" s="216">
        <f ca="1">IF($D131&lt;&gt;"Serviço",0,IF(OR(AND(AUTOEVENTO="Manual",$M131=1),$M131&gt;(ROW(PLE.lastrow)-ROW(PLE.firstrow))),0,IF(OFFSET(PLE!$G$14,$M131,BB$13)="",10^12,OFFSET(PLE!$G$14,$M131,BB$13))))</f>
        <v>1000000000000</v>
      </c>
      <c r="BC131" s="216">
        <f ca="1">IF($D131&lt;&gt;"Serviço",0,IF(OR(AND(AUTOEVENTO="Manual",$M131=1),$M131&gt;(ROW(PLE.lastrow)-ROW(PLE.firstrow))),0,IF(OFFSET(PLE!$G$14,$M131,BC$13)="",10^12,OFFSET(PLE!$G$14,$M131,BC$13))))</f>
        <v>1000000000000</v>
      </c>
      <c r="BD131" s="216">
        <f ca="1">IF($D131&lt;&gt;"Serviço",0,IF(OR(AND(AUTOEVENTO="Manual",$M131=1),$M131&gt;(ROW(PLE.lastrow)-ROW(PLE.firstrow))),0,IF(OFFSET(PLE!$G$14,$M131,BD$13)="",10^12,OFFSET(PLE!$G$14,$M131,BD$13))))</f>
        <v>1000000000000</v>
      </c>
      <c r="BE131" s="216">
        <f ca="1">IF($D131&lt;&gt;"Serviço",0,IF(OR(AND(AUTOEVENTO="Manual",$M131=1),$M131&gt;(ROW(PLE.lastrow)-ROW(PLE.firstrow))),0,IF(OFFSET(PLE!$G$14,$M131,BE$13)="",10^12,OFFSET(PLE!$G$14,$M131,BE$13))))</f>
        <v>1000000000000</v>
      </c>
      <c r="BF131" s="216">
        <f ca="1">IF($D131&lt;&gt;"Serviço",0,IF(OR(AND(AUTOEVENTO="Manual",$M131=1),$M131&gt;(ROW(PLE.lastrow)-ROW(PLE.firstrow))),0,IF(OFFSET(PLE!$G$14,$M131,BF$13)="",10^12,OFFSET(PLE!$G$14,$M131,BF$13))))</f>
        <v>1000000000000</v>
      </c>
      <c r="BG131" s="216">
        <f ca="1">IF($D131&lt;&gt;"Serviço",0,IF(OR(AND(AUTOEVENTO="Manual",$M131=1),$M131&gt;(ROW(PLE.lastrow)-ROW(PLE.firstrow))),0,IF(OFFSET(PLE!$G$14,$M131,BG$13)="",10^12,OFFSET(PLE!$G$14,$M131,BG$13))))</f>
        <v>1000000000000</v>
      </c>
    </row>
    <row r="132" spans="1:59" ht="25.5" x14ac:dyDescent="0.2">
      <c r="A132" s="9" t="str">
        <f t="shared" ca="1" si="10"/>
        <v>93</v>
      </c>
      <c r="B132" s="9" t="str">
        <f ca="1">OFFSET(ORÇAMENTO!C$15,ROW(B132)-ROW(B$15),0)</f>
        <v>S</v>
      </c>
      <c r="C132" s="9" t="str">
        <f ca="1">OFFSET(ORÇAMENTO!L$15,ROW(C132)-ROW(C$15),0)</f>
        <v/>
      </c>
      <c r="D132" s="145" t="str">
        <f ca="1">OFFSET(ORÇAMENTO!N$15,ROW(D132)-ROW(D$15),0)</f>
        <v>Serviço</v>
      </c>
      <c r="E132" s="205" t="str">
        <f ca="1">OFFSET(ORÇAMENTO!O$15,ROW(E132)-ROW(E$15),0)</f>
        <v>-</v>
      </c>
      <c r="F132" s="206" t="str">
        <f ca="1">OFFSET(ORÇAMENTO!R$15,ROW(F132)-ROW(F$15),0)</f>
        <v>Luminária Sobrepor Tubular Alto Rendimento 2 Lâmpadas Retangular 120cm</v>
      </c>
      <c r="G132" s="207" t="str">
        <f ca="1">IF($D132&lt;&gt;"Serviço","",OFFSET(ORÇAMENTO!S$15,ROW(G132)-ROW(G$15),0))</f>
        <v>UNIDADE</v>
      </c>
      <c r="H132" s="151">
        <f ca="1">IF($D132&lt;&gt;"Serviço",0,IF(ACOMPANHAMENTO="BM",ROUND(OFFSET(ORÇAMENTO!AJ$15,ROW(H132)-ROW(H$15),0),15-13*ORÇAMENTO!$AF$7),SUMPRODUCT(($Q$12:$AA$12&lt;&gt;"")*ROUND($Q132:$AA132,15-13*ORÇAMENTO!$AF$7))))</f>
        <v>57</v>
      </c>
      <c r="I132" s="649"/>
      <c r="K132" s="208"/>
      <c r="L132" s="209" t="s">
        <v>255</v>
      </c>
      <c r="M132" s="210">
        <f ca="1">IF($D132&lt;&gt;"Serviço","",IF(AUTOEVENTO="manual",$A132,IF(ISERROR(MATCH($A132,$A$15:OFFSET($A132,-1,0),0)),MAX($M$15:OFFSET(M132,-1,0))+1,INDEX($M$15:OFFSET(M132,-1,0),MATCH($A132,$A$15:OFFSET($A132,-1,0),0)))))</f>
        <v>19</v>
      </c>
      <c r="N132" s="211" t="str">
        <f ca="1">IF($D132&lt;&gt;"Serviço","",IF(AUTOEVENTO="Manual",IF($A132=0,"&lt;-- defina o número do agrupador",OFFSET(EVENTOS!$D$14,$A132,0)),OFFSET($F$15,$A132,0)))</f>
        <v xml:space="preserve">ELÉTRICA </v>
      </c>
      <c r="O132" s="212"/>
      <c r="Q132" s="212"/>
      <c r="R132" s="213"/>
      <c r="S132" s="213"/>
      <c r="T132" s="213"/>
      <c r="U132" s="213"/>
      <c r="V132" s="213"/>
      <c r="W132" s="213"/>
      <c r="X132" s="213"/>
      <c r="Y132" s="213"/>
      <c r="Z132" s="214"/>
      <c r="AB132" s="630">
        <f ca="1">IF(AND($D132="Serviço",AB$12&lt;&gt;0,$H132&gt;0,OR(AUTOEVENTO&lt;&gt;"manual",$M132&lt;&gt;1)),
IF(Import.TipoArredondamento&lt;&gt;"TransfereGOV",
ROUND(OFFSET($P132,0,AB$13),15-13*ORÇAMENTO!$AF$7)/$H132*OFFSET(ORÇAMENTO!$X$15,ROW(AB132)-ROW(AB$15),0),
ROUND(ROUND(OFFSET($P132,0,AB$13),15-13*ORÇAMENTO!$AF$7)*OFFSET(ORÇAMENTO!$W$15,ROW(AB132)-ROW(AB$15),0),15-13*ORÇAMENTO!$AF$11)),0)</f>
        <v>0</v>
      </c>
      <c r="AC132" s="631">
        <f ca="1">IF(AND($D132="Serviço",AC$12&lt;&gt;0,$H132&gt;0,OR(AUTOEVENTO&lt;&gt;"manual",$M132&lt;&gt;1)),
IF(Import.TipoArredondamento&lt;&gt;"TransfereGOV",
ROUND(OFFSET($P132,0,AC$13),15-13*ORÇAMENTO!$AF$7)/$H132*OFFSET(ORÇAMENTO!$X$15,ROW(AC132)-ROW(AC$15),0),
ROUND(ROUND(OFFSET($P132,0,AC$13),15-13*ORÇAMENTO!$AF$7)*OFFSET(ORÇAMENTO!$W$15,ROW(AC132)-ROW(AC$15),0),15-13*ORÇAMENTO!$AF$11)),0)</f>
        <v>0</v>
      </c>
      <c r="AD132" s="631">
        <f ca="1">IF(AND($D132="Serviço",AD$12&lt;&gt;0,$H132&gt;0,OR(AUTOEVENTO&lt;&gt;"manual",$M132&lt;&gt;1)),
IF(Import.TipoArredondamento&lt;&gt;"TransfereGOV",
ROUND(OFFSET($P132,0,AD$13),15-13*ORÇAMENTO!$AF$7)/$H132*OFFSET(ORÇAMENTO!$X$15,ROW(AD132)-ROW(AD$15),0),
ROUND(ROUND(OFFSET($P132,0,AD$13),15-13*ORÇAMENTO!$AF$7)*OFFSET(ORÇAMENTO!$W$15,ROW(AD132)-ROW(AD$15),0),15-13*ORÇAMENTO!$AF$11)),0)</f>
        <v>0</v>
      </c>
      <c r="AE132" s="631">
        <f ca="1">IF(AND($D132="Serviço",AE$12&lt;&gt;0,$H132&gt;0,OR(AUTOEVENTO&lt;&gt;"manual",$M132&lt;&gt;1)),
IF(Import.TipoArredondamento&lt;&gt;"TransfereGOV",
ROUND(OFFSET($P132,0,AE$13),15-13*ORÇAMENTO!$AF$7)/$H132*OFFSET(ORÇAMENTO!$X$15,ROW(AE132)-ROW(AE$15),0),
ROUND(ROUND(OFFSET($P132,0,AE$13),15-13*ORÇAMENTO!$AF$7)*OFFSET(ORÇAMENTO!$W$15,ROW(AE132)-ROW(AE$15),0),15-13*ORÇAMENTO!$AF$11)),0)</f>
        <v>0</v>
      </c>
      <c r="AF132" s="631">
        <f ca="1">IF(AND($D132="Serviço",AF$12&lt;&gt;0,$H132&gt;0,OR(AUTOEVENTO&lt;&gt;"manual",$M132&lt;&gt;1)),
IF(Import.TipoArredondamento&lt;&gt;"TransfereGOV",
ROUND(OFFSET($P132,0,AF$13),15-13*ORÇAMENTO!$AF$7)/$H132*OFFSET(ORÇAMENTO!$X$15,ROW(AF132)-ROW(AF$15),0),
ROUND(ROUND(OFFSET($P132,0,AF$13),15-13*ORÇAMENTO!$AF$7)*OFFSET(ORÇAMENTO!$W$15,ROW(AF132)-ROW(AF$15),0),15-13*ORÇAMENTO!$AF$11)),0)</f>
        <v>0</v>
      </c>
      <c r="AG132" s="631">
        <f ca="1">IF(AND($D132="Serviço",AG$12&lt;&gt;0,$H132&gt;0,OR(AUTOEVENTO&lt;&gt;"manual",$M132&lt;&gt;1)),
IF(Import.TipoArredondamento&lt;&gt;"TransfereGOV",
ROUND(OFFSET($P132,0,AG$13),15-13*ORÇAMENTO!$AF$7)/$H132*OFFSET(ORÇAMENTO!$X$15,ROW(AG132)-ROW(AG$15),0),
ROUND(ROUND(OFFSET($P132,0,AG$13),15-13*ORÇAMENTO!$AF$7)*OFFSET(ORÇAMENTO!$W$15,ROW(AG132)-ROW(AG$15),0),15-13*ORÇAMENTO!$AF$11)),0)</f>
        <v>0</v>
      </c>
      <c r="AH132" s="631">
        <f ca="1">IF(AND($D132="Serviço",AH$12&lt;&gt;0,$H132&gt;0,OR(AUTOEVENTO&lt;&gt;"manual",$M132&lt;&gt;1)),
IF(Import.TipoArredondamento&lt;&gt;"TransfereGOV",
ROUND(OFFSET($P132,0,AH$13),15-13*ORÇAMENTO!$AF$7)/$H132*OFFSET(ORÇAMENTO!$X$15,ROW(AH132)-ROW(AH$15),0),
ROUND(ROUND(OFFSET($P132,0,AH$13),15-13*ORÇAMENTO!$AF$7)*OFFSET(ORÇAMENTO!$W$15,ROW(AH132)-ROW(AH$15),0),15-13*ORÇAMENTO!$AF$11)),0)</f>
        <v>0</v>
      </c>
      <c r="AI132" s="631">
        <f ca="1">IF(AND($D132="Serviço",AI$12&lt;&gt;0,$H132&gt;0,OR(AUTOEVENTO&lt;&gt;"manual",$M132&lt;&gt;1)),
IF(Import.TipoArredondamento&lt;&gt;"TransfereGOV",
ROUND(OFFSET($P132,0,AI$13),15-13*ORÇAMENTO!$AF$7)/$H132*OFFSET(ORÇAMENTO!$X$15,ROW(AI132)-ROW(AI$15),0),
ROUND(ROUND(OFFSET($P132,0,AI$13),15-13*ORÇAMENTO!$AF$7)*OFFSET(ORÇAMENTO!$W$15,ROW(AI132)-ROW(AI$15),0),15-13*ORÇAMENTO!$AF$11)),0)</f>
        <v>0</v>
      </c>
      <c r="AJ132" s="631">
        <f ca="1">IF(AND($D132="Serviço",AJ$12&lt;&gt;0,$H132&gt;0,OR(AUTOEVENTO&lt;&gt;"manual",$M132&lt;&gt;1)),
IF(Import.TipoArredondamento&lt;&gt;"TransfereGOV",
ROUND(OFFSET($P132,0,AJ$13),15-13*ORÇAMENTO!$AF$7)/$H132*OFFSET(ORÇAMENTO!$X$15,ROW(AJ132)-ROW(AJ$15),0),
ROUND(ROUND(OFFSET($P132,0,AJ$13),15-13*ORÇAMENTO!$AF$7)*OFFSET(ORÇAMENTO!$W$15,ROW(AJ132)-ROW(AJ$15),0),15-13*ORÇAMENTO!$AF$11)),0)</f>
        <v>0</v>
      </c>
      <c r="AK132" s="632">
        <f ca="1">IF(AND($D132="Serviço",AK$12&lt;&gt;0,$H132&gt;0,OR(AUTOEVENTO&lt;&gt;"manual",$M132&lt;&gt;1)),
IF(Import.TipoArredondamento&lt;&gt;"TransfereGOV",
ROUND(OFFSET($P132,0,AK$13),15-13*ORÇAMENTO!$AF$7)/$H132*OFFSET(ORÇAMENTO!$X$15,ROW(AK132)-ROW(AK$15),0),
ROUND(ROUND(OFFSET($P132,0,AK$13),15-13*ORÇAMENTO!$AF$7)*OFFSET(ORÇAMENTO!$W$15,ROW(AK132)-ROW(AK$15),0),15-13*ORÇAMENTO!$AF$11)),0)</f>
        <v>0</v>
      </c>
      <c r="AM132" s="215">
        <f ca="1">IF($D132&lt;&gt;"Serviço",0,IF(AND(AUTOEVENTO="Manual",$M132=1),0,IF(OFFSET(CRONOPLE!$F$14,$M132,AM$13)="",10^12,OFFSET(CRONOPLE!$F$14,$M132,AM$13))))</f>
        <v>1000000000000</v>
      </c>
      <c r="AN132" s="215">
        <f ca="1">IF($D132&lt;&gt;"Serviço",0,IF(AND(AUTOEVENTO="Manual",$M132=1),0,IF(OFFSET(CRONOPLE!$F$14,$M132,AN$13)="",10^12,OFFSET(CRONOPLE!$F$14,$M132,AN$13))))</f>
        <v>1000000000000</v>
      </c>
      <c r="AO132" s="215">
        <f ca="1">IF($D132&lt;&gt;"Serviço",0,IF(AND(AUTOEVENTO="Manual",$M132=1),0,IF(OFFSET(CRONOPLE!$F$14,$M132,AO$13)="",10^12,OFFSET(CRONOPLE!$F$14,$M132,AO$13))))</f>
        <v>1000000000000</v>
      </c>
      <c r="AP132" s="215">
        <f ca="1">IF($D132&lt;&gt;"Serviço",0,IF(AND(AUTOEVENTO="Manual",$M132=1),0,IF(OFFSET(CRONOPLE!$F$14,$M132,AP$13)="",10^12,OFFSET(CRONOPLE!$F$14,$M132,AP$13))))</f>
        <v>1000000000000</v>
      </c>
      <c r="AQ132" s="215">
        <f ca="1">IF($D132&lt;&gt;"Serviço",0,IF(AND(AUTOEVENTO="Manual",$M132=1),0,IF(OFFSET(CRONOPLE!$F$14,$M132,AQ$13)="",10^12,OFFSET(CRONOPLE!$F$14,$M132,AQ$13))))</f>
        <v>1000000000000</v>
      </c>
      <c r="AR132" s="215">
        <f ca="1">IF($D132&lt;&gt;"Serviço",0,IF(AND(AUTOEVENTO="Manual",$M132=1),0,IF(OFFSET(CRONOPLE!$F$14,$M132,AR$13)="",10^12,OFFSET(CRONOPLE!$F$14,$M132,AR$13))))</f>
        <v>1000000000000</v>
      </c>
      <c r="AS132" s="215">
        <f ca="1">IF($D132&lt;&gt;"Serviço",0,IF(AND(AUTOEVENTO="Manual",$M132=1),0,IF(OFFSET(CRONOPLE!$F$14,$M132,AS$13)="",10^12,OFFSET(CRONOPLE!$F$14,$M132,AS$13))))</f>
        <v>1000000000000</v>
      </c>
      <c r="AT132" s="215">
        <f ca="1">IF($D132&lt;&gt;"Serviço",0,IF(AND(AUTOEVENTO="Manual",$M132=1),0,IF(OFFSET(CRONOPLE!$F$14,$M132,AT$13)="",10^12,OFFSET(CRONOPLE!$F$14,$M132,AT$13))))</f>
        <v>1000000000000</v>
      </c>
      <c r="AU132" s="215">
        <f ca="1">IF($D132&lt;&gt;"Serviço",0,IF(AND(AUTOEVENTO="Manual",$M132=1),0,IF(OFFSET(CRONOPLE!$F$14,$M132,AU$13)="",10^12,OFFSET(CRONOPLE!$F$14,$M132,AU$13))))</f>
        <v>1000000000000</v>
      </c>
      <c r="AV132" s="215">
        <f ca="1">IF($D132&lt;&gt;"Serviço",0,IF(AND(AUTOEVENTO="Manual",$M132=1),0,IF(OFFSET(CRONOPLE!$F$14,$M132,AV$13)="",10^12,OFFSET(CRONOPLE!$F$14,$M132,AV$13))))</f>
        <v>1000000000000</v>
      </c>
      <c r="AX132" s="216">
        <f ca="1">IF($D132&lt;&gt;"Serviço",0,IF(OR(AND(AUTOEVENTO="Manual",$M132=1),$M132&gt;(ROW(PLE.lastrow)-ROW(PLE.firstrow))),0,IF(OFFSET(PLE!$G$14,$M132,AX$13)="",10^12,OFFSET(PLE!$G$14,$M132,AX$13))))</f>
        <v>1000000000000</v>
      </c>
      <c r="AY132" s="216">
        <f ca="1">IF($D132&lt;&gt;"Serviço",0,IF(OR(AND(AUTOEVENTO="Manual",$M132=1),$M132&gt;(ROW(PLE.lastrow)-ROW(PLE.firstrow))),0,IF(OFFSET(PLE!$G$14,$M132,AY$13)="",10^12,OFFSET(PLE!$G$14,$M132,AY$13))))</f>
        <v>1000000000000</v>
      </c>
      <c r="AZ132" s="216">
        <f ca="1">IF($D132&lt;&gt;"Serviço",0,IF(OR(AND(AUTOEVENTO="Manual",$M132=1),$M132&gt;(ROW(PLE.lastrow)-ROW(PLE.firstrow))),0,IF(OFFSET(PLE!$G$14,$M132,AZ$13)="",10^12,OFFSET(PLE!$G$14,$M132,AZ$13))))</f>
        <v>1000000000000</v>
      </c>
      <c r="BA132" s="216">
        <f ca="1">IF($D132&lt;&gt;"Serviço",0,IF(OR(AND(AUTOEVENTO="Manual",$M132=1),$M132&gt;(ROW(PLE.lastrow)-ROW(PLE.firstrow))),0,IF(OFFSET(PLE!$G$14,$M132,BA$13)="",10^12,OFFSET(PLE!$G$14,$M132,BA$13))))</f>
        <v>1000000000000</v>
      </c>
      <c r="BB132" s="216">
        <f ca="1">IF($D132&lt;&gt;"Serviço",0,IF(OR(AND(AUTOEVENTO="Manual",$M132=1),$M132&gt;(ROW(PLE.lastrow)-ROW(PLE.firstrow))),0,IF(OFFSET(PLE!$G$14,$M132,BB$13)="",10^12,OFFSET(PLE!$G$14,$M132,BB$13))))</f>
        <v>1000000000000</v>
      </c>
      <c r="BC132" s="216">
        <f ca="1">IF($D132&lt;&gt;"Serviço",0,IF(OR(AND(AUTOEVENTO="Manual",$M132=1),$M132&gt;(ROW(PLE.lastrow)-ROW(PLE.firstrow))),0,IF(OFFSET(PLE!$G$14,$M132,BC$13)="",10^12,OFFSET(PLE!$G$14,$M132,BC$13))))</f>
        <v>1000000000000</v>
      </c>
      <c r="BD132" s="216">
        <f ca="1">IF($D132&lt;&gt;"Serviço",0,IF(OR(AND(AUTOEVENTO="Manual",$M132=1),$M132&gt;(ROW(PLE.lastrow)-ROW(PLE.firstrow))),0,IF(OFFSET(PLE!$G$14,$M132,BD$13)="",10^12,OFFSET(PLE!$G$14,$M132,BD$13))))</f>
        <v>1000000000000</v>
      </c>
      <c r="BE132" s="216">
        <f ca="1">IF($D132&lt;&gt;"Serviço",0,IF(OR(AND(AUTOEVENTO="Manual",$M132=1),$M132&gt;(ROW(PLE.lastrow)-ROW(PLE.firstrow))),0,IF(OFFSET(PLE!$G$14,$M132,BE$13)="",10^12,OFFSET(PLE!$G$14,$M132,BE$13))))</f>
        <v>1000000000000</v>
      </c>
      <c r="BF132" s="216">
        <f ca="1">IF($D132&lt;&gt;"Serviço",0,IF(OR(AND(AUTOEVENTO="Manual",$M132=1),$M132&gt;(ROW(PLE.lastrow)-ROW(PLE.firstrow))),0,IF(OFFSET(PLE!$G$14,$M132,BF$13)="",10^12,OFFSET(PLE!$G$14,$M132,BF$13))))</f>
        <v>1000000000000</v>
      </c>
      <c r="BG132" s="216">
        <f ca="1">IF($D132&lt;&gt;"Serviço",0,IF(OR(AND(AUTOEVENTO="Manual",$M132=1),$M132&gt;(ROW(PLE.lastrow)-ROW(PLE.firstrow))),0,IF(OFFSET(PLE!$G$14,$M132,BG$13)="",10^12,OFFSET(PLE!$G$14,$M132,BG$13))))</f>
        <v>1000000000000</v>
      </c>
    </row>
    <row r="133" spans="1:59" ht="25.5" x14ac:dyDescent="0.2">
      <c r="A133" s="9" t="str">
        <f t="shared" ca="1" si="10"/>
        <v>93</v>
      </c>
      <c r="B133" s="9" t="str">
        <f ca="1">OFFSET(ORÇAMENTO!C$15,ROW(B133)-ROW(B$15),0)</f>
        <v>S</v>
      </c>
      <c r="C133" s="9" t="str">
        <f ca="1">OFFSET(ORÇAMENTO!L$15,ROW(C133)-ROW(C$15),0)</f>
        <v/>
      </c>
      <c r="D133" s="145" t="str">
        <f ca="1">OFFSET(ORÇAMENTO!N$15,ROW(D133)-ROW(D$15),0)</f>
        <v>Serviço</v>
      </c>
      <c r="E133" s="205" t="str">
        <f ca="1">OFFSET(ORÇAMENTO!O$15,ROW(E133)-ROW(E$15),0)</f>
        <v>-</v>
      </c>
      <c r="F133" s="206" t="str">
        <f ca="1">OFFSET(ORÇAMENTO!R$15,ROW(F133)-ROW(F$15),0)</f>
        <v>LÂMPADA TUBULAR LED DE 18/20 W, BASE G13 - FORNECIMENTO E INSTALAÇÃO. AF_02/2020_PS</v>
      </c>
      <c r="G133" s="207" t="str">
        <f ca="1">IF($D133&lt;&gt;"Serviço","",OFFSET(ORÇAMENTO!S$15,ROW(G133)-ROW(G$15),0))</f>
        <v>UN</v>
      </c>
      <c r="H133" s="151">
        <f ca="1">IF($D133&lt;&gt;"Serviço",0,IF(ACOMPANHAMENTO="BM",ROUND(OFFSET(ORÇAMENTO!AJ$15,ROW(H133)-ROW(H$15),0),15-13*ORÇAMENTO!$AF$7),SUMPRODUCT(($Q$12:$AA$12&lt;&gt;"")*ROUND($Q133:$AA133,15-13*ORÇAMENTO!$AF$7))))</f>
        <v>114</v>
      </c>
      <c r="I133" s="649"/>
      <c r="K133" s="208"/>
      <c r="L133" s="209" t="s">
        <v>255</v>
      </c>
      <c r="M133" s="210">
        <f ca="1">IF($D133&lt;&gt;"Serviço","",IF(AUTOEVENTO="manual",$A133,IF(ISERROR(MATCH($A133,$A$15:OFFSET($A133,-1,0),0)),MAX($M$15:OFFSET(M133,-1,0))+1,INDEX($M$15:OFFSET(M133,-1,0),MATCH($A133,$A$15:OFFSET($A133,-1,0),0)))))</f>
        <v>19</v>
      </c>
      <c r="N133" s="211" t="str">
        <f ca="1">IF($D133&lt;&gt;"Serviço","",IF(AUTOEVENTO="Manual",IF($A133=0,"&lt;-- defina o número do agrupador",OFFSET(EVENTOS!$D$14,$A133,0)),OFFSET($F$15,$A133,0)))</f>
        <v xml:space="preserve">ELÉTRICA </v>
      </c>
      <c r="O133" s="212"/>
      <c r="Q133" s="212"/>
      <c r="R133" s="213"/>
      <c r="S133" s="213"/>
      <c r="T133" s="213"/>
      <c r="U133" s="213"/>
      <c r="V133" s="213"/>
      <c r="W133" s="213"/>
      <c r="X133" s="213"/>
      <c r="Y133" s="213"/>
      <c r="Z133" s="214"/>
      <c r="AB133" s="630">
        <f ca="1">IF(AND($D133="Serviço",AB$12&lt;&gt;0,$H133&gt;0,OR(AUTOEVENTO&lt;&gt;"manual",$M133&lt;&gt;1)),
IF(Import.TipoArredondamento&lt;&gt;"TransfereGOV",
ROUND(OFFSET($P133,0,AB$13),15-13*ORÇAMENTO!$AF$7)/$H133*OFFSET(ORÇAMENTO!$X$15,ROW(AB133)-ROW(AB$15),0),
ROUND(ROUND(OFFSET($P133,0,AB$13),15-13*ORÇAMENTO!$AF$7)*OFFSET(ORÇAMENTO!$W$15,ROW(AB133)-ROW(AB$15),0),15-13*ORÇAMENTO!$AF$11)),0)</f>
        <v>0</v>
      </c>
      <c r="AC133" s="631">
        <f ca="1">IF(AND($D133="Serviço",AC$12&lt;&gt;0,$H133&gt;0,OR(AUTOEVENTO&lt;&gt;"manual",$M133&lt;&gt;1)),
IF(Import.TipoArredondamento&lt;&gt;"TransfereGOV",
ROUND(OFFSET($P133,0,AC$13),15-13*ORÇAMENTO!$AF$7)/$H133*OFFSET(ORÇAMENTO!$X$15,ROW(AC133)-ROW(AC$15),0),
ROUND(ROUND(OFFSET($P133,0,AC$13),15-13*ORÇAMENTO!$AF$7)*OFFSET(ORÇAMENTO!$W$15,ROW(AC133)-ROW(AC$15),0),15-13*ORÇAMENTO!$AF$11)),0)</f>
        <v>0</v>
      </c>
      <c r="AD133" s="631">
        <f ca="1">IF(AND($D133="Serviço",AD$12&lt;&gt;0,$H133&gt;0,OR(AUTOEVENTO&lt;&gt;"manual",$M133&lt;&gt;1)),
IF(Import.TipoArredondamento&lt;&gt;"TransfereGOV",
ROUND(OFFSET($P133,0,AD$13),15-13*ORÇAMENTO!$AF$7)/$H133*OFFSET(ORÇAMENTO!$X$15,ROW(AD133)-ROW(AD$15),0),
ROUND(ROUND(OFFSET($P133,0,AD$13),15-13*ORÇAMENTO!$AF$7)*OFFSET(ORÇAMENTO!$W$15,ROW(AD133)-ROW(AD$15),0),15-13*ORÇAMENTO!$AF$11)),0)</f>
        <v>0</v>
      </c>
      <c r="AE133" s="631">
        <f ca="1">IF(AND($D133="Serviço",AE$12&lt;&gt;0,$H133&gt;0,OR(AUTOEVENTO&lt;&gt;"manual",$M133&lt;&gt;1)),
IF(Import.TipoArredondamento&lt;&gt;"TransfereGOV",
ROUND(OFFSET($P133,0,AE$13),15-13*ORÇAMENTO!$AF$7)/$H133*OFFSET(ORÇAMENTO!$X$15,ROW(AE133)-ROW(AE$15),0),
ROUND(ROUND(OFFSET($P133,0,AE$13),15-13*ORÇAMENTO!$AF$7)*OFFSET(ORÇAMENTO!$W$15,ROW(AE133)-ROW(AE$15),0),15-13*ORÇAMENTO!$AF$11)),0)</f>
        <v>0</v>
      </c>
      <c r="AF133" s="631">
        <f ca="1">IF(AND($D133="Serviço",AF$12&lt;&gt;0,$H133&gt;0,OR(AUTOEVENTO&lt;&gt;"manual",$M133&lt;&gt;1)),
IF(Import.TipoArredondamento&lt;&gt;"TransfereGOV",
ROUND(OFFSET($P133,0,AF$13),15-13*ORÇAMENTO!$AF$7)/$H133*OFFSET(ORÇAMENTO!$X$15,ROW(AF133)-ROW(AF$15),0),
ROUND(ROUND(OFFSET($P133,0,AF$13),15-13*ORÇAMENTO!$AF$7)*OFFSET(ORÇAMENTO!$W$15,ROW(AF133)-ROW(AF$15),0),15-13*ORÇAMENTO!$AF$11)),0)</f>
        <v>0</v>
      </c>
      <c r="AG133" s="631">
        <f ca="1">IF(AND($D133="Serviço",AG$12&lt;&gt;0,$H133&gt;0,OR(AUTOEVENTO&lt;&gt;"manual",$M133&lt;&gt;1)),
IF(Import.TipoArredondamento&lt;&gt;"TransfereGOV",
ROUND(OFFSET($P133,0,AG$13),15-13*ORÇAMENTO!$AF$7)/$H133*OFFSET(ORÇAMENTO!$X$15,ROW(AG133)-ROW(AG$15),0),
ROUND(ROUND(OFFSET($P133,0,AG$13),15-13*ORÇAMENTO!$AF$7)*OFFSET(ORÇAMENTO!$W$15,ROW(AG133)-ROW(AG$15),0),15-13*ORÇAMENTO!$AF$11)),0)</f>
        <v>0</v>
      </c>
      <c r="AH133" s="631">
        <f ca="1">IF(AND($D133="Serviço",AH$12&lt;&gt;0,$H133&gt;0,OR(AUTOEVENTO&lt;&gt;"manual",$M133&lt;&gt;1)),
IF(Import.TipoArredondamento&lt;&gt;"TransfereGOV",
ROUND(OFFSET($P133,0,AH$13),15-13*ORÇAMENTO!$AF$7)/$H133*OFFSET(ORÇAMENTO!$X$15,ROW(AH133)-ROW(AH$15),0),
ROUND(ROUND(OFFSET($P133,0,AH$13),15-13*ORÇAMENTO!$AF$7)*OFFSET(ORÇAMENTO!$W$15,ROW(AH133)-ROW(AH$15),0),15-13*ORÇAMENTO!$AF$11)),0)</f>
        <v>0</v>
      </c>
      <c r="AI133" s="631">
        <f ca="1">IF(AND($D133="Serviço",AI$12&lt;&gt;0,$H133&gt;0,OR(AUTOEVENTO&lt;&gt;"manual",$M133&lt;&gt;1)),
IF(Import.TipoArredondamento&lt;&gt;"TransfereGOV",
ROUND(OFFSET($P133,0,AI$13),15-13*ORÇAMENTO!$AF$7)/$H133*OFFSET(ORÇAMENTO!$X$15,ROW(AI133)-ROW(AI$15),0),
ROUND(ROUND(OFFSET($P133,0,AI$13),15-13*ORÇAMENTO!$AF$7)*OFFSET(ORÇAMENTO!$W$15,ROW(AI133)-ROW(AI$15),0),15-13*ORÇAMENTO!$AF$11)),0)</f>
        <v>0</v>
      </c>
      <c r="AJ133" s="631">
        <f ca="1">IF(AND($D133="Serviço",AJ$12&lt;&gt;0,$H133&gt;0,OR(AUTOEVENTO&lt;&gt;"manual",$M133&lt;&gt;1)),
IF(Import.TipoArredondamento&lt;&gt;"TransfereGOV",
ROUND(OFFSET($P133,0,AJ$13),15-13*ORÇAMENTO!$AF$7)/$H133*OFFSET(ORÇAMENTO!$X$15,ROW(AJ133)-ROW(AJ$15),0),
ROUND(ROUND(OFFSET($P133,0,AJ$13),15-13*ORÇAMENTO!$AF$7)*OFFSET(ORÇAMENTO!$W$15,ROW(AJ133)-ROW(AJ$15),0),15-13*ORÇAMENTO!$AF$11)),0)</f>
        <v>0</v>
      </c>
      <c r="AK133" s="632">
        <f ca="1">IF(AND($D133="Serviço",AK$12&lt;&gt;0,$H133&gt;0,OR(AUTOEVENTO&lt;&gt;"manual",$M133&lt;&gt;1)),
IF(Import.TipoArredondamento&lt;&gt;"TransfereGOV",
ROUND(OFFSET($P133,0,AK$13),15-13*ORÇAMENTO!$AF$7)/$H133*OFFSET(ORÇAMENTO!$X$15,ROW(AK133)-ROW(AK$15),0),
ROUND(ROUND(OFFSET($P133,0,AK$13),15-13*ORÇAMENTO!$AF$7)*OFFSET(ORÇAMENTO!$W$15,ROW(AK133)-ROW(AK$15),0),15-13*ORÇAMENTO!$AF$11)),0)</f>
        <v>0</v>
      </c>
      <c r="AM133" s="215">
        <f ca="1">IF($D133&lt;&gt;"Serviço",0,IF(AND(AUTOEVENTO="Manual",$M133=1),0,IF(OFFSET(CRONOPLE!$F$14,$M133,AM$13)="",10^12,OFFSET(CRONOPLE!$F$14,$M133,AM$13))))</f>
        <v>1000000000000</v>
      </c>
      <c r="AN133" s="215">
        <f ca="1">IF($D133&lt;&gt;"Serviço",0,IF(AND(AUTOEVENTO="Manual",$M133=1),0,IF(OFFSET(CRONOPLE!$F$14,$M133,AN$13)="",10^12,OFFSET(CRONOPLE!$F$14,$M133,AN$13))))</f>
        <v>1000000000000</v>
      </c>
      <c r="AO133" s="215">
        <f ca="1">IF($D133&lt;&gt;"Serviço",0,IF(AND(AUTOEVENTO="Manual",$M133=1),0,IF(OFFSET(CRONOPLE!$F$14,$M133,AO$13)="",10^12,OFFSET(CRONOPLE!$F$14,$M133,AO$13))))</f>
        <v>1000000000000</v>
      </c>
      <c r="AP133" s="215">
        <f ca="1">IF($D133&lt;&gt;"Serviço",0,IF(AND(AUTOEVENTO="Manual",$M133=1),0,IF(OFFSET(CRONOPLE!$F$14,$M133,AP$13)="",10^12,OFFSET(CRONOPLE!$F$14,$M133,AP$13))))</f>
        <v>1000000000000</v>
      </c>
      <c r="AQ133" s="215">
        <f ca="1">IF($D133&lt;&gt;"Serviço",0,IF(AND(AUTOEVENTO="Manual",$M133=1),0,IF(OFFSET(CRONOPLE!$F$14,$M133,AQ$13)="",10^12,OFFSET(CRONOPLE!$F$14,$M133,AQ$13))))</f>
        <v>1000000000000</v>
      </c>
      <c r="AR133" s="215">
        <f ca="1">IF($D133&lt;&gt;"Serviço",0,IF(AND(AUTOEVENTO="Manual",$M133=1),0,IF(OFFSET(CRONOPLE!$F$14,$M133,AR$13)="",10^12,OFFSET(CRONOPLE!$F$14,$M133,AR$13))))</f>
        <v>1000000000000</v>
      </c>
      <c r="AS133" s="215">
        <f ca="1">IF($D133&lt;&gt;"Serviço",0,IF(AND(AUTOEVENTO="Manual",$M133=1),0,IF(OFFSET(CRONOPLE!$F$14,$M133,AS$13)="",10^12,OFFSET(CRONOPLE!$F$14,$M133,AS$13))))</f>
        <v>1000000000000</v>
      </c>
      <c r="AT133" s="215">
        <f ca="1">IF($D133&lt;&gt;"Serviço",0,IF(AND(AUTOEVENTO="Manual",$M133=1),0,IF(OFFSET(CRONOPLE!$F$14,$M133,AT$13)="",10^12,OFFSET(CRONOPLE!$F$14,$M133,AT$13))))</f>
        <v>1000000000000</v>
      </c>
      <c r="AU133" s="215">
        <f ca="1">IF($D133&lt;&gt;"Serviço",0,IF(AND(AUTOEVENTO="Manual",$M133=1),0,IF(OFFSET(CRONOPLE!$F$14,$M133,AU$13)="",10^12,OFFSET(CRONOPLE!$F$14,$M133,AU$13))))</f>
        <v>1000000000000</v>
      </c>
      <c r="AV133" s="215">
        <f ca="1">IF($D133&lt;&gt;"Serviço",0,IF(AND(AUTOEVENTO="Manual",$M133=1),0,IF(OFFSET(CRONOPLE!$F$14,$M133,AV$13)="",10^12,OFFSET(CRONOPLE!$F$14,$M133,AV$13))))</f>
        <v>1000000000000</v>
      </c>
      <c r="AX133" s="216">
        <f ca="1">IF($D133&lt;&gt;"Serviço",0,IF(OR(AND(AUTOEVENTO="Manual",$M133=1),$M133&gt;(ROW(PLE.lastrow)-ROW(PLE.firstrow))),0,IF(OFFSET(PLE!$G$14,$M133,AX$13)="",10^12,OFFSET(PLE!$G$14,$M133,AX$13))))</f>
        <v>1000000000000</v>
      </c>
      <c r="AY133" s="216">
        <f ca="1">IF($D133&lt;&gt;"Serviço",0,IF(OR(AND(AUTOEVENTO="Manual",$M133=1),$M133&gt;(ROW(PLE.lastrow)-ROW(PLE.firstrow))),0,IF(OFFSET(PLE!$G$14,$M133,AY$13)="",10^12,OFFSET(PLE!$G$14,$M133,AY$13))))</f>
        <v>1000000000000</v>
      </c>
      <c r="AZ133" s="216">
        <f ca="1">IF($D133&lt;&gt;"Serviço",0,IF(OR(AND(AUTOEVENTO="Manual",$M133=1),$M133&gt;(ROW(PLE.lastrow)-ROW(PLE.firstrow))),0,IF(OFFSET(PLE!$G$14,$M133,AZ$13)="",10^12,OFFSET(PLE!$G$14,$M133,AZ$13))))</f>
        <v>1000000000000</v>
      </c>
      <c r="BA133" s="216">
        <f ca="1">IF($D133&lt;&gt;"Serviço",0,IF(OR(AND(AUTOEVENTO="Manual",$M133=1),$M133&gt;(ROW(PLE.lastrow)-ROW(PLE.firstrow))),0,IF(OFFSET(PLE!$G$14,$M133,BA$13)="",10^12,OFFSET(PLE!$G$14,$M133,BA$13))))</f>
        <v>1000000000000</v>
      </c>
      <c r="BB133" s="216">
        <f ca="1">IF($D133&lt;&gt;"Serviço",0,IF(OR(AND(AUTOEVENTO="Manual",$M133=1),$M133&gt;(ROW(PLE.lastrow)-ROW(PLE.firstrow))),0,IF(OFFSET(PLE!$G$14,$M133,BB$13)="",10^12,OFFSET(PLE!$G$14,$M133,BB$13))))</f>
        <v>1000000000000</v>
      </c>
      <c r="BC133" s="216">
        <f ca="1">IF($D133&lt;&gt;"Serviço",0,IF(OR(AND(AUTOEVENTO="Manual",$M133=1),$M133&gt;(ROW(PLE.lastrow)-ROW(PLE.firstrow))),0,IF(OFFSET(PLE!$G$14,$M133,BC$13)="",10^12,OFFSET(PLE!$G$14,$M133,BC$13))))</f>
        <v>1000000000000</v>
      </c>
      <c r="BD133" s="216">
        <f ca="1">IF($D133&lt;&gt;"Serviço",0,IF(OR(AND(AUTOEVENTO="Manual",$M133=1),$M133&gt;(ROW(PLE.lastrow)-ROW(PLE.firstrow))),0,IF(OFFSET(PLE!$G$14,$M133,BD$13)="",10^12,OFFSET(PLE!$G$14,$M133,BD$13))))</f>
        <v>1000000000000</v>
      </c>
      <c r="BE133" s="216">
        <f ca="1">IF($D133&lt;&gt;"Serviço",0,IF(OR(AND(AUTOEVENTO="Manual",$M133=1),$M133&gt;(ROW(PLE.lastrow)-ROW(PLE.firstrow))),0,IF(OFFSET(PLE!$G$14,$M133,BE$13)="",10^12,OFFSET(PLE!$G$14,$M133,BE$13))))</f>
        <v>1000000000000</v>
      </c>
      <c r="BF133" s="216">
        <f ca="1">IF($D133&lt;&gt;"Serviço",0,IF(OR(AND(AUTOEVENTO="Manual",$M133=1),$M133&gt;(ROW(PLE.lastrow)-ROW(PLE.firstrow))),0,IF(OFFSET(PLE!$G$14,$M133,BF$13)="",10^12,OFFSET(PLE!$G$14,$M133,BF$13))))</f>
        <v>1000000000000</v>
      </c>
      <c r="BG133" s="216">
        <f ca="1">IF($D133&lt;&gt;"Serviço",0,IF(OR(AND(AUTOEVENTO="Manual",$M133=1),$M133&gt;(ROW(PLE.lastrow)-ROW(PLE.firstrow))),0,IF(OFFSET(PLE!$G$14,$M133,BG$13)="",10^12,OFFSET(PLE!$G$14,$M133,BG$13))))</f>
        <v>1000000000000</v>
      </c>
    </row>
    <row r="134" spans="1:59" ht="25.5" x14ac:dyDescent="0.2">
      <c r="A134" s="9" t="str">
        <f t="shared" ca="1" si="10"/>
        <v>93</v>
      </c>
      <c r="B134" s="9" t="str">
        <f ca="1">OFFSET(ORÇAMENTO!C$15,ROW(B134)-ROW(B$15),0)</f>
        <v>S</v>
      </c>
      <c r="C134" s="9" t="str">
        <f ca="1">OFFSET(ORÇAMENTO!L$15,ROW(C134)-ROW(C$15),0)</f>
        <v/>
      </c>
      <c r="D134" s="145" t="str">
        <f ca="1">OFFSET(ORÇAMENTO!N$15,ROW(D134)-ROW(D$15),0)</f>
        <v>Serviço</v>
      </c>
      <c r="E134" s="205" t="str">
        <f ca="1">OFFSET(ORÇAMENTO!O$15,ROW(E134)-ROW(E$15),0)</f>
        <v>-</v>
      </c>
      <c r="F134" s="206" t="str">
        <f ca="1">OFFSET(ORÇAMENTO!R$15,ROW(F134)-ROW(F$15),0)</f>
        <v xml:space="preserve">CABO DE REDE, PAR TRANCADO UTP, 4 PARES, CATEGORIA 6 (CAT 6), ISOLAMENTO PVC (LSZH)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G134" s="207" t="str">
        <f ca="1">IF($D134&lt;&gt;"Serviço","",OFFSET(ORÇAMENTO!S$15,ROW(G134)-ROW(G$15),0))</f>
        <v xml:space="preserve">M     </v>
      </c>
      <c r="H134" s="151">
        <f ca="1">IF($D134&lt;&gt;"Serviço",0,IF(ACOMPANHAMENTO="BM",ROUND(OFFSET(ORÇAMENTO!AJ$15,ROW(H134)-ROW(H$15),0),15-13*ORÇAMENTO!$AF$7),SUMPRODUCT(($Q$12:$AA$12&lt;&gt;"")*ROUND($Q134:$AA134,15-13*ORÇAMENTO!$AF$7))))</f>
        <v>70</v>
      </c>
      <c r="I134" s="649"/>
      <c r="K134" s="208"/>
      <c r="L134" s="209" t="s">
        <v>255</v>
      </c>
      <c r="M134" s="210">
        <f ca="1">IF($D134&lt;&gt;"Serviço","",IF(AUTOEVENTO="manual",$A134,IF(ISERROR(MATCH($A134,$A$15:OFFSET($A134,-1,0),0)),MAX($M$15:OFFSET(M134,-1,0))+1,INDEX($M$15:OFFSET(M134,-1,0),MATCH($A134,$A$15:OFFSET($A134,-1,0),0)))))</f>
        <v>19</v>
      </c>
      <c r="N134" s="211" t="str">
        <f ca="1">IF($D134&lt;&gt;"Serviço","",IF(AUTOEVENTO="Manual",IF($A134=0,"&lt;-- defina o número do agrupador",OFFSET(EVENTOS!$D$14,$A134,0)),OFFSET($F$15,$A134,0)))</f>
        <v xml:space="preserve">ELÉTRICA </v>
      </c>
      <c r="O134" s="212"/>
      <c r="Q134" s="212"/>
      <c r="R134" s="213"/>
      <c r="S134" s="213"/>
      <c r="T134" s="213"/>
      <c r="U134" s="213"/>
      <c r="V134" s="213"/>
      <c r="W134" s="213"/>
      <c r="X134" s="213"/>
      <c r="Y134" s="213"/>
      <c r="Z134" s="214"/>
      <c r="AB134" s="630">
        <f ca="1">IF(AND($D134="Serviço",AB$12&lt;&gt;0,$H134&gt;0,OR(AUTOEVENTO&lt;&gt;"manual",$M134&lt;&gt;1)),
IF(Import.TipoArredondamento&lt;&gt;"TransfereGOV",
ROUND(OFFSET($P134,0,AB$13),15-13*ORÇAMENTO!$AF$7)/$H134*OFFSET(ORÇAMENTO!$X$15,ROW(AB134)-ROW(AB$15),0),
ROUND(ROUND(OFFSET($P134,0,AB$13),15-13*ORÇAMENTO!$AF$7)*OFFSET(ORÇAMENTO!$W$15,ROW(AB134)-ROW(AB$15),0),15-13*ORÇAMENTO!$AF$11)),0)</f>
        <v>0</v>
      </c>
      <c r="AC134" s="631">
        <f ca="1">IF(AND($D134="Serviço",AC$12&lt;&gt;0,$H134&gt;0,OR(AUTOEVENTO&lt;&gt;"manual",$M134&lt;&gt;1)),
IF(Import.TipoArredondamento&lt;&gt;"TransfereGOV",
ROUND(OFFSET($P134,0,AC$13),15-13*ORÇAMENTO!$AF$7)/$H134*OFFSET(ORÇAMENTO!$X$15,ROW(AC134)-ROW(AC$15),0),
ROUND(ROUND(OFFSET($P134,0,AC$13),15-13*ORÇAMENTO!$AF$7)*OFFSET(ORÇAMENTO!$W$15,ROW(AC134)-ROW(AC$15),0),15-13*ORÇAMENTO!$AF$11)),0)</f>
        <v>0</v>
      </c>
      <c r="AD134" s="631">
        <f ca="1">IF(AND($D134="Serviço",AD$12&lt;&gt;0,$H134&gt;0,OR(AUTOEVENTO&lt;&gt;"manual",$M134&lt;&gt;1)),
IF(Import.TipoArredondamento&lt;&gt;"TransfereGOV",
ROUND(OFFSET($P134,0,AD$13),15-13*ORÇAMENTO!$AF$7)/$H134*OFFSET(ORÇAMENTO!$X$15,ROW(AD134)-ROW(AD$15),0),
ROUND(ROUND(OFFSET($P134,0,AD$13),15-13*ORÇAMENTO!$AF$7)*OFFSET(ORÇAMENTO!$W$15,ROW(AD134)-ROW(AD$15),0),15-13*ORÇAMENTO!$AF$11)),0)</f>
        <v>0</v>
      </c>
      <c r="AE134" s="631">
        <f ca="1">IF(AND($D134="Serviço",AE$12&lt;&gt;0,$H134&gt;0,OR(AUTOEVENTO&lt;&gt;"manual",$M134&lt;&gt;1)),
IF(Import.TipoArredondamento&lt;&gt;"TransfereGOV",
ROUND(OFFSET($P134,0,AE$13),15-13*ORÇAMENTO!$AF$7)/$H134*OFFSET(ORÇAMENTO!$X$15,ROW(AE134)-ROW(AE$15),0),
ROUND(ROUND(OFFSET($P134,0,AE$13),15-13*ORÇAMENTO!$AF$7)*OFFSET(ORÇAMENTO!$W$15,ROW(AE134)-ROW(AE$15),0),15-13*ORÇAMENTO!$AF$11)),0)</f>
        <v>0</v>
      </c>
      <c r="AF134" s="631">
        <f ca="1">IF(AND($D134="Serviço",AF$12&lt;&gt;0,$H134&gt;0,OR(AUTOEVENTO&lt;&gt;"manual",$M134&lt;&gt;1)),
IF(Import.TipoArredondamento&lt;&gt;"TransfereGOV",
ROUND(OFFSET($P134,0,AF$13),15-13*ORÇAMENTO!$AF$7)/$H134*OFFSET(ORÇAMENTO!$X$15,ROW(AF134)-ROW(AF$15),0),
ROUND(ROUND(OFFSET($P134,0,AF$13),15-13*ORÇAMENTO!$AF$7)*OFFSET(ORÇAMENTO!$W$15,ROW(AF134)-ROW(AF$15),0),15-13*ORÇAMENTO!$AF$11)),0)</f>
        <v>0</v>
      </c>
      <c r="AG134" s="631">
        <f ca="1">IF(AND($D134="Serviço",AG$12&lt;&gt;0,$H134&gt;0,OR(AUTOEVENTO&lt;&gt;"manual",$M134&lt;&gt;1)),
IF(Import.TipoArredondamento&lt;&gt;"TransfereGOV",
ROUND(OFFSET($P134,0,AG$13),15-13*ORÇAMENTO!$AF$7)/$H134*OFFSET(ORÇAMENTO!$X$15,ROW(AG134)-ROW(AG$15),0),
ROUND(ROUND(OFFSET($P134,0,AG$13),15-13*ORÇAMENTO!$AF$7)*OFFSET(ORÇAMENTO!$W$15,ROW(AG134)-ROW(AG$15),0),15-13*ORÇAMENTO!$AF$11)),0)</f>
        <v>0</v>
      </c>
      <c r="AH134" s="631">
        <f ca="1">IF(AND($D134="Serviço",AH$12&lt;&gt;0,$H134&gt;0,OR(AUTOEVENTO&lt;&gt;"manual",$M134&lt;&gt;1)),
IF(Import.TipoArredondamento&lt;&gt;"TransfereGOV",
ROUND(OFFSET($P134,0,AH$13),15-13*ORÇAMENTO!$AF$7)/$H134*OFFSET(ORÇAMENTO!$X$15,ROW(AH134)-ROW(AH$15),0),
ROUND(ROUND(OFFSET($P134,0,AH$13),15-13*ORÇAMENTO!$AF$7)*OFFSET(ORÇAMENTO!$W$15,ROW(AH134)-ROW(AH$15),0),15-13*ORÇAMENTO!$AF$11)),0)</f>
        <v>0</v>
      </c>
      <c r="AI134" s="631">
        <f ca="1">IF(AND($D134="Serviço",AI$12&lt;&gt;0,$H134&gt;0,OR(AUTOEVENTO&lt;&gt;"manual",$M134&lt;&gt;1)),
IF(Import.TipoArredondamento&lt;&gt;"TransfereGOV",
ROUND(OFFSET($P134,0,AI$13),15-13*ORÇAMENTO!$AF$7)/$H134*OFFSET(ORÇAMENTO!$X$15,ROW(AI134)-ROW(AI$15),0),
ROUND(ROUND(OFFSET($P134,0,AI$13),15-13*ORÇAMENTO!$AF$7)*OFFSET(ORÇAMENTO!$W$15,ROW(AI134)-ROW(AI$15),0),15-13*ORÇAMENTO!$AF$11)),0)</f>
        <v>0</v>
      </c>
      <c r="AJ134" s="631">
        <f ca="1">IF(AND($D134="Serviço",AJ$12&lt;&gt;0,$H134&gt;0,OR(AUTOEVENTO&lt;&gt;"manual",$M134&lt;&gt;1)),
IF(Import.TipoArredondamento&lt;&gt;"TransfereGOV",
ROUND(OFFSET($P134,0,AJ$13),15-13*ORÇAMENTO!$AF$7)/$H134*OFFSET(ORÇAMENTO!$X$15,ROW(AJ134)-ROW(AJ$15),0),
ROUND(ROUND(OFFSET($P134,0,AJ$13),15-13*ORÇAMENTO!$AF$7)*OFFSET(ORÇAMENTO!$W$15,ROW(AJ134)-ROW(AJ$15),0),15-13*ORÇAMENTO!$AF$11)),0)</f>
        <v>0</v>
      </c>
      <c r="AK134" s="632">
        <f ca="1">IF(AND($D134="Serviço",AK$12&lt;&gt;0,$H134&gt;0,OR(AUTOEVENTO&lt;&gt;"manual",$M134&lt;&gt;1)),
IF(Import.TipoArredondamento&lt;&gt;"TransfereGOV",
ROUND(OFFSET($P134,0,AK$13),15-13*ORÇAMENTO!$AF$7)/$H134*OFFSET(ORÇAMENTO!$X$15,ROW(AK134)-ROW(AK$15),0),
ROUND(ROUND(OFFSET($P134,0,AK$13),15-13*ORÇAMENTO!$AF$7)*OFFSET(ORÇAMENTO!$W$15,ROW(AK134)-ROW(AK$15),0),15-13*ORÇAMENTO!$AF$11)),0)</f>
        <v>0</v>
      </c>
      <c r="AM134" s="215">
        <f ca="1">IF($D134&lt;&gt;"Serviço",0,IF(AND(AUTOEVENTO="Manual",$M134=1),0,IF(OFFSET(CRONOPLE!$F$14,$M134,AM$13)="",10^12,OFFSET(CRONOPLE!$F$14,$M134,AM$13))))</f>
        <v>1000000000000</v>
      </c>
      <c r="AN134" s="215">
        <f ca="1">IF($D134&lt;&gt;"Serviço",0,IF(AND(AUTOEVENTO="Manual",$M134=1),0,IF(OFFSET(CRONOPLE!$F$14,$M134,AN$13)="",10^12,OFFSET(CRONOPLE!$F$14,$M134,AN$13))))</f>
        <v>1000000000000</v>
      </c>
      <c r="AO134" s="215">
        <f ca="1">IF($D134&lt;&gt;"Serviço",0,IF(AND(AUTOEVENTO="Manual",$M134=1),0,IF(OFFSET(CRONOPLE!$F$14,$M134,AO$13)="",10^12,OFFSET(CRONOPLE!$F$14,$M134,AO$13))))</f>
        <v>1000000000000</v>
      </c>
      <c r="AP134" s="215">
        <f ca="1">IF($D134&lt;&gt;"Serviço",0,IF(AND(AUTOEVENTO="Manual",$M134=1),0,IF(OFFSET(CRONOPLE!$F$14,$M134,AP$13)="",10^12,OFFSET(CRONOPLE!$F$14,$M134,AP$13))))</f>
        <v>1000000000000</v>
      </c>
      <c r="AQ134" s="215">
        <f ca="1">IF($D134&lt;&gt;"Serviço",0,IF(AND(AUTOEVENTO="Manual",$M134=1),0,IF(OFFSET(CRONOPLE!$F$14,$M134,AQ$13)="",10^12,OFFSET(CRONOPLE!$F$14,$M134,AQ$13))))</f>
        <v>1000000000000</v>
      </c>
      <c r="AR134" s="215">
        <f ca="1">IF($D134&lt;&gt;"Serviço",0,IF(AND(AUTOEVENTO="Manual",$M134=1),0,IF(OFFSET(CRONOPLE!$F$14,$M134,AR$13)="",10^12,OFFSET(CRONOPLE!$F$14,$M134,AR$13))))</f>
        <v>1000000000000</v>
      </c>
      <c r="AS134" s="215">
        <f ca="1">IF($D134&lt;&gt;"Serviço",0,IF(AND(AUTOEVENTO="Manual",$M134=1),0,IF(OFFSET(CRONOPLE!$F$14,$M134,AS$13)="",10^12,OFFSET(CRONOPLE!$F$14,$M134,AS$13))))</f>
        <v>1000000000000</v>
      </c>
      <c r="AT134" s="215">
        <f ca="1">IF($D134&lt;&gt;"Serviço",0,IF(AND(AUTOEVENTO="Manual",$M134=1),0,IF(OFFSET(CRONOPLE!$F$14,$M134,AT$13)="",10^12,OFFSET(CRONOPLE!$F$14,$M134,AT$13))))</f>
        <v>1000000000000</v>
      </c>
      <c r="AU134" s="215">
        <f ca="1">IF($D134&lt;&gt;"Serviço",0,IF(AND(AUTOEVENTO="Manual",$M134=1),0,IF(OFFSET(CRONOPLE!$F$14,$M134,AU$13)="",10^12,OFFSET(CRONOPLE!$F$14,$M134,AU$13))))</f>
        <v>1000000000000</v>
      </c>
      <c r="AV134" s="215">
        <f ca="1">IF($D134&lt;&gt;"Serviço",0,IF(AND(AUTOEVENTO="Manual",$M134=1),0,IF(OFFSET(CRONOPLE!$F$14,$M134,AV$13)="",10^12,OFFSET(CRONOPLE!$F$14,$M134,AV$13))))</f>
        <v>1000000000000</v>
      </c>
      <c r="AX134" s="216">
        <f ca="1">IF($D134&lt;&gt;"Serviço",0,IF(OR(AND(AUTOEVENTO="Manual",$M134=1),$M134&gt;(ROW(PLE.lastrow)-ROW(PLE.firstrow))),0,IF(OFFSET(PLE!$G$14,$M134,AX$13)="",10^12,OFFSET(PLE!$G$14,$M134,AX$13))))</f>
        <v>1000000000000</v>
      </c>
      <c r="AY134" s="216">
        <f ca="1">IF($D134&lt;&gt;"Serviço",0,IF(OR(AND(AUTOEVENTO="Manual",$M134=1),$M134&gt;(ROW(PLE.lastrow)-ROW(PLE.firstrow))),0,IF(OFFSET(PLE!$G$14,$M134,AY$13)="",10^12,OFFSET(PLE!$G$14,$M134,AY$13))))</f>
        <v>1000000000000</v>
      </c>
      <c r="AZ134" s="216">
        <f ca="1">IF($D134&lt;&gt;"Serviço",0,IF(OR(AND(AUTOEVENTO="Manual",$M134=1),$M134&gt;(ROW(PLE.lastrow)-ROW(PLE.firstrow))),0,IF(OFFSET(PLE!$G$14,$M134,AZ$13)="",10^12,OFFSET(PLE!$G$14,$M134,AZ$13))))</f>
        <v>1000000000000</v>
      </c>
      <c r="BA134" s="216">
        <f ca="1">IF($D134&lt;&gt;"Serviço",0,IF(OR(AND(AUTOEVENTO="Manual",$M134=1),$M134&gt;(ROW(PLE.lastrow)-ROW(PLE.firstrow))),0,IF(OFFSET(PLE!$G$14,$M134,BA$13)="",10^12,OFFSET(PLE!$G$14,$M134,BA$13))))</f>
        <v>1000000000000</v>
      </c>
      <c r="BB134" s="216">
        <f ca="1">IF($D134&lt;&gt;"Serviço",0,IF(OR(AND(AUTOEVENTO="Manual",$M134=1),$M134&gt;(ROW(PLE.lastrow)-ROW(PLE.firstrow))),0,IF(OFFSET(PLE!$G$14,$M134,BB$13)="",10^12,OFFSET(PLE!$G$14,$M134,BB$13))))</f>
        <v>1000000000000</v>
      </c>
      <c r="BC134" s="216">
        <f ca="1">IF($D134&lt;&gt;"Serviço",0,IF(OR(AND(AUTOEVENTO="Manual",$M134=1),$M134&gt;(ROW(PLE.lastrow)-ROW(PLE.firstrow))),0,IF(OFFSET(PLE!$G$14,$M134,BC$13)="",10^12,OFFSET(PLE!$G$14,$M134,BC$13))))</f>
        <v>1000000000000</v>
      </c>
      <c r="BD134" s="216">
        <f ca="1">IF($D134&lt;&gt;"Serviço",0,IF(OR(AND(AUTOEVENTO="Manual",$M134=1),$M134&gt;(ROW(PLE.lastrow)-ROW(PLE.firstrow))),0,IF(OFFSET(PLE!$G$14,$M134,BD$13)="",10^12,OFFSET(PLE!$G$14,$M134,BD$13))))</f>
        <v>1000000000000</v>
      </c>
      <c r="BE134" s="216">
        <f ca="1">IF($D134&lt;&gt;"Serviço",0,IF(OR(AND(AUTOEVENTO="Manual",$M134=1),$M134&gt;(ROW(PLE.lastrow)-ROW(PLE.firstrow))),0,IF(OFFSET(PLE!$G$14,$M134,BE$13)="",10^12,OFFSET(PLE!$G$14,$M134,BE$13))))</f>
        <v>1000000000000</v>
      </c>
      <c r="BF134" s="216">
        <f ca="1">IF($D134&lt;&gt;"Serviço",0,IF(OR(AND(AUTOEVENTO="Manual",$M134=1),$M134&gt;(ROW(PLE.lastrow)-ROW(PLE.firstrow))),0,IF(OFFSET(PLE!$G$14,$M134,BF$13)="",10^12,OFFSET(PLE!$G$14,$M134,BF$13))))</f>
        <v>1000000000000</v>
      </c>
      <c r="BG134" s="216">
        <f ca="1">IF($D134&lt;&gt;"Serviço",0,IF(OR(AND(AUTOEVENTO="Manual",$M134=1),$M134&gt;(ROW(PLE.lastrow)-ROW(PLE.firstrow))),0,IF(OFFSET(PLE!$G$14,$M134,BG$13)="",10^12,OFFSET(PLE!$G$14,$M134,BG$13))))</f>
        <v>1000000000000</v>
      </c>
    </row>
    <row r="135" spans="1:59" ht="25.5" x14ac:dyDescent="0.2">
      <c r="A135" s="9" t="str">
        <f t="shared" ca="1" si="10"/>
        <v>93</v>
      </c>
      <c r="B135" s="9" t="str">
        <f ca="1">OFFSET(ORÇAMENTO!C$15,ROW(B135)-ROW(B$15),0)</f>
        <v>S</v>
      </c>
      <c r="C135" s="9" t="str">
        <f ca="1">OFFSET(ORÇAMENTO!L$15,ROW(C135)-ROW(C$15),0)</f>
        <v/>
      </c>
      <c r="D135" s="145" t="str">
        <f ca="1">OFFSET(ORÇAMENTO!N$15,ROW(D135)-ROW(D$15),0)</f>
        <v>Serviço</v>
      </c>
      <c r="E135" s="205" t="str">
        <f ca="1">OFFSET(ORÇAMENTO!O$15,ROW(E135)-ROW(E$15),0)</f>
        <v>-</v>
      </c>
      <c r="F135" s="206" t="str">
        <f ca="1">OFFSET(ORÇAMENTO!R$15,ROW(F135)-ROW(F$15),0)</f>
        <v>TOMADA DE REDE RJ45 - FORNECIMENTO E INSTALAÇÃO. AF_11/2019</v>
      </c>
      <c r="G135" s="207" t="str">
        <f ca="1">IF($D135&lt;&gt;"Serviço","",OFFSET(ORÇAMENTO!S$15,ROW(G135)-ROW(G$15),0))</f>
        <v>UN</v>
      </c>
      <c r="H135" s="151">
        <f ca="1">IF($D135&lt;&gt;"Serviço",0,IF(ACOMPANHAMENTO="BM",ROUND(OFFSET(ORÇAMENTO!AJ$15,ROW(H135)-ROW(H$15),0),15-13*ORÇAMENTO!$AF$7),SUMPRODUCT(($Q$12:$AA$12&lt;&gt;"")*ROUND($Q135:$AA135,15-13*ORÇAMENTO!$AF$7))))</f>
        <v>10</v>
      </c>
      <c r="I135" s="649"/>
      <c r="K135" s="208"/>
      <c r="L135" s="209" t="s">
        <v>255</v>
      </c>
      <c r="M135" s="210">
        <f ca="1">IF($D135&lt;&gt;"Serviço","",IF(AUTOEVENTO="manual",$A135,IF(ISERROR(MATCH($A135,$A$15:OFFSET($A135,-1,0),0)),MAX($M$15:OFFSET(M135,-1,0))+1,INDEX($M$15:OFFSET(M135,-1,0),MATCH($A135,$A$15:OFFSET($A135,-1,0),0)))))</f>
        <v>19</v>
      </c>
      <c r="N135" s="211" t="str">
        <f ca="1">IF($D135&lt;&gt;"Serviço","",IF(AUTOEVENTO="Manual",IF($A135=0,"&lt;-- defina o número do agrupador",OFFSET(EVENTOS!$D$14,$A135,0)),OFFSET($F$15,$A135,0)))</f>
        <v xml:space="preserve">ELÉTRICA </v>
      </c>
      <c r="O135" s="212"/>
      <c r="Q135" s="212"/>
      <c r="R135" s="213"/>
      <c r="S135" s="213"/>
      <c r="T135" s="213"/>
      <c r="U135" s="213"/>
      <c r="V135" s="213"/>
      <c r="W135" s="213"/>
      <c r="X135" s="213"/>
      <c r="Y135" s="213"/>
      <c r="Z135" s="214"/>
      <c r="AB135" s="630">
        <f ca="1">IF(AND($D135="Serviço",AB$12&lt;&gt;0,$H135&gt;0,OR(AUTOEVENTO&lt;&gt;"manual",$M135&lt;&gt;1)),
IF(Import.TipoArredondamento&lt;&gt;"TransfereGOV",
ROUND(OFFSET($P135,0,AB$13),15-13*ORÇAMENTO!$AF$7)/$H135*OFFSET(ORÇAMENTO!$X$15,ROW(AB135)-ROW(AB$15),0),
ROUND(ROUND(OFFSET($P135,0,AB$13),15-13*ORÇAMENTO!$AF$7)*OFFSET(ORÇAMENTO!$W$15,ROW(AB135)-ROW(AB$15),0),15-13*ORÇAMENTO!$AF$11)),0)</f>
        <v>0</v>
      </c>
      <c r="AC135" s="631">
        <f ca="1">IF(AND($D135="Serviço",AC$12&lt;&gt;0,$H135&gt;0,OR(AUTOEVENTO&lt;&gt;"manual",$M135&lt;&gt;1)),
IF(Import.TipoArredondamento&lt;&gt;"TransfereGOV",
ROUND(OFFSET($P135,0,AC$13),15-13*ORÇAMENTO!$AF$7)/$H135*OFFSET(ORÇAMENTO!$X$15,ROW(AC135)-ROW(AC$15),0),
ROUND(ROUND(OFFSET($P135,0,AC$13),15-13*ORÇAMENTO!$AF$7)*OFFSET(ORÇAMENTO!$W$15,ROW(AC135)-ROW(AC$15),0),15-13*ORÇAMENTO!$AF$11)),0)</f>
        <v>0</v>
      </c>
      <c r="AD135" s="631">
        <f ca="1">IF(AND($D135="Serviço",AD$12&lt;&gt;0,$H135&gt;0,OR(AUTOEVENTO&lt;&gt;"manual",$M135&lt;&gt;1)),
IF(Import.TipoArredondamento&lt;&gt;"TransfereGOV",
ROUND(OFFSET($P135,0,AD$13),15-13*ORÇAMENTO!$AF$7)/$H135*OFFSET(ORÇAMENTO!$X$15,ROW(AD135)-ROW(AD$15),0),
ROUND(ROUND(OFFSET($P135,0,AD$13),15-13*ORÇAMENTO!$AF$7)*OFFSET(ORÇAMENTO!$W$15,ROW(AD135)-ROW(AD$15),0),15-13*ORÇAMENTO!$AF$11)),0)</f>
        <v>0</v>
      </c>
      <c r="AE135" s="631">
        <f ca="1">IF(AND($D135="Serviço",AE$12&lt;&gt;0,$H135&gt;0,OR(AUTOEVENTO&lt;&gt;"manual",$M135&lt;&gt;1)),
IF(Import.TipoArredondamento&lt;&gt;"TransfereGOV",
ROUND(OFFSET($P135,0,AE$13),15-13*ORÇAMENTO!$AF$7)/$H135*OFFSET(ORÇAMENTO!$X$15,ROW(AE135)-ROW(AE$15),0),
ROUND(ROUND(OFFSET($P135,0,AE$13),15-13*ORÇAMENTO!$AF$7)*OFFSET(ORÇAMENTO!$W$15,ROW(AE135)-ROW(AE$15),0),15-13*ORÇAMENTO!$AF$11)),0)</f>
        <v>0</v>
      </c>
      <c r="AF135" s="631">
        <f ca="1">IF(AND($D135="Serviço",AF$12&lt;&gt;0,$H135&gt;0,OR(AUTOEVENTO&lt;&gt;"manual",$M135&lt;&gt;1)),
IF(Import.TipoArredondamento&lt;&gt;"TransfereGOV",
ROUND(OFFSET($P135,0,AF$13),15-13*ORÇAMENTO!$AF$7)/$H135*OFFSET(ORÇAMENTO!$X$15,ROW(AF135)-ROW(AF$15),0),
ROUND(ROUND(OFFSET($P135,0,AF$13),15-13*ORÇAMENTO!$AF$7)*OFFSET(ORÇAMENTO!$W$15,ROW(AF135)-ROW(AF$15),0),15-13*ORÇAMENTO!$AF$11)),0)</f>
        <v>0</v>
      </c>
      <c r="AG135" s="631">
        <f ca="1">IF(AND($D135="Serviço",AG$12&lt;&gt;0,$H135&gt;0,OR(AUTOEVENTO&lt;&gt;"manual",$M135&lt;&gt;1)),
IF(Import.TipoArredondamento&lt;&gt;"TransfereGOV",
ROUND(OFFSET($P135,0,AG$13),15-13*ORÇAMENTO!$AF$7)/$H135*OFFSET(ORÇAMENTO!$X$15,ROW(AG135)-ROW(AG$15),0),
ROUND(ROUND(OFFSET($P135,0,AG$13),15-13*ORÇAMENTO!$AF$7)*OFFSET(ORÇAMENTO!$W$15,ROW(AG135)-ROW(AG$15),0),15-13*ORÇAMENTO!$AF$11)),0)</f>
        <v>0</v>
      </c>
      <c r="AH135" s="631">
        <f ca="1">IF(AND($D135="Serviço",AH$12&lt;&gt;0,$H135&gt;0,OR(AUTOEVENTO&lt;&gt;"manual",$M135&lt;&gt;1)),
IF(Import.TipoArredondamento&lt;&gt;"TransfereGOV",
ROUND(OFFSET($P135,0,AH$13),15-13*ORÇAMENTO!$AF$7)/$H135*OFFSET(ORÇAMENTO!$X$15,ROW(AH135)-ROW(AH$15),0),
ROUND(ROUND(OFFSET($P135,0,AH$13),15-13*ORÇAMENTO!$AF$7)*OFFSET(ORÇAMENTO!$W$15,ROW(AH135)-ROW(AH$15),0),15-13*ORÇAMENTO!$AF$11)),0)</f>
        <v>0</v>
      </c>
      <c r="AI135" s="631">
        <f ca="1">IF(AND($D135="Serviço",AI$12&lt;&gt;0,$H135&gt;0,OR(AUTOEVENTO&lt;&gt;"manual",$M135&lt;&gt;1)),
IF(Import.TipoArredondamento&lt;&gt;"TransfereGOV",
ROUND(OFFSET($P135,0,AI$13),15-13*ORÇAMENTO!$AF$7)/$H135*OFFSET(ORÇAMENTO!$X$15,ROW(AI135)-ROW(AI$15),0),
ROUND(ROUND(OFFSET($P135,0,AI$13),15-13*ORÇAMENTO!$AF$7)*OFFSET(ORÇAMENTO!$W$15,ROW(AI135)-ROW(AI$15),0),15-13*ORÇAMENTO!$AF$11)),0)</f>
        <v>0</v>
      </c>
      <c r="AJ135" s="631">
        <f ca="1">IF(AND($D135="Serviço",AJ$12&lt;&gt;0,$H135&gt;0,OR(AUTOEVENTO&lt;&gt;"manual",$M135&lt;&gt;1)),
IF(Import.TipoArredondamento&lt;&gt;"TransfereGOV",
ROUND(OFFSET($P135,0,AJ$13),15-13*ORÇAMENTO!$AF$7)/$H135*OFFSET(ORÇAMENTO!$X$15,ROW(AJ135)-ROW(AJ$15),0),
ROUND(ROUND(OFFSET($P135,0,AJ$13),15-13*ORÇAMENTO!$AF$7)*OFFSET(ORÇAMENTO!$W$15,ROW(AJ135)-ROW(AJ$15),0),15-13*ORÇAMENTO!$AF$11)),0)</f>
        <v>0</v>
      </c>
      <c r="AK135" s="632">
        <f ca="1">IF(AND($D135="Serviço",AK$12&lt;&gt;0,$H135&gt;0,OR(AUTOEVENTO&lt;&gt;"manual",$M135&lt;&gt;1)),
IF(Import.TipoArredondamento&lt;&gt;"TransfereGOV",
ROUND(OFFSET($P135,0,AK$13),15-13*ORÇAMENTO!$AF$7)/$H135*OFFSET(ORÇAMENTO!$X$15,ROW(AK135)-ROW(AK$15),0),
ROUND(ROUND(OFFSET($P135,0,AK$13),15-13*ORÇAMENTO!$AF$7)*OFFSET(ORÇAMENTO!$W$15,ROW(AK135)-ROW(AK$15),0),15-13*ORÇAMENTO!$AF$11)),0)</f>
        <v>0</v>
      </c>
      <c r="AM135" s="215">
        <f ca="1">IF($D135&lt;&gt;"Serviço",0,IF(AND(AUTOEVENTO="Manual",$M135=1),0,IF(OFFSET(CRONOPLE!$F$14,$M135,AM$13)="",10^12,OFFSET(CRONOPLE!$F$14,$M135,AM$13))))</f>
        <v>1000000000000</v>
      </c>
      <c r="AN135" s="215">
        <f ca="1">IF($D135&lt;&gt;"Serviço",0,IF(AND(AUTOEVENTO="Manual",$M135=1),0,IF(OFFSET(CRONOPLE!$F$14,$M135,AN$13)="",10^12,OFFSET(CRONOPLE!$F$14,$M135,AN$13))))</f>
        <v>1000000000000</v>
      </c>
      <c r="AO135" s="215">
        <f ca="1">IF($D135&lt;&gt;"Serviço",0,IF(AND(AUTOEVENTO="Manual",$M135=1),0,IF(OFFSET(CRONOPLE!$F$14,$M135,AO$13)="",10^12,OFFSET(CRONOPLE!$F$14,$M135,AO$13))))</f>
        <v>1000000000000</v>
      </c>
      <c r="AP135" s="215">
        <f ca="1">IF($D135&lt;&gt;"Serviço",0,IF(AND(AUTOEVENTO="Manual",$M135=1),0,IF(OFFSET(CRONOPLE!$F$14,$M135,AP$13)="",10^12,OFFSET(CRONOPLE!$F$14,$M135,AP$13))))</f>
        <v>1000000000000</v>
      </c>
      <c r="AQ135" s="215">
        <f ca="1">IF($D135&lt;&gt;"Serviço",0,IF(AND(AUTOEVENTO="Manual",$M135=1),0,IF(OFFSET(CRONOPLE!$F$14,$M135,AQ$13)="",10^12,OFFSET(CRONOPLE!$F$14,$M135,AQ$13))))</f>
        <v>1000000000000</v>
      </c>
      <c r="AR135" s="215">
        <f ca="1">IF($D135&lt;&gt;"Serviço",0,IF(AND(AUTOEVENTO="Manual",$M135=1),0,IF(OFFSET(CRONOPLE!$F$14,$M135,AR$13)="",10^12,OFFSET(CRONOPLE!$F$14,$M135,AR$13))))</f>
        <v>1000000000000</v>
      </c>
      <c r="AS135" s="215">
        <f ca="1">IF($D135&lt;&gt;"Serviço",0,IF(AND(AUTOEVENTO="Manual",$M135=1),0,IF(OFFSET(CRONOPLE!$F$14,$M135,AS$13)="",10^12,OFFSET(CRONOPLE!$F$14,$M135,AS$13))))</f>
        <v>1000000000000</v>
      </c>
      <c r="AT135" s="215">
        <f ca="1">IF($D135&lt;&gt;"Serviço",0,IF(AND(AUTOEVENTO="Manual",$M135=1),0,IF(OFFSET(CRONOPLE!$F$14,$M135,AT$13)="",10^12,OFFSET(CRONOPLE!$F$14,$M135,AT$13))))</f>
        <v>1000000000000</v>
      </c>
      <c r="AU135" s="215">
        <f ca="1">IF($D135&lt;&gt;"Serviço",0,IF(AND(AUTOEVENTO="Manual",$M135=1),0,IF(OFFSET(CRONOPLE!$F$14,$M135,AU$13)="",10^12,OFFSET(CRONOPLE!$F$14,$M135,AU$13))))</f>
        <v>1000000000000</v>
      </c>
      <c r="AV135" s="215">
        <f ca="1">IF($D135&lt;&gt;"Serviço",0,IF(AND(AUTOEVENTO="Manual",$M135=1),0,IF(OFFSET(CRONOPLE!$F$14,$M135,AV$13)="",10^12,OFFSET(CRONOPLE!$F$14,$M135,AV$13))))</f>
        <v>1000000000000</v>
      </c>
      <c r="AX135" s="216">
        <f ca="1">IF($D135&lt;&gt;"Serviço",0,IF(OR(AND(AUTOEVENTO="Manual",$M135=1),$M135&gt;(ROW(PLE.lastrow)-ROW(PLE.firstrow))),0,IF(OFFSET(PLE!$G$14,$M135,AX$13)="",10^12,OFFSET(PLE!$G$14,$M135,AX$13))))</f>
        <v>1000000000000</v>
      </c>
      <c r="AY135" s="216">
        <f ca="1">IF($D135&lt;&gt;"Serviço",0,IF(OR(AND(AUTOEVENTO="Manual",$M135=1),$M135&gt;(ROW(PLE.lastrow)-ROW(PLE.firstrow))),0,IF(OFFSET(PLE!$G$14,$M135,AY$13)="",10^12,OFFSET(PLE!$G$14,$M135,AY$13))))</f>
        <v>1000000000000</v>
      </c>
      <c r="AZ135" s="216">
        <f ca="1">IF($D135&lt;&gt;"Serviço",0,IF(OR(AND(AUTOEVENTO="Manual",$M135=1),$M135&gt;(ROW(PLE.lastrow)-ROW(PLE.firstrow))),0,IF(OFFSET(PLE!$G$14,$M135,AZ$13)="",10^12,OFFSET(PLE!$G$14,$M135,AZ$13))))</f>
        <v>1000000000000</v>
      </c>
      <c r="BA135" s="216">
        <f ca="1">IF($D135&lt;&gt;"Serviço",0,IF(OR(AND(AUTOEVENTO="Manual",$M135=1),$M135&gt;(ROW(PLE.lastrow)-ROW(PLE.firstrow))),0,IF(OFFSET(PLE!$G$14,$M135,BA$13)="",10^12,OFFSET(PLE!$G$14,$M135,BA$13))))</f>
        <v>1000000000000</v>
      </c>
      <c r="BB135" s="216">
        <f ca="1">IF($D135&lt;&gt;"Serviço",0,IF(OR(AND(AUTOEVENTO="Manual",$M135=1),$M135&gt;(ROW(PLE.lastrow)-ROW(PLE.firstrow))),0,IF(OFFSET(PLE!$G$14,$M135,BB$13)="",10^12,OFFSET(PLE!$G$14,$M135,BB$13))))</f>
        <v>1000000000000</v>
      </c>
      <c r="BC135" s="216">
        <f ca="1">IF($D135&lt;&gt;"Serviço",0,IF(OR(AND(AUTOEVENTO="Manual",$M135=1),$M135&gt;(ROW(PLE.lastrow)-ROW(PLE.firstrow))),0,IF(OFFSET(PLE!$G$14,$M135,BC$13)="",10^12,OFFSET(PLE!$G$14,$M135,BC$13))))</f>
        <v>1000000000000</v>
      </c>
      <c r="BD135" s="216">
        <f ca="1">IF($D135&lt;&gt;"Serviço",0,IF(OR(AND(AUTOEVENTO="Manual",$M135=1),$M135&gt;(ROW(PLE.lastrow)-ROW(PLE.firstrow))),0,IF(OFFSET(PLE!$G$14,$M135,BD$13)="",10^12,OFFSET(PLE!$G$14,$M135,BD$13))))</f>
        <v>1000000000000</v>
      </c>
      <c r="BE135" s="216">
        <f ca="1">IF($D135&lt;&gt;"Serviço",0,IF(OR(AND(AUTOEVENTO="Manual",$M135=1),$M135&gt;(ROW(PLE.lastrow)-ROW(PLE.firstrow))),0,IF(OFFSET(PLE!$G$14,$M135,BE$13)="",10^12,OFFSET(PLE!$G$14,$M135,BE$13))))</f>
        <v>1000000000000</v>
      </c>
      <c r="BF135" s="216">
        <f ca="1">IF($D135&lt;&gt;"Serviço",0,IF(OR(AND(AUTOEVENTO="Manual",$M135=1),$M135&gt;(ROW(PLE.lastrow)-ROW(PLE.firstrow))),0,IF(OFFSET(PLE!$G$14,$M135,BF$13)="",10^12,OFFSET(PLE!$G$14,$M135,BF$13))))</f>
        <v>1000000000000</v>
      </c>
      <c r="BG135" s="216">
        <f ca="1">IF($D135&lt;&gt;"Serviço",0,IF(OR(AND(AUTOEVENTO="Manual",$M135=1),$M135&gt;(ROW(PLE.lastrow)-ROW(PLE.firstrow))),0,IF(OFFSET(PLE!$G$14,$M135,BG$13)="",10^12,OFFSET(PLE!$G$14,$M135,BG$13))))</f>
        <v>1000000000000</v>
      </c>
    </row>
    <row r="136" spans="1:59" ht="25.5" x14ac:dyDescent="0.2">
      <c r="A136" s="9" t="str">
        <f t="shared" ca="1" si="10"/>
        <v>93</v>
      </c>
      <c r="B136" s="9" t="str">
        <f ca="1">OFFSET(ORÇAMENTO!C$15,ROW(B136)-ROW(B$15),0)</f>
        <v>S</v>
      </c>
      <c r="C136" s="9" t="str">
        <f ca="1">OFFSET(ORÇAMENTO!L$15,ROW(C136)-ROW(C$15),0)</f>
        <v/>
      </c>
      <c r="D136" s="145" t="str">
        <f ca="1">OFFSET(ORÇAMENTO!N$15,ROW(D136)-ROW(D$15),0)</f>
        <v>Serviço</v>
      </c>
      <c r="E136" s="205" t="str">
        <f ca="1">OFFSET(ORÇAMENTO!O$15,ROW(E136)-ROW(E$15),0)</f>
        <v>-</v>
      </c>
      <c r="F136" s="206" t="str">
        <f ca="1">OFFSET(ORÇAMENTO!R$15,ROW(F136)-ROW(F$15),0)</f>
        <v xml:space="preserve">TERMINAL METALICO A PRESSAO PARA 1 CABO DE 35 MM2, COM 1 FURO DE FIXACAO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G136" s="207" t="str">
        <f ca="1">IF($D136&lt;&gt;"Serviço","",OFFSET(ORÇAMENTO!S$15,ROW(G136)-ROW(G$15),0))</f>
        <v xml:space="preserve">UN    </v>
      </c>
      <c r="H136" s="151">
        <f ca="1">IF($D136&lt;&gt;"Serviço",0,IF(ACOMPANHAMENTO="BM",ROUND(OFFSET(ORÇAMENTO!AJ$15,ROW(H136)-ROW(H$15),0),15-13*ORÇAMENTO!$AF$7),SUMPRODUCT(($Q$12:$AA$12&lt;&gt;"")*ROUND($Q136:$AA136,15-13*ORÇAMENTO!$AF$7))))</f>
        <v>10</v>
      </c>
      <c r="I136" s="649"/>
      <c r="K136" s="208"/>
      <c r="L136" s="209" t="s">
        <v>255</v>
      </c>
      <c r="M136" s="210">
        <f ca="1">IF($D136&lt;&gt;"Serviço","",IF(AUTOEVENTO="manual",$A136,IF(ISERROR(MATCH($A136,$A$15:OFFSET($A136,-1,0),0)),MAX($M$15:OFFSET(M136,-1,0))+1,INDEX($M$15:OFFSET(M136,-1,0),MATCH($A136,$A$15:OFFSET($A136,-1,0),0)))))</f>
        <v>19</v>
      </c>
      <c r="N136" s="211" t="str">
        <f ca="1">IF($D136&lt;&gt;"Serviço","",IF(AUTOEVENTO="Manual",IF($A136=0,"&lt;-- defina o número do agrupador",OFFSET(EVENTOS!$D$14,$A136,0)),OFFSET($F$15,$A136,0)))</f>
        <v xml:space="preserve">ELÉTRICA </v>
      </c>
      <c r="O136" s="212"/>
      <c r="Q136" s="212"/>
      <c r="R136" s="213"/>
      <c r="S136" s="213"/>
      <c r="T136" s="213"/>
      <c r="U136" s="213"/>
      <c r="V136" s="213"/>
      <c r="W136" s="213"/>
      <c r="X136" s="213"/>
      <c r="Y136" s="213"/>
      <c r="Z136" s="214"/>
      <c r="AB136" s="630">
        <f ca="1">IF(AND($D136="Serviço",AB$12&lt;&gt;0,$H136&gt;0,OR(AUTOEVENTO&lt;&gt;"manual",$M136&lt;&gt;1)),
IF(Import.TipoArredondamento&lt;&gt;"TransfereGOV",
ROUND(OFFSET($P136,0,AB$13),15-13*ORÇAMENTO!$AF$7)/$H136*OFFSET(ORÇAMENTO!$X$15,ROW(AB136)-ROW(AB$15),0),
ROUND(ROUND(OFFSET($P136,0,AB$13),15-13*ORÇAMENTO!$AF$7)*OFFSET(ORÇAMENTO!$W$15,ROW(AB136)-ROW(AB$15),0),15-13*ORÇAMENTO!$AF$11)),0)</f>
        <v>0</v>
      </c>
      <c r="AC136" s="631">
        <f ca="1">IF(AND($D136="Serviço",AC$12&lt;&gt;0,$H136&gt;0,OR(AUTOEVENTO&lt;&gt;"manual",$M136&lt;&gt;1)),
IF(Import.TipoArredondamento&lt;&gt;"TransfereGOV",
ROUND(OFFSET($P136,0,AC$13),15-13*ORÇAMENTO!$AF$7)/$H136*OFFSET(ORÇAMENTO!$X$15,ROW(AC136)-ROW(AC$15),0),
ROUND(ROUND(OFFSET($P136,0,AC$13),15-13*ORÇAMENTO!$AF$7)*OFFSET(ORÇAMENTO!$W$15,ROW(AC136)-ROW(AC$15),0),15-13*ORÇAMENTO!$AF$11)),0)</f>
        <v>0</v>
      </c>
      <c r="AD136" s="631">
        <f ca="1">IF(AND($D136="Serviço",AD$12&lt;&gt;0,$H136&gt;0,OR(AUTOEVENTO&lt;&gt;"manual",$M136&lt;&gt;1)),
IF(Import.TipoArredondamento&lt;&gt;"TransfereGOV",
ROUND(OFFSET($P136,0,AD$13),15-13*ORÇAMENTO!$AF$7)/$H136*OFFSET(ORÇAMENTO!$X$15,ROW(AD136)-ROW(AD$15),0),
ROUND(ROUND(OFFSET($P136,0,AD$13),15-13*ORÇAMENTO!$AF$7)*OFFSET(ORÇAMENTO!$W$15,ROW(AD136)-ROW(AD$15),0),15-13*ORÇAMENTO!$AF$11)),0)</f>
        <v>0</v>
      </c>
      <c r="AE136" s="631">
        <f ca="1">IF(AND($D136="Serviço",AE$12&lt;&gt;0,$H136&gt;0,OR(AUTOEVENTO&lt;&gt;"manual",$M136&lt;&gt;1)),
IF(Import.TipoArredondamento&lt;&gt;"TransfereGOV",
ROUND(OFFSET($P136,0,AE$13),15-13*ORÇAMENTO!$AF$7)/$H136*OFFSET(ORÇAMENTO!$X$15,ROW(AE136)-ROW(AE$15),0),
ROUND(ROUND(OFFSET($P136,0,AE$13),15-13*ORÇAMENTO!$AF$7)*OFFSET(ORÇAMENTO!$W$15,ROW(AE136)-ROW(AE$15),0),15-13*ORÇAMENTO!$AF$11)),0)</f>
        <v>0</v>
      </c>
      <c r="AF136" s="631">
        <f ca="1">IF(AND($D136="Serviço",AF$12&lt;&gt;0,$H136&gt;0,OR(AUTOEVENTO&lt;&gt;"manual",$M136&lt;&gt;1)),
IF(Import.TipoArredondamento&lt;&gt;"TransfereGOV",
ROUND(OFFSET($P136,0,AF$13),15-13*ORÇAMENTO!$AF$7)/$H136*OFFSET(ORÇAMENTO!$X$15,ROW(AF136)-ROW(AF$15),0),
ROUND(ROUND(OFFSET($P136,0,AF$13),15-13*ORÇAMENTO!$AF$7)*OFFSET(ORÇAMENTO!$W$15,ROW(AF136)-ROW(AF$15),0),15-13*ORÇAMENTO!$AF$11)),0)</f>
        <v>0</v>
      </c>
      <c r="AG136" s="631">
        <f ca="1">IF(AND($D136="Serviço",AG$12&lt;&gt;0,$H136&gt;0,OR(AUTOEVENTO&lt;&gt;"manual",$M136&lt;&gt;1)),
IF(Import.TipoArredondamento&lt;&gt;"TransfereGOV",
ROUND(OFFSET($P136,0,AG$13),15-13*ORÇAMENTO!$AF$7)/$H136*OFFSET(ORÇAMENTO!$X$15,ROW(AG136)-ROW(AG$15),0),
ROUND(ROUND(OFFSET($P136,0,AG$13),15-13*ORÇAMENTO!$AF$7)*OFFSET(ORÇAMENTO!$W$15,ROW(AG136)-ROW(AG$15),0),15-13*ORÇAMENTO!$AF$11)),0)</f>
        <v>0</v>
      </c>
      <c r="AH136" s="631">
        <f ca="1">IF(AND($D136="Serviço",AH$12&lt;&gt;0,$H136&gt;0,OR(AUTOEVENTO&lt;&gt;"manual",$M136&lt;&gt;1)),
IF(Import.TipoArredondamento&lt;&gt;"TransfereGOV",
ROUND(OFFSET($P136,0,AH$13),15-13*ORÇAMENTO!$AF$7)/$H136*OFFSET(ORÇAMENTO!$X$15,ROW(AH136)-ROW(AH$15),0),
ROUND(ROUND(OFFSET($P136,0,AH$13),15-13*ORÇAMENTO!$AF$7)*OFFSET(ORÇAMENTO!$W$15,ROW(AH136)-ROW(AH$15),0),15-13*ORÇAMENTO!$AF$11)),0)</f>
        <v>0</v>
      </c>
      <c r="AI136" s="631">
        <f ca="1">IF(AND($D136="Serviço",AI$12&lt;&gt;0,$H136&gt;0,OR(AUTOEVENTO&lt;&gt;"manual",$M136&lt;&gt;1)),
IF(Import.TipoArredondamento&lt;&gt;"TransfereGOV",
ROUND(OFFSET($P136,0,AI$13),15-13*ORÇAMENTO!$AF$7)/$H136*OFFSET(ORÇAMENTO!$X$15,ROW(AI136)-ROW(AI$15),0),
ROUND(ROUND(OFFSET($P136,0,AI$13),15-13*ORÇAMENTO!$AF$7)*OFFSET(ORÇAMENTO!$W$15,ROW(AI136)-ROW(AI$15),0),15-13*ORÇAMENTO!$AF$11)),0)</f>
        <v>0</v>
      </c>
      <c r="AJ136" s="631">
        <f ca="1">IF(AND($D136="Serviço",AJ$12&lt;&gt;0,$H136&gt;0,OR(AUTOEVENTO&lt;&gt;"manual",$M136&lt;&gt;1)),
IF(Import.TipoArredondamento&lt;&gt;"TransfereGOV",
ROUND(OFFSET($P136,0,AJ$13),15-13*ORÇAMENTO!$AF$7)/$H136*OFFSET(ORÇAMENTO!$X$15,ROW(AJ136)-ROW(AJ$15),0),
ROUND(ROUND(OFFSET($P136,0,AJ$13),15-13*ORÇAMENTO!$AF$7)*OFFSET(ORÇAMENTO!$W$15,ROW(AJ136)-ROW(AJ$15),0),15-13*ORÇAMENTO!$AF$11)),0)</f>
        <v>0</v>
      </c>
      <c r="AK136" s="632">
        <f ca="1">IF(AND($D136="Serviço",AK$12&lt;&gt;0,$H136&gt;0,OR(AUTOEVENTO&lt;&gt;"manual",$M136&lt;&gt;1)),
IF(Import.TipoArredondamento&lt;&gt;"TransfereGOV",
ROUND(OFFSET($P136,0,AK$13),15-13*ORÇAMENTO!$AF$7)/$H136*OFFSET(ORÇAMENTO!$X$15,ROW(AK136)-ROW(AK$15),0),
ROUND(ROUND(OFFSET($P136,0,AK$13),15-13*ORÇAMENTO!$AF$7)*OFFSET(ORÇAMENTO!$W$15,ROW(AK136)-ROW(AK$15),0),15-13*ORÇAMENTO!$AF$11)),0)</f>
        <v>0</v>
      </c>
      <c r="AM136" s="215">
        <f ca="1">IF($D136&lt;&gt;"Serviço",0,IF(AND(AUTOEVENTO="Manual",$M136=1),0,IF(OFFSET(CRONOPLE!$F$14,$M136,AM$13)="",10^12,OFFSET(CRONOPLE!$F$14,$M136,AM$13))))</f>
        <v>1000000000000</v>
      </c>
      <c r="AN136" s="215">
        <f ca="1">IF($D136&lt;&gt;"Serviço",0,IF(AND(AUTOEVENTO="Manual",$M136=1),0,IF(OFFSET(CRONOPLE!$F$14,$M136,AN$13)="",10^12,OFFSET(CRONOPLE!$F$14,$M136,AN$13))))</f>
        <v>1000000000000</v>
      </c>
      <c r="AO136" s="215">
        <f ca="1">IF($D136&lt;&gt;"Serviço",0,IF(AND(AUTOEVENTO="Manual",$M136=1),0,IF(OFFSET(CRONOPLE!$F$14,$M136,AO$13)="",10^12,OFFSET(CRONOPLE!$F$14,$M136,AO$13))))</f>
        <v>1000000000000</v>
      </c>
      <c r="AP136" s="215">
        <f ca="1">IF($D136&lt;&gt;"Serviço",0,IF(AND(AUTOEVENTO="Manual",$M136=1),0,IF(OFFSET(CRONOPLE!$F$14,$M136,AP$13)="",10^12,OFFSET(CRONOPLE!$F$14,$M136,AP$13))))</f>
        <v>1000000000000</v>
      </c>
      <c r="AQ136" s="215">
        <f ca="1">IF($D136&lt;&gt;"Serviço",0,IF(AND(AUTOEVENTO="Manual",$M136=1),0,IF(OFFSET(CRONOPLE!$F$14,$M136,AQ$13)="",10^12,OFFSET(CRONOPLE!$F$14,$M136,AQ$13))))</f>
        <v>1000000000000</v>
      </c>
      <c r="AR136" s="215">
        <f ca="1">IF($D136&lt;&gt;"Serviço",0,IF(AND(AUTOEVENTO="Manual",$M136=1),0,IF(OFFSET(CRONOPLE!$F$14,$M136,AR$13)="",10^12,OFFSET(CRONOPLE!$F$14,$M136,AR$13))))</f>
        <v>1000000000000</v>
      </c>
      <c r="AS136" s="215">
        <f ca="1">IF($D136&lt;&gt;"Serviço",0,IF(AND(AUTOEVENTO="Manual",$M136=1),0,IF(OFFSET(CRONOPLE!$F$14,$M136,AS$13)="",10^12,OFFSET(CRONOPLE!$F$14,$M136,AS$13))))</f>
        <v>1000000000000</v>
      </c>
      <c r="AT136" s="215">
        <f ca="1">IF($D136&lt;&gt;"Serviço",0,IF(AND(AUTOEVENTO="Manual",$M136=1),0,IF(OFFSET(CRONOPLE!$F$14,$M136,AT$13)="",10^12,OFFSET(CRONOPLE!$F$14,$M136,AT$13))))</f>
        <v>1000000000000</v>
      </c>
      <c r="AU136" s="215">
        <f ca="1">IF($D136&lt;&gt;"Serviço",0,IF(AND(AUTOEVENTO="Manual",$M136=1),0,IF(OFFSET(CRONOPLE!$F$14,$M136,AU$13)="",10^12,OFFSET(CRONOPLE!$F$14,$M136,AU$13))))</f>
        <v>1000000000000</v>
      </c>
      <c r="AV136" s="215">
        <f ca="1">IF($D136&lt;&gt;"Serviço",0,IF(AND(AUTOEVENTO="Manual",$M136=1),0,IF(OFFSET(CRONOPLE!$F$14,$M136,AV$13)="",10^12,OFFSET(CRONOPLE!$F$14,$M136,AV$13))))</f>
        <v>1000000000000</v>
      </c>
      <c r="AX136" s="216">
        <f ca="1">IF($D136&lt;&gt;"Serviço",0,IF(OR(AND(AUTOEVENTO="Manual",$M136=1),$M136&gt;(ROW(PLE.lastrow)-ROW(PLE.firstrow))),0,IF(OFFSET(PLE!$G$14,$M136,AX$13)="",10^12,OFFSET(PLE!$G$14,$M136,AX$13))))</f>
        <v>1000000000000</v>
      </c>
      <c r="AY136" s="216">
        <f ca="1">IF($D136&lt;&gt;"Serviço",0,IF(OR(AND(AUTOEVENTO="Manual",$M136=1),$M136&gt;(ROW(PLE.lastrow)-ROW(PLE.firstrow))),0,IF(OFFSET(PLE!$G$14,$M136,AY$13)="",10^12,OFFSET(PLE!$G$14,$M136,AY$13))))</f>
        <v>1000000000000</v>
      </c>
      <c r="AZ136" s="216">
        <f ca="1">IF($D136&lt;&gt;"Serviço",0,IF(OR(AND(AUTOEVENTO="Manual",$M136=1),$M136&gt;(ROW(PLE.lastrow)-ROW(PLE.firstrow))),0,IF(OFFSET(PLE!$G$14,$M136,AZ$13)="",10^12,OFFSET(PLE!$G$14,$M136,AZ$13))))</f>
        <v>1000000000000</v>
      </c>
      <c r="BA136" s="216">
        <f ca="1">IF($D136&lt;&gt;"Serviço",0,IF(OR(AND(AUTOEVENTO="Manual",$M136=1),$M136&gt;(ROW(PLE.lastrow)-ROW(PLE.firstrow))),0,IF(OFFSET(PLE!$G$14,$M136,BA$13)="",10^12,OFFSET(PLE!$G$14,$M136,BA$13))))</f>
        <v>1000000000000</v>
      </c>
      <c r="BB136" s="216">
        <f ca="1">IF($D136&lt;&gt;"Serviço",0,IF(OR(AND(AUTOEVENTO="Manual",$M136=1),$M136&gt;(ROW(PLE.lastrow)-ROW(PLE.firstrow))),0,IF(OFFSET(PLE!$G$14,$M136,BB$13)="",10^12,OFFSET(PLE!$G$14,$M136,BB$13))))</f>
        <v>1000000000000</v>
      </c>
      <c r="BC136" s="216">
        <f ca="1">IF($D136&lt;&gt;"Serviço",0,IF(OR(AND(AUTOEVENTO="Manual",$M136=1),$M136&gt;(ROW(PLE.lastrow)-ROW(PLE.firstrow))),0,IF(OFFSET(PLE!$G$14,$M136,BC$13)="",10^12,OFFSET(PLE!$G$14,$M136,BC$13))))</f>
        <v>1000000000000</v>
      </c>
      <c r="BD136" s="216">
        <f ca="1">IF($D136&lt;&gt;"Serviço",0,IF(OR(AND(AUTOEVENTO="Manual",$M136=1),$M136&gt;(ROW(PLE.lastrow)-ROW(PLE.firstrow))),0,IF(OFFSET(PLE!$G$14,$M136,BD$13)="",10^12,OFFSET(PLE!$G$14,$M136,BD$13))))</f>
        <v>1000000000000</v>
      </c>
      <c r="BE136" s="216">
        <f ca="1">IF($D136&lt;&gt;"Serviço",0,IF(OR(AND(AUTOEVENTO="Manual",$M136=1),$M136&gt;(ROW(PLE.lastrow)-ROW(PLE.firstrow))),0,IF(OFFSET(PLE!$G$14,$M136,BE$13)="",10^12,OFFSET(PLE!$G$14,$M136,BE$13))))</f>
        <v>1000000000000</v>
      </c>
      <c r="BF136" s="216">
        <f ca="1">IF($D136&lt;&gt;"Serviço",0,IF(OR(AND(AUTOEVENTO="Manual",$M136=1),$M136&gt;(ROW(PLE.lastrow)-ROW(PLE.firstrow))),0,IF(OFFSET(PLE!$G$14,$M136,BF$13)="",10^12,OFFSET(PLE!$G$14,$M136,BF$13))))</f>
        <v>1000000000000</v>
      </c>
      <c r="BG136" s="216">
        <f ca="1">IF($D136&lt;&gt;"Serviço",0,IF(OR(AND(AUTOEVENTO="Manual",$M136=1),$M136&gt;(ROW(PLE.lastrow)-ROW(PLE.firstrow))),0,IF(OFFSET(PLE!$G$14,$M136,BG$13)="",10^12,OFFSET(PLE!$G$14,$M136,BG$13))))</f>
        <v>1000000000000</v>
      </c>
    </row>
    <row r="137" spans="1:59" ht="25.5" x14ac:dyDescent="0.2">
      <c r="A137" s="9" t="str">
        <f t="shared" ca="1" si="10"/>
        <v>93</v>
      </c>
      <c r="B137" s="9" t="str">
        <f ca="1">OFFSET(ORÇAMENTO!C$15,ROW(B137)-ROW(B$15),0)</f>
        <v>S</v>
      </c>
      <c r="C137" s="9" t="str">
        <f ca="1">OFFSET(ORÇAMENTO!L$15,ROW(C137)-ROW(C$15),0)</f>
        <v/>
      </c>
      <c r="D137" s="145" t="str">
        <f ca="1">OFFSET(ORÇAMENTO!N$15,ROW(D137)-ROW(D$15),0)</f>
        <v>Serviço</v>
      </c>
      <c r="E137" s="205" t="str">
        <f ca="1">OFFSET(ORÇAMENTO!O$15,ROW(E137)-ROW(E$15),0)</f>
        <v>-</v>
      </c>
      <c r="F137" s="206" t="str">
        <f ca="1">OFFSET(ORÇAMENTO!R$15,ROW(F137)-ROW(F$15),0)</f>
        <v xml:space="preserve">TERMINAL METALICO A PRESSAO PARA 1 CABO DE 16 MM2, COM 1 FURO DE FIXACAO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G137" s="207" t="str">
        <f ca="1">IF($D137&lt;&gt;"Serviço","",OFFSET(ORÇAMENTO!S$15,ROW(G137)-ROW(G$15),0))</f>
        <v xml:space="preserve">UN    </v>
      </c>
      <c r="H137" s="151">
        <f ca="1">IF($D137&lt;&gt;"Serviço",0,IF(ACOMPANHAMENTO="BM",ROUND(OFFSET(ORÇAMENTO!AJ$15,ROW(H137)-ROW(H$15),0),15-13*ORÇAMENTO!$AF$7),SUMPRODUCT(($Q$12:$AA$12&lt;&gt;"")*ROUND($Q137:$AA137,15-13*ORÇAMENTO!$AF$7))))</f>
        <v>8</v>
      </c>
      <c r="I137" s="649"/>
      <c r="K137" s="208"/>
      <c r="L137" s="209" t="s">
        <v>255</v>
      </c>
      <c r="M137" s="210">
        <f ca="1">IF($D137&lt;&gt;"Serviço","",IF(AUTOEVENTO="manual",$A137,IF(ISERROR(MATCH($A137,$A$15:OFFSET($A137,-1,0),0)),MAX($M$15:OFFSET(M137,-1,0))+1,INDEX($M$15:OFFSET(M137,-1,0),MATCH($A137,$A$15:OFFSET($A137,-1,0),0)))))</f>
        <v>19</v>
      </c>
      <c r="N137" s="211" t="str">
        <f ca="1">IF($D137&lt;&gt;"Serviço","",IF(AUTOEVENTO="Manual",IF($A137=0,"&lt;-- defina o número do agrupador",OFFSET(EVENTOS!$D$14,$A137,0)),OFFSET($F$15,$A137,0)))</f>
        <v xml:space="preserve">ELÉTRICA </v>
      </c>
      <c r="O137" s="212"/>
      <c r="Q137" s="212"/>
      <c r="R137" s="213"/>
      <c r="S137" s="213"/>
      <c r="T137" s="213"/>
      <c r="U137" s="213"/>
      <c r="V137" s="213"/>
      <c r="W137" s="213"/>
      <c r="X137" s="213"/>
      <c r="Y137" s="213"/>
      <c r="Z137" s="214"/>
      <c r="AB137" s="630">
        <f ca="1">IF(AND($D137="Serviço",AB$12&lt;&gt;0,$H137&gt;0,OR(AUTOEVENTO&lt;&gt;"manual",$M137&lt;&gt;1)),
IF(Import.TipoArredondamento&lt;&gt;"TransfereGOV",
ROUND(OFFSET($P137,0,AB$13),15-13*ORÇAMENTO!$AF$7)/$H137*OFFSET(ORÇAMENTO!$X$15,ROW(AB137)-ROW(AB$15),0),
ROUND(ROUND(OFFSET($P137,0,AB$13),15-13*ORÇAMENTO!$AF$7)*OFFSET(ORÇAMENTO!$W$15,ROW(AB137)-ROW(AB$15),0),15-13*ORÇAMENTO!$AF$11)),0)</f>
        <v>0</v>
      </c>
      <c r="AC137" s="631">
        <f ca="1">IF(AND($D137="Serviço",AC$12&lt;&gt;0,$H137&gt;0,OR(AUTOEVENTO&lt;&gt;"manual",$M137&lt;&gt;1)),
IF(Import.TipoArredondamento&lt;&gt;"TransfereGOV",
ROUND(OFFSET($P137,0,AC$13),15-13*ORÇAMENTO!$AF$7)/$H137*OFFSET(ORÇAMENTO!$X$15,ROW(AC137)-ROW(AC$15),0),
ROUND(ROUND(OFFSET($P137,0,AC$13),15-13*ORÇAMENTO!$AF$7)*OFFSET(ORÇAMENTO!$W$15,ROW(AC137)-ROW(AC$15),0),15-13*ORÇAMENTO!$AF$11)),0)</f>
        <v>0</v>
      </c>
      <c r="AD137" s="631">
        <f ca="1">IF(AND($D137="Serviço",AD$12&lt;&gt;0,$H137&gt;0,OR(AUTOEVENTO&lt;&gt;"manual",$M137&lt;&gt;1)),
IF(Import.TipoArredondamento&lt;&gt;"TransfereGOV",
ROUND(OFFSET($P137,0,AD$13),15-13*ORÇAMENTO!$AF$7)/$H137*OFFSET(ORÇAMENTO!$X$15,ROW(AD137)-ROW(AD$15),0),
ROUND(ROUND(OFFSET($P137,0,AD$13),15-13*ORÇAMENTO!$AF$7)*OFFSET(ORÇAMENTO!$W$15,ROW(AD137)-ROW(AD$15),0),15-13*ORÇAMENTO!$AF$11)),0)</f>
        <v>0</v>
      </c>
      <c r="AE137" s="631">
        <f ca="1">IF(AND($D137="Serviço",AE$12&lt;&gt;0,$H137&gt;0,OR(AUTOEVENTO&lt;&gt;"manual",$M137&lt;&gt;1)),
IF(Import.TipoArredondamento&lt;&gt;"TransfereGOV",
ROUND(OFFSET($P137,0,AE$13),15-13*ORÇAMENTO!$AF$7)/$H137*OFFSET(ORÇAMENTO!$X$15,ROW(AE137)-ROW(AE$15),0),
ROUND(ROUND(OFFSET($P137,0,AE$13),15-13*ORÇAMENTO!$AF$7)*OFFSET(ORÇAMENTO!$W$15,ROW(AE137)-ROW(AE$15),0),15-13*ORÇAMENTO!$AF$11)),0)</f>
        <v>0</v>
      </c>
      <c r="AF137" s="631">
        <f ca="1">IF(AND($D137="Serviço",AF$12&lt;&gt;0,$H137&gt;0,OR(AUTOEVENTO&lt;&gt;"manual",$M137&lt;&gt;1)),
IF(Import.TipoArredondamento&lt;&gt;"TransfereGOV",
ROUND(OFFSET($P137,0,AF$13),15-13*ORÇAMENTO!$AF$7)/$H137*OFFSET(ORÇAMENTO!$X$15,ROW(AF137)-ROW(AF$15),0),
ROUND(ROUND(OFFSET($P137,0,AF$13),15-13*ORÇAMENTO!$AF$7)*OFFSET(ORÇAMENTO!$W$15,ROW(AF137)-ROW(AF$15),0),15-13*ORÇAMENTO!$AF$11)),0)</f>
        <v>0</v>
      </c>
      <c r="AG137" s="631">
        <f ca="1">IF(AND($D137="Serviço",AG$12&lt;&gt;0,$H137&gt;0,OR(AUTOEVENTO&lt;&gt;"manual",$M137&lt;&gt;1)),
IF(Import.TipoArredondamento&lt;&gt;"TransfereGOV",
ROUND(OFFSET($P137,0,AG$13),15-13*ORÇAMENTO!$AF$7)/$H137*OFFSET(ORÇAMENTO!$X$15,ROW(AG137)-ROW(AG$15),0),
ROUND(ROUND(OFFSET($P137,0,AG$13),15-13*ORÇAMENTO!$AF$7)*OFFSET(ORÇAMENTO!$W$15,ROW(AG137)-ROW(AG$15),0),15-13*ORÇAMENTO!$AF$11)),0)</f>
        <v>0</v>
      </c>
      <c r="AH137" s="631">
        <f ca="1">IF(AND($D137="Serviço",AH$12&lt;&gt;0,$H137&gt;0,OR(AUTOEVENTO&lt;&gt;"manual",$M137&lt;&gt;1)),
IF(Import.TipoArredondamento&lt;&gt;"TransfereGOV",
ROUND(OFFSET($P137,0,AH$13),15-13*ORÇAMENTO!$AF$7)/$H137*OFFSET(ORÇAMENTO!$X$15,ROW(AH137)-ROW(AH$15),0),
ROUND(ROUND(OFFSET($P137,0,AH$13),15-13*ORÇAMENTO!$AF$7)*OFFSET(ORÇAMENTO!$W$15,ROW(AH137)-ROW(AH$15),0),15-13*ORÇAMENTO!$AF$11)),0)</f>
        <v>0</v>
      </c>
      <c r="AI137" s="631">
        <f ca="1">IF(AND($D137="Serviço",AI$12&lt;&gt;0,$H137&gt;0,OR(AUTOEVENTO&lt;&gt;"manual",$M137&lt;&gt;1)),
IF(Import.TipoArredondamento&lt;&gt;"TransfereGOV",
ROUND(OFFSET($P137,0,AI$13),15-13*ORÇAMENTO!$AF$7)/$H137*OFFSET(ORÇAMENTO!$X$15,ROW(AI137)-ROW(AI$15),0),
ROUND(ROUND(OFFSET($P137,0,AI$13),15-13*ORÇAMENTO!$AF$7)*OFFSET(ORÇAMENTO!$W$15,ROW(AI137)-ROW(AI$15),0),15-13*ORÇAMENTO!$AF$11)),0)</f>
        <v>0</v>
      </c>
      <c r="AJ137" s="631">
        <f ca="1">IF(AND($D137="Serviço",AJ$12&lt;&gt;0,$H137&gt;0,OR(AUTOEVENTO&lt;&gt;"manual",$M137&lt;&gt;1)),
IF(Import.TipoArredondamento&lt;&gt;"TransfereGOV",
ROUND(OFFSET($P137,0,AJ$13),15-13*ORÇAMENTO!$AF$7)/$H137*OFFSET(ORÇAMENTO!$X$15,ROW(AJ137)-ROW(AJ$15),0),
ROUND(ROUND(OFFSET($P137,0,AJ$13),15-13*ORÇAMENTO!$AF$7)*OFFSET(ORÇAMENTO!$W$15,ROW(AJ137)-ROW(AJ$15),0),15-13*ORÇAMENTO!$AF$11)),0)</f>
        <v>0</v>
      </c>
      <c r="AK137" s="632">
        <f ca="1">IF(AND($D137="Serviço",AK$12&lt;&gt;0,$H137&gt;0,OR(AUTOEVENTO&lt;&gt;"manual",$M137&lt;&gt;1)),
IF(Import.TipoArredondamento&lt;&gt;"TransfereGOV",
ROUND(OFFSET($P137,0,AK$13),15-13*ORÇAMENTO!$AF$7)/$H137*OFFSET(ORÇAMENTO!$X$15,ROW(AK137)-ROW(AK$15),0),
ROUND(ROUND(OFFSET($P137,0,AK$13),15-13*ORÇAMENTO!$AF$7)*OFFSET(ORÇAMENTO!$W$15,ROW(AK137)-ROW(AK$15),0),15-13*ORÇAMENTO!$AF$11)),0)</f>
        <v>0</v>
      </c>
      <c r="AM137" s="215">
        <f ca="1">IF($D137&lt;&gt;"Serviço",0,IF(AND(AUTOEVENTO="Manual",$M137=1),0,IF(OFFSET(CRONOPLE!$F$14,$M137,AM$13)="",10^12,OFFSET(CRONOPLE!$F$14,$M137,AM$13))))</f>
        <v>1000000000000</v>
      </c>
      <c r="AN137" s="215">
        <f ca="1">IF($D137&lt;&gt;"Serviço",0,IF(AND(AUTOEVENTO="Manual",$M137=1),0,IF(OFFSET(CRONOPLE!$F$14,$M137,AN$13)="",10^12,OFFSET(CRONOPLE!$F$14,$M137,AN$13))))</f>
        <v>1000000000000</v>
      </c>
      <c r="AO137" s="215">
        <f ca="1">IF($D137&lt;&gt;"Serviço",0,IF(AND(AUTOEVENTO="Manual",$M137=1),0,IF(OFFSET(CRONOPLE!$F$14,$M137,AO$13)="",10^12,OFFSET(CRONOPLE!$F$14,$M137,AO$13))))</f>
        <v>1000000000000</v>
      </c>
      <c r="AP137" s="215">
        <f ca="1">IF($D137&lt;&gt;"Serviço",0,IF(AND(AUTOEVENTO="Manual",$M137=1),0,IF(OFFSET(CRONOPLE!$F$14,$M137,AP$13)="",10^12,OFFSET(CRONOPLE!$F$14,$M137,AP$13))))</f>
        <v>1000000000000</v>
      </c>
      <c r="AQ137" s="215">
        <f ca="1">IF($D137&lt;&gt;"Serviço",0,IF(AND(AUTOEVENTO="Manual",$M137=1),0,IF(OFFSET(CRONOPLE!$F$14,$M137,AQ$13)="",10^12,OFFSET(CRONOPLE!$F$14,$M137,AQ$13))))</f>
        <v>1000000000000</v>
      </c>
      <c r="AR137" s="215">
        <f ca="1">IF($D137&lt;&gt;"Serviço",0,IF(AND(AUTOEVENTO="Manual",$M137=1),0,IF(OFFSET(CRONOPLE!$F$14,$M137,AR$13)="",10^12,OFFSET(CRONOPLE!$F$14,$M137,AR$13))))</f>
        <v>1000000000000</v>
      </c>
      <c r="AS137" s="215">
        <f ca="1">IF($D137&lt;&gt;"Serviço",0,IF(AND(AUTOEVENTO="Manual",$M137=1),0,IF(OFFSET(CRONOPLE!$F$14,$M137,AS$13)="",10^12,OFFSET(CRONOPLE!$F$14,$M137,AS$13))))</f>
        <v>1000000000000</v>
      </c>
      <c r="AT137" s="215">
        <f ca="1">IF($D137&lt;&gt;"Serviço",0,IF(AND(AUTOEVENTO="Manual",$M137=1),0,IF(OFFSET(CRONOPLE!$F$14,$M137,AT$13)="",10^12,OFFSET(CRONOPLE!$F$14,$M137,AT$13))))</f>
        <v>1000000000000</v>
      </c>
      <c r="AU137" s="215">
        <f ca="1">IF($D137&lt;&gt;"Serviço",0,IF(AND(AUTOEVENTO="Manual",$M137=1),0,IF(OFFSET(CRONOPLE!$F$14,$M137,AU$13)="",10^12,OFFSET(CRONOPLE!$F$14,$M137,AU$13))))</f>
        <v>1000000000000</v>
      </c>
      <c r="AV137" s="215">
        <f ca="1">IF($D137&lt;&gt;"Serviço",0,IF(AND(AUTOEVENTO="Manual",$M137=1),0,IF(OFFSET(CRONOPLE!$F$14,$M137,AV$13)="",10^12,OFFSET(CRONOPLE!$F$14,$M137,AV$13))))</f>
        <v>1000000000000</v>
      </c>
      <c r="AX137" s="216">
        <f ca="1">IF($D137&lt;&gt;"Serviço",0,IF(OR(AND(AUTOEVENTO="Manual",$M137=1),$M137&gt;(ROW(PLE.lastrow)-ROW(PLE.firstrow))),0,IF(OFFSET(PLE!$G$14,$M137,AX$13)="",10^12,OFFSET(PLE!$G$14,$M137,AX$13))))</f>
        <v>1000000000000</v>
      </c>
      <c r="AY137" s="216">
        <f ca="1">IF($D137&lt;&gt;"Serviço",0,IF(OR(AND(AUTOEVENTO="Manual",$M137=1),$M137&gt;(ROW(PLE.lastrow)-ROW(PLE.firstrow))),0,IF(OFFSET(PLE!$G$14,$M137,AY$13)="",10^12,OFFSET(PLE!$G$14,$M137,AY$13))))</f>
        <v>1000000000000</v>
      </c>
      <c r="AZ137" s="216">
        <f ca="1">IF($D137&lt;&gt;"Serviço",0,IF(OR(AND(AUTOEVENTO="Manual",$M137=1),$M137&gt;(ROW(PLE.lastrow)-ROW(PLE.firstrow))),0,IF(OFFSET(PLE!$G$14,$M137,AZ$13)="",10^12,OFFSET(PLE!$G$14,$M137,AZ$13))))</f>
        <v>1000000000000</v>
      </c>
      <c r="BA137" s="216">
        <f ca="1">IF($D137&lt;&gt;"Serviço",0,IF(OR(AND(AUTOEVENTO="Manual",$M137=1),$M137&gt;(ROW(PLE.lastrow)-ROW(PLE.firstrow))),0,IF(OFFSET(PLE!$G$14,$M137,BA$13)="",10^12,OFFSET(PLE!$G$14,$M137,BA$13))))</f>
        <v>1000000000000</v>
      </c>
      <c r="BB137" s="216">
        <f ca="1">IF($D137&lt;&gt;"Serviço",0,IF(OR(AND(AUTOEVENTO="Manual",$M137=1),$M137&gt;(ROW(PLE.lastrow)-ROW(PLE.firstrow))),0,IF(OFFSET(PLE!$G$14,$M137,BB$13)="",10^12,OFFSET(PLE!$G$14,$M137,BB$13))))</f>
        <v>1000000000000</v>
      </c>
      <c r="BC137" s="216">
        <f ca="1">IF($D137&lt;&gt;"Serviço",0,IF(OR(AND(AUTOEVENTO="Manual",$M137=1),$M137&gt;(ROW(PLE.lastrow)-ROW(PLE.firstrow))),0,IF(OFFSET(PLE!$G$14,$M137,BC$13)="",10^12,OFFSET(PLE!$G$14,$M137,BC$13))))</f>
        <v>1000000000000</v>
      </c>
      <c r="BD137" s="216">
        <f ca="1">IF($D137&lt;&gt;"Serviço",0,IF(OR(AND(AUTOEVENTO="Manual",$M137=1),$M137&gt;(ROW(PLE.lastrow)-ROW(PLE.firstrow))),0,IF(OFFSET(PLE!$G$14,$M137,BD$13)="",10^12,OFFSET(PLE!$G$14,$M137,BD$13))))</f>
        <v>1000000000000</v>
      </c>
      <c r="BE137" s="216">
        <f ca="1">IF($D137&lt;&gt;"Serviço",0,IF(OR(AND(AUTOEVENTO="Manual",$M137=1),$M137&gt;(ROW(PLE.lastrow)-ROW(PLE.firstrow))),0,IF(OFFSET(PLE!$G$14,$M137,BE$13)="",10^12,OFFSET(PLE!$G$14,$M137,BE$13))))</f>
        <v>1000000000000</v>
      </c>
      <c r="BF137" s="216">
        <f ca="1">IF($D137&lt;&gt;"Serviço",0,IF(OR(AND(AUTOEVENTO="Manual",$M137=1),$M137&gt;(ROW(PLE.lastrow)-ROW(PLE.firstrow))),0,IF(OFFSET(PLE!$G$14,$M137,BF$13)="",10^12,OFFSET(PLE!$G$14,$M137,BF$13))))</f>
        <v>1000000000000</v>
      </c>
      <c r="BG137" s="216">
        <f ca="1">IF($D137&lt;&gt;"Serviço",0,IF(OR(AND(AUTOEVENTO="Manual",$M137=1),$M137&gt;(ROW(PLE.lastrow)-ROW(PLE.firstrow))),0,IF(OFFSET(PLE!$G$14,$M137,BG$13)="",10^12,OFFSET(PLE!$G$14,$M137,BG$13))))</f>
        <v>1000000000000</v>
      </c>
    </row>
    <row r="138" spans="1:59" ht="25.5" x14ac:dyDescent="0.2">
      <c r="A138" s="9" t="str">
        <f t="shared" ca="1" si="10"/>
        <v>93</v>
      </c>
      <c r="B138" s="9" t="str">
        <f ca="1">OFFSET(ORÇAMENTO!C$15,ROW(B138)-ROW(B$15),0)</f>
        <v>S</v>
      </c>
      <c r="C138" s="9" t="str">
        <f ca="1">OFFSET(ORÇAMENTO!L$15,ROW(C138)-ROW(C$15),0)</f>
        <v/>
      </c>
      <c r="D138" s="145" t="str">
        <f ca="1">OFFSET(ORÇAMENTO!N$15,ROW(D138)-ROW(D$15),0)</f>
        <v>Serviço</v>
      </c>
      <c r="E138" s="205" t="str">
        <f ca="1">OFFSET(ORÇAMENTO!O$15,ROW(E138)-ROW(E$15),0)</f>
        <v>-</v>
      </c>
      <c r="F138" s="206" t="str">
        <f ca="1">OFFSET(ORÇAMENTO!R$15,ROW(F138)-ROW(F$15),0)</f>
        <v xml:space="preserve">TERMINAL METALICO A PRESSAO PARA 1 CABO DE 6 A 10 MM2, COM 1 FURO DE FIXACAO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G138" s="207" t="str">
        <f ca="1">IF($D138&lt;&gt;"Serviço","",OFFSET(ORÇAMENTO!S$15,ROW(G138)-ROW(G$15),0))</f>
        <v xml:space="preserve">UN    </v>
      </c>
      <c r="H138" s="151">
        <f ca="1">IF($D138&lt;&gt;"Serviço",0,IF(ACOMPANHAMENTO="BM",ROUND(OFFSET(ORÇAMENTO!AJ$15,ROW(H138)-ROW(H$15),0),15-13*ORÇAMENTO!$AF$7),SUMPRODUCT(($Q$12:$AA$12&lt;&gt;"")*ROUND($Q138:$AA138,15-13*ORÇAMENTO!$AF$7))))</f>
        <v>21</v>
      </c>
      <c r="I138" s="649"/>
      <c r="K138" s="208"/>
      <c r="L138" s="209" t="s">
        <v>255</v>
      </c>
      <c r="M138" s="210">
        <f ca="1">IF($D138&lt;&gt;"Serviço","",IF(AUTOEVENTO="manual",$A138,IF(ISERROR(MATCH($A138,$A$15:OFFSET($A138,-1,0),0)),MAX($M$15:OFFSET(M138,-1,0))+1,INDEX($M$15:OFFSET(M138,-1,0),MATCH($A138,$A$15:OFFSET($A138,-1,0),0)))))</f>
        <v>19</v>
      </c>
      <c r="N138" s="211" t="str">
        <f ca="1">IF($D138&lt;&gt;"Serviço","",IF(AUTOEVENTO="Manual",IF($A138=0,"&lt;-- defina o número do agrupador",OFFSET(EVENTOS!$D$14,$A138,0)),OFFSET($F$15,$A138,0)))</f>
        <v xml:space="preserve">ELÉTRICA </v>
      </c>
      <c r="O138" s="212"/>
      <c r="Q138" s="212"/>
      <c r="R138" s="213"/>
      <c r="S138" s="213"/>
      <c r="T138" s="213"/>
      <c r="U138" s="213"/>
      <c r="V138" s="213"/>
      <c r="W138" s="213"/>
      <c r="X138" s="213"/>
      <c r="Y138" s="213"/>
      <c r="Z138" s="214"/>
      <c r="AB138" s="630">
        <f ca="1">IF(AND($D138="Serviço",AB$12&lt;&gt;0,$H138&gt;0,OR(AUTOEVENTO&lt;&gt;"manual",$M138&lt;&gt;1)),
IF(Import.TipoArredondamento&lt;&gt;"TransfereGOV",
ROUND(OFFSET($P138,0,AB$13),15-13*ORÇAMENTO!$AF$7)/$H138*OFFSET(ORÇAMENTO!$X$15,ROW(AB138)-ROW(AB$15),0),
ROUND(ROUND(OFFSET($P138,0,AB$13),15-13*ORÇAMENTO!$AF$7)*OFFSET(ORÇAMENTO!$W$15,ROW(AB138)-ROW(AB$15),0),15-13*ORÇAMENTO!$AF$11)),0)</f>
        <v>0</v>
      </c>
      <c r="AC138" s="631">
        <f ca="1">IF(AND($D138="Serviço",AC$12&lt;&gt;0,$H138&gt;0,OR(AUTOEVENTO&lt;&gt;"manual",$M138&lt;&gt;1)),
IF(Import.TipoArredondamento&lt;&gt;"TransfereGOV",
ROUND(OFFSET($P138,0,AC$13),15-13*ORÇAMENTO!$AF$7)/$H138*OFFSET(ORÇAMENTO!$X$15,ROW(AC138)-ROW(AC$15),0),
ROUND(ROUND(OFFSET($P138,0,AC$13),15-13*ORÇAMENTO!$AF$7)*OFFSET(ORÇAMENTO!$W$15,ROW(AC138)-ROW(AC$15),0),15-13*ORÇAMENTO!$AF$11)),0)</f>
        <v>0</v>
      </c>
      <c r="AD138" s="631">
        <f ca="1">IF(AND($D138="Serviço",AD$12&lt;&gt;0,$H138&gt;0,OR(AUTOEVENTO&lt;&gt;"manual",$M138&lt;&gt;1)),
IF(Import.TipoArredondamento&lt;&gt;"TransfereGOV",
ROUND(OFFSET($P138,0,AD$13),15-13*ORÇAMENTO!$AF$7)/$H138*OFFSET(ORÇAMENTO!$X$15,ROW(AD138)-ROW(AD$15),0),
ROUND(ROUND(OFFSET($P138,0,AD$13),15-13*ORÇAMENTO!$AF$7)*OFFSET(ORÇAMENTO!$W$15,ROW(AD138)-ROW(AD$15),0),15-13*ORÇAMENTO!$AF$11)),0)</f>
        <v>0</v>
      </c>
      <c r="AE138" s="631">
        <f ca="1">IF(AND($D138="Serviço",AE$12&lt;&gt;0,$H138&gt;0,OR(AUTOEVENTO&lt;&gt;"manual",$M138&lt;&gt;1)),
IF(Import.TipoArredondamento&lt;&gt;"TransfereGOV",
ROUND(OFFSET($P138,0,AE$13),15-13*ORÇAMENTO!$AF$7)/$H138*OFFSET(ORÇAMENTO!$X$15,ROW(AE138)-ROW(AE$15),0),
ROUND(ROUND(OFFSET($P138,0,AE$13),15-13*ORÇAMENTO!$AF$7)*OFFSET(ORÇAMENTO!$W$15,ROW(AE138)-ROW(AE$15),0),15-13*ORÇAMENTO!$AF$11)),0)</f>
        <v>0</v>
      </c>
      <c r="AF138" s="631">
        <f ca="1">IF(AND($D138="Serviço",AF$12&lt;&gt;0,$H138&gt;0,OR(AUTOEVENTO&lt;&gt;"manual",$M138&lt;&gt;1)),
IF(Import.TipoArredondamento&lt;&gt;"TransfereGOV",
ROUND(OFFSET($P138,0,AF$13),15-13*ORÇAMENTO!$AF$7)/$H138*OFFSET(ORÇAMENTO!$X$15,ROW(AF138)-ROW(AF$15),0),
ROUND(ROUND(OFFSET($P138,0,AF$13),15-13*ORÇAMENTO!$AF$7)*OFFSET(ORÇAMENTO!$W$15,ROW(AF138)-ROW(AF$15),0),15-13*ORÇAMENTO!$AF$11)),0)</f>
        <v>0</v>
      </c>
      <c r="AG138" s="631">
        <f ca="1">IF(AND($D138="Serviço",AG$12&lt;&gt;0,$H138&gt;0,OR(AUTOEVENTO&lt;&gt;"manual",$M138&lt;&gt;1)),
IF(Import.TipoArredondamento&lt;&gt;"TransfereGOV",
ROUND(OFFSET($P138,0,AG$13),15-13*ORÇAMENTO!$AF$7)/$H138*OFFSET(ORÇAMENTO!$X$15,ROW(AG138)-ROW(AG$15),0),
ROUND(ROUND(OFFSET($P138,0,AG$13),15-13*ORÇAMENTO!$AF$7)*OFFSET(ORÇAMENTO!$W$15,ROW(AG138)-ROW(AG$15),0),15-13*ORÇAMENTO!$AF$11)),0)</f>
        <v>0</v>
      </c>
      <c r="AH138" s="631">
        <f ca="1">IF(AND($D138="Serviço",AH$12&lt;&gt;0,$H138&gt;0,OR(AUTOEVENTO&lt;&gt;"manual",$M138&lt;&gt;1)),
IF(Import.TipoArredondamento&lt;&gt;"TransfereGOV",
ROUND(OFFSET($P138,0,AH$13),15-13*ORÇAMENTO!$AF$7)/$H138*OFFSET(ORÇAMENTO!$X$15,ROW(AH138)-ROW(AH$15),0),
ROUND(ROUND(OFFSET($P138,0,AH$13),15-13*ORÇAMENTO!$AF$7)*OFFSET(ORÇAMENTO!$W$15,ROW(AH138)-ROW(AH$15),0),15-13*ORÇAMENTO!$AF$11)),0)</f>
        <v>0</v>
      </c>
      <c r="AI138" s="631">
        <f ca="1">IF(AND($D138="Serviço",AI$12&lt;&gt;0,$H138&gt;0,OR(AUTOEVENTO&lt;&gt;"manual",$M138&lt;&gt;1)),
IF(Import.TipoArredondamento&lt;&gt;"TransfereGOV",
ROUND(OFFSET($P138,0,AI$13),15-13*ORÇAMENTO!$AF$7)/$H138*OFFSET(ORÇAMENTO!$X$15,ROW(AI138)-ROW(AI$15),0),
ROUND(ROUND(OFFSET($P138,0,AI$13),15-13*ORÇAMENTO!$AF$7)*OFFSET(ORÇAMENTO!$W$15,ROW(AI138)-ROW(AI$15),0),15-13*ORÇAMENTO!$AF$11)),0)</f>
        <v>0</v>
      </c>
      <c r="AJ138" s="631">
        <f ca="1">IF(AND($D138="Serviço",AJ$12&lt;&gt;0,$H138&gt;0,OR(AUTOEVENTO&lt;&gt;"manual",$M138&lt;&gt;1)),
IF(Import.TipoArredondamento&lt;&gt;"TransfereGOV",
ROUND(OFFSET($P138,0,AJ$13),15-13*ORÇAMENTO!$AF$7)/$H138*OFFSET(ORÇAMENTO!$X$15,ROW(AJ138)-ROW(AJ$15),0),
ROUND(ROUND(OFFSET($P138,0,AJ$13),15-13*ORÇAMENTO!$AF$7)*OFFSET(ORÇAMENTO!$W$15,ROW(AJ138)-ROW(AJ$15),0),15-13*ORÇAMENTO!$AF$11)),0)</f>
        <v>0</v>
      </c>
      <c r="AK138" s="632">
        <f ca="1">IF(AND($D138="Serviço",AK$12&lt;&gt;0,$H138&gt;0,OR(AUTOEVENTO&lt;&gt;"manual",$M138&lt;&gt;1)),
IF(Import.TipoArredondamento&lt;&gt;"TransfereGOV",
ROUND(OFFSET($P138,0,AK$13),15-13*ORÇAMENTO!$AF$7)/$H138*OFFSET(ORÇAMENTO!$X$15,ROW(AK138)-ROW(AK$15),0),
ROUND(ROUND(OFFSET($P138,0,AK$13),15-13*ORÇAMENTO!$AF$7)*OFFSET(ORÇAMENTO!$W$15,ROW(AK138)-ROW(AK$15),0),15-13*ORÇAMENTO!$AF$11)),0)</f>
        <v>0</v>
      </c>
      <c r="AM138" s="215">
        <f ca="1">IF($D138&lt;&gt;"Serviço",0,IF(AND(AUTOEVENTO="Manual",$M138=1),0,IF(OFFSET(CRONOPLE!$F$14,$M138,AM$13)="",10^12,OFFSET(CRONOPLE!$F$14,$M138,AM$13))))</f>
        <v>1000000000000</v>
      </c>
      <c r="AN138" s="215">
        <f ca="1">IF($D138&lt;&gt;"Serviço",0,IF(AND(AUTOEVENTO="Manual",$M138=1),0,IF(OFFSET(CRONOPLE!$F$14,$M138,AN$13)="",10^12,OFFSET(CRONOPLE!$F$14,$M138,AN$13))))</f>
        <v>1000000000000</v>
      </c>
      <c r="AO138" s="215">
        <f ca="1">IF($D138&lt;&gt;"Serviço",0,IF(AND(AUTOEVENTO="Manual",$M138=1),0,IF(OFFSET(CRONOPLE!$F$14,$M138,AO$13)="",10^12,OFFSET(CRONOPLE!$F$14,$M138,AO$13))))</f>
        <v>1000000000000</v>
      </c>
      <c r="AP138" s="215">
        <f ca="1">IF($D138&lt;&gt;"Serviço",0,IF(AND(AUTOEVENTO="Manual",$M138=1),0,IF(OFFSET(CRONOPLE!$F$14,$M138,AP$13)="",10^12,OFFSET(CRONOPLE!$F$14,$M138,AP$13))))</f>
        <v>1000000000000</v>
      </c>
      <c r="AQ138" s="215">
        <f ca="1">IF($D138&lt;&gt;"Serviço",0,IF(AND(AUTOEVENTO="Manual",$M138=1),0,IF(OFFSET(CRONOPLE!$F$14,$M138,AQ$13)="",10^12,OFFSET(CRONOPLE!$F$14,$M138,AQ$13))))</f>
        <v>1000000000000</v>
      </c>
      <c r="AR138" s="215">
        <f ca="1">IF($D138&lt;&gt;"Serviço",0,IF(AND(AUTOEVENTO="Manual",$M138=1),0,IF(OFFSET(CRONOPLE!$F$14,$M138,AR$13)="",10^12,OFFSET(CRONOPLE!$F$14,$M138,AR$13))))</f>
        <v>1000000000000</v>
      </c>
      <c r="AS138" s="215">
        <f ca="1">IF($D138&lt;&gt;"Serviço",0,IF(AND(AUTOEVENTO="Manual",$M138=1),0,IF(OFFSET(CRONOPLE!$F$14,$M138,AS$13)="",10^12,OFFSET(CRONOPLE!$F$14,$M138,AS$13))))</f>
        <v>1000000000000</v>
      </c>
      <c r="AT138" s="215">
        <f ca="1">IF($D138&lt;&gt;"Serviço",0,IF(AND(AUTOEVENTO="Manual",$M138=1),0,IF(OFFSET(CRONOPLE!$F$14,$M138,AT$13)="",10^12,OFFSET(CRONOPLE!$F$14,$M138,AT$13))))</f>
        <v>1000000000000</v>
      </c>
      <c r="AU138" s="215">
        <f ca="1">IF($D138&lt;&gt;"Serviço",0,IF(AND(AUTOEVENTO="Manual",$M138=1),0,IF(OFFSET(CRONOPLE!$F$14,$M138,AU$13)="",10^12,OFFSET(CRONOPLE!$F$14,$M138,AU$13))))</f>
        <v>1000000000000</v>
      </c>
      <c r="AV138" s="215">
        <f ca="1">IF($D138&lt;&gt;"Serviço",0,IF(AND(AUTOEVENTO="Manual",$M138=1),0,IF(OFFSET(CRONOPLE!$F$14,$M138,AV$13)="",10^12,OFFSET(CRONOPLE!$F$14,$M138,AV$13))))</f>
        <v>1000000000000</v>
      </c>
      <c r="AX138" s="216">
        <f ca="1">IF($D138&lt;&gt;"Serviço",0,IF(OR(AND(AUTOEVENTO="Manual",$M138=1),$M138&gt;(ROW(PLE.lastrow)-ROW(PLE.firstrow))),0,IF(OFFSET(PLE!$G$14,$M138,AX$13)="",10^12,OFFSET(PLE!$G$14,$M138,AX$13))))</f>
        <v>1000000000000</v>
      </c>
      <c r="AY138" s="216">
        <f ca="1">IF($D138&lt;&gt;"Serviço",0,IF(OR(AND(AUTOEVENTO="Manual",$M138=1),$M138&gt;(ROW(PLE.lastrow)-ROW(PLE.firstrow))),0,IF(OFFSET(PLE!$G$14,$M138,AY$13)="",10^12,OFFSET(PLE!$G$14,$M138,AY$13))))</f>
        <v>1000000000000</v>
      </c>
      <c r="AZ138" s="216">
        <f ca="1">IF($D138&lt;&gt;"Serviço",0,IF(OR(AND(AUTOEVENTO="Manual",$M138=1),$M138&gt;(ROW(PLE.lastrow)-ROW(PLE.firstrow))),0,IF(OFFSET(PLE!$G$14,$M138,AZ$13)="",10^12,OFFSET(PLE!$G$14,$M138,AZ$13))))</f>
        <v>1000000000000</v>
      </c>
      <c r="BA138" s="216">
        <f ca="1">IF($D138&lt;&gt;"Serviço",0,IF(OR(AND(AUTOEVENTO="Manual",$M138=1),$M138&gt;(ROW(PLE.lastrow)-ROW(PLE.firstrow))),0,IF(OFFSET(PLE!$G$14,$M138,BA$13)="",10^12,OFFSET(PLE!$G$14,$M138,BA$13))))</f>
        <v>1000000000000</v>
      </c>
      <c r="BB138" s="216">
        <f ca="1">IF($D138&lt;&gt;"Serviço",0,IF(OR(AND(AUTOEVENTO="Manual",$M138=1),$M138&gt;(ROW(PLE.lastrow)-ROW(PLE.firstrow))),0,IF(OFFSET(PLE!$G$14,$M138,BB$13)="",10^12,OFFSET(PLE!$G$14,$M138,BB$13))))</f>
        <v>1000000000000</v>
      </c>
      <c r="BC138" s="216">
        <f ca="1">IF($D138&lt;&gt;"Serviço",0,IF(OR(AND(AUTOEVENTO="Manual",$M138=1),$M138&gt;(ROW(PLE.lastrow)-ROW(PLE.firstrow))),0,IF(OFFSET(PLE!$G$14,$M138,BC$13)="",10^12,OFFSET(PLE!$G$14,$M138,BC$13))))</f>
        <v>1000000000000</v>
      </c>
      <c r="BD138" s="216">
        <f ca="1">IF($D138&lt;&gt;"Serviço",0,IF(OR(AND(AUTOEVENTO="Manual",$M138=1),$M138&gt;(ROW(PLE.lastrow)-ROW(PLE.firstrow))),0,IF(OFFSET(PLE!$G$14,$M138,BD$13)="",10^12,OFFSET(PLE!$G$14,$M138,BD$13))))</f>
        <v>1000000000000</v>
      </c>
      <c r="BE138" s="216">
        <f ca="1">IF($D138&lt;&gt;"Serviço",0,IF(OR(AND(AUTOEVENTO="Manual",$M138=1),$M138&gt;(ROW(PLE.lastrow)-ROW(PLE.firstrow))),0,IF(OFFSET(PLE!$G$14,$M138,BE$13)="",10^12,OFFSET(PLE!$G$14,$M138,BE$13))))</f>
        <v>1000000000000</v>
      </c>
      <c r="BF138" s="216">
        <f ca="1">IF($D138&lt;&gt;"Serviço",0,IF(OR(AND(AUTOEVENTO="Manual",$M138=1),$M138&gt;(ROW(PLE.lastrow)-ROW(PLE.firstrow))),0,IF(OFFSET(PLE!$G$14,$M138,BF$13)="",10^12,OFFSET(PLE!$G$14,$M138,BF$13))))</f>
        <v>1000000000000</v>
      </c>
      <c r="BG138" s="216">
        <f ca="1">IF($D138&lt;&gt;"Serviço",0,IF(OR(AND(AUTOEVENTO="Manual",$M138=1),$M138&gt;(ROW(PLE.lastrow)-ROW(PLE.firstrow))),0,IF(OFFSET(PLE!$G$14,$M138,BG$13)="",10^12,OFFSET(PLE!$G$14,$M138,BG$13))))</f>
        <v>1000000000000</v>
      </c>
    </row>
    <row r="139" spans="1:59" ht="25.5" x14ac:dyDescent="0.2">
      <c r="A139" s="9" t="str">
        <f t="shared" ca="1" si="10"/>
        <v>93</v>
      </c>
      <c r="B139" s="9" t="str">
        <f ca="1">OFFSET(ORÇAMENTO!C$15,ROW(B139)-ROW(B$15),0)</f>
        <v>S</v>
      </c>
      <c r="C139" s="9" t="str">
        <f ca="1">OFFSET(ORÇAMENTO!L$15,ROW(C139)-ROW(C$15),0)</f>
        <v/>
      </c>
      <c r="D139" s="145" t="str">
        <f ca="1">OFFSET(ORÇAMENTO!N$15,ROW(D139)-ROW(D$15),0)</f>
        <v>Serviço</v>
      </c>
      <c r="E139" s="205" t="str">
        <f ca="1">OFFSET(ORÇAMENTO!O$15,ROW(E139)-ROW(E$15),0)</f>
        <v>-</v>
      </c>
      <c r="F139" s="206" t="str">
        <f ca="1">OFFSET(ORÇAMENTO!R$15,ROW(F139)-ROW(F$15),0)</f>
        <v xml:space="preserve">TERMINAL A COMPRESSAO EM COBRE ESTANHADO PARA CABO 2,5 MM2, 1 FURO E 1 COMPRESSAO, PARA PARAFUSO DE FIXACAO M5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G139" s="207" t="str">
        <f ca="1">IF($D139&lt;&gt;"Serviço","",OFFSET(ORÇAMENTO!S$15,ROW(G139)-ROW(G$15),0))</f>
        <v xml:space="preserve">UN    </v>
      </c>
      <c r="H139" s="151">
        <f ca="1">IF($D139&lt;&gt;"Serviço",0,IF(ACOMPANHAMENTO="BM",ROUND(OFFSET(ORÇAMENTO!AJ$15,ROW(H139)-ROW(H$15),0),15-13*ORÇAMENTO!$AF$7),SUMPRODUCT(($Q$12:$AA$12&lt;&gt;"")*ROUND($Q139:$AA139,15-13*ORÇAMENTO!$AF$7))))</f>
        <v>24</v>
      </c>
      <c r="I139" s="649"/>
      <c r="K139" s="208"/>
      <c r="L139" s="209" t="s">
        <v>255</v>
      </c>
      <c r="M139" s="210">
        <f ca="1">IF($D139&lt;&gt;"Serviço","",IF(AUTOEVENTO="manual",$A139,IF(ISERROR(MATCH($A139,$A$15:OFFSET($A139,-1,0),0)),MAX($M$15:OFFSET(M139,-1,0))+1,INDEX($M$15:OFFSET(M139,-1,0),MATCH($A139,$A$15:OFFSET($A139,-1,0),0)))))</f>
        <v>19</v>
      </c>
      <c r="N139" s="211" t="str">
        <f ca="1">IF($D139&lt;&gt;"Serviço","",IF(AUTOEVENTO="Manual",IF($A139=0,"&lt;-- defina o número do agrupador",OFFSET(EVENTOS!$D$14,$A139,0)),OFFSET($F$15,$A139,0)))</f>
        <v xml:space="preserve">ELÉTRICA </v>
      </c>
      <c r="O139" s="212"/>
      <c r="Q139" s="212"/>
      <c r="R139" s="213"/>
      <c r="S139" s="213"/>
      <c r="T139" s="213"/>
      <c r="U139" s="213"/>
      <c r="V139" s="213"/>
      <c r="W139" s="213"/>
      <c r="X139" s="213"/>
      <c r="Y139" s="213"/>
      <c r="Z139" s="214"/>
      <c r="AB139" s="630">
        <f ca="1">IF(AND($D139="Serviço",AB$12&lt;&gt;0,$H139&gt;0,OR(AUTOEVENTO&lt;&gt;"manual",$M139&lt;&gt;1)),
IF(Import.TipoArredondamento&lt;&gt;"TransfereGOV",
ROUND(OFFSET($P139,0,AB$13),15-13*ORÇAMENTO!$AF$7)/$H139*OFFSET(ORÇAMENTO!$X$15,ROW(AB139)-ROW(AB$15),0),
ROUND(ROUND(OFFSET($P139,0,AB$13),15-13*ORÇAMENTO!$AF$7)*OFFSET(ORÇAMENTO!$W$15,ROW(AB139)-ROW(AB$15),0),15-13*ORÇAMENTO!$AF$11)),0)</f>
        <v>0</v>
      </c>
      <c r="AC139" s="631">
        <f ca="1">IF(AND($D139="Serviço",AC$12&lt;&gt;0,$H139&gt;0,OR(AUTOEVENTO&lt;&gt;"manual",$M139&lt;&gt;1)),
IF(Import.TipoArredondamento&lt;&gt;"TransfereGOV",
ROUND(OFFSET($P139,0,AC$13),15-13*ORÇAMENTO!$AF$7)/$H139*OFFSET(ORÇAMENTO!$X$15,ROW(AC139)-ROW(AC$15),0),
ROUND(ROUND(OFFSET($P139,0,AC$13),15-13*ORÇAMENTO!$AF$7)*OFFSET(ORÇAMENTO!$W$15,ROW(AC139)-ROW(AC$15),0),15-13*ORÇAMENTO!$AF$11)),0)</f>
        <v>0</v>
      </c>
      <c r="AD139" s="631">
        <f ca="1">IF(AND($D139="Serviço",AD$12&lt;&gt;0,$H139&gt;0,OR(AUTOEVENTO&lt;&gt;"manual",$M139&lt;&gt;1)),
IF(Import.TipoArredondamento&lt;&gt;"TransfereGOV",
ROUND(OFFSET($P139,0,AD$13),15-13*ORÇAMENTO!$AF$7)/$H139*OFFSET(ORÇAMENTO!$X$15,ROW(AD139)-ROW(AD$15),0),
ROUND(ROUND(OFFSET($P139,0,AD$13),15-13*ORÇAMENTO!$AF$7)*OFFSET(ORÇAMENTO!$W$15,ROW(AD139)-ROW(AD$15),0),15-13*ORÇAMENTO!$AF$11)),0)</f>
        <v>0</v>
      </c>
      <c r="AE139" s="631">
        <f ca="1">IF(AND($D139="Serviço",AE$12&lt;&gt;0,$H139&gt;0,OR(AUTOEVENTO&lt;&gt;"manual",$M139&lt;&gt;1)),
IF(Import.TipoArredondamento&lt;&gt;"TransfereGOV",
ROUND(OFFSET($P139,0,AE$13),15-13*ORÇAMENTO!$AF$7)/$H139*OFFSET(ORÇAMENTO!$X$15,ROW(AE139)-ROW(AE$15),0),
ROUND(ROUND(OFFSET($P139,0,AE$13),15-13*ORÇAMENTO!$AF$7)*OFFSET(ORÇAMENTO!$W$15,ROW(AE139)-ROW(AE$15),0),15-13*ORÇAMENTO!$AF$11)),0)</f>
        <v>0</v>
      </c>
      <c r="AF139" s="631">
        <f ca="1">IF(AND($D139="Serviço",AF$12&lt;&gt;0,$H139&gt;0,OR(AUTOEVENTO&lt;&gt;"manual",$M139&lt;&gt;1)),
IF(Import.TipoArredondamento&lt;&gt;"TransfereGOV",
ROUND(OFFSET($P139,0,AF$13),15-13*ORÇAMENTO!$AF$7)/$H139*OFFSET(ORÇAMENTO!$X$15,ROW(AF139)-ROW(AF$15),0),
ROUND(ROUND(OFFSET($P139,0,AF$13),15-13*ORÇAMENTO!$AF$7)*OFFSET(ORÇAMENTO!$W$15,ROW(AF139)-ROW(AF$15),0),15-13*ORÇAMENTO!$AF$11)),0)</f>
        <v>0</v>
      </c>
      <c r="AG139" s="631">
        <f ca="1">IF(AND($D139="Serviço",AG$12&lt;&gt;0,$H139&gt;0,OR(AUTOEVENTO&lt;&gt;"manual",$M139&lt;&gt;1)),
IF(Import.TipoArredondamento&lt;&gt;"TransfereGOV",
ROUND(OFFSET($P139,0,AG$13),15-13*ORÇAMENTO!$AF$7)/$H139*OFFSET(ORÇAMENTO!$X$15,ROW(AG139)-ROW(AG$15),0),
ROUND(ROUND(OFFSET($P139,0,AG$13),15-13*ORÇAMENTO!$AF$7)*OFFSET(ORÇAMENTO!$W$15,ROW(AG139)-ROW(AG$15),0),15-13*ORÇAMENTO!$AF$11)),0)</f>
        <v>0</v>
      </c>
      <c r="AH139" s="631">
        <f ca="1">IF(AND($D139="Serviço",AH$12&lt;&gt;0,$H139&gt;0,OR(AUTOEVENTO&lt;&gt;"manual",$M139&lt;&gt;1)),
IF(Import.TipoArredondamento&lt;&gt;"TransfereGOV",
ROUND(OFFSET($P139,0,AH$13),15-13*ORÇAMENTO!$AF$7)/$H139*OFFSET(ORÇAMENTO!$X$15,ROW(AH139)-ROW(AH$15),0),
ROUND(ROUND(OFFSET($P139,0,AH$13),15-13*ORÇAMENTO!$AF$7)*OFFSET(ORÇAMENTO!$W$15,ROW(AH139)-ROW(AH$15),0),15-13*ORÇAMENTO!$AF$11)),0)</f>
        <v>0</v>
      </c>
      <c r="AI139" s="631">
        <f ca="1">IF(AND($D139="Serviço",AI$12&lt;&gt;0,$H139&gt;0,OR(AUTOEVENTO&lt;&gt;"manual",$M139&lt;&gt;1)),
IF(Import.TipoArredondamento&lt;&gt;"TransfereGOV",
ROUND(OFFSET($P139,0,AI$13),15-13*ORÇAMENTO!$AF$7)/$H139*OFFSET(ORÇAMENTO!$X$15,ROW(AI139)-ROW(AI$15),0),
ROUND(ROUND(OFFSET($P139,0,AI$13),15-13*ORÇAMENTO!$AF$7)*OFFSET(ORÇAMENTO!$W$15,ROW(AI139)-ROW(AI$15),0),15-13*ORÇAMENTO!$AF$11)),0)</f>
        <v>0</v>
      </c>
      <c r="AJ139" s="631">
        <f ca="1">IF(AND($D139="Serviço",AJ$12&lt;&gt;0,$H139&gt;0,OR(AUTOEVENTO&lt;&gt;"manual",$M139&lt;&gt;1)),
IF(Import.TipoArredondamento&lt;&gt;"TransfereGOV",
ROUND(OFFSET($P139,0,AJ$13),15-13*ORÇAMENTO!$AF$7)/$H139*OFFSET(ORÇAMENTO!$X$15,ROW(AJ139)-ROW(AJ$15),0),
ROUND(ROUND(OFFSET($P139,0,AJ$13),15-13*ORÇAMENTO!$AF$7)*OFFSET(ORÇAMENTO!$W$15,ROW(AJ139)-ROW(AJ$15),0),15-13*ORÇAMENTO!$AF$11)),0)</f>
        <v>0</v>
      </c>
      <c r="AK139" s="632">
        <f ca="1">IF(AND($D139="Serviço",AK$12&lt;&gt;0,$H139&gt;0,OR(AUTOEVENTO&lt;&gt;"manual",$M139&lt;&gt;1)),
IF(Import.TipoArredondamento&lt;&gt;"TransfereGOV",
ROUND(OFFSET($P139,0,AK$13),15-13*ORÇAMENTO!$AF$7)/$H139*OFFSET(ORÇAMENTO!$X$15,ROW(AK139)-ROW(AK$15),0),
ROUND(ROUND(OFFSET($P139,0,AK$13),15-13*ORÇAMENTO!$AF$7)*OFFSET(ORÇAMENTO!$W$15,ROW(AK139)-ROW(AK$15),0),15-13*ORÇAMENTO!$AF$11)),0)</f>
        <v>0</v>
      </c>
      <c r="AM139" s="215">
        <f ca="1">IF($D139&lt;&gt;"Serviço",0,IF(AND(AUTOEVENTO="Manual",$M139=1),0,IF(OFFSET(CRONOPLE!$F$14,$M139,AM$13)="",10^12,OFFSET(CRONOPLE!$F$14,$M139,AM$13))))</f>
        <v>1000000000000</v>
      </c>
      <c r="AN139" s="215">
        <f ca="1">IF($D139&lt;&gt;"Serviço",0,IF(AND(AUTOEVENTO="Manual",$M139=1),0,IF(OFFSET(CRONOPLE!$F$14,$M139,AN$13)="",10^12,OFFSET(CRONOPLE!$F$14,$M139,AN$13))))</f>
        <v>1000000000000</v>
      </c>
      <c r="AO139" s="215">
        <f ca="1">IF($D139&lt;&gt;"Serviço",0,IF(AND(AUTOEVENTO="Manual",$M139=1),0,IF(OFFSET(CRONOPLE!$F$14,$M139,AO$13)="",10^12,OFFSET(CRONOPLE!$F$14,$M139,AO$13))))</f>
        <v>1000000000000</v>
      </c>
      <c r="AP139" s="215">
        <f ca="1">IF($D139&lt;&gt;"Serviço",0,IF(AND(AUTOEVENTO="Manual",$M139=1),0,IF(OFFSET(CRONOPLE!$F$14,$M139,AP$13)="",10^12,OFFSET(CRONOPLE!$F$14,$M139,AP$13))))</f>
        <v>1000000000000</v>
      </c>
      <c r="AQ139" s="215">
        <f ca="1">IF($D139&lt;&gt;"Serviço",0,IF(AND(AUTOEVENTO="Manual",$M139=1),0,IF(OFFSET(CRONOPLE!$F$14,$M139,AQ$13)="",10^12,OFFSET(CRONOPLE!$F$14,$M139,AQ$13))))</f>
        <v>1000000000000</v>
      </c>
      <c r="AR139" s="215">
        <f ca="1">IF($D139&lt;&gt;"Serviço",0,IF(AND(AUTOEVENTO="Manual",$M139=1),0,IF(OFFSET(CRONOPLE!$F$14,$M139,AR$13)="",10^12,OFFSET(CRONOPLE!$F$14,$M139,AR$13))))</f>
        <v>1000000000000</v>
      </c>
      <c r="AS139" s="215">
        <f ca="1">IF($D139&lt;&gt;"Serviço",0,IF(AND(AUTOEVENTO="Manual",$M139=1),0,IF(OFFSET(CRONOPLE!$F$14,$M139,AS$13)="",10^12,OFFSET(CRONOPLE!$F$14,$M139,AS$13))))</f>
        <v>1000000000000</v>
      </c>
      <c r="AT139" s="215">
        <f ca="1">IF($D139&lt;&gt;"Serviço",0,IF(AND(AUTOEVENTO="Manual",$M139=1),0,IF(OFFSET(CRONOPLE!$F$14,$M139,AT$13)="",10^12,OFFSET(CRONOPLE!$F$14,$M139,AT$13))))</f>
        <v>1000000000000</v>
      </c>
      <c r="AU139" s="215">
        <f ca="1">IF($D139&lt;&gt;"Serviço",0,IF(AND(AUTOEVENTO="Manual",$M139=1),0,IF(OFFSET(CRONOPLE!$F$14,$M139,AU$13)="",10^12,OFFSET(CRONOPLE!$F$14,$M139,AU$13))))</f>
        <v>1000000000000</v>
      </c>
      <c r="AV139" s="215">
        <f ca="1">IF($D139&lt;&gt;"Serviço",0,IF(AND(AUTOEVENTO="Manual",$M139=1),0,IF(OFFSET(CRONOPLE!$F$14,$M139,AV$13)="",10^12,OFFSET(CRONOPLE!$F$14,$M139,AV$13))))</f>
        <v>1000000000000</v>
      </c>
      <c r="AX139" s="216">
        <f ca="1">IF($D139&lt;&gt;"Serviço",0,IF(OR(AND(AUTOEVENTO="Manual",$M139=1),$M139&gt;(ROW(PLE.lastrow)-ROW(PLE.firstrow))),0,IF(OFFSET(PLE!$G$14,$M139,AX$13)="",10^12,OFFSET(PLE!$G$14,$M139,AX$13))))</f>
        <v>1000000000000</v>
      </c>
      <c r="AY139" s="216">
        <f ca="1">IF($D139&lt;&gt;"Serviço",0,IF(OR(AND(AUTOEVENTO="Manual",$M139=1),$M139&gt;(ROW(PLE.lastrow)-ROW(PLE.firstrow))),0,IF(OFFSET(PLE!$G$14,$M139,AY$13)="",10^12,OFFSET(PLE!$G$14,$M139,AY$13))))</f>
        <v>1000000000000</v>
      </c>
      <c r="AZ139" s="216">
        <f ca="1">IF($D139&lt;&gt;"Serviço",0,IF(OR(AND(AUTOEVENTO="Manual",$M139=1),$M139&gt;(ROW(PLE.lastrow)-ROW(PLE.firstrow))),0,IF(OFFSET(PLE!$G$14,$M139,AZ$13)="",10^12,OFFSET(PLE!$G$14,$M139,AZ$13))))</f>
        <v>1000000000000</v>
      </c>
      <c r="BA139" s="216">
        <f ca="1">IF($D139&lt;&gt;"Serviço",0,IF(OR(AND(AUTOEVENTO="Manual",$M139=1),$M139&gt;(ROW(PLE.lastrow)-ROW(PLE.firstrow))),0,IF(OFFSET(PLE!$G$14,$M139,BA$13)="",10^12,OFFSET(PLE!$G$14,$M139,BA$13))))</f>
        <v>1000000000000</v>
      </c>
      <c r="BB139" s="216">
        <f ca="1">IF($D139&lt;&gt;"Serviço",0,IF(OR(AND(AUTOEVENTO="Manual",$M139=1),$M139&gt;(ROW(PLE.lastrow)-ROW(PLE.firstrow))),0,IF(OFFSET(PLE!$G$14,$M139,BB$13)="",10^12,OFFSET(PLE!$G$14,$M139,BB$13))))</f>
        <v>1000000000000</v>
      </c>
      <c r="BC139" s="216">
        <f ca="1">IF($D139&lt;&gt;"Serviço",0,IF(OR(AND(AUTOEVENTO="Manual",$M139=1),$M139&gt;(ROW(PLE.lastrow)-ROW(PLE.firstrow))),0,IF(OFFSET(PLE!$G$14,$M139,BC$13)="",10^12,OFFSET(PLE!$G$14,$M139,BC$13))))</f>
        <v>1000000000000</v>
      </c>
      <c r="BD139" s="216">
        <f ca="1">IF($D139&lt;&gt;"Serviço",0,IF(OR(AND(AUTOEVENTO="Manual",$M139=1),$M139&gt;(ROW(PLE.lastrow)-ROW(PLE.firstrow))),0,IF(OFFSET(PLE!$G$14,$M139,BD$13)="",10^12,OFFSET(PLE!$G$14,$M139,BD$13))))</f>
        <v>1000000000000</v>
      </c>
      <c r="BE139" s="216">
        <f ca="1">IF($D139&lt;&gt;"Serviço",0,IF(OR(AND(AUTOEVENTO="Manual",$M139=1),$M139&gt;(ROW(PLE.lastrow)-ROW(PLE.firstrow))),0,IF(OFFSET(PLE!$G$14,$M139,BE$13)="",10^12,OFFSET(PLE!$G$14,$M139,BE$13))))</f>
        <v>1000000000000</v>
      </c>
      <c r="BF139" s="216">
        <f ca="1">IF($D139&lt;&gt;"Serviço",0,IF(OR(AND(AUTOEVENTO="Manual",$M139=1),$M139&gt;(ROW(PLE.lastrow)-ROW(PLE.firstrow))),0,IF(OFFSET(PLE!$G$14,$M139,BF$13)="",10^12,OFFSET(PLE!$G$14,$M139,BF$13))))</f>
        <v>1000000000000</v>
      </c>
      <c r="BG139" s="216">
        <f ca="1">IF($D139&lt;&gt;"Serviço",0,IF(OR(AND(AUTOEVENTO="Manual",$M139=1),$M139&gt;(ROW(PLE.lastrow)-ROW(PLE.firstrow))),0,IF(OFFSET(PLE!$G$14,$M139,BG$13)="",10^12,OFFSET(PLE!$G$14,$M139,BG$13))))</f>
        <v>1000000000000</v>
      </c>
    </row>
    <row r="140" spans="1:59" ht="25.5" x14ac:dyDescent="0.2">
      <c r="A140" s="9" t="str">
        <f t="shared" ca="1" si="10"/>
        <v>93</v>
      </c>
      <c r="B140" s="9" t="str">
        <f ca="1">OFFSET(ORÇAMENTO!C$15,ROW(B140)-ROW(B$15),0)</f>
        <v>S</v>
      </c>
      <c r="C140" s="9" t="str">
        <f ca="1">OFFSET(ORÇAMENTO!L$15,ROW(C140)-ROW(C$15),0)</f>
        <v/>
      </c>
      <c r="D140" s="145" t="str">
        <f ca="1">OFFSET(ORÇAMENTO!N$15,ROW(D140)-ROW(D$15),0)</f>
        <v>Serviço</v>
      </c>
      <c r="E140" s="205" t="str">
        <f ca="1">OFFSET(ORÇAMENTO!O$15,ROW(E140)-ROW(E$15),0)</f>
        <v>-</v>
      </c>
      <c r="F140" s="206" t="str">
        <f ca="1">OFFSET(ORÇAMENTO!R$15,ROW(F140)-ROW(F$15),0)</f>
        <v xml:space="preserve">CAIXA DE CONCRETO ARMADO PRE-MOLDADO, COM FUNDO E SEM TAMPA, DIMENSOES DE 0,80 X 0,80 X 0,50 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G140" s="207" t="str">
        <f ca="1">IF($D140&lt;&gt;"Serviço","",OFFSET(ORÇAMENTO!S$15,ROW(G140)-ROW(G$15),0))</f>
        <v xml:space="preserve">UN    </v>
      </c>
      <c r="H140" s="151">
        <f ca="1">IF($D140&lt;&gt;"Serviço",0,IF(ACOMPANHAMENTO="BM",ROUND(OFFSET(ORÇAMENTO!AJ$15,ROW(H140)-ROW(H$15),0),15-13*ORÇAMENTO!$AF$7),SUMPRODUCT(($Q$12:$AA$12&lt;&gt;"")*ROUND($Q140:$AA140,15-13*ORÇAMENTO!$AF$7))))</f>
        <v>3</v>
      </c>
      <c r="I140" s="649"/>
      <c r="K140" s="208"/>
      <c r="L140" s="209" t="s">
        <v>255</v>
      </c>
      <c r="M140" s="210">
        <f ca="1">IF($D140&lt;&gt;"Serviço","",IF(AUTOEVENTO="manual",$A140,IF(ISERROR(MATCH($A140,$A$15:OFFSET($A140,-1,0),0)),MAX($M$15:OFFSET(M140,-1,0))+1,INDEX($M$15:OFFSET(M140,-1,0),MATCH($A140,$A$15:OFFSET($A140,-1,0),0)))))</f>
        <v>19</v>
      </c>
      <c r="N140" s="211" t="str">
        <f ca="1">IF($D140&lt;&gt;"Serviço","",IF(AUTOEVENTO="Manual",IF($A140=0,"&lt;-- defina o número do agrupador",OFFSET(EVENTOS!$D$14,$A140,0)),OFFSET($F$15,$A140,0)))</f>
        <v xml:space="preserve">ELÉTRICA </v>
      </c>
      <c r="O140" s="212"/>
      <c r="Q140" s="212"/>
      <c r="R140" s="213"/>
      <c r="S140" s="213"/>
      <c r="T140" s="213"/>
      <c r="U140" s="213"/>
      <c r="V140" s="213"/>
      <c r="W140" s="213"/>
      <c r="X140" s="213"/>
      <c r="Y140" s="213"/>
      <c r="Z140" s="214"/>
      <c r="AB140" s="630">
        <f ca="1">IF(AND($D140="Serviço",AB$12&lt;&gt;0,$H140&gt;0,OR(AUTOEVENTO&lt;&gt;"manual",$M140&lt;&gt;1)),
IF(Import.TipoArredondamento&lt;&gt;"TransfereGOV",
ROUND(OFFSET($P140,0,AB$13),15-13*ORÇAMENTO!$AF$7)/$H140*OFFSET(ORÇAMENTO!$X$15,ROW(AB140)-ROW(AB$15),0),
ROUND(ROUND(OFFSET($P140,0,AB$13),15-13*ORÇAMENTO!$AF$7)*OFFSET(ORÇAMENTO!$W$15,ROW(AB140)-ROW(AB$15),0),15-13*ORÇAMENTO!$AF$11)),0)</f>
        <v>0</v>
      </c>
      <c r="AC140" s="631">
        <f ca="1">IF(AND($D140="Serviço",AC$12&lt;&gt;0,$H140&gt;0,OR(AUTOEVENTO&lt;&gt;"manual",$M140&lt;&gt;1)),
IF(Import.TipoArredondamento&lt;&gt;"TransfereGOV",
ROUND(OFFSET($P140,0,AC$13),15-13*ORÇAMENTO!$AF$7)/$H140*OFFSET(ORÇAMENTO!$X$15,ROW(AC140)-ROW(AC$15),0),
ROUND(ROUND(OFFSET($P140,0,AC$13),15-13*ORÇAMENTO!$AF$7)*OFFSET(ORÇAMENTO!$W$15,ROW(AC140)-ROW(AC$15),0),15-13*ORÇAMENTO!$AF$11)),0)</f>
        <v>0</v>
      </c>
      <c r="AD140" s="631">
        <f ca="1">IF(AND($D140="Serviço",AD$12&lt;&gt;0,$H140&gt;0,OR(AUTOEVENTO&lt;&gt;"manual",$M140&lt;&gt;1)),
IF(Import.TipoArredondamento&lt;&gt;"TransfereGOV",
ROUND(OFFSET($P140,0,AD$13),15-13*ORÇAMENTO!$AF$7)/$H140*OFFSET(ORÇAMENTO!$X$15,ROW(AD140)-ROW(AD$15),0),
ROUND(ROUND(OFFSET($P140,0,AD$13),15-13*ORÇAMENTO!$AF$7)*OFFSET(ORÇAMENTO!$W$15,ROW(AD140)-ROW(AD$15),0),15-13*ORÇAMENTO!$AF$11)),0)</f>
        <v>0</v>
      </c>
      <c r="AE140" s="631">
        <f ca="1">IF(AND($D140="Serviço",AE$12&lt;&gt;0,$H140&gt;0,OR(AUTOEVENTO&lt;&gt;"manual",$M140&lt;&gt;1)),
IF(Import.TipoArredondamento&lt;&gt;"TransfereGOV",
ROUND(OFFSET($P140,0,AE$13),15-13*ORÇAMENTO!$AF$7)/$H140*OFFSET(ORÇAMENTO!$X$15,ROW(AE140)-ROW(AE$15),0),
ROUND(ROUND(OFFSET($P140,0,AE$13),15-13*ORÇAMENTO!$AF$7)*OFFSET(ORÇAMENTO!$W$15,ROW(AE140)-ROW(AE$15),0),15-13*ORÇAMENTO!$AF$11)),0)</f>
        <v>0</v>
      </c>
      <c r="AF140" s="631">
        <f ca="1">IF(AND($D140="Serviço",AF$12&lt;&gt;0,$H140&gt;0,OR(AUTOEVENTO&lt;&gt;"manual",$M140&lt;&gt;1)),
IF(Import.TipoArredondamento&lt;&gt;"TransfereGOV",
ROUND(OFFSET($P140,0,AF$13),15-13*ORÇAMENTO!$AF$7)/$H140*OFFSET(ORÇAMENTO!$X$15,ROW(AF140)-ROW(AF$15),0),
ROUND(ROUND(OFFSET($P140,0,AF$13),15-13*ORÇAMENTO!$AF$7)*OFFSET(ORÇAMENTO!$W$15,ROW(AF140)-ROW(AF$15),0),15-13*ORÇAMENTO!$AF$11)),0)</f>
        <v>0</v>
      </c>
      <c r="AG140" s="631">
        <f ca="1">IF(AND($D140="Serviço",AG$12&lt;&gt;0,$H140&gt;0,OR(AUTOEVENTO&lt;&gt;"manual",$M140&lt;&gt;1)),
IF(Import.TipoArredondamento&lt;&gt;"TransfereGOV",
ROUND(OFFSET($P140,0,AG$13),15-13*ORÇAMENTO!$AF$7)/$H140*OFFSET(ORÇAMENTO!$X$15,ROW(AG140)-ROW(AG$15),0),
ROUND(ROUND(OFFSET($P140,0,AG$13),15-13*ORÇAMENTO!$AF$7)*OFFSET(ORÇAMENTO!$W$15,ROW(AG140)-ROW(AG$15),0),15-13*ORÇAMENTO!$AF$11)),0)</f>
        <v>0</v>
      </c>
      <c r="AH140" s="631">
        <f ca="1">IF(AND($D140="Serviço",AH$12&lt;&gt;0,$H140&gt;0,OR(AUTOEVENTO&lt;&gt;"manual",$M140&lt;&gt;1)),
IF(Import.TipoArredondamento&lt;&gt;"TransfereGOV",
ROUND(OFFSET($P140,0,AH$13),15-13*ORÇAMENTO!$AF$7)/$H140*OFFSET(ORÇAMENTO!$X$15,ROW(AH140)-ROW(AH$15),0),
ROUND(ROUND(OFFSET($P140,0,AH$13),15-13*ORÇAMENTO!$AF$7)*OFFSET(ORÇAMENTO!$W$15,ROW(AH140)-ROW(AH$15),0),15-13*ORÇAMENTO!$AF$11)),0)</f>
        <v>0</v>
      </c>
      <c r="AI140" s="631">
        <f ca="1">IF(AND($D140="Serviço",AI$12&lt;&gt;0,$H140&gt;0,OR(AUTOEVENTO&lt;&gt;"manual",$M140&lt;&gt;1)),
IF(Import.TipoArredondamento&lt;&gt;"TransfereGOV",
ROUND(OFFSET($P140,0,AI$13),15-13*ORÇAMENTO!$AF$7)/$H140*OFFSET(ORÇAMENTO!$X$15,ROW(AI140)-ROW(AI$15),0),
ROUND(ROUND(OFFSET($P140,0,AI$13),15-13*ORÇAMENTO!$AF$7)*OFFSET(ORÇAMENTO!$W$15,ROW(AI140)-ROW(AI$15),0),15-13*ORÇAMENTO!$AF$11)),0)</f>
        <v>0</v>
      </c>
      <c r="AJ140" s="631">
        <f ca="1">IF(AND($D140="Serviço",AJ$12&lt;&gt;0,$H140&gt;0,OR(AUTOEVENTO&lt;&gt;"manual",$M140&lt;&gt;1)),
IF(Import.TipoArredondamento&lt;&gt;"TransfereGOV",
ROUND(OFFSET($P140,0,AJ$13),15-13*ORÇAMENTO!$AF$7)/$H140*OFFSET(ORÇAMENTO!$X$15,ROW(AJ140)-ROW(AJ$15),0),
ROUND(ROUND(OFFSET($P140,0,AJ$13),15-13*ORÇAMENTO!$AF$7)*OFFSET(ORÇAMENTO!$W$15,ROW(AJ140)-ROW(AJ$15),0),15-13*ORÇAMENTO!$AF$11)),0)</f>
        <v>0</v>
      </c>
      <c r="AK140" s="632">
        <f ca="1">IF(AND($D140="Serviço",AK$12&lt;&gt;0,$H140&gt;0,OR(AUTOEVENTO&lt;&gt;"manual",$M140&lt;&gt;1)),
IF(Import.TipoArredondamento&lt;&gt;"TransfereGOV",
ROUND(OFFSET($P140,0,AK$13),15-13*ORÇAMENTO!$AF$7)/$H140*OFFSET(ORÇAMENTO!$X$15,ROW(AK140)-ROW(AK$15),0),
ROUND(ROUND(OFFSET($P140,0,AK$13),15-13*ORÇAMENTO!$AF$7)*OFFSET(ORÇAMENTO!$W$15,ROW(AK140)-ROW(AK$15),0),15-13*ORÇAMENTO!$AF$11)),0)</f>
        <v>0</v>
      </c>
      <c r="AM140" s="215">
        <f ca="1">IF($D140&lt;&gt;"Serviço",0,IF(AND(AUTOEVENTO="Manual",$M140=1),0,IF(OFFSET(CRONOPLE!$F$14,$M140,AM$13)="",10^12,OFFSET(CRONOPLE!$F$14,$M140,AM$13))))</f>
        <v>1000000000000</v>
      </c>
      <c r="AN140" s="215">
        <f ca="1">IF($D140&lt;&gt;"Serviço",0,IF(AND(AUTOEVENTO="Manual",$M140=1),0,IF(OFFSET(CRONOPLE!$F$14,$M140,AN$13)="",10^12,OFFSET(CRONOPLE!$F$14,$M140,AN$13))))</f>
        <v>1000000000000</v>
      </c>
      <c r="AO140" s="215">
        <f ca="1">IF($D140&lt;&gt;"Serviço",0,IF(AND(AUTOEVENTO="Manual",$M140=1),0,IF(OFFSET(CRONOPLE!$F$14,$M140,AO$13)="",10^12,OFFSET(CRONOPLE!$F$14,$M140,AO$13))))</f>
        <v>1000000000000</v>
      </c>
      <c r="AP140" s="215">
        <f ca="1">IF($D140&lt;&gt;"Serviço",0,IF(AND(AUTOEVENTO="Manual",$M140=1),0,IF(OFFSET(CRONOPLE!$F$14,$M140,AP$13)="",10^12,OFFSET(CRONOPLE!$F$14,$M140,AP$13))))</f>
        <v>1000000000000</v>
      </c>
      <c r="AQ140" s="215">
        <f ca="1">IF($D140&lt;&gt;"Serviço",0,IF(AND(AUTOEVENTO="Manual",$M140=1),0,IF(OFFSET(CRONOPLE!$F$14,$M140,AQ$13)="",10^12,OFFSET(CRONOPLE!$F$14,$M140,AQ$13))))</f>
        <v>1000000000000</v>
      </c>
      <c r="AR140" s="215">
        <f ca="1">IF($D140&lt;&gt;"Serviço",0,IF(AND(AUTOEVENTO="Manual",$M140=1),0,IF(OFFSET(CRONOPLE!$F$14,$M140,AR$13)="",10^12,OFFSET(CRONOPLE!$F$14,$M140,AR$13))))</f>
        <v>1000000000000</v>
      </c>
      <c r="AS140" s="215">
        <f ca="1">IF($D140&lt;&gt;"Serviço",0,IF(AND(AUTOEVENTO="Manual",$M140=1),0,IF(OFFSET(CRONOPLE!$F$14,$M140,AS$13)="",10^12,OFFSET(CRONOPLE!$F$14,$M140,AS$13))))</f>
        <v>1000000000000</v>
      </c>
      <c r="AT140" s="215">
        <f ca="1">IF($D140&lt;&gt;"Serviço",0,IF(AND(AUTOEVENTO="Manual",$M140=1),0,IF(OFFSET(CRONOPLE!$F$14,$M140,AT$13)="",10^12,OFFSET(CRONOPLE!$F$14,$M140,AT$13))))</f>
        <v>1000000000000</v>
      </c>
      <c r="AU140" s="215">
        <f ca="1">IF($D140&lt;&gt;"Serviço",0,IF(AND(AUTOEVENTO="Manual",$M140=1),0,IF(OFFSET(CRONOPLE!$F$14,$M140,AU$13)="",10^12,OFFSET(CRONOPLE!$F$14,$M140,AU$13))))</f>
        <v>1000000000000</v>
      </c>
      <c r="AV140" s="215">
        <f ca="1">IF($D140&lt;&gt;"Serviço",0,IF(AND(AUTOEVENTO="Manual",$M140=1),0,IF(OFFSET(CRONOPLE!$F$14,$M140,AV$13)="",10^12,OFFSET(CRONOPLE!$F$14,$M140,AV$13))))</f>
        <v>1000000000000</v>
      </c>
      <c r="AX140" s="216">
        <f ca="1">IF($D140&lt;&gt;"Serviço",0,IF(OR(AND(AUTOEVENTO="Manual",$M140=1),$M140&gt;(ROW(PLE.lastrow)-ROW(PLE.firstrow))),0,IF(OFFSET(PLE!$G$14,$M140,AX$13)="",10^12,OFFSET(PLE!$G$14,$M140,AX$13))))</f>
        <v>1000000000000</v>
      </c>
      <c r="AY140" s="216">
        <f ca="1">IF($D140&lt;&gt;"Serviço",0,IF(OR(AND(AUTOEVENTO="Manual",$M140=1),$M140&gt;(ROW(PLE.lastrow)-ROW(PLE.firstrow))),0,IF(OFFSET(PLE!$G$14,$M140,AY$13)="",10^12,OFFSET(PLE!$G$14,$M140,AY$13))))</f>
        <v>1000000000000</v>
      </c>
      <c r="AZ140" s="216">
        <f ca="1">IF($D140&lt;&gt;"Serviço",0,IF(OR(AND(AUTOEVENTO="Manual",$M140=1),$M140&gt;(ROW(PLE.lastrow)-ROW(PLE.firstrow))),0,IF(OFFSET(PLE!$G$14,$M140,AZ$13)="",10^12,OFFSET(PLE!$G$14,$M140,AZ$13))))</f>
        <v>1000000000000</v>
      </c>
      <c r="BA140" s="216">
        <f ca="1">IF($D140&lt;&gt;"Serviço",0,IF(OR(AND(AUTOEVENTO="Manual",$M140=1),$M140&gt;(ROW(PLE.lastrow)-ROW(PLE.firstrow))),0,IF(OFFSET(PLE!$G$14,$M140,BA$13)="",10^12,OFFSET(PLE!$G$14,$M140,BA$13))))</f>
        <v>1000000000000</v>
      </c>
      <c r="BB140" s="216">
        <f ca="1">IF($D140&lt;&gt;"Serviço",0,IF(OR(AND(AUTOEVENTO="Manual",$M140=1),$M140&gt;(ROW(PLE.lastrow)-ROW(PLE.firstrow))),0,IF(OFFSET(PLE!$G$14,$M140,BB$13)="",10^12,OFFSET(PLE!$G$14,$M140,BB$13))))</f>
        <v>1000000000000</v>
      </c>
      <c r="BC140" s="216">
        <f ca="1">IF($D140&lt;&gt;"Serviço",0,IF(OR(AND(AUTOEVENTO="Manual",$M140=1),$M140&gt;(ROW(PLE.lastrow)-ROW(PLE.firstrow))),0,IF(OFFSET(PLE!$G$14,$M140,BC$13)="",10^12,OFFSET(PLE!$G$14,$M140,BC$13))))</f>
        <v>1000000000000</v>
      </c>
      <c r="BD140" s="216">
        <f ca="1">IF($D140&lt;&gt;"Serviço",0,IF(OR(AND(AUTOEVENTO="Manual",$M140=1),$M140&gt;(ROW(PLE.lastrow)-ROW(PLE.firstrow))),0,IF(OFFSET(PLE!$G$14,$M140,BD$13)="",10^12,OFFSET(PLE!$G$14,$M140,BD$13))))</f>
        <v>1000000000000</v>
      </c>
      <c r="BE140" s="216">
        <f ca="1">IF($D140&lt;&gt;"Serviço",0,IF(OR(AND(AUTOEVENTO="Manual",$M140=1),$M140&gt;(ROW(PLE.lastrow)-ROW(PLE.firstrow))),0,IF(OFFSET(PLE!$G$14,$M140,BE$13)="",10^12,OFFSET(PLE!$G$14,$M140,BE$13))))</f>
        <v>1000000000000</v>
      </c>
      <c r="BF140" s="216">
        <f ca="1">IF($D140&lt;&gt;"Serviço",0,IF(OR(AND(AUTOEVENTO="Manual",$M140=1),$M140&gt;(ROW(PLE.lastrow)-ROW(PLE.firstrow))),0,IF(OFFSET(PLE!$G$14,$M140,BF$13)="",10^12,OFFSET(PLE!$G$14,$M140,BF$13))))</f>
        <v>1000000000000</v>
      </c>
      <c r="BG140" s="216">
        <f ca="1">IF($D140&lt;&gt;"Serviço",0,IF(OR(AND(AUTOEVENTO="Manual",$M140=1),$M140&gt;(ROW(PLE.lastrow)-ROW(PLE.firstrow))),0,IF(OFFSET(PLE!$G$14,$M140,BG$13)="",10^12,OFFSET(PLE!$G$14,$M140,BG$13))))</f>
        <v>1000000000000</v>
      </c>
    </row>
    <row r="141" spans="1:59" ht="25.5" x14ac:dyDescent="0.2">
      <c r="A141" s="9" t="str">
        <f t="shared" ca="1" si="10"/>
        <v>93</v>
      </c>
      <c r="B141" s="9" t="str">
        <f ca="1">OFFSET(ORÇAMENTO!C$15,ROW(B141)-ROW(B$15),0)</f>
        <v>S</v>
      </c>
      <c r="C141" s="9" t="str">
        <f ca="1">OFFSET(ORÇAMENTO!L$15,ROW(C141)-ROW(C$15),0)</f>
        <v/>
      </c>
      <c r="D141" s="145" t="str">
        <f ca="1">OFFSET(ORÇAMENTO!N$15,ROW(D141)-ROW(D$15),0)</f>
        <v>Serviço</v>
      </c>
      <c r="E141" s="205" t="str">
        <f ca="1">OFFSET(ORÇAMENTO!O$15,ROW(E141)-ROW(E$15),0)</f>
        <v>-</v>
      </c>
      <c r="F141" s="206" t="str">
        <f ca="1">OFFSET(ORÇAMENTO!R$15,ROW(F141)-ROW(F$15),0)</f>
        <v xml:space="preserve">TERMINAL A COMPRESSAO EM COBRE ESTANHADO PARA CABO 35 MM2, 1 FURO E 1 COMPRESSAO, PARA PARAFUSO DE FIXACAO M8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G141" s="207" t="str">
        <f ca="1">IF($D141&lt;&gt;"Serviço","",OFFSET(ORÇAMENTO!S$15,ROW(G141)-ROW(G$15),0))</f>
        <v xml:space="preserve">UN    </v>
      </c>
      <c r="H141" s="151">
        <f ca="1">IF($D141&lt;&gt;"Serviço",0,IF(ACOMPANHAMENTO="BM",ROUND(OFFSET(ORÇAMENTO!AJ$15,ROW(H141)-ROW(H$15),0),15-13*ORÇAMENTO!$AF$7),SUMPRODUCT(($Q$12:$AA$12&lt;&gt;"")*ROUND($Q141:$AA141,15-13*ORÇAMENTO!$AF$7))))</f>
        <v>20</v>
      </c>
      <c r="I141" s="649"/>
      <c r="K141" s="208"/>
      <c r="L141" s="209" t="s">
        <v>255</v>
      </c>
      <c r="M141" s="210">
        <f ca="1">IF($D141&lt;&gt;"Serviço","",IF(AUTOEVENTO="manual",$A141,IF(ISERROR(MATCH($A141,$A$15:OFFSET($A141,-1,0),0)),MAX($M$15:OFFSET(M141,-1,0))+1,INDEX($M$15:OFFSET(M141,-1,0),MATCH($A141,$A$15:OFFSET($A141,-1,0),0)))))</f>
        <v>19</v>
      </c>
      <c r="N141" s="211" t="str">
        <f ca="1">IF($D141&lt;&gt;"Serviço","",IF(AUTOEVENTO="Manual",IF($A141=0,"&lt;-- defina o número do agrupador",OFFSET(EVENTOS!$D$14,$A141,0)),OFFSET($F$15,$A141,0)))</f>
        <v xml:space="preserve">ELÉTRICA </v>
      </c>
      <c r="O141" s="212"/>
      <c r="Q141" s="212"/>
      <c r="R141" s="213"/>
      <c r="S141" s="213"/>
      <c r="T141" s="213"/>
      <c r="U141" s="213"/>
      <c r="V141" s="213"/>
      <c r="W141" s="213"/>
      <c r="X141" s="213"/>
      <c r="Y141" s="213"/>
      <c r="Z141" s="214"/>
      <c r="AB141" s="630">
        <f ca="1">IF(AND($D141="Serviço",AB$12&lt;&gt;0,$H141&gt;0,OR(AUTOEVENTO&lt;&gt;"manual",$M141&lt;&gt;1)),
IF(Import.TipoArredondamento&lt;&gt;"TransfereGOV",
ROUND(OFFSET($P141,0,AB$13),15-13*ORÇAMENTO!$AF$7)/$H141*OFFSET(ORÇAMENTO!$X$15,ROW(AB141)-ROW(AB$15),0),
ROUND(ROUND(OFFSET($P141,0,AB$13),15-13*ORÇAMENTO!$AF$7)*OFFSET(ORÇAMENTO!$W$15,ROW(AB141)-ROW(AB$15),0),15-13*ORÇAMENTO!$AF$11)),0)</f>
        <v>0</v>
      </c>
      <c r="AC141" s="631">
        <f ca="1">IF(AND($D141="Serviço",AC$12&lt;&gt;0,$H141&gt;0,OR(AUTOEVENTO&lt;&gt;"manual",$M141&lt;&gt;1)),
IF(Import.TipoArredondamento&lt;&gt;"TransfereGOV",
ROUND(OFFSET($P141,0,AC$13),15-13*ORÇAMENTO!$AF$7)/$H141*OFFSET(ORÇAMENTO!$X$15,ROW(AC141)-ROW(AC$15),0),
ROUND(ROUND(OFFSET($P141,0,AC$13),15-13*ORÇAMENTO!$AF$7)*OFFSET(ORÇAMENTO!$W$15,ROW(AC141)-ROW(AC$15),0),15-13*ORÇAMENTO!$AF$11)),0)</f>
        <v>0</v>
      </c>
      <c r="AD141" s="631">
        <f ca="1">IF(AND($D141="Serviço",AD$12&lt;&gt;0,$H141&gt;0,OR(AUTOEVENTO&lt;&gt;"manual",$M141&lt;&gt;1)),
IF(Import.TipoArredondamento&lt;&gt;"TransfereGOV",
ROUND(OFFSET($P141,0,AD$13),15-13*ORÇAMENTO!$AF$7)/$H141*OFFSET(ORÇAMENTO!$X$15,ROW(AD141)-ROW(AD$15),0),
ROUND(ROUND(OFFSET($P141,0,AD$13),15-13*ORÇAMENTO!$AF$7)*OFFSET(ORÇAMENTO!$W$15,ROW(AD141)-ROW(AD$15),0),15-13*ORÇAMENTO!$AF$11)),0)</f>
        <v>0</v>
      </c>
      <c r="AE141" s="631">
        <f ca="1">IF(AND($D141="Serviço",AE$12&lt;&gt;0,$H141&gt;0,OR(AUTOEVENTO&lt;&gt;"manual",$M141&lt;&gt;1)),
IF(Import.TipoArredondamento&lt;&gt;"TransfereGOV",
ROUND(OFFSET($P141,0,AE$13),15-13*ORÇAMENTO!$AF$7)/$H141*OFFSET(ORÇAMENTO!$X$15,ROW(AE141)-ROW(AE$15),0),
ROUND(ROUND(OFFSET($P141,0,AE$13),15-13*ORÇAMENTO!$AF$7)*OFFSET(ORÇAMENTO!$W$15,ROW(AE141)-ROW(AE$15),0),15-13*ORÇAMENTO!$AF$11)),0)</f>
        <v>0</v>
      </c>
      <c r="AF141" s="631">
        <f ca="1">IF(AND($D141="Serviço",AF$12&lt;&gt;0,$H141&gt;0,OR(AUTOEVENTO&lt;&gt;"manual",$M141&lt;&gt;1)),
IF(Import.TipoArredondamento&lt;&gt;"TransfereGOV",
ROUND(OFFSET($P141,0,AF$13),15-13*ORÇAMENTO!$AF$7)/$H141*OFFSET(ORÇAMENTO!$X$15,ROW(AF141)-ROW(AF$15),0),
ROUND(ROUND(OFFSET($P141,0,AF$13),15-13*ORÇAMENTO!$AF$7)*OFFSET(ORÇAMENTO!$W$15,ROW(AF141)-ROW(AF$15),0),15-13*ORÇAMENTO!$AF$11)),0)</f>
        <v>0</v>
      </c>
      <c r="AG141" s="631">
        <f ca="1">IF(AND($D141="Serviço",AG$12&lt;&gt;0,$H141&gt;0,OR(AUTOEVENTO&lt;&gt;"manual",$M141&lt;&gt;1)),
IF(Import.TipoArredondamento&lt;&gt;"TransfereGOV",
ROUND(OFFSET($P141,0,AG$13),15-13*ORÇAMENTO!$AF$7)/$H141*OFFSET(ORÇAMENTO!$X$15,ROW(AG141)-ROW(AG$15),0),
ROUND(ROUND(OFFSET($P141,0,AG$13),15-13*ORÇAMENTO!$AF$7)*OFFSET(ORÇAMENTO!$W$15,ROW(AG141)-ROW(AG$15),0),15-13*ORÇAMENTO!$AF$11)),0)</f>
        <v>0</v>
      </c>
      <c r="AH141" s="631">
        <f ca="1">IF(AND($D141="Serviço",AH$12&lt;&gt;0,$H141&gt;0,OR(AUTOEVENTO&lt;&gt;"manual",$M141&lt;&gt;1)),
IF(Import.TipoArredondamento&lt;&gt;"TransfereGOV",
ROUND(OFFSET($P141,0,AH$13),15-13*ORÇAMENTO!$AF$7)/$H141*OFFSET(ORÇAMENTO!$X$15,ROW(AH141)-ROW(AH$15),0),
ROUND(ROUND(OFFSET($P141,0,AH$13),15-13*ORÇAMENTO!$AF$7)*OFFSET(ORÇAMENTO!$W$15,ROW(AH141)-ROW(AH$15),0),15-13*ORÇAMENTO!$AF$11)),0)</f>
        <v>0</v>
      </c>
      <c r="AI141" s="631">
        <f ca="1">IF(AND($D141="Serviço",AI$12&lt;&gt;0,$H141&gt;0,OR(AUTOEVENTO&lt;&gt;"manual",$M141&lt;&gt;1)),
IF(Import.TipoArredondamento&lt;&gt;"TransfereGOV",
ROUND(OFFSET($P141,0,AI$13),15-13*ORÇAMENTO!$AF$7)/$H141*OFFSET(ORÇAMENTO!$X$15,ROW(AI141)-ROW(AI$15),0),
ROUND(ROUND(OFFSET($P141,0,AI$13),15-13*ORÇAMENTO!$AF$7)*OFFSET(ORÇAMENTO!$W$15,ROW(AI141)-ROW(AI$15),0),15-13*ORÇAMENTO!$AF$11)),0)</f>
        <v>0</v>
      </c>
      <c r="AJ141" s="631">
        <f ca="1">IF(AND($D141="Serviço",AJ$12&lt;&gt;0,$H141&gt;0,OR(AUTOEVENTO&lt;&gt;"manual",$M141&lt;&gt;1)),
IF(Import.TipoArredondamento&lt;&gt;"TransfereGOV",
ROUND(OFFSET($P141,0,AJ$13),15-13*ORÇAMENTO!$AF$7)/$H141*OFFSET(ORÇAMENTO!$X$15,ROW(AJ141)-ROW(AJ$15),0),
ROUND(ROUND(OFFSET($P141,0,AJ$13),15-13*ORÇAMENTO!$AF$7)*OFFSET(ORÇAMENTO!$W$15,ROW(AJ141)-ROW(AJ$15),0),15-13*ORÇAMENTO!$AF$11)),0)</f>
        <v>0</v>
      </c>
      <c r="AK141" s="632">
        <f ca="1">IF(AND($D141="Serviço",AK$12&lt;&gt;0,$H141&gt;0,OR(AUTOEVENTO&lt;&gt;"manual",$M141&lt;&gt;1)),
IF(Import.TipoArredondamento&lt;&gt;"TransfereGOV",
ROUND(OFFSET($P141,0,AK$13),15-13*ORÇAMENTO!$AF$7)/$H141*OFFSET(ORÇAMENTO!$X$15,ROW(AK141)-ROW(AK$15),0),
ROUND(ROUND(OFFSET($P141,0,AK$13),15-13*ORÇAMENTO!$AF$7)*OFFSET(ORÇAMENTO!$W$15,ROW(AK141)-ROW(AK$15),0),15-13*ORÇAMENTO!$AF$11)),0)</f>
        <v>0</v>
      </c>
      <c r="AM141" s="215">
        <f ca="1">IF($D141&lt;&gt;"Serviço",0,IF(AND(AUTOEVENTO="Manual",$M141=1),0,IF(OFFSET(CRONOPLE!$F$14,$M141,AM$13)="",10^12,OFFSET(CRONOPLE!$F$14,$M141,AM$13))))</f>
        <v>1000000000000</v>
      </c>
      <c r="AN141" s="215">
        <f ca="1">IF($D141&lt;&gt;"Serviço",0,IF(AND(AUTOEVENTO="Manual",$M141=1),0,IF(OFFSET(CRONOPLE!$F$14,$M141,AN$13)="",10^12,OFFSET(CRONOPLE!$F$14,$M141,AN$13))))</f>
        <v>1000000000000</v>
      </c>
      <c r="AO141" s="215">
        <f ca="1">IF($D141&lt;&gt;"Serviço",0,IF(AND(AUTOEVENTO="Manual",$M141=1),0,IF(OFFSET(CRONOPLE!$F$14,$M141,AO$13)="",10^12,OFFSET(CRONOPLE!$F$14,$M141,AO$13))))</f>
        <v>1000000000000</v>
      </c>
      <c r="AP141" s="215">
        <f ca="1">IF($D141&lt;&gt;"Serviço",0,IF(AND(AUTOEVENTO="Manual",$M141=1),0,IF(OFFSET(CRONOPLE!$F$14,$M141,AP$13)="",10^12,OFFSET(CRONOPLE!$F$14,$M141,AP$13))))</f>
        <v>1000000000000</v>
      </c>
      <c r="AQ141" s="215">
        <f ca="1">IF($D141&lt;&gt;"Serviço",0,IF(AND(AUTOEVENTO="Manual",$M141=1),0,IF(OFFSET(CRONOPLE!$F$14,$M141,AQ$13)="",10^12,OFFSET(CRONOPLE!$F$14,$M141,AQ$13))))</f>
        <v>1000000000000</v>
      </c>
      <c r="AR141" s="215">
        <f ca="1">IF($D141&lt;&gt;"Serviço",0,IF(AND(AUTOEVENTO="Manual",$M141=1),0,IF(OFFSET(CRONOPLE!$F$14,$M141,AR$13)="",10^12,OFFSET(CRONOPLE!$F$14,$M141,AR$13))))</f>
        <v>1000000000000</v>
      </c>
      <c r="AS141" s="215">
        <f ca="1">IF($D141&lt;&gt;"Serviço",0,IF(AND(AUTOEVENTO="Manual",$M141=1),0,IF(OFFSET(CRONOPLE!$F$14,$M141,AS$13)="",10^12,OFFSET(CRONOPLE!$F$14,$M141,AS$13))))</f>
        <v>1000000000000</v>
      </c>
      <c r="AT141" s="215">
        <f ca="1">IF($D141&lt;&gt;"Serviço",0,IF(AND(AUTOEVENTO="Manual",$M141=1),0,IF(OFFSET(CRONOPLE!$F$14,$M141,AT$13)="",10^12,OFFSET(CRONOPLE!$F$14,$M141,AT$13))))</f>
        <v>1000000000000</v>
      </c>
      <c r="AU141" s="215">
        <f ca="1">IF($D141&lt;&gt;"Serviço",0,IF(AND(AUTOEVENTO="Manual",$M141=1),0,IF(OFFSET(CRONOPLE!$F$14,$M141,AU$13)="",10^12,OFFSET(CRONOPLE!$F$14,$M141,AU$13))))</f>
        <v>1000000000000</v>
      </c>
      <c r="AV141" s="215">
        <f ca="1">IF($D141&lt;&gt;"Serviço",0,IF(AND(AUTOEVENTO="Manual",$M141=1),0,IF(OFFSET(CRONOPLE!$F$14,$M141,AV$13)="",10^12,OFFSET(CRONOPLE!$F$14,$M141,AV$13))))</f>
        <v>1000000000000</v>
      </c>
      <c r="AX141" s="216">
        <f ca="1">IF($D141&lt;&gt;"Serviço",0,IF(OR(AND(AUTOEVENTO="Manual",$M141=1),$M141&gt;(ROW(PLE.lastrow)-ROW(PLE.firstrow))),0,IF(OFFSET(PLE!$G$14,$M141,AX$13)="",10^12,OFFSET(PLE!$G$14,$M141,AX$13))))</f>
        <v>1000000000000</v>
      </c>
      <c r="AY141" s="216">
        <f ca="1">IF($D141&lt;&gt;"Serviço",0,IF(OR(AND(AUTOEVENTO="Manual",$M141=1),$M141&gt;(ROW(PLE.lastrow)-ROW(PLE.firstrow))),0,IF(OFFSET(PLE!$G$14,$M141,AY$13)="",10^12,OFFSET(PLE!$G$14,$M141,AY$13))))</f>
        <v>1000000000000</v>
      </c>
      <c r="AZ141" s="216">
        <f ca="1">IF($D141&lt;&gt;"Serviço",0,IF(OR(AND(AUTOEVENTO="Manual",$M141=1),$M141&gt;(ROW(PLE.lastrow)-ROW(PLE.firstrow))),0,IF(OFFSET(PLE!$G$14,$M141,AZ$13)="",10^12,OFFSET(PLE!$G$14,$M141,AZ$13))))</f>
        <v>1000000000000</v>
      </c>
      <c r="BA141" s="216">
        <f ca="1">IF($D141&lt;&gt;"Serviço",0,IF(OR(AND(AUTOEVENTO="Manual",$M141=1),$M141&gt;(ROW(PLE.lastrow)-ROW(PLE.firstrow))),0,IF(OFFSET(PLE!$G$14,$M141,BA$13)="",10^12,OFFSET(PLE!$G$14,$M141,BA$13))))</f>
        <v>1000000000000</v>
      </c>
      <c r="BB141" s="216">
        <f ca="1">IF($D141&lt;&gt;"Serviço",0,IF(OR(AND(AUTOEVENTO="Manual",$M141=1),$M141&gt;(ROW(PLE.lastrow)-ROW(PLE.firstrow))),0,IF(OFFSET(PLE!$G$14,$M141,BB$13)="",10^12,OFFSET(PLE!$G$14,$M141,BB$13))))</f>
        <v>1000000000000</v>
      </c>
      <c r="BC141" s="216">
        <f ca="1">IF($D141&lt;&gt;"Serviço",0,IF(OR(AND(AUTOEVENTO="Manual",$M141=1),$M141&gt;(ROW(PLE.lastrow)-ROW(PLE.firstrow))),0,IF(OFFSET(PLE!$G$14,$M141,BC$13)="",10^12,OFFSET(PLE!$G$14,$M141,BC$13))))</f>
        <v>1000000000000</v>
      </c>
      <c r="BD141" s="216">
        <f ca="1">IF($D141&lt;&gt;"Serviço",0,IF(OR(AND(AUTOEVENTO="Manual",$M141=1),$M141&gt;(ROW(PLE.lastrow)-ROW(PLE.firstrow))),0,IF(OFFSET(PLE!$G$14,$M141,BD$13)="",10^12,OFFSET(PLE!$G$14,$M141,BD$13))))</f>
        <v>1000000000000</v>
      </c>
      <c r="BE141" s="216">
        <f ca="1">IF($D141&lt;&gt;"Serviço",0,IF(OR(AND(AUTOEVENTO="Manual",$M141=1),$M141&gt;(ROW(PLE.lastrow)-ROW(PLE.firstrow))),0,IF(OFFSET(PLE!$G$14,$M141,BE$13)="",10^12,OFFSET(PLE!$G$14,$M141,BE$13))))</f>
        <v>1000000000000</v>
      </c>
      <c r="BF141" s="216">
        <f ca="1">IF($D141&lt;&gt;"Serviço",0,IF(OR(AND(AUTOEVENTO="Manual",$M141=1),$M141&gt;(ROW(PLE.lastrow)-ROW(PLE.firstrow))),0,IF(OFFSET(PLE!$G$14,$M141,BF$13)="",10^12,OFFSET(PLE!$G$14,$M141,BF$13))))</f>
        <v>1000000000000</v>
      </c>
      <c r="BG141" s="216">
        <f ca="1">IF($D141&lt;&gt;"Serviço",0,IF(OR(AND(AUTOEVENTO="Manual",$M141=1),$M141&gt;(ROW(PLE.lastrow)-ROW(PLE.firstrow))),0,IF(OFFSET(PLE!$G$14,$M141,BG$13)="",10^12,OFFSET(PLE!$G$14,$M141,BG$13))))</f>
        <v>1000000000000</v>
      </c>
    </row>
    <row r="142" spans="1:59" ht="25.5" x14ac:dyDescent="0.2">
      <c r="A142" s="9" t="str">
        <f t="shared" ca="1" si="10"/>
        <v>93</v>
      </c>
      <c r="B142" s="9" t="str">
        <f ca="1">OFFSET(ORÇAMENTO!C$15,ROW(B142)-ROW(B$15),0)</f>
        <v>S</v>
      </c>
      <c r="C142" s="9" t="str">
        <f ca="1">OFFSET(ORÇAMENTO!L$15,ROW(C142)-ROW(C$15),0)</f>
        <v/>
      </c>
      <c r="D142" s="145" t="str">
        <f ca="1">OFFSET(ORÇAMENTO!N$15,ROW(D142)-ROW(D$15),0)</f>
        <v>Serviço</v>
      </c>
      <c r="E142" s="205" t="str">
        <f ca="1">OFFSET(ORÇAMENTO!O$15,ROW(E142)-ROW(E$15),0)</f>
        <v>-</v>
      </c>
      <c r="F142" s="206" t="str">
        <f ca="1">OFFSET(ORÇAMENTO!R$15,ROW(F142)-ROW(F$15),0)</f>
        <v xml:space="preserve">TERMINAL A COMPRESSAO EM COBRE ESTANHADO PARA CABO 16 MM2, 1 FURO E 1 COMPRESSAO, PARA PARAFUSO DE FIXACAO M6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G142" s="207" t="str">
        <f ca="1">IF($D142&lt;&gt;"Serviço","",OFFSET(ORÇAMENTO!S$15,ROW(G142)-ROW(G$15),0))</f>
        <v xml:space="preserve">UN    </v>
      </c>
      <c r="H142" s="151">
        <f ca="1">IF($D142&lt;&gt;"Serviço",0,IF(ACOMPANHAMENTO="BM",ROUND(OFFSET(ORÇAMENTO!AJ$15,ROW(H142)-ROW(H$15),0),15-13*ORÇAMENTO!$AF$7),SUMPRODUCT(($Q$12:$AA$12&lt;&gt;"")*ROUND($Q142:$AA142,15-13*ORÇAMENTO!$AF$7))))</f>
        <v>16</v>
      </c>
      <c r="I142" s="649"/>
      <c r="K142" s="208"/>
      <c r="L142" s="209" t="s">
        <v>255</v>
      </c>
      <c r="M142" s="210">
        <f ca="1">IF($D142&lt;&gt;"Serviço","",IF(AUTOEVENTO="manual",$A142,IF(ISERROR(MATCH($A142,$A$15:OFFSET($A142,-1,0),0)),MAX($M$15:OFFSET(M142,-1,0))+1,INDEX($M$15:OFFSET(M142,-1,0),MATCH($A142,$A$15:OFFSET($A142,-1,0),0)))))</f>
        <v>19</v>
      </c>
      <c r="N142" s="211" t="str">
        <f ca="1">IF($D142&lt;&gt;"Serviço","",IF(AUTOEVENTO="Manual",IF($A142=0,"&lt;-- defina o número do agrupador",OFFSET(EVENTOS!$D$14,$A142,0)),OFFSET($F$15,$A142,0)))</f>
        <v xml:space="preserve">ELÉTRICA </v>
      </c>
      <c r="O142" s="212"/>
      <c r="Q142" s="212"/>
      <c r="R142" s="213"/>
      <c r="S142" s="213"/>
      <c r="T142" s="213"/>
      <c r="U142" s="213"/>
      <c r="V142" s="213"/>
      <c r="W142" s="213"/>
      <c r="X142" s="213"/>
      <c r="Y142" s="213"/>
      <c r="Z142" s="214"/>
      <c r="AB142" s="630">
        <f ca="1">IF(AND($D142="Serviço",AB$12&lt;&gt;0,$H142&gt;0,OR(AUTOEVENTO&lt;&gt;"manual",$M142&lt;&gt;1)),
IF(Import.TipoArredondamento&lt;&gt;"TransfereGOV",
ROUND(OFFSET($P142,0,AB$13),15-13*ORÇAMENTO!$AF$7)/$H142*OFFSET(ORÇAMENTO!$X$15,ROW(AB142)-ROW(AB$15),0),
ROUND(ROUND(OFFSET($P142,0,AB$13),15-13*ORÇAMENTO!$AF$7)*OFFSET(ORÇAMENTO!$W$15,ROW(AB142)-ROW(AB$15),0),15-13*ORÇAMENTO!$AF$11)),0)</f>
        <v>0</v>
      </c>
      <c r="AC142" s="631">
        <f ca="1">IF(AND($D142="Serviço",AC$12&lt;&gt;0,$H142&gt;0,OR(AUTOEVENTO&lt;&gt;"manual",$M142&lt;&gt;1)),
IF(Import.TipoArredondamento&lt;&gt;"TransfereGOV",
ROUND(OFFSET($P142,0,AC$13),15-13*ORÇAMENTO!$AF$7)/$H142*OFFSET(ORÇAMENTO!$X$15,ROW(AC142)-ROW(AC$15),0),
ROUND(ROUND(OFFSET($P142,0,AC$13),15-13*ORÇAMENTO!$AF$7)*OFFSET(ORÇAMENTO!$W$15,ROW(AC142)-ROW(AC$15),0),15-13*ORÇAMENTO!$AF$11)),0)</f>
        <v>0</v>
      </c>
      <c r="AD142" s="631">
        <f ca="1">IF(AND($D142="Serviço",AD$12&lt;&gt;0,$H142&gt;0,OR(AUTOEVENTO&lt;&gt;"manual",$M142&lt;&gt;1)),
IF(Import.TipoArredondamento&lt;&gt;"TransfereGOV",
ROUND(OFFSET($P142,0,AD$13),15-13*ORÇAMENTO!$AF$7)/$H142*OFFSET(ORÇAMENTO!$X$15,ROW(AD142)-ROW(AD$15),0),
ROUND(ROUND(OFFSET($P142,0,AD$13),15-13*ORÇAMENTO!$AF$7)*OFFSET(ORÇAMENTO!$W$15,ROW(AD142)-ROW(AD$15),0),15-13*ORÇAMENTO!$AF$11)),0)</f>
        <v>0</v>
      </c>
      <c r="AE142" s="631">
        <f ca="1">IF(AND($D142="Serviço",AE$12&lt;&gt;0,$H142&gt;0,OR(AUTOEVENTO&lt;&gt;"manual",$M142&lt;&gt;1)),
IF(Import.TipoArredondamento&lt;&gt;"TransfereGOV",
ROUND(OFFSET($P142,0,AE$13),15-13*ORÇAMENTO!$AF$7)/$H142*OFFSET(ORÇAMENTO!$X$15,ROW(AE142)-ROW(AE$15),0),
ROUND(ROUND(OFFSET($P142,0,AE$13),15-13*ORÇAMENTO!$AF$7)*OFFSET(ORÇAMENTO!$W$15,ROW(AE142)-ROW(AE$15),0),15-13*ORÇAMENTO!$AF$11)),0)</f>
        <v>0</v>
      </c>
      <c r="AF142" s="631">
        <f ca="1">IF(AND($D142="Serviço",AF$12&lt;&gt;0,$H142&gt;0,OR(AUTOEVENTO&lt;&gt;"manual",$M142&lt;&gt;1)),
IF(Import.TipoArredondamento&lt;&gt;"TransfereGOV",
ROUND(OFFSET($P142,0,AF$13),15-13*ORÇAMENTO!$AF$7)/$H142*OFFSET(ORÇAMENTO!$X$15,ROW(AF142)-ROW(AF$15),0),
ROUND(ROUND(OFFSET($P142,0,AF$13),15-13*ORÇAMENTO!$AF$7)*OFFSET(ORÇAMENTO!$W$15,ROW(AF142)-ROW(AF$15),0),15-13*ORÇAMENTO!$AF$11)),0)</f>
        <v>0</v>
      </c>
      <c r="AG142" s="631">
        <f ca="1">IF(AND($D142="Serviço",AG$12&lt;&gt;0,$H142&gt;0,OR(AUTOEVENTO&lt;&gt;"manual",$M142&lt;&gt;1)),
IF(Import.TipoArredondamento&lt;&gt;"TransfereGOV",
ROUND(OFFSET($P142,0,AG$13),15-13*ORÇAMENTO!$AF$7)/$H142*OFFSET(ORÇAMENTO!$X$15,ROW(AG142)-ROW(AG$15),0),
ROUND(ROUND(OFFSET($P142,0,AG$13),15-13*ORÇAMENTO!$AF$7)*OFFSET(ORÇAMENTO!$W$15,ROW(AG142)-ROW(AG$15),0),15-13*ORÇAMENTO!$AF$11)),0)</f>
        <v>0</v>
      </c>
      <c r="AH142" s="631">
        <f ca="1">IF(AND($D142="Serviço",AH$12&lt;&gt;0,$H142&gt;0,OR(AUTOEVENTO&lt;&gt;"manual",$M142&lt;&gt;1)),
IF(Import.TipoArredondamento&lt;&gt;"TransfereGOV",
ROUND(OFFSET($P142,0,AH$13),15-13*ORÇAMENTO!$AF$7)/$H142*OFFSET(ORÇAMENTO!$X$15,ROW(AH142)-ROW(AH$15),0),
ROUND(ROUND(OFFSET($P142,0,AH$13),15-13*ORÇAMENTO!$AF$7)*OFFSET(ORÇAMENTO!$W$15,ROW(AH142)-ROW(AH$15),0),15-13*ORÇAMENTO!$AF$11)),0)</f>
        <v>0</v>
      </c>
      <c r="AI142" s="631">
        <f ca="1">IF(AND($D142="Serviço",AI$12&lt;&gt;0,$H142&gt;0,OR(AUTOEVENTO&lt;&gt;"manual",$M142&lt;&gt;1)),
IF(Import.TipoArredondamento&lt;&gt;"TransfereGOV",
ROUND(OFFSET($P142,0,AI$13),15-13*ORÇAMENTO!$AF$7)/$H142*OFFSET(ORÇAMENTO!$X$15,ROW(AI142)-ROW(AI$15),0),
ROUND(ROUND(OFFSET($P142,0,AI$13),15-13*ORÇAMENTO!$AF$7)*OFFSET(ORÇAMENTO!$W$15,ROW(AI142)-ROW(AI$15),0),15-13*ORÇAMENTO!$AF$11)),0)</f>
        <v>0</v>
      </c>
      <c r="AJ142" s="631">
        <f ca="1">IF(AND($D142="Serviço",AJ$12&lt;&gt;0,$H142&gt;0,OR(AUTOEVENTO&lt;&gt;"manual",$M142&lt;&gt;1)),
IF(Import.TipoArredondamento&lt;&gt;"TransfereGOV",
ROUND(OFFSET($P142,0,AJ$13),15-13*ORÇAMENTO!$AF$7)/$H142*OFFSET(ORÇAMENTO!$X$15,ROW(AJ142)-ROW(AJ$15),0),
ROUND(ROUND(OFFSET($P142,0,AJ$13),15-13*ORÇAMENTO!$AF$7)*OFFSET(ORÇAMENTO!$W$15,ROW(AJ142)-ROW(AJ$15),0),15-13*ORÇAMENTO!$AF$11)),0)</f>
        <v>0</v>
      </c>
      <c r="AK142" s="632">
        <f ca="1">IF(AND($D142="Serviço",AK$12&lt;&gt;0,$H142&gt;0,OR(AUTOEVENTO&lt;&gt;"manual",$M142&lt;&gt;1)),
IF(Import.TipoArredondamento&lt;&gt;"TransfereGOV",
ROUND(OFFSET($P142,0,AK$13),15-13*ORÇAMENTO!$AF$7)/$H142*OFFSET(ORÇAMENTO!$X$15,ROW(AK142)-ROW(AK$15),0),
ROUND(ROUND(OFFSET($P142,0,AK$13),15-13*ORÇAMENTO!$AF$7)*OFFSET(ORÇAMENTO!$W$15,ROW(AK142)-ROW(AK$15),0),15-13*ORÇAMENTO!$AF$11)),0)</f>
        <v>0</v>
      </c>
      <c r="AM142" s="215">
        <f ca="1">IF($D142&lt;&gt;"Serviço",0,IF(AND(AUTOEVENTO="Manual",$M142=1),0,IF(OFFSET(CRONOPLE!$F$14,$M142,AM$13)="",10^12,OFFSET(CRONOPLE!$F$14,$M142,AM$13))))</f>
        <v>1000000000000</v>
      </c>
      <c r="AN142" s="215">
        <f ca="1">IF($D142&lt;&gt;"Serviço",0,IF(AND(AUTOEVENTO="Manual",$M142=1),0,IF(OFFSET(CRONOPLE!$F$14,$M142,AN$13)="",10^12,OFFSET(CRONOPLE!$F$14,$M142,AN$13))))</f>
        <v>1000000000000</v>
      </c>
      <c r="AO142" s="215">
        <f ca="1">IF($D142&lt;&gt;"Serviço",0,IF(AND(AUTOEVENTO="Manual",$M142=1),0,IF(OFFSET(CRONOPLE!$F$14,$M142,AO$13)="",10^12,OFFSET(CRONOPLE!$F$14,$M142,AO$13))))</f>
        <v>1000000000000</v>
      </c>
      <c r="AP142" s="215">
        <f ca="1">IF($D142&lt;&gt;"Serviço",0,IF(AND(AUTOEVENTO="Manual",$M142=1),0,IF(OFFSET(CRONOPLE!$F$14,$M142,AP$13)="",10^12,OFFSET(CRONOPLE!$F$14,$M142,AP$13))))</f>
        <v>1000000000000</v>
      </c>
      <c r="AQ142" s="215">
        <f ca="1">IF($D142&lt;&gt;"Serviço",0,IF(AND(AUTOEVENTO="Manual",$M142=1),0,IF(OFFSET(CRONOPLE!$F$14,$M142,AQ$13)="",10^12,OFFSET(CRONOPLE!$F$14,$M142,AQ$13))))</f>
        <v>1000000000000</v>
      </c>
      <c r="AR142" s="215">
        <f ca="1">IF($D142&lt;&gt;"Serviço",0,IF(AND(AUTOEVENTO="Manual",$M142=1),0,IF(OFFSET(CRONOPLE!$F$14,$M142,AR$13)="",10^12,OFFSET(CRONOPLE!$F$14,$M142,AR$13))))</f>
        <v>1000000000000</v>
      </c>
      <c r="AS142" s="215">
        <f ca="1">IF($D142&lt;&gt;"Serviço",0,IF(AND(AUTOEVENTO="Manual",$M142=1),0,IF(OFFSET(CRONOPLE!$F$14,$M142,AS$13)="",10^12,OFFSET(CRONOPLE!$F$14,$M142,AS$13))))</f>
        <v>1000000000000</v>
      </c>
      <c r="AT142" s="215">
        <f ca="1">IF($D142&lt;&gt;"Serviço",0,IF(AND(AUTOEVENTO="Manual",$M142=1),0,IF(OFFSET(CRONOPLE!$F$14,$M142,AT$13)="",10^12,OFFSET(CRONOPLE!$F$14,$M142,AT$13))))</f>
        <v>1000000000000</v>
      </c>
      <c r="AU142" s="215">
        <f ca="1">IF($D142&lt;&gt;"Serviço",0,IF(AND(AUTOEVENTO="Manual",$M142=1),0,IF(OFFSET(CRONOPLE!$F$14,$M142,AU$13)="",10^12,OFFSET(CRONOPLE!$F$14,$M142,AU$13))))</f>
        <v>1000000000000</v>
      </c>
      <c r="AV142" s="215">
        <f ca="1">IF($D142&lt;&gt;"Serviço",0,IF(AND(AUTOEVENTO="Manual",$M142=1),0,IF(OFFSET(CRONOPLE!$F$14,$M142,AV$13)="",10^12,OFFSET(CRONOPLE!$F$14,$M142,AV$13))))</f>
        <v>1000000000000</v>
      </c>
      <c r="AX142" s="216">
        <f ca="1">IF($D142&lt;&gt;"Serviço",0,IF(OR(AND(AUTOEVENTO="Manual",$M142=1),$M142&gt;(ROW(PLE.lastrow)-ROW(PLE.firstrow))),0,IF(OFFSET(PLE!$G$14,$M142,AX$13)="",10^12,OFFSET(PLE!$G$14,$M142,AX$13))))</f>
        <v>1000000000000</v>
      </c>
      <c r="AY142" s="216">
        <f ca="1">IF($D142&lt;&gt;"Serviço",0,IF(OR(AND(AUTOEVENTO="Manual",$M142=1),$M142&gt;(ROW(PLE.lastrow)-ROW(PLE.firstrow))),0,IF(OFFSET(PLE!$G$14,$M142,AY$13)="",10^12,OFFSET(PLE!$G$14,$M142,AY$13))))</f>
        <v>1000000000000</v>
      </c>
      <c r="AZ142" s="216">
        <f ca="1">IF($D142&lt;&gt;"Serviço",0,IF(OR(AND(AUTOEVENTO="Manual",$M142=1),$M142&gt;(ROW(PLE.lastrow)-ROW(PLE.firstrow))),0,IF(OFFSET(PLE!$G$14,$M142,AZ$13)="",10^12,OFFSET(PLE!$G$14,$M142,AZ$13))))</f>
        <v>1000000000000</v>
      </c>
      <c r="BA142" s="216">
        <f ca="1">IF($D142&lt;&gt;"Serviço",0,IF(OR(AND(AUTOEVENTO="Manual",$M142=1),$M142&gt;(ROW(PLE.lastrow)-ROW(PLE.firstrow))),0,IF(OFFSET(PLE!$G$14,$M142,BA$13)="",10^12,OFFSET(PLE!$G$14,$M142,BA$13))))</f>
        <v>1000000000000</v>
      </c>
      <c r="BB142" s="216">
        <f ca="1">IF($D142&lt;&gt;"Serviço",0,IF(OR(AND(AUTOEVENTO="Manual",$M142=1),$M142&gt;(ROW(PLE.lastrow)-ROW(PLE.firstrow))),0,IF(OFFSET(PLE!$G$14,$M142,BB$13)="",10^12,OFFSET(PLE!$G$14,$M142,BB$13))))</f>
        <v>1000000000000</v>
      </c>
      <c r="BC142" s="216">
        <f ca="1">IF($D142&lt;&gt;"Serviço",0,IF(OR(AND(AUTOEVENTO="Manual",$M142=1),$M142&gt;(ROW(PLE.lastrow)-ROW(PLE.firstrow))),0,IF(OFFSET(PLE!$G$14,$M142,BC$13)="",10^12,OFFSET(PLE!$G$14,$M142,BC$13))))</f>
        <v>1000000000000</v>
      </c>
      <c r="BD142" s="216">
        <f ca="1">IF($D142&lt;&gt;"Serviço",0,IF(OR(AND(AUTOEVENTO="Manual",$M142=1),$M142&gt;(ROW(PLE.lastrow)-ROW(PLE.firstrow))),0,IF(OFFSET(PLE!$G$14,$M142,BD$13)="",10^12,OFFSET(PLE!$G$14,$M142,BD$13))))</f>
        <v>1000000000000</v>
      </c>
      <c r="BE142" s="216">
        <f ca="1">IF($D142&lt;&gt;"Serviço",0,IF(OR(AND(AUTOEVENTO="Manual",$M142=1),$M142&gt;(ROW(PLE.lastrow)-ROW(PLE.firstrow))),0,IF(OFFSET(PLE!$G$14,$M142,BE$13)="",10^12,OFFSET(PLE!$G$14,$M142,BE$13))))</f>
        <v>1000000000000</v>
      </c>
      <c r="BF142" s="216">
        <f ca="1">IF($D142&lt;&gt;"Serviço",0,IF(OR(AND(AUTOEVENTO="Manual",$M142=1),$M142&gt;(ROW(PLE.lastrow)-ROW(PLE.firstrow))),0,IF(OFFSET(PLE!$G$14,$M142,BF$13)="",10^12,OFFSET(PLE!$G$14,$M142,BF$13))))</f>
        <v>1000000000000</v>
      </c>
      <c r="BG142" s="216">
        <f ca="1">IF($D142&lt;&gt;"Serviço",0,IF(OR(AND(AUTOEVENTO="Manual",$M142=1),$M142&gt;(ROW(PLE.lastrow)-ROW(PLE.firstrow))),0,IF(OFFSET(PLE!$G$14,$M142,BG$13)="",10^12,OFFSET(PLE!$G$14,$M142,BG$13))))</f>
        <v>1000000000000</v>
      </c>
    </row>
    <row r="143" spans="1:59" ht="25.5" x14ac:dyDescent="0.2">
      <c r="A143" s="9" t="str">
        <f t="shared" ca="1" si="10"/>
        <v>93</v>
      </c>
      <c r="B143" s="9" t="str">
        <f ca="1">OFFSET(ORÇAMENTO!C$15,ROW(B143)-ROW(B$15),0)</f>
        <v>S</v>
      </c>
      <c r="C143" s="9" t="str">
        <f ca="1">OFFSET(ORÇAMENTO!L$15,ROW(C143)-ROW(C$15),0)</f>
        <v/>
      </c>
      <c r="D143" s="145" t="str">
        <f ca="1">OFFSET(ORÇAMENTO!N$15,ROW(D143)-ROW(D$15),0)</f>
        <v>Serviço</v>
      </c>
      <c r="E143" s="205" t="str">
        <f ca="1">OFFSET(ORÇAMENTO!O$15,ROW(E143)-ROW(E$15),0)</f>
        <v>-</v>
      </c>
      <c r="F143" s="206" t="str">
        <f ca="1">OFFSET(ORÇAMENTO!R$15,ROW(F143)-ROW(F$15),0)</f>
        <v xml:space="preserve">TERMINAL A COMPRESSAO EM COBRE ESTANHADO PARA CABO 6 MM2, 1 FURO E 1 COMPRESSAO, PARA PARAFUSO DE FIXACAO M6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G143" s="207" t="str">
        <f ca="1">IF($D143&lt;&gt;"Serviço","",OFFSET(ORÇAMENTO!S$15,ROW(G143)-ROW(G$15),0))</f>
        <v xml:space="preserve">UN    </v>
      </c>
      <c r="H143" s="151">
        <f ca="1">IF($D143&lt;&gt;"Serviço",0,IF(ACOMPANHAMENTO="BM",ROUND(OFFSET(ORÇAMENTO!AJ$15,ROW(H143)-ROW(H$15),0),15-13*ORÇAMENTO!$AF$7),SUMPRODUCT(($Q$12:$AA$12&lt;&gt;"")*ROUND($Q143:$AA143,15-13*ORÇAMENTO!$AF$7))))</f>
        <v>42</v>
      </c>
      <c r="I143" s="649"/>
      <c r="K143" s="208"/>
      <c r="L143" s="209" t="s">
        <v>255</v>
      </c>
      <c r="M143" s="210">
        <f ca="1">IF($D143&lt;&gt;"Serviço","",IF(AUTOEVENTO="manual",$A143,IF(ISERROR(MATCH($A143,$A$15:OFFSET($A143,-1,0),0)),MAX($M$15:OFFSET(M143,-1,0))+1,INDEX($M$15:OFFSET(M143,-1,0),MATCH($A143,$A$15:OFFSET($A143,-1,0),0)))))</f>
        <v>19</v>
      </c>
      <c r="N143" s="211" t="str">
        <f ca="1">IF($D143&lt;&gt;"Serviço","",IF(AUTOEVENTO="Manual",IF($A143=0,"&lt;-- defina o número do agrupador",OFFSET(EVENTOS!$D$14,$A143,0)),OFFSET($F$15,$A143,0)))</f>
        <v xml:space="preserve">ELÉTRICA </v>
      </c>
      <c r="O143" s="212"/>
      <c r="Q143" s="212"/>
      <c r="R143" s="213"/>
      <c r="S143" s="213"/>
      <c r="T143" s="213"/>
      <c r="U143" s="213"/>
      <c r="V143" s="213"/>
      <c r="W143" s="213"/>
      <c r="X143" s="213"/>
      <c r="Y143" s="213"/>
      <c r="Z143" s="214"/>
      <c r="AB143" s="630">
        <f ca="1">IF(AND($D143="Serviço",AB$12&lt;&gt;0,$H143&gt;0,OR(AUTOEVENTO&lt;&gt;"manual",$M143&lt;&gt;1)),
IF(Import.TipoArredondamento&lt;&gt;"TransfereGOV",
ROUND(OFFSET($P143,0,AB$13),15-13*ORÇAMENTO!$AF$7)/$H143*OFFSET(ORÇAMENTO!$X$15,ROW(AB143)-ROW(AB$15),0),
ROUND(ROUND(OFFSET($P143,0,AB$13),15-13*ORÇAMENTO!$AF$7)*OFFSET(ORÇAMENTO!$W$15,ROW(AB143)-ROW(AB$15),0),15-13*ORÇAMENTO!$AF$11)),0)</f>
        <v>0</v>
      </c>
      <c r="AC143" s="631">
        <f ca="1">IF(AND($D143="Serviço",AC$12&lt;&gt;0,$H143&gt;0,OR(AUTOEVENTO&lt;&gt;"manual",$M143&lt;&gt;1)),
IF(Import.TipoArredondamento&lt;&gt;"TransfereGOV",
ROUND(OFFSET($P143,0,AC$13),15-13*ORÇAMENTO!$AF$7)/$H143*OFFSET(ORÇAMENTO!$X$15,ROW(AC143)-ROW(AC$15),0),
ROUND(ROUND(OFFSET($P143,0,AC$13),15-13*ORÇAMENTO!$AF$7)*OFFSET(ORÇAMENTO!$W$15,ROW(AC143)-ROW(AC$15),0),15-13*ORÇAMENTO!$AF$11)),0)</f>
        <v>0</v>
      </c>
      <c r="AD143" s="631">
        <f ca="1">IF(AND($D143="Serviço",AD$12&lt;&gt;0,$H143&gt;0,OR(AUTOEVENTO&lt;&gt;"manual",$M143&lt;&gt;1)),
IF(Import.TipoArredondamento&lt;&gt;"TransfereGOV",
ROUND(OFFSET($P143,0,AD$13),15-13*ORÇAMENTO!$AF$7)/$H143*OFFSET(ORÇAMENTO!$X$15,ROW(AD143)-ROW(AD$15),0),
ROUND(ROUND(OFFSET($P143,0,AD$13),15-13*ORÇAMENTO!$AF$7)*OFFSET(ORÇAMENTO!$W$15,ROW(AD143)-ROW(AD$15),0),15-13*ORÇAMENTO!$AF$11)),0)</f>
        <v>0</v>
      </c>
      <c r="AE143" s="631">
        <f ca="1">IF(AND($D143="Serviço",AE$12&lt;&gt;0,$H143&gt;0,OR(AUTOEVENTO&lt;&gt;"manual",$M143&lt;&gt;1)),
IF(Import.TipoArredondamento&lt;&gt;"TransfereGOV",
ROUND(OFFSET($P143,0,AE$13),15-13*ORÇAMENTO!$AF$7)/$H143*OFFSET(ORÇAMENTO!$X$15,ROW(AE143)-ROW(AE$15),0),
ROUND(ROUND(OFFSET($P143,0,AE$13),15-13*ORÇAMENTO!$AF$7)*OFFSET(ORÇAMENTO!$W$15,ROW(AE143)-ROW(AE$15),0),15-13*ORÇAMENTO!$AF$11)),0)</f>
        <v>0</v>
      </c>
      <c r="AF143" s="631">
        <f ca="1">IF(AND($D143="Serviço",AF$12&lt;&gt;0,$H143&gt;0,OR(AUTOEVENTO&lt;&gt;"manual",$M143&lt;&gt;1)),
IF(Import.TipoArredondamento&lt;&gt;"TransfereGOV",
ROUND(OFFSET($P143,0,AF$13),15-13*ORÇAMENTO!$AF$7)/$H143*OFFSET(ORÇAMENTO!$X$15,ROW(AF143)-ROW(AF$15),0),
ROUND(ROUND(OFFSET($P143,0,AF$13),15-13*ORÇAMENTO!$AF$7)*OFFSET(ORÇAMENTO!$W$15,ROW(AF143)-ROW(AF$15),0),15-13*ORÇAMENTO!$AF$11)),0)</f>
        <v>0</v>
      </c>
      <c r="AG143" s="631">
        <f ca="1">IF(AND($D143="Serviço",AG$12&lt;&gt;0,$H143&gt;0,OR(AUTOEVENTO&lt;&gt;"manual",$M143&lt;&gt;1)),
IF(Import.TipoArredondamento&lt;&gt;"TransfereGOV",
ROUND(OFFSET($P143,0,AG$13),15-13*ORÇAMENTO!$AF$7)/$H143*OFFSET(ORÇAMENTO!$X$15,ROW(AG143)-ROW(AG$15),0),
ROUND(ROUND(OFFSET($P143,0,AG$13),15-13*ORÇAMENTO!$AF$7)*OFFSET(ORÇAMENTO!$W$15,ROW(AG143)-ROW(AG$15),0),15-13*ORÇAMENTO!$AF$11)),0)</f>
        <v>0</v>
      </c>
      <c r="AH143" s="631">
        <f ca="1">IF(AND($D143="Serviço",AH$12&lt;&gt;0,$H143&gt;0,OR(AUTOEVENTO&lt;&gt;"manual",$M143&lt;&gt;1)),
IF(Import.TipoArredondamento&lt;&gt;"TransfereGOV",
ROUND(OFFSET($P143,0,AH$13),15-13*ORÇAMENTO!$AF$7)/$H143*OFFSET(ORÇAMENTO!$X$15,ROW(AH143)-ROW(AH$15),0),
ROUND(ROUND(OFFSET($P143,0,AH$13),15-13*ORÇAMENTO!$AF$7)*OFFSET(ORÇAMENTO!$W$15,ROW(AH143)-ROW(AH$15),0),15-13*ORÇAMENTO!$AF$11)),0)</f>
        <v>0</v>
      </c>
      <c r="AI143" s="631">
        <f ca="1">IF(AND($D143="Serviço",AI$12&lt;&gt;0,$H143&gt;0,OR(AUTOEVENTO&lt;&gt;"manual",$M143&lt;&gt;1)),
IF(Import.TipoArredondamento&lt;&gt;"TransfereGOV",
ROUND(OFFSET($P143,0,AI$13),15-13*ORÇAMENTO!$AF$7)/$H143*OFFSET(ORÇAMENTO!$X$15,ROW(AI143)-ROW(AI$15),0),
ROUND(ROUND(OFFSET($P143,0,AI$13),15-13*ORÇAMENTO!$AF$7)*OFFSET(ORÇAMENTO!$W$15,ROW(AI143)-ROW(AI$15),0),15-13*ORÇAMENTO!$AF$11)),0)</f>
        <v>0</v>
      </c>
      <c r="AJ143" s="631">
        <f ca="1">IF(AND($D143="Serviço",AJ$12&lt;&gt;0,$H143&gt;0,OR(AUTOEVENTO&lt;&gt;"manual",$M143&lt;&gt;1)),
IF(Import.TipoArredondamento&lt;&gt;"TransfereGOV",
ROUND(OFFSET($P143,0,AJ$13),15-13*ORÇAMENTO!$AF$7)/$H143*OFFSET(ORÇAMENTO!$X$15,ROW(AJ143)-ROW(AJ$15),0),
ROUND(ROUND(OFFSET($P143,0,AJ$13),15-13*ORÇAMENTO!$AF$7)*OFFSET(ORÇAMENTO!$W$15,ROW(AJ143)-ROW(AJ$15),0),15-13*ORÇAMENTO!$AF$11)),0)</f>
        <v>0</v>
      </c>
      <c r="AK143" s="632">
        <f ca="1">IF(AND($D143="Serviço",AK$12&lt;&gt;0,$H143&gt;0,OR(AUTOEVENTO&lt;&gt;"manual",$M143&lt;&gt;1)),
IF(Import.TipoArredondamento&lt;&gt;"TransfereGOV",
ROUND(OFFSET($P143,0,AK$13),15-13*ORÇAMENTO!$AF$7)/$H143*OFFSET(ORÇAMENTO!$X$15,ROW(AK143)-ROW(AK$15),0),
ROUND(ROUND(OFFSET($P143,0,AK$13),15-13*ORÇAMENTO!$AF$7)*OFFSET(ORÇAMENTO!$W$15,ROW(AK143)-ROW(AK$15),0),15-13*ORÇAMENTO!$AF$11)),0)</f>
        <v>0</v>
      </c>
      <c r="AM143" s="215">
        <f ca="1">IF($D143&lt;&gt;"Serviço",0,IF(AND(AUTOEVENTO="Manual",$M143=1),0,IF(OFFSET(CRONOPLE!$F$14,$M143,AM$13)="",10^12,OFFSET(CRONOPLE!$F$14,$M143,AM$13))))</f>
        <v>1000000000000</v>
      </c>
      <c r="AN143" s="215">
        <f ca="1">IF($D143&lt;&gt;"Serviço",0,IF(AND(AUTOEVENTO="Manual",$M143=1),0,IF(OFFSET(CRONOPLE!$F$14,$M143,AN$13)="",10^12,OFFSET(CRONOPLE!$F$14,$M143,AN$13))))</f>
        <v>1000000000000</v>
      </c>
      <c r="AO143" s="215">
        <f ca="1">IF($D143&lt;&gt;"Serviço",0,IF(AND(AUTOEVENTO="Manual",$M143=1),0,IF(OFFSET(CRONOPLE!$F$14,$M143,AO$13)="",10^12,OFFSET(CRONOPLE!$F$14,$M143,AO$13))))</f>
        <v>1000000000000</v>
      </c>
      <c r="AP143" s="215">
        <f ca="1">IF($D143&lt;&gt;"Serviço",0,IF(AND(AUTOEVENTO="Manual",$M143=1),0,IF(OFFSET(CRONOPLE!$F$14,$M143,AP$13)="",10^12,OFFSET(CRONOPLE!$F$14,$M143,AP$13))))</f>
        <v>1000000000000</v>
      </c>
      <c r="AQ143" s="215">
        <f ca="1">IF($D143&lt;&gt;"Serviço",0,IF(AND(AUTOEVENTO="Manual",$M143=1),0,IF(OFFSET(CRONOPLE!$F$14,$M143,AQ$13)="",10^12,OFFSET(CRONOPLE!$F$14,$M143,AQ$13))))</f>
        <v>1000000000000</v>
      </c>
      <c r="AR143" s="215">
        <f ca="1">IF($D143&lt;&gt;"Serviço",0,IF(AND(AUTOEVENTO="Manual",$M143=1),0,IF(OFFSET(CRONOPLE!$F$14,$M143,AR$13)="",10^12,OFFSET(CRONOPLE!$F$14,$M143,AR$13))))</f>
        <v>1000000000000</v>
      </c>
      <c r="AS143" s="215">
        <f ca="1">IF($D143&lt;&gt;"Serviço",0,IF(AND(AUTOEVENTO="Manual",$M143=1),0,IF(OFFSET(CRONOPLE!$F$14,$M143,AS$13)="",10^12,OFFSET(CRONOPLE!$F$14,$M143,AS$13))))</f>
        <v>1000000000000</v>
      </c>
      <c r="AT143" s="215">
        <f ca="1">IF($D143&lt;&gt;"Serviço",0,IF(AND(AUTOEVENTO="Manual",$M143=1),0,IF(OFFSET(CRONOPLE!$F$14,$M143,AT$13)="",10^12,OFFSET(CRONOPLE!$F$14,$M143,AT$13))))</f>
        <v>1000000000000</v>
      </c>
      <c r="AU143" s="215">
        <f ca="1">IF($D143&lt;&gt;"Serviço",0,IF(AND(AUTOEVENTO="Manual",$M143=1),0,IF(OFFSET(CRONOPLE!$F$14,$M143,AU$13)="",10^12,OFFSET(CRONOPLE!$F$14,$M143,AU$13))))</f>
        <v>1000000000000</v>
      </c>
      <c r="AV143" s="215">
        <f ca="1">IF($D143&lt;&gt;"Serviço",0,IF(AND(AUTOEVENTO="Manual",$M143=1),0,IF(OFFSET(CRONOPLE!$F$14,$M143,AV$13)="",10^12,OFFSET(CRONOPLE!$F$14,$M143,AV$13))))</f>
        <v>1000000000000</v>
      </c>
      <c r="AX143" s="216">
        <f ca="1">IF($D143&lt;&gt;"Serviço",0,IF(OR(AND(AUTOEVENTO="Manual",$M143=1),$M143&gt;(ROW(PLE.lastrow)-ROW(PLE.firstrow))),0,IF(OFFSET(PLE!$G$14,$M143,AX$13)="",10^12,OFFSET(PLE!$G$14,$M143,AX$13))))</f>
        <v>1000000000000</v>
      </c>
      <c r="AY143" s="216">
        <f ca="1">IF($D143&lt;&gt;"Serviço",0,IF(OR(AND(AUTOEVENTO="Manual",$M143=1),$M143&gt;(ROW(PLE.lastrow)-ROW(PLE.firstrow))),0,IF(OFFSET(PLE!$G$14,$M143,AY$13)="",10^12,OFFSET(PLE!$G$14,$M143,AY$13))))</f>
        <v>1000000000000</v>
      </c>
      <c r="AZ143" s="216">
        <f ca="1">IF($D143&lt;&gt;"Serviço",0,IF(OR(AND(AUTOEVENTO="Manual",$M143=1),$M143&gt;(ROW(PLE.lastrow)-ROW(PLE.firstrow))),0,IF(OFFSET(PLE!$G$14,$M143,AZ$13)="",10^12,OFFSET(PLE!$G$14,$M143,AZ$13))))</f>
        <v>1000000000000</v>
      </c>
      <c r="BA143" s="216">
        <f ca="1">IF($D143&lt;&gt;"Serviço",0,IF(OR(AND(AUTOEVENTO="Manual",$M143=1),$M143&gt;(ROW(PLE.lastrow)-ROW(PLE.firstrow))),0,IF(OFFSET(PLE!$G$14,$M143,BA$13)="",10^12,OFFSET(PLE!$G$14,$M143,BA$13))))</f>
        <v>1000000000000</v>
      </c>
      <c r="BB143" s="216">
        <f ca="1">IF($D143&lt;&gt;"Serviço",0,IF(OR(AND(AUTOEVENTO="Manual",$M143=1),$M143&gt;(ROW(PLE.lastrow)-ROW(PLE.firstrow))),0,IF(OFFSET(PLE!$G$14,$M143,BB$13)="",10^12,OFFSET(PLE!$G$14,$M143,BB$13))))</f>
        <v>1000000000000</v>
      </c>
      <c r="BC143" s="216">
        <f ca="1">IF($D143&lt;&gt;"Serviço",0,IF(OR(AND(AUTOEVENTO="Manual",$M143=1),$M143&gt;(ROW(PLE.lastrow)-ROW(PLE.firstrow))),0,IF(OFFSET(PLE!$G$14,$M143,BC$13)="",10^12,OFFSET(PLE!$G$14,$M143,BC$13))))</f>
        <v>1000000000000</v>
      </c>
      <c r="BD143" s="216">
        <f ca="1">IF($D143&lt;&gt;"Serviço",0,IF(OR(AND(AUTOEVENTO="Manual",$M143=1),$M143&gt;(ROW(PLE.lastrow)-ROW(PLE.firstrow))),0,IF(OFFSET(PLE!$G$14,$M143,BD$13)="",10^12,OFFSET(PLE!$G$14,$M143,BD$13))))</f>
        <v>1000000000000</v>
      </c>
      <c r="BE143" s="216">
        <f ca="1">IF($D143&lt;&gt;"Serviço",0,IF(OR(AND(AUTOEVENTO="Manual",$M143=1),$M143&gt;(ROW(PLE.lastrow)-ROW(PLE.firstrow))),0,IF(OFFSET(PLE!$G$14,$M143,BE$13)="",10^12,OFFSET(PLE!$G$14,$M143,BE$13))))</f>
        <v>1000000000000</v>
      </c>
      <c r="BF143" s="216">
        <f ca="1">IF($D143&lt;&gt;"Serviço",0,IF(OR(AND(AUTOEVENTO="Manual",$M143=1),$M143&gt;(ROW(PLE.lastrow)-ROW(PLE.firstrow))),0,IF(OFFSET(PLE!$G$14,$M143,BF$13)="",10^12,OFFSET(PLE!$G$14,$M143,BF$13))))</f>
        <v>1000000000000</v>
      </c>
      <c r="BG143" s="216">
        <f ca="1">IF($D143&lt;&gt;"Serviço",0,IF(OR(AND(AUTOEVENTO="Manual",$M143=1),$M143&gt;(ROW(PLE.lastrow)-ROW(PLE.firstrow))),0,IF(OFFSET(PLE!$G$14,$M143,BG$13)="",10^12,OFFSET(PLE!$G$14,$M143,BG$13))))</f>
        <v>1000000000000</v>
      </c>
    </row>
    <row r="144" spans="1:59" ht="25.5" x14ac:dyDescent="0.2">
      <c r="A144" s="9" t="str">
        <f t="shared" ca="1" si="10"/>
        <v>93</v>
      </c>
      <c r="B144" s="9" t="str">
        <f ca="1">OFFSET(ORÇAMENTO!C$15,ROW(B144)-ROW(B$15),0)</f>
        <v>S</v>
      </c>
      <c r="C144" s="9" t="str">
        <f ca="1">OFFSET(ORÇAMENTO!L$15,ROW(C144)-ROW(C$15),0)</f>
        <v/>
      </c>
      <c r="D144" s="145" t="str">
        <f ca="1">OFFSET(ORÇAMENTO!N$15,ROW(D144)-ROW(D$15),0)</f>
        <v>Serviço</v>
      </c>
      <c r="E144" s="205" t="str">
        <f ca="1">OFFSET(ORÇAMENTO!O$15,ROW(E144)-ROW(E$15),0)</f>
        <v>-</v>
      </c>
      <c r="F144" s="206" t="str">
        <f ca="1">OFFSET(ORÇAMENTO!R$15,ROW(F144)-ROW(F$15),0)</f>
        <v xml:space="preserve">TERMINAL A COMPRESSAO EM COBRE ESTANHADO PARA CABO 2,5 MM2, 1 FURO E 1 COMPRESSAO, PARA PARAFUSO DE FIXACAO M5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G144" s="207" t="str">
        <f ca="1">IF($D144&lt;&gt;"Serviço","",OFFSET(ORÇAMENTO!S$15,ROW(G144)-ROW(G$15),0))</f>
        <v xml:space="preserve">UN    </v>
      </c>
      <c r="H144" s="151">
        <f ca="1">IF($D144&lt;&gt;"Serviço",0,IF(ACOMPANHAMENTO="BM",ROUND(OFFSET(ORÇAMENTO!AJ$15,ROW(H144)-ROW(H$15),0),15-13*ORÇAMENTO!$AF$7),SUMPRODUCT(($Q$12:$AA$12&lt;&gt;"")*ROUND($Q144:$AA144,15-13*ORÇAMENTO!$AF$7))))</f>
        <v>400</v>
      </c>
      <c r="I144" s="649"/>
      <c r="K144" s="208"/>
      <c r="L144" s="209" t="s">
        <v>255</v>
      </c>
      <c r="M144" s="210">
        <f ca="1">IF($D144&lt;&gt;"Serviço","",IF(AUTOEVENTO="manual",$A144,IF(ISERROR(MATCH($A144,$A$15:OFFSET($A144,-1,0),0)),MAX($M$15:OFFSET(M144,-1,0))+1,INDEX($M$15:OFFSET(M144,-1,0),MATCH($A144,$A$15:OFFSET($A144,-1,0),0)))))</f>
        <v>19</v>
      </c>
      <c r="N144" s="211" t="str">
        <f ca="1">IF($D144&lt;&gt;"Serviço","",IF(AUTOEVENTO="Manual",IF($A144=0,"&lt;-- defina o número do agrupador",OFFSET(EVENTOS!$D$14,$A144,0)),OFFSET($F$15,$A144,0)))</f>
        <v xml:space="preserve">ELÉTRICA </v>
      </c>
      <c r="O144" s="212"/>
      <c r="Q144" s="212"/>
      <c r="R144" s="213"/>
      <c r="S144" s="213"/>
      <c r="T144" s="213"/>
      <c r="U144" s="213"/>
      <c r="V144" s="213"/>
      <c r="W144" s="213"/>
      <c r="X144" s="213"/>
      <c r="Y144" s="213"/>
      <c r="Z144" s="214"/>
      <c r="AB144" s="630">
        <f ca="1">IF(AND($D144="Serviço",AB$12&lt;&gt;0,$H144&gt;0,OR(AUTOEVENTO&lt;&gt;"manual",$M144&lt;&gt;1)),
IF(Import.TipoArredondamento&lt;&gt;"TransfereGOV",
ROUND(OFFSET($P144,0,AB$13),15-13*ORÇAMENTO!$AF$7)/$H144*OFFSET(ORÇAMENTO!$X$15,ROW(AB144)-ROW(AB$15),0),
ROUND(ROUND(OFFSET($P144,0,AB$13),15-13*ORÇAMENTO!$AF$7)*OFFSET(ORÇAMENTO!$W$15,ROW(AB144)-ROW(AB$15),0),15-13*ORÇAMENTO!$AF$11)),0)</f>
        <v>0</v>
      </c>
      <c r="AC144" s="631">
        <f ca="1">IF(AND($D144="Serviço",AC$12&lt;&gt;0,$H144&gt;0,OR(AUTOEVENTO&lt;&gt;"manual",$M144&lt;&gt;1)),
IF(Import.TipoArredondamento&lt;&gt;"TransfereGOV",
ROUND(OFFSET($P144,0,AC$13),15-13*ORÇAMENTO!$AF$7)/$H144*OFFSET(ORÇAMENTO!$X$15,ROW(AC144)-ROW(AC$15),0),
ROUND(ROUND(OFFSET($P144,0,AC$13),15-13*ORÇAMENTO!$AF$7)*OFFSET(ORÇAMENTO!$W$15,ROW(AC144)-ROW(AC$15),0),15-13*ORÇAMENTO!$AF$11)),0)</f>
        <v>0</v>
      </c>
      <c r="AD144" s="631">
        <f ca="1">IF(AND($D144="Serviço",AD$12&lt;&gt;0,$H144&gt;0,OR(AUTOEVENTO&lt;&gt;"manual",$M144&lt;&gt;1)),
IF(Import.TipoArredondamento&lt;&gt;"TransfereGOV",
ROUND(OFFSET($P144,0,AD$13),15-13*ORÇAMENTO!$AF$7)/$H144*OFFSET(ORÇAMENTO!$X$15,ROW(AD144)-ROW(AD$15),0),
ROUND(ROUND(OFFSET($P144,0,AD$13),15-13*ORÇAMENTO!$AF$7)*OFFSET(ORÇAMENTO!$W$15,ROW(AD144)-ROW(AD$15),0),15-13*ORÇAMENTO!$AF$11)),0)</f>
        <v>0</v>
      </c>
      <c r="AE144" s="631">
        <f ca="1">IF(AND($D144="Serviço",AE$12&lt;&gt;0,$H144&gt;0,OR(AUTOEVENTO&lt;&gt;"manual",$M144&lt;&gt;1)),
IF(Import.TipoArredondamento&lt;&gt;"TransfereGOV",
ROUND(OFFSET($P144,0,AE$13),15-13*ORÇAMENTO!$AF$7)/$H144*OFFSET(ORÇAMENTO!$X$15,ROW(AE144)-ROW(AE$15),0),
ROUND(ROUND(OFFSET($P144,0,AE$13),15-13*ORÇAMENTO!$AF$7)*OFFSET(ORÇAMENTO!$W$15,ROW(AE144)-ROW(AE$15),0),15-13*ORÇAMENTO!$AF$11)),0)</f>
        <v>0</v>
      </c>
      <c r="AF144" s="631">
        <f ca="1">IF(AND($D144="Serviço",AF$12&lt;&gt;0,$H144&gt;0,OR(AUTOEVENTO&lt;&gt;"manual",$M144&lt;&gt;1)),
IF(Import.TipoArredondamento&lt;&gt;"TransfereGOV",
ROUND(OFFSET($P144,0,AF$13),15-13*ORÇAMENTO!$AF$7)/$H144*OFFSET(ORÇAMENTO!$X$15,ROW(AF144)-ROW(AF$15),0),
ROUND(ROUND(OFFSET($P144,0,AF$13),15-13*ORÇAMENTO!$AF$7)*OFFSET(ORÇAMENTO!$W$15,ROW(AF144)-ROW(AF$15),0),15-13*ORÇAMENTO!$AF$11)),0)</f>
        <v>0</v>
      </c>
      <c r="AG144" s="631">
        <f ca="1">IF(AND($D144="Serviço",AG$12&lt;&gt;0,$H144&gt;0,OR(AUTOEVENTO&lt;&gt;"manual",$M144&lt;&gt;1)),
IF(Import.TipoArredondamento&lt;&gt;"TransfereGOV",
ROUND(OFFSET($P144,0,AG$13),15-13*ORÇAMENTO!$AF$7)/$H144*OFFSET(ORÇAMENTO!$X$15,ROW(AG144)-ROW(AG$15),0),
ROUND(ROUND(OFFSET($P144,0,AG$13),15-13*ORÇAMENTO!$AF$7)*OFFSET(ORÇAMENTO!$W$15,ROW(AG144)-ROW(AG$15),0),15-13*ORÇAMENTO!$AF$11)),0)</f>
        <v>0</v>
      </c>
      <c r="AH144" s="631">
        <f ca="1">IF(AND($D144="Serviço",AH$12&lt;&gt;0,$H144&gt;0,OR(AUTOEVENTO&lt;&gt;"manual",$M144&lt;&gt;1)),
IF(Import.TipoArredondamento&lt;&gt;"TransfereGOV",
ROUND(OFFSET($P144,0,AH$13),15-13*ORÇAMENTO!$AF$7)/$H144*OFFSET(ORÇAMENTO!$X$15,ROW(AH144)-ROW(AH$15),0),
ROUND(ROUND(OFFSET($P144,0,AH$13),15-13*ORÇAMENTO!$AF$7)*OFFSET(ORÇAMENTO!$W$15,ROW(AH144)-ROW(AH$15),0),15-13*ORÇAMENTO!$AF$11)),0)</f>
        <v>0</v>
      </c>
      <c r="AI144" s="631">
        <f ca="1">IF(AND($D144="Serviço",AI$12&lt;&gt;0,$H144&gt;0,OR(AUTOEVENTO&lt;&gt;"manual",$M144&lt;&gt;1)),
IF(Import.TipoArredondamento&lt;&gt;"TransfereGOV",
ROUND(OFFSET($P144,0,AI$13),15-13*ORÇAMENTO!$AF$7)/$H144*OFFSET(ORÇAMENTO!$X$15,ROW(AI144)-ROW(AI$15),0),
ROUND(ROUND(OFFSET($P144,0,AI$13),15-13*ORÇAMENTO!$AF$7)*OFFSET(ORÇAMENTO!$W$15,ROW(AI144)-ROW(AI$15),0),15-13*ORÇAMENTO!$AF$11)),0)</f>
        <v>0</v>
      </c>
      <c r="AJ144" s="631">
        <f ca="1">IF(AND($D144="Serviço",AJ$12&lt;&gt;0,$H144&gt;0,OR(AUTOEVENTO&lt;&gt;"manual",$M144&lt;&gt;1)),
IF(Import.TipoArredondamento&lt;&gt;"TransfereGOV",
ROUND(OFFSET($P144,0,AJ$13),15-13*ORÇAMENTO!$AF$7)/$H144*OFFSET(ORÇAMENTO!$X$15,ROW(AJ144)-ROW(AJ$15),0),
ROUND(ROUND(OFFSET($P144,0,AJ$13),15-13*ORÇAMENTO!$AF$7)*OFFSET(ORÇAMENTO!$W$15,ROW(AJ144)-ROW(AJ$15),0),15-13*ORÇAMENTO!$AF$11)),0)</f>
        <v>0</v>
      </c>
      <c r="AK144" s="632">
        <f ca="1">IF(AND($D144="Serviço",AK$12&lt;&gt;0,$H144&gt;0,OR(AUTOEVENTO&lt;&gt;"manual",$M144&lt;&gt;1)),
IF(Import.TipoArredondamento&lt;&gt;"TransfereGOV",
ROUND(OFFSET($P144,0,AK$13),15-13*ORÇAMENTO!$AF$7)/$H144*OFFSET(ORÇAMENTO!$X$15,ROW(AK144)-ROW(AK$15),0),
ROUND(ROUND(OFFSET($P144,0,AK$13),15-13*ORÇAMENTO!$AF$7)*OFFSET(ORÇAMENTO!$W$15,ROW(AK144)-ROW(AK$15),0),15-13*ORÇAMENTO!$AF$11)),0)</f>
        <v>0</v>
      </c>
      <c r="AM144" s="215">
        <f ca="1">IF($D144&lt;&gt;"Serviço",0,IF(AND(AUTOEVENTO="Manual",$M144=1),0,IF(OFFSET(CRONOPLE!$F$14,$M144,AM$13)="",10^12,OFFSET(CRONOPLE!$F$14,$M144,AM$13))))</f>
        <v>1000000000000</v>
      </c>
      <c r="AN144" s="215">
        <f ca="1">IF($D144&lt;&gt;"Serviço",0,IF(AND(AUTOEVENTO="Manual",$M144=1),0,IF(OFFSET(CRONOPLE!$F$14,$M144,AN$13)="",10^12,OFFSET(CRONOPLE!$F$14,$M144,AN$13))))</f>
        <v>1000000000000</v>
      </c>
      <c r="AO144" s="215">
        <f ca="1">IF($D144&lt;&gt;"Serviço",0,IF(AND(AUTOEVENTO="Manual",$M144=1),0,IF(OFFSET(CRONOPLE!$F$14,$M144,AO$13)="",10^12,OFFSET(CRONOPLE!$F$14,$M144,AO$13))))</f>
        <v>1000000000000</v>
      </c>
      <c r="AP144" s="215">
        <f ca="1">IF($D144&lt;&gt;"Serviço",0,IF(AND(AUTOEVENTO="Manual",$M144=1),0,IF(OFFSET(CRONOPLE!$F$14,$M144,AP$13)="",10^12,OFFSET(CRONOPLE!$F$14,$M144,AP$13))))</f>
        <v>1000000000000</v>
      </c>
      <c r="AQ144" s="215">
        <f ca="1">IF($D144&lt;&gt;"Serviço",0,IF(AND(AUTOEVENTO="Manual",$M144=1),0,IF(OFFSET(CRONOPLE!$F$14,$M144,AQ$13)="",10^12,OFFSET(CRONOPLE!$F$14,$M144,AQ$13))))</f>
        <v>1000000000000</v>
      </c>
      <c r="AR144" s="215">
        <f ca="1">IF($D144&lt;&gt;"Serviço",0,IF(AND(AUTOEVENTO="Manual",$M144=1),0,IF(OFFSET(CRONOPLE!$F$14,$M144,AR$13)="",10^12,OFFSET(CRONOPLE!$F$14,$M144,AR$13))))</f>
        <v>1000000000000</v>
      </c>
      <c r="AS144" s="215">
        <f ca="1">IF($D144&lt;&gt;"Serviço",0,IF(AND(AUTOEVENTO="Manual",$M144=1),0,IF(OFFSET(CRONOPLE!$F$14,$M144,AS$13)="",10^12,OFFSET(CRONOPLE!$F$14,$M144,AS$13))))</f>
        <v>1000000000000</v>
      </c>
      <c r="AT144" s="215">
        <f ca="1">IF($D144&lt;&gt;"Serviço",0,IF(AND(AUTOEVENTO="Manual",$M144=1),0,IF(OFFSET(CRONOPLE!$F$14,$M144,AT$13)="",10^12,OFFSET(CRONOPLE!$F$14,$M144,AT$13))))</f>
        <v>1000000000000</v>
      </c>
      <c r="AU144" s="215">
        <f ca="1">IF($D144&lt;&gt;"Serviço",0,IF(AND(AUTOEVENTO="Manual",$M144=1),0,IF(OFFSET(CRONOPLE!$F$14,$M144,AU$13)="",10^12,OFFSET(CRONOPLE!$F$14,$M144,AU$13))))</f>
        <v>1000000000000</v>
      </c>
      <c r="AV144" s="215">
        <f ca="1">IF($D144&lt;&gt;"Serviço",0,IF(AND(AUTOEVENTO="Manual",$M144=1),0,IF(OFFSET(CRONOPLE!$F$14,$M144,AV$13)="",10^12,OFFSET(CRONOPLE!$F$14,$M144,AV$13))))</f>
        <v>1000000000000</v>
      </c>
      <c r="AX144" s="216">
        <f ca="1">IF($D144&lt;&gt;"Serviço",0,IF(OR(AND(AUTOEVENTO="Manual",$M144=1),$M144&gt;(ROW(PLE.lastrow)-ROW(PLE.firstrow))),0,IF(OFFSET(PLE!$G$14,$M144,AX$13)="",10^12,OFFSET(PLE!$G$14,$M144,AX$13))))</f>
        <v>1000000000000</v>
      </c>
      <c r="AY144" s="216">
        <f ca="1">IF($D144&lt;&gt;"Serviço",0,IF(OR(AND(AUTOEVENTO="Manual",$M144=1),$M144&gt;(ROW(PLE.lastrow)-ROW(PLE.firstrow))),0,IF(OFFSET(PLE!$G$14,$M144,AY$13)="",10^12,OFFSET(PLE!$G$14,$M144,AY$13))))</f>
        <v>1000000000000</v>
      </c>
      <c r="AZ144" s="216">
        <f ca="1">IF($D144&lt;&gt;"Serviço",0,IF(OR(AND(AUTOEVENTO="Manual",$M144=1),$M144&gt;(ROW(PLE.lastrow)-ROW(PLE.firstrow))),0,IF(OFFSET(PLE!$G$14,$M144,AZ$13)="",10^12,OFFSET(PLE!$G$14,$M144,AZ$13))))</f>
        <v>1000000000000</v>
      </c>
      <c r="BA144" s="216">
        <f ca="1">IF($D144&lt;&gt;"Serviço",0,IF(OR(AND(AUTOEVENTO="Manual",$M144=1),$M144&gt;(ROW(PLE.lastrow)-ROW(PLE.firstrow))),0,IF(OFFSET(PLE!$G$14,$M144,BA$13)="",10^12,OFFSET(PLE!$G$14,$M144,BA$13))))</f>
        <v>1000000000000</v>
      </c>
      <c r="BB144" s="216">
        <f ca="1">IF($D144&lt;&gt;"Serviço",0,IF(OR(AND(AUTOEVENTO="Manual",$M144=1),$M144&gt;(ROW(PLE.lastrow)-ROW(PLE.firstrow))),0,IF(OFFSET(PLE!$G$14,$M144,BB$13)="",10^12,OFFSET(PLE!$G$14,$M144,BB$13))))</f>
        <v>1000000000000</v>
      </c>
      <c r="BC144" s="216">
        <f ca="1">IF($D144&lt;&gt;"Serviço",0,IF(OR(AND(AUTOEVENTO="Manual",$M144=1),$M144&gt;(ROW(PLE.lastrow)-ROW(PLE.firstrow))),0,IF(OFFSET(PLE!$G$14,$M144,BC$13)="",10^12,OFFSET(PLE!$G$14,$M144,BC$13))))</f>
        <v>1000000000000</v>
      </c>
      <c r="BD144" s="216">
        <f ca="1">IF($D144&lt;&gt;"Serviço",0,IF(OR(AND(AUTOEVENTO="Manual",$M144=1),$M144&gt;(ROW(PLE.lastrow)-ROW(PLE.firstrow))),0,IF(OFFSET(PLE!$G$14,$M144,BD$13)="",10^12,OFFSET(PLE!$G$14,$M144,BD$13))))</f>
        <v>1000000000000</v>
      </c>
      <c r="BE144" s="216">
        <f ca="1">IF($D144&lt;&gt;"Serviço",0,IF(OR(AND(AUTOEVENTO="Manual",$M144=1),$M144&gt;(ROW(PLE.lastrow)-ROW(PLE.firstrow))),0,IF(OFFSET(PLE!$G$14,$M144,BE$13)="",10^12,OFFSET(PLE!$G$14,$M144,BE$13))))</f>
        <v>1000000000000</v>
      </c>
      <c r="BF144" s="216">
        <f ca="1">IF($D144&lt;&gt;"Serviço",0,IF(OR(AND(AUTOEVENTO="Manual",$M144=1),$M144&gt;(ROW(PLE.lastrow)-ROW(PLE.firstrow))),0,IF(OFFSET(PLE!$G$14,$M144,BF$13)="",10^12,OFFSET(PLE!$G$14,$M144,BF$13))))</f>
        <v>1000000000000</v>
      </c>
      <c r="BG144" s="216">
        <f ca="1">IF($D144&lt;&gt;"Serviço",0,IF(OR(AND(AUTOEVENTO="Manual",$M144=1),$M144&gt;(ROW(PLE.lastrow)-ROW(PLE.firstrow))),0,IF(OFFSET(PLE!$G$14,$M144,BG$13)="",10^12,OFFSET(PLE!$G$14,$M144,BG$13))))</f>
        <v>1000000000000</v>
      </c>
    </row>
    <row r="145" spans="1:59" ht="25.5" x14ac:dyDescent="0.2">
      <c r="A145" s="9" t="str">
        <f ca="1">IF(AUTOEVENTO="Manual",IF(K145&lt;&gt;"",MIN(VALUE(LEFT(K145,FIND(".",K145)-1)),COUNTA(EVENTOS.Lista)),0),IF(OR($B145&gt;AUTOEVENTO,$B145="S",$B145=0),SUBSTITUTE(OFFSET($A145,-1,0),IF($D145="Serviço",".",""),""),ROW(A145)-ROW($A$15)&amp;"."))</f>
        <v>93</v>
      </c>
      <c r="B145" s="9" t="str">
        <f ca="1">OFFSET(ORÇAMENTO!C$15,ROW(B145)-ROW(B$15),0)</f>
        <v>S</v>
      </c>
      <c r="C145" s="9" t="str">
        <f ca="1">OFFSET(ORÇAMENTO!L$15,ROW(C145)-ROW(C$15),0)</f>
        <v/>
      </c>
      <c r="D145" s="145" t="str">
        <f ca="1">OFFSET(ORÇAMENTO!N$15,ROW(D145)-ROW(D$15),0)</f>
        <v>Serviço</v>
      </c>
      <c r="E145" s="205" t="str">
        <f ca="1">OFFSET(ORÇAMENTO!O$15,ROW(E145)-ROW(E$15),0)</f>
        <v>-</v>
      </c>
      <c r="F145" s="206" t="str">
        <f ca="1">OFFSET(ORÇAMENTO!R$15,ROW(F145)-ROW(F$15),0)</f>
        <v xml:space="preserve">TERMINAL A COMPRESSAO EM COBRE ESTANHADO PARA CABO 2,5 MM2, 1 FURO E 1 COMPRESSAO, PARA PARAFUSO DE FIXACAO M5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G145" s="207" t="str">
        <f ca="1">IF($D145&lt;&gt;"Serviço","",OFFSET(ORÇAMENTO!S$15,ROW(G145)-ROW(G$15),0))</f>
        <v xml:space="preserve">UN    </v>
      </c>
      <c r="H145" s="151">
        <f ca="1">IF($D145&lt;&gt;"Serviço",0,IF(ACOMPANHAMENTO="BM",ROUND(OFFSET(ORÇAMENTO!AJ$15,ROW(H145)-ROW(H$15),0),15-13*ORÇAMENTO!$AF$7),SUMPRODUCT(($Q$12:$AA$12&lt;&gt;"")*ROUND($Q145:$AA145,15-13*ORÇAMENTO!$AF$7))))</f>
        <v>200</v>
      </c>
      <c r="I145" s="649"/>
      <c r="K145" s="208"/>
      <c r="L145" s="209" t="s">
        <v>255</v>
      </c>
      <c r="M145" s="210">
        <f ca="1">IF($D145&lt;&gt;"Serviço","",IF(AUTOEVENTO="manual",$A145,IF(ISERROR(MATCH($A145,$A$15:OFFSET($A145,-1,0),0)),MAX($M$15:OFFSET(M145,-1,0))+1,INDEX($M$15:OFFSET(M145,-1,0),MATCH($A145,$A$15:OFFSET($A145,-1,0),0)))))</f>
        <v>19</v>
      </c>
      <c r="N145" s="211" t="str">
        <f ca="1">IF($D145&lt;&gt;"Serviço","",IF(AUTOEVENTO="Manual",IF($A145=0,"&lt;-- defina o número do agrupador",OFFSET(EVENTOS!$D$14,$A145,0)),OFFSET($F$15,$A145,0)))</f>
        <v xml:space="preserve">ELÉTRICA </v>
      </c>
      <c r="O145" s="212"/>
      <c r="Q145" s="212"/>
      <c r="R145" s="213"/>
      <c r="S145" s="213"/>
      <c r="T145" s="213"/>
      <c r="U145" s="213"/>
      <c r="V145" s="213"/>
      <c r="W145" s="213"/>
      <c r="X145" s="213"/>
      <c r="Y145" s="213"/>
      <c r="Z145" s="214"/>
      <c r="AB145" s="630">
        <f ca="1">IF(AND($D145="Serviço",AB$12&lt;&gt;0,$H145&gt;0,OR(AUTOEVENTO&lt;&gt;"manual",$M145&lt;&gt;1)),
IF(Import.TipoArredondamento&lt;&gt;"TransfereGOV",
ROUND(OFFSET($P145,0,AB$13),15-13*ORÇAMENTO!$AF$7)/$H145*OFFSET(ORÇAMENTO!$X$15,ROW(AB145)-ROW(AB$15),0),
ROUND(ROUND(OFFSET($P145,0,AB$13),15-13*ORÇAMENTO!$AF$7)*OFFSET(ORÇAMENTO!$W$15,ROW(AB145)-ROW(AB$15),0),15-13*ORÇAMENTO!$AF$11)),0)</f>
        <v>0</v>
      </c>
      <c r="AC145" s="631">
        <f ca="1">IF(AND($D145="Serviço",AC$12&lt;&gt;0,$H145&gt;0,OR(AUTOEVENTO&lt;&gt;"manual",$M145&lt;&gt;1)),
IF(Import.TipoArredondamento&lt;&gt;"TransfereGOV",
ROUND(OFFSET($P145,0,AC$13),15-13*ORÇAMENTO!$AF$7)/$H145*OFFSET(ORÇAMENTO!$X$15,ROW(AC145)-ROW(AC$15),0),
ROUND(ROUND(OFFSET($P145,0,AC$13),15-13*ORÇAMENTO!$AF$7)*OFFSET(ORÇAMENTO!$W$15,ROW(AC145)-ROW(AC$15),0),15-13*ORÇAMENTO!$AF$11)),0)</f>
        <v>0</v>
      </c>
      <c r="AD145" s="631">
        <f ca="1">IF(AND($D145="Serviço",AD$12&lt;&gt;0,$H145&gt;0,OR(AUTOEVENTO&lt;&gt;"manual",$M145&lt;&gt;1)),
IF(Import.TipoArredondamento&lt;&gt;"TransfereGOV",
ROUND(OFFSET($P145,0,AD$13),15-13*ORÇAMENTO!$AF$7)/$H145*OFFSET(ORÇAMENTO!$X$15,ROW(AD145)-ROW(AD$15),0),
ROUND(ROUND(OFFSET($P145,0,AD$13),15-13*ORÇAMENTO!$AF$7)*OFFSET(ORÇAMENTO!$W$15,ROW(AD145)-ROW(AD$15),0),15-13*ORÇAMENTO!$AF$11)),0)</f>
        <v>0</v>
      </c>
      <c r="AE145" s="631">
        <f ca="1">IF(AND($D145="Serviço",AE$12&lt;&gt;0,$H145&gt;0,OR(AUTOEVENTO&lt;&gt;"manual",$M145&lt;&gt;1)),
IF(Import.TipoArredondamento&lt;&gt;"TransfereGOV",
ROUND(OFFSET($P145,0,AE$13),15-13*ORÇAMENTO!$AF$7)/$H145*OFFSET(ORÇAMENTO!$X$15,ROW(AE145)-ROW(AE$15),0),
ROUND(ROUND(OFFSET($P145,0,AE$13),15-13*ORÇAMENTO!$AF$7)*OFFSET(ORÇAMENTO!$W$15,ROW(AE145)-ROW(AE$15),0),15-13*ORÇAMENTO!$AF$11)),0)</f>
        <v>0</v>
      </c>
      <c r="AF145" s="631">
        <f ca="1">IF(AND($D145="Serviço",AF$12&lt;&gt;0,$H145&gt;0,OR(AUTOEVENTO&lt;&gt;"manual",$M145&lt;&gt;1)),
IF(Import.TipoArredondamento&lt;&gt;"TransfereGOV",
ROUND(OFFSET($P145,0,AF$13),15-13*ORÇAMENTO!$AF$7)/$H145*OFFSET(ORÇAMENTO!$X$15,ROW(AF145)-ROW(AF$15),0),
ROUND(ROUND(OFFSET($P145,0,AF$13),15-13*ORÇAMENTO!$AF$7)*OFFSET(ORÇAMENTO!$W$15,ROW(AF145)-ROW(AF$15),0),15-13*ORÇAMENTO!$AF$11)),0)</f>
        <v>0</v>
      </c>
      <c r="AG145" s="631">
        <f ca="1">IF(AND($D145="Serviço",AG$12&lt;&gt;0,$H145&gt;0,OR(AUTOEVENTO&lt;&gt;"manual",$M145&lt;&gt;1)),
IF(Import.TipoArredondamento&lt;&gt;"TransfereGOV",
ROUND(OFFSET($P145,0,AG$13),15-13*ORÇAMENTO!$AF$7)/$H145*OFFSET(ORÇAMENTO!$X$15,ROW(AG145)-ROW(AG$15),0),
ROUND(ROUND(OFFSET($P145,0,AG$13),15-13*ORÇAMENTO!$AF$7)*OFFSET(ORÇAMENTO!$W$15,ROW(AG145)-ROW(AG$15),0),15-13*ORÇAMENTO!$AF$11)),0)</f>
        <v>0</v>
      </c>
      <c r="AH145" s="631">
        <f ca="1">IF(AND($D145="Serviço",AH$12&lt;&gt;0,$H145&gt;0,OR(AUTOEVENTO&lt;&gt;"manual",$M145&lt;&gt;1)),
IF(Import.TipoArredondamento&lt;&gt;"TransfereGOV",
ROUND(OFFSET($P145,0,AH$13),15-13*ORÇAMENTO!$AF$7)/$H145*OFFSET(ORÇAMENTO!$X$15,ROW(AH145)-ROW(AH$15),0),
ROUND(ROUND(OFFSET($P145,0,AH$13),15-13*ORÇAMENTO!$AF$7)*OFFSET(ORÇAMENTO!$W$15,ROW(AH145)-ROW(AH$15),0),15-13*ORÇAMENTO!$AF$11)),0)</f>
        <v>0</v>
      </c>
      <c r="AI145" s="631">
        <f ca="1">IF(AND($D145="Serviço",AI$12&lt;&gt;0,$H145&gt;0,OR(AUTOEVENTO&lt;&gt;"manual",$M145&lt;&gt;1)),
IF(Import.TipoArredondamento&lt;&gt;"TransfereGOV",
ROUND(OFFSET($P145,0,AI$13),15-13*ORÇAMENTO!$AF$7)/$H145*OFFSET(ORÇAMENTO!$X$15,ROW(AI145)-ROW(AI$15),0),
ROUND(ROUND(OFFSET($P145,0,AI$13),15-13*ORÇAMENTO!$AF$7)*OFFSET(ORÇAMENTO!$W$15,ROW(AI145)-ROW(AI$15),0),15-13*ORÇAMENTO!$AF$11)),0)</f>
        <v>0</v>
      </c>
      <c r="AJ145" s="631">
        <f ca="1">IF(AND($D145="Serviço",AJ$12&lt;&gt;0,$H145&gt;0,OR(AUTOEVENTO&lt;&gt;"manual",$M145&lt;&gt;1)),
IF(Import.TipoArredondamento&lt;&gt;"TransfereGOV",
ROUND(OFFSET($P145,0,AJ$13),15-13*ORÇAMENTO!$AF$7)/$H145*OFFSET(ORÇAMENTO!$X$15,ROW(AJ145)-ROW(AJ$15),0),
ROUND(ROUND(OFFSET($P145,0,AJ$13),15-13*ORÇAMENTO!$AF$7)*OFFSET(ORÇAMENTO!$W$15,ROW(AJ145)-ROW(AJ$15),0),15-13*ORÇAMENTO!$AF$11)),0)</f>
        <v>0</v>
      </c>
      <c r="AK145" s="632">
        <f ca="1">IF(AND($D145="Serviço",AK$12&lt;&gt;0,$H145&gt;0,OR(AUTOEVENTO&lt;&gt;"manual",$M145&lt;&gt;1)),
IF(Import.TipoArredondamento&lt;&gt;"TransfereGOV",
ROUND(OFFSET($P145,0,AK$13),15-13*ORÇAMENTO!$AF$7)/$H145*OFFSET(ORÇAMENTO!$X$15,ROW(AK145)-ROW(AK$15),0),
ROUND(ROUND(OFFSET($P145,0,AK$13),15-13*ORÇAMENTO!$AF$7)*OFFSET(ORÇAMENTO!$W$15,ROW(AK145)-ROW(AK$15),0),15-13*ORÇAMENTO!$AF$11)),0)</f>
        <v>0</v>
      </c>
      <c r="AM145" s="215">
        <f ca="1">IF($D145&lt;&gt;"Serviço",0,IF(AND(AUTOEVENTO="Manual",$M145=1),0,IF(OFFSET(CRONOPLE!$F$14,$M145,AM$13)="",10^12,OFFSET(CRONOPLE!$F$14,$M145,AM$13))))</f>
        <v>1000000000000</v>
      </c>
      <c r="AN145" s="215">
        <f ca="1">IF($D145&lt;&gt;"Serviço",0,IF(AND(AUTOEVENTO="Manual",$M145=1),0,IF(OFFSET(CRONOPLE!$F$14,$M145,AN$13)="",10^12,OFFSET(CRONOPLE!$F$14,$M145,AN$13))))</f>
        <v>1000000000000</v>
      </c>
      <c r="AO145" s="215">
        <f ca="1">IF($D145&lt;&gt;"Serviço",0,IF(AND(AUTOEVENTO="Manual",$M145=1),0,IF(OFFSET(CRONOPLE!$F$14,$M145,AO$13)="",10^12,OFFSET(CRONOPLE!$F$14,$M145,AO$13))))</f>
        <v>1000000000000</v>
      </c>
      <c r="AP145" s="215">
        <f ca="1">IF($D145&lt;&gt;"Serviço",0,IF(AND(AUTOEVENTO="Manual",$M145=1),0,IF(OFFSET(CRONOPLE!$F$14,$M145,AP$13)="",10^12,OFFSET(CRONOPLE!$F$14,$M145,AP$13))))</f>
        <v>1000000000000</v>
      </c>
      <c r="AQ145" s="215">
        <f ca="1">IF($D145&lt;&gt;"Serviço",0,IF(AND(AUTOEVENTO="Manual",$M145=1),0,IF(OFFSET(CRONOPLE!$F$14,$M145,AQ$13)="",10^12,OFFSET(CRONOPLE!$F$14,$M145,AQ$13))))</f>
        <v>1000000000000</v>
      </c>
      <c r="AR145" s="215">
        <f ca="1">IF($D145&lt;&gt;"Serviço",0,IF(AND(AUTOEVENTO="Manual",$M145=1),0,IF(OFFSET(CRONOPLE!$F$14,$M145,AR$13)="",10^12,OFFSET(CRONOPLE!$F$14,$M145,AR$13))))</f>
        <v>1000000000000</v>
      </c>
      <c r="AS145" s="215">
        <f ca="1">IF($D145&lt;&gt;"Serviço",0,IF(AND(AUTOEVENTO="Manual",$M145=1),0,IF(OFFSET(CRONOPLE!$F$14,$M145,AS$13)="",10^12,OFFSET(CRONOPLE!$F$14,$M145,AS$13))))</f>
        <v>1000000000000</v>
      </c>
      <c r="AT145" s="215">
        <f ca="1">IF($D145&lt;&gt;"Serviço",0,IF(AND(AUTOEVENTO="Manual",$M145=1),0,IF(OFFSET(CRONOPLE!$F$14,$M145,AT$13)="",10^12,OFFSET(CRONOPLE!$F$14,$M145,AT$13))))</f>
        <v>1000000000000</v>
      </c>
      <c r="AU145" s="215">
        <f ca="1">IF($D145&lt;&gt;"Serviço",0,IF(AND(AUTOEVENTO="Manual",$M145=1),0,IF(OFFSET(CRONOPLE!$F$14,$M145,AU$13)="",10^12,OFFSET(CRONOPLE!$F$14,$M145,AU$13))))</f>
        <v>1000000000000</v>
      </c>
      <c r="AV145" s="215">
        <f ca="1">IF($D145&lt;&gt;"Serviço",0,IF(AND(AUTOEVENTO="Manual",$M145=1),0,IF(OFFSET(CRONOPLE!$F$14,$M145,AV$13)="",10^12,OFFSET(CRONOPLE!$F$14,$M145,AV$13))))</f>
        <v>1000000000000</v>
      </c>
      <c r="AX145" s="216">
        <f ca="1">IF($D145&lt;&gt;"Serviço",0,IF(OR(AND(AUTOEVENTO="Manual",$M145=1),$M145&gt;(ROW(PLE.lastrow)-ROW(PLE.firstrow))),0,IF(OFFSET(PLE!$G$14,$M145,AX$13)="",10^12,OFFSET(PLE!$G$14,$M145,AX$13))))</f>
        <v>1000000000000</v>
      </c>
      <c r="AY145" s="216">
        <f ca="1">IF($D145&lt;&gt;"Serviço",0,IF(OR(AND(AUTOEVENTO="Manual",$M145=1),$M145&gt;(ROW(PLE.lastrow)-ROW(PLE.firstrow))),0,IF(OFFSET(PLE!$G$14,$M145,AY$13)="",10^12,OFFSET(PLE!$G$14,$M145,AY$13))))</f>
        <v>1000000000000</v>
      </c>
      <c r="AZ145" s="216">
        <f ca="1">IF($D145&lt;&gt;"Serviço",0,IF(OR(AND(AUTOEVENTO="Manual",$M145=1),$M145&gt;(ROW(PLE.lastrow)-ROW(PLE.firstrow))),0,IF(OFFSET(PLE!$G$14,$M145,AZ$13)="",10^12,OFFSET(PLE!$G$14,$M145,AZ$13))))</f>
        <v>1000000000000</v>
      </c>
      <c r="BA145" s="216">
        <f ca="1">IF($D145&lt;&gt;"Serviço",0,IF(OR(AND(AUTOEVENTO="Manual",$M145=1),$M145&gt;(ROW(PLE.lastrow)-ROW(PLE.firstrow))),0,IF(OFFSET(PLE!$G$14,$M145,BA$13)="",10^12,OFFSET(PLE!$G$14,$M145,BA$13))))</f>
        <v>1000000000000</v>
      </c>
      <c r="BB145" s="216">
        <f ca="1">IF($D145&lt;&gt;"Serviço",0,IF(OR(AND(AUTOEVENTO="Manual",$M145=1),$M145&gt;(ROW(PLE.lastrow)-ROW(PLE.firstrow))),0,IF(OFFSET(PLE!$G$14,$M145,BB$13)="",10^12,OFFSET(PLE!$G$14,$M145,BB$13))))</f>
        <v>1000000000000</v>
      </c>
      <c r="BC145" s="216">
        <f ca="1">IF($D145&lt;&gt;"Serviço",0,IF(OR(AND(AUTOEVENTO="Manual",$M145=1),$M145&gt;(ROW(PLE.lastrow)-ROW(PLE.firstrow))),0,IF(OFFSET(PLE!$G$14,$M145,BC$13)="",10^12,OFFSET(PLE!$G$14,$M145,BC$13))))</f>
        <v>1000000000000</v>
      </c>
      <c r="BD145" s="216">
        <f ca="1">IF($D145&lt;&gt;"Serviço",0,IF(OR(AND(AUTOEVENTO="Manual",$M145=1),$M145&gt;(ROW(PLE.lastrow)-ROW(PLE.firstrow))),0,IF(OFFSET(PLE!$G$14,$M145,BD$13)="",10^12,OFFSET(PLE!$G$14,$M145,BD$13))))</f>
        <v>1000000000000</v>
      </c>
      <c r="BE145" s="216">
        <f ca="1">IF($D145&lt;&gt;"Serviço",0,IF(OR(AND(AUTOEVENTO="Manual",$M145=1),$M145&gt;(ROW(PLE.lastrow)-ROW(PLE.firstrow))),0,IF(OFFSET(PLE!$G$14,$M145,BE$13)="",10^12,OFFSET(PLE!$G$14,$M145,BE$13))))</f>
        <v>1000000000000</v>
      </c>
      <c r="BF145" s="216">
        <f ca="1">IF($D145&lt;&gt;"Serviço",0,IF(OR(AND(AUTOEVENTO="Manual",$M145=1),$M145&gt;(ROW(PLE.lastrow)-ROW(PLE.firstrow))),0,IF(OFFSET(PLE!$G$14,$M145,BF$13)="",10^12,OFFSET(PLE!$G$14,$M145,BF$13))))</f>
        <v>1000000000000</v>
      </c>
      <c r="BG145" s="216">
        <f ca="1">IF($D145&lt;&gt;"Serviço",0,IF(OR(AND(AUTOEVENTO="Manual",$M145=1),$M145&gt;(ROW(PLE.lastrow)-ROW(PLE.firstrow))),0,IF(OFFSET(PLE!$G$14,$M145,BG$13)="",10^12,OFFSET(PLE!$G$14,$M145,BG$13))))</f>
        <v>1000000000000</v>
      </c>
    </row>
    <row r="146" spans="1:59" ht="25.5" x14ac:dyDescent="0.2">
      <c r="A146" s="9" t="str">
        <f ca="1">IF(AUTOEVENTO="Manual",IF(K146&lt;&gt;"",MIN(VALUE(LEFT(K146,FIND(".",K146)-1)),COUNTA(EVENTOS.Lista)),0),IF(OR($B146&gt;AUTOEVENTO,$B146="S",$B146=0),SUBSTITUTE(OFFSET($A146,-1,0),IF($D146="Serviço",".",""),""),ROW(A146)-ROW($A$15)&amp;"."))</f>
        <v>93</v>
      </c>
      <c r="B146" s="9" t="str">
        <f ca="1">OFFSET(ORÇAMENTO!C$15,ROW(B146)-ROW(B$15),0)</f>
        <v>S</v>
      </c>
      <c r="C146" s="9" t="str">
        <f ca="1">OFFSET(ORÇAMENTO!L$15,ROW(C146)-ROW(C$15),0)</f>
        <v/>
      </c>
      <c r="D146" s="145" t="str">
        <f ca="1">OFFSET(ORÇAMENTO!N$15,ROW(D146)-ROW(D$15),0)</f>
        <v>Serviço</v>
      </c>
      <c r="E146" s="205" t="str">
        <f ca="1">OFFSET(ORÇAMENTO!O$15,ROW(E146)-ROW(E$15),0)</f>
        <v>-</v>
      </c>
      <c r="F146" s="206" t="str">
        <f ca="1">OFFSET(ORÇAMENTO!R$15,ROW(F146)-ROW(F$15),0)</f>
        <v xml:space="preserve">CAIXA DE CONCRETO ARMADO PRE-MOLDADO, SEM FUNDO, QUADRADA, DIMENSOES DE 0,80 X 0,80 X 0,50 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G146" s="207" t="str">
        <f ca="1">IF($D146&lt;&gt;"Serviço","",OFFSET(ORÇAMENTO!S$15,ROW(G146)-ROW(G$15),0))</f>
        <v xml:space="preserve">UN    </v>
      </c>
      <c r="H146" s="151">
        <f ca="1">IF($D146&lt;&gt;"Serviço",0,IF(ACOMPANHAMENTO="BM",ROUND(OFFSET(ORÇAMENTO!AJ$15,ROW(H146)-ROW(H$15),0),15-13*ORÇAMENTO!$AF$7),SUMPRODUCT(($Q$12:$AA$12&lt;&gt;"")*ROUND($Q146:$AA146,15-13*ORÇAMENTO!$AF$7))))</f>
        <v>4</v>
      </c>
      <c r="I146" s="649"/>
      <c r="K146" s="208"/>
      <c r="L146" s="209" t="s">
        <v>255</v>
      </c>
      <c r="M146" s="210">
        <f ca="1">IF($D146&lt;&gt;"Serviço","",IF(AUTOEVENTO="manual",$A146,IF(ISERROR(MATCH($A146,$A$15:OFFSET($A146,-1,0),0)),MAX($M$15:OFFSET(M146,-1,0))+1,INDEX($M$15:OFFSET(M146,-1,0),MATCH($A146,$A$15:OFFSET($A146,-1,0),0)))))</f>
        <v>19</v>
      </c>
      <c r="N146" s="211" t="str">
        <f ca="1">IF($D146&lt;&gt;"Serviço","",IF(AUTOEVENTO="Manual",IF($A146=0,"&lt;-- defina o número do agrupador",OFFSET(EVENTOS!$D$14,$A146,0)),OFFSET($F$15,$A146,0)))</f>
        <v xml:space="preserve">ELÉTRICA </v>
      </c>
      <c r="O146" s="212"/>
      <c r="Q146" s="212"/>
      <c r="R146" s="213"/>
      <c r="S146" s="213"/>
      <c r="T146" s="213"/>
      <c r="U146" s="213"/>
      <c r="V146" s="213"/>
      <c r="W146" s="213"/>
      <c r="X146" s="213"/>
      <c r="Y146" s="213"/>
      <c r="Z146" s="214"/>
      <c r="AB146" s="630">
        <f ca="1">IF(AND($D146="Serviço",AB$12&lt;&gt;0,$H146&gt;0,OR(AUTOEVENTO&lt;&gt;"manual",$M146&lt;&gt;1)),
IF(Import.TipoArredondamento&lt;&gt;"TransfereGOV",
ROUND(OFFSET($P146,0,AB$13),15-13*ORÇAMENTO!$AF$7)/$H146*OFFSET(ORÇAMENTO!$X$15,ROW(AB146)-ROW(AB$15),0),
ROUND(ROUND(OFFSET($P146,0,AB$13),15-13*ORÇAMENTO!$AF$7)*OFFSET(ORÇAMENTO!$W$15,ROW(AB146)-ROW(AB$15),0),15-13*ORÇAMENTO!$AF$11)),0)</f>
        <v>0</v>
      </c>
      <c r="AC146" s="631">
        <f ca="1">IF(AND($D146="Serviço",AC$12&lt;&gt;0,$H146&gt;0,OR(AUTOEVENTO&lt;&gt;"manual",$M146&lt;&gt;1)),
IF(Import.TipoArredondamento&lt;&gt;"TransfereGOV",
ROUND(OFFSET($P146,0,AC$13),15-13*ORÇAMENTO!$AF$7)/$H146*OFFSET(ORÇAMENTO!$X$15,ROW(AC146)-ROW(AC$15),0),
ROUND(ROUND(OFFSET($P146,0,AC$13),15-13*ORÇAMENTO!$AF$7)*OFFSET(ORÇAMENTO!$W$15,ROW(AC146)-ROW(AC$15),0),15-13*ORÇAMENTO!$AF$11)),0)</f>
        <v>0</v>
      </c>
      <c r="AD146" s="631">
        <f ca="1">IF(AND($D146="Serviço",AD$12&lt;&gt;0,$H146&gt;0,OR(AUTOEVENTO&lt;&gt;"manual",$M146&lt;&gt;1)),
IF(Import.TipoArredondamento&lt;&gt;"TransfereGOV",
ROUND(OFFSET($P146,0,AD$13),15-13*ORÇAMENTO!$AF$7)/$H146*OFFSET(ORÇAMENTO!$X$15,ROW(AD146)-ROW(AD$15),0),
ROUND(ROUND(OFFSET($P146,0,AD$13),15-13*ORÇAMENTO!$AF$7)*OFFSET(ORÇAMENTO!$W$15,ROW(AD146)-ROW(AD$15),0),15-13*ORÇAMENTO!$AF$11)),0)</f>
        <v>0</v>
      </c>
      <c r="AE146" s="631">
        <f ca="1">IF(AND($D146="Serviço",AE$12&lt;&gt;0,$H146&gt;0,OR(AUTOEVENTO&lt;&gt;"manual",$M146&lt;&gt;1)),
IF(Import.TipoArredondamento&lt;&gt;"TransfereGOV",
ROUND(OFFSET($P146,0,AE$13),15-13*ORÇAMENTO!$AF$7)/$H146*OFFSET(ORÇAMENTO!$X$15,ROW(AE146)-ROW(AE$15),0),
ROUND(ROUND(OFFSET($P146,0,AE$13),15-13*ORÇAMENTO!$AF$7)*OFFSET(ORÇAMENTO!$W$15,ROW(AE146)-ROW(AE$15),0),15-13*ORÇAMENTO!$AF$11)),0)</f>
        <v>0</v>
      </c>
      <c r="AF146" s="631">
        <f ca="1">IF(AND($D146="Serviço",AF$12&lt;&gt;0,$H146&gt;0,OR(AUTOEVENTO&lt;&gt;"manual",$M146&lt;&gt;1)),
IF(Import.TipoArredondamento&lt;&gt;"TransfereGOV",
ROUND(OFFSET($P146,0,AF$13),15-13*ORÇAMENTO!$AF$7)/$H146*OFFSET(ORÇAMENTO!$X$15,ROW(AF146)-ROW(AF$15),0),
ROUND(ROUND(OFFSET($P146,0,AF$13),15-13*ORÇAMENTO!$AF$7)*OFFSET(ORÇAMENTO!$W$15,ROW(AF146)-ROW(AF$15),0),15-13*ORÇAMENTO!$AF$11)),0)</f>
        <v>0</v>
      </c>
      <c r="AG146" s="631">
        <f ca="1">IF(AND($D146="Serviço",AG$12&lt;&gt;0,$H146&gt;0,OR(AUTOEVENTO&lt;&gt;"manual",$M146&lt;&gt;1)),
IF(Import.TipoArredondamento&lt;&gt;"TransfereGOV",
ROUND(OFFSET($P146,0,AG$13),15-13*ORÇAMENTO!$AF$7)/$H146*OFFSET(ORÇAMENTO!$X$15,ROW(AG146)-ROW(AG$15),0),
ROUND(ROUND(OFFSET($P146,0,AG$13),15-13*ORÇAMENTO!$AF$7)*OFFSET(ORÇAMENTO!$W$15,ROW(AG146)-ROW(AG$15),0),15-13*ORÇAMENTO!$AF$11)),0)</f>
        <v>0</v>
      </c>
      <c r="AH146" s="631">
        <f ca="1">IF(AND($D146="Serviço",AH$12&lt;&gt;0,$H146&gt;0,OR(AUTOEVENTO&lt;&gt;"manual",$M146&lt;&gt;1)),
IF(Import.TipoArredondamento&lt;&gt;"TransfereGOV",
ROUND(OFFSET($P146,0,AH$13),15-13*ORÇAMENTO!$AF$7)/$H146*OFFSET(ORÇAMENTO!$X$15,ROW(AH146)-ROW(AH$15),0),
ROUND(ROUND(OFFSET($P146,0,AH$13),15-13*ORÇAMENTO!$AF$7)*OFFSET(ORÇAMENTO!$W$15,ROW(AH146)-ROW(AH$15),0),15-13*ORÇAMENTO!$AF$11)),0)</f>
        <v>0</v>
      </c>
      <c r="AI146" s="631">
        <f ca="1">IF(AND($D146="Serviço",AI$12&lt;&gt;0,$H146&gt;0,OR(AUTOEVENTO&lt;&gt;"manual",$M146&lt;&gt;1)),
IF(Import.TipoArredondamento&lt;&gt;"TransfereGOV",
ROUND(OFFSET($P146,0,AI$13),15-13*ORÇAMENTO!$AF$7)/$H146*OFFSET(ORÇAMENTO!$X$15,ROW(AI146)-ROW(AI$15),0),
ROUND(ROUND(OFFSET($P146,0,AI$13),15-13*ORÇAMENTO!$AF$7)*OFFSET(ORÇAMENTO!$W$15,ROW(AI146)-ROW(AI$15),0),15-13*ORÇAMENTO!$AF$11)),0)</f>
        <v>0</v>
      </c>
      <c r="AJ146" s="631">
        <f ca="1">IF(AND($D146="Serviço",AJ$12&lt;&gt;0,$H146&gt;0,OR(AUTOEVENTO&lt;&gt;"manual",$M146&lt;&gt;1)),
IF(Import.TipoArredondamento&lt;&gt;"TransfereGOV",
ROUND(OFFSET($P146,0,AJ$13),15-13*ORÇAMENTO!$AF$7)/$H146*OFFSET(ORÇAMENTO!$X$15,ROW(AJ146)-ROW(AJ$15),0),
ROUND(ROUND(OFFSET($P146,0,AJ$13),15-13*ORÇAMENTO!$AF$7)*OFFSET(ORÇAMENTO!$W$15,ROW(AJ146)-ROW(AJ$15),0),15-13*ORÇAMENTO!$AF$11)),0)</f>
        <v>0</v>
      </c>
      <c r="AK146" s="632">
        <f ca="1">IF(AND($D146="Serviço",AK$12&lt;&gt;0,$H146&gt;0,OR(AUTOEVENTO&lt;&gt;"manual",$M146&lt;&gt;1)),
IF(Import.TipoArredondamento&lt;&gt;"TransfereGOV",
ROUND(OFFSET($P146,0,AK$13),15-13*ORÇAMENTO!$AF$7)/$H146*OFFSET(ORÇAMENTO!$X$15,ROW(AK146)-ROW(AK$15),0),
ROUND(ROUND(OFFSET($P146,0,AK$13),15-13*ORÇAMENTO!$AF$7)*OFFSET(ORÇAMENTO!$W$15,ROW(AK146)-ROW(AK$15),0),15-13*ORÇAMENTO!$AF$11)),0)</f>
        <v>0</v>
      </c>
      <c r="AM146" s="215">
        <f ca="1">IF($D146&lt;&gt;"Serviço",0,IF(AND(AUTOEVENTO="Manual",$M146=1),0,IF(OFFSET(CRONOPLE!$F$14,$M146,AM$13)="",10^12,OFFSET(CRONOPLE!$F$14,$M146,AM$13))))</f>
        <v>1000000000000</v>
      </c>
      <c r="AN146" s="215">
        <f ca="1">IF($D146&lt;&gt;"Serviço",0,IF(AND(AUTOEVENTO="Manual",$M146=1),0,IF(OFFSET(CRONOPLE!$F$14,$M146,AN$13)="",10^12,OFFSET(CRONOPLE!$F$14,$M146,AN$13))))</f>
        <v>1000000000000</v>
      </c>
      <c r="AO146" s="215">
        <f ca="1">IF($D146&lt;&gt;"Serviço",0,IF(AND(AUTOEVENTO="Manual",$M146=1),0,IF(OFFSET(CRONOPLE!$F$14,$M146,AO$13)="",10^12,OFFSET(CRONOPLE!$F$14,$M146,AO$13))))</f>
        <v>1000000000000</v>
      </c>
      <c r="AP146" s="215">
        <f ca="1">IF($D146&lt;&gt;"Serviço",0,IF(AND(AUTOEVENTO="Manual",$M146=1),0,IF(OFFSET(CRONOPLE!$F$14,$M146,AP$13)="",10^12,OFFSET(CRONOPLE!$F$14,$M146,AP$13))))</f>
        <v>1000000000000</v>
      </c>
      <c r="AQ146" s="215">
        <f ca="1">IF($D146&lt;&gt;"Serviço",0,IF(AND(AUTOEVENTO="Manual",$M146=1),0,IF(OFFSET(CRONOPLE!$F$14,$M146,AQ$13)="",10^12,OFFSET(CRONOPLE!$F$14,$M146,AQ$13))))</f>
        <v>1000000000000</v>
      </c>
      <c r="AR146" s="215">
        <f ca="1">IF($D146&lt;&gt;"Serviço",0,IF(AND(AUTOEVENTO="Manual",$M146=1),0,IF(OFFSET(CRONOPLE!$F$14,$M146,AR$13)="",10^12,OFFSET(CRONOPLE!$F$14,$M146,AR$13))))</f>
        <v>1000000000000</v>
      </c>
      <c r="AS146" s="215">
        <f ca="1">IF($D146&lt;&gt;"Serviço",0,IF(AND(AUTOEVENTO="Manual",$M146=1),0,IF(OFFSET(CRONOPLE!$F$14,$M146,AS$13)="",10^12,OFFSET(CRONOPLE!$F$14,$M146,AS$13))))</f>
        <v>1000000000000</v>
      </c>
      <c r="AT146" s="215">
        <f ca="1">IF($D146&lt;&gt;"Serviço",0,IF(AND(AUTOEVENTO="Manual",$M146=1),0,IF(OFFSET(CRONOPLE!$F$14,$M146,AT$13)="",10^12,OFFSET(CRONOPLE!$F$14,$M146,AT$13))))</f>
        <v>1000000000000</v>
      </c>
      <c r="AU146" s="215">
        <f ca="1">IF($D146&lt;&gt;"Serviço",0,IF(AND(AUTOEVENTO="Manual",$M146=1),0,IF(OFFSET(CRONOPLE!$F$14,$M146,AU$13)="",10^12,OFFSET(CRONOPLE!$F$14,$M146,AU$13))))</f>
        <v>1000000000000</v>
      </c>
      <c r="AV146" s="215">
        <f ca="1">IF($D146&lt;&gt;"Serviço",0,IF(AND(AUTOEVENTO="Manual",$M146=1),0,IF(OFFSET(CRONOPLE!$F$14,$M146,AV$13)="",10^12,OFFSET(CRONOPLE!$F$14,$M146,AV$13))))</f>
        <v>1000000000000</v>
      </c>
      <c r="AX146" s="216">
        <f ca="1">IF($D146&lt;&gt;"Serviço",0,IF(OR(AND(AUTOEVENTO="Manual",$M146=1),$M146&gt;(ROW(PLE.lastrow)-ROW(PLE.firstrow))),0,IF(OFFSET(PLE!$G$14,$M146,AX$13)="",10^12,OFFSET(PLE!$G$14,$M146,AX$13))))</f>
        <v>1000000000000</v>
      </c>
      <c r="AY146" s="216">
        <f ca="1">IF($D146&lt;&gt;"Serviço",0,IF(OR(AND(AUTOEVENTO="Manual",$M146=1),$M146&gt;(ROW(PLE.lastrow)-ROW(PLE.firstrow))),0,IF(OFFSET(PLE!$G$14,$M146,AY$13)="",10^12,OFFSET(PLE!$G$14,$M146,AY$13))))</f>
        <v>1000000000000</v>
      </c>
      <c r="AZ146" s="216">
        <f ca="1">IF($D146&lt;&gt;"Serviço",0,IF(OR(AND(AUTOEVENTO="Manual",$M146=1),$M146&gt;(ROW(PLE.lastrow)-ROW(PLE.firstrow))),0,IF(OFFSET(PLE!$G$14,$M146,AZ$13)="",10^12,OFFSET(PLE!$G$14,$M146,AZ$13))))</f>
        <v>1000000000000</v>
      </c>
      <c r="BA146" s="216">
        <f ca="1">IF($D146&lt;&gt;"Serviço",0,IF(OR(AND(AUTOEVENTO="Manual",$M146=1),$M146&gt;(ROW(PLE.lastrow)-ROW(PLE.firstrow))),0,IF(OFFSET(PLE!$G$14,$M146,BA$13)="",10^12,OFFSET(PLE!$G$14,$M146,BA$13))))</f>
        <v>1000000000000</v>
      </c>
      <c r="BB146" s="216">
        <f ca="1">IF($D146&lt;&gt;"Serviço",0,IF(OR(AND(AUTOEVENTO="Manual",$M146=1),$M146&gt;(ROW(PLE.lastrow)-ROW(PLE.firstrow))),0,IF(OFFSET(PLE!$G$14,$M146,BB$13)="",10^12,OFFSET(PLE!$G$14,$M146,BB$13))))</f>
        <v>1000000000000</v>
      </c>
      <c r="BC146" s="216">
        <f ca="1">IF($D146&lt;&gt;"Serviço",0,IF(OR(AND(AUTOEVENTO="Manual",$M146=1),$M146&gt;(ROW(PLE.lastrow)-ROW(PLE.firstrow))),0,IF(OFFSET(PLE!$G$14,$M146,BC$13)="",10^12,OFFSET(PLE!$G$14,$M146,BC$13))))</f>
        <v>1000000000000</v>
      </c>
      <c r="BD146" s="216">
        <f ca="1">IF($D146&lt;&gt;"Serviço",0,IF(OR(AND(AUTOEVENTO="Manual",$M146=1),$M146&gt;(ROW(PLE.lastrow)-ROW(PLE.firstrow))),0,IF(OFFSET(PLE!$G$14,$M146,BD$13)="",10^12,OFFSET(PLE!$G$14,$M146,BD$13))))</f>
        <v>1000000000000</v>
      </c>
      <c r="BE146" s="216">
        <f ca="1">IF($D146&lt;&gt;"Serviço",0,IF(OR(AND(AUTOEVENTO="Manual",$M146=1),$M146&gt;(ROW(PLE.lastrow)-ROW(PLE.firstrow))),0,IF(OFFSET(PLE!$G$14,$M146,BE$13)="",10^12,OFFSET(PLE!$G$14,$M146,BE$13))))</f>
        <v>1000000000000</v>
      </c>
      <c r="BF146" s="216">
        <f ca="1">IF($D146&lt;&gt;"Serviço",0,IF(OR(AND(AUTOEVENTO="Manual",$M146=1),$M146&gt;(ROW(PLE.lastrow)-ROW(PLE.firstrow))),0,IF(OFFSET(PLE!$G$14,$M146,BF$13)="",10^12,OFFSET(PLE!$G$14,$M146,BF$13))))</f>
        <v>1000000000000</v>
      </c>
      <c r="BG146" s="216">
        <f ca="1">IF($D146&lt;&gt;"Serviço",0,IF(OR(AND(AUTOEVENTO="Manual",$M146=1),$M146&gt;(ROW(PLE.lastrow)-ROW(PLE.firstrow))),0,IF(OFFSET(PLE!$G$14,$M146,BG$13)="",10^12,OFFSET(PLE!$G$14,$M146,BG$13))))</f>
        <v>1000000000000</v>
      </c>
    </row>
    <row r="147" spans="1:59" ht="38.25" x14ac:dyDescent="0.2">
      <c r="A147" s="9" t="str">
        <f ca="1">IF(AUTOEVENTO="Manual",IF(K147&lt;&gt;"",MIN(VALUE(LEFT(K147,FIND(".",K147)-1)),COUNTA(EVENTOS.Lista)),0),IF(OR($B147&gt;AUTOEVENTO,$B147="S",$B147=0),SUBSTITUTE(OFFSET($A147,-1,0),IF($D147="Serviço",".",""),""),ROW(A147)-ROW($A$15)&amp;"."))</f>
        <v>93</v>
      </c>
      <c r="B147" s="9" t="str">
        <f ca="1">OFFSET(ORÇAMENTO!C$15,ROW(B147)-ROW(B$15),0)</f>
        <v>S</v>
      </c>
      <c r="C147" s="9" t="str">
        <f ca="1">OFFSET(ORÇAMENTO!L$15,ROW(C147)-ROW(C$15),0)</f>
        <v/>
      </c>
      <c r="D147" s="145" t="str">
        <f ca="1">OFFSET(ORÇAMENTO!N$15,ROW(D147)-ROW(D$15),0)</f>
        <v>Serviço</v>
      </c>
      <c r="E147" s="205" t="str">
        <f ca="1">OFFSET(ORÇAMENTO!O$15,ROW(E147)-ROW(E$15),0)</f>
        <v>-</v>
      </c>
      <c r="F147" s="206" t="str">
        <f ca="1">OFFSET(ORÇAMENTO!R$15,ROW(F147)-ROW(F$15),0)</f>
        <v>TAMPA PARA CAIXA TIPO R2 E R3, EM FERRO FUNDIDO, DIMENSÕES INTERNAS: 0,55 X 1,10 M - FORNECIMENTO E INSTALAÇÃO. AF_12/2020</v>
      </c>
      <c r="G147" s="207" t="str">
        <f ca="1">IF($D147&lt;&gt;"Serviço","",OFFSET(ORÇAMENTO!S$15,ROW(G147)-ROW(G$15),0))</f>
        <v>UN</v>
      </c>
      <c r="H147" s="151">
        <f ca="1">IF($D147&lt;&gt;"Serviço",0,IF(ACOMPANHAMENTO="BM",ROUND(OFFSET(ORÇAMENTO!AJ$15,ROW(H147)-ROW(H$15),0),15-13*ORÇAMENTO!$AF$7),SUMPRODUCT(($Q$12:$AA$12&lt;&gt;"")*ROUND($Q147:$AA147,15-13*ORÇAMENTO!$AF$7))))</f>
        <v>4</v>
      </c>
      <c r="I147" s="649"/>
      <c r="K147" s="208"/>
      <c r="L147" s="209" t="s">
        <v>255</v>
      </c>
      <c r="M147" s="210">
        <f ca="1">IF($D147&lt;&gt;"Serviço","",IF(AUTOEVENTO="manual",$A147,IF(ISERROR(MATCH($A147,$A$15:OFFSET($A147,-1,0),0)),MAX($M$15:OFFSET(M147,-1,0))+1,INDEX($M$15:OFFSET(M147,-1,0),MATCH($A147,$A$15:OFFSET($A147,-1,0),0)))))</f>
        <v>19</v>
      </c>
      <c r="N147" s="211" t="str">
        <f ca="1">IF($D147&lt;&gt;"Serviço","",IF(AUTOEVENTO="Manual",IF($A147=0,"&lt;-- defina o número do agrupador",OFFSET(EVENTOS!$D$14,$A147,0)),OFFSET($F$15,$A147,0)))</f>
        <v xml:space="preserve">ELÉTRICA </v>
      </c>
      <c r="O147" s="212"/>
      <c r="Q147" s="212"/>
      <c r="R147" s="213"/>
      <c r="S147" s="213"/>
      <c r="T147" s="213"/>
      <c r="U147" s="213"/>
      <c r="V147" s="213"/>
      <c r="W147" s="213"/>
      <c r="X147" s="213"/>
      <c r="Y147" s="213"/>
      <c r="Z147" s="214"/>
      <c r="AB147" s="630">
        <f ca="1">IF(AND($D147="Serviço",AB$12&lt;&gt;0,$H147&gt;0,OR(AUTOEVENTO&lt;&gt;"manual",$M147&lt;&gt;1)),
IF(Import.TipoArredondamento&lt;&gt;"TransfereGOV",
ROUND(OFFSET($P147,0,AB$13),15-13*ORÇAMENTO!$AF$7)/$H147*OFFSET(ORÇAMENTO!$X$15,ROW(AB147)-ROW(AB$15),0),
ROUND(ROUND(OFFSET($P147,0,AB$13),15-13*ORÇAMENTO!$AF$7)*OFFSET(ORÇAMENTO!$W$15,ROW(AB147)-ROW(AB$15),0),15-13*ORÇAMENTO!$AF$11)),0)</f>
        <v>0</v>
      </c>
      <c r="AC147" s="631">
        <f ca="1">IF(AND($D147="Serviço",AC$12&lt;&gt;0,$H147&gt;0,OR(AUTOEVENTO&lt;&gt;"manual",$M147&lt;&gt;1)),
IF(Import.TipoArredondamento&lt;&gt;"TransfereGOV",
ROUND(OFFSET($P147,0,AC$13),15-13*ORÇAMENTO!$AF$7)/$H147*OFFSET(ORÇAMENTO!$X$15,ROW(AC147)-ROW(AC$15),0),
ROUND(ROUND(OFFSET($P147,0,AC$13),15-13*ORÇAMENTO!$AF$7)*OFFSET(ORÇAMENTO!$W$15,ROW(AC147)-ROW(AC$15),0),15-13*ORÇAMENTO!$AF$11)),0)</f>
        <v>0</v>
      </c>
      <c r="AD147" s="631">
        <f ca="1">IF(AND($D147="Serviço",AD$12&lt;&gt;0,$H147&gt;0,OR(AUTOEVENTO&lt;&gt;"manual",$M147&lt;&gt;1)),
IF(Import.TipoArredondamento&lt;&gt;"TransfereGOV",
ROUND(OFFSET($P147,0,AD$13),15-13*ORÇAMENTO!$AF$7)/$H147*OFFSET(ORÇAMENTO!$X$15,ROW(AD147)-ROW(AD$15),0),
ROUND(ROUND(OFFSET($P147,0,AD$13),15-13*ORÇAMENTO!$AF$7)*OFFSET(ORÇAMENTO!$W$15,ROW(AD147)-ROW(AD$15),0),15-13*ORÇAMENTO!$AF$11)),0)</f>
        <v>0</v>
      </c>
      <c r="AE147" s="631">
        <f ca="1">IF(AND($D147="Serviço",AE$12&lt;&gt;0,$H147&gt;0,OR(AUTOEVENTO&lt;&gt;"manual",$M147&lt;&gt;1)),
IF(Import.TipoArredondamento&lt;&gt;"TransfereGOV",
ROUND(OFFSET($P147,0,AE$13),15-13*ORÇAMENTO!$AF$7)/$H147*OFFSET(ORÇAMENTO!$X$15,ROW(AE147)-ROW(AE$15),0),
ROUND(ROUND(OFFSET($P147,0,AE$13),15-13*ORÇAMENTO!$AF$7)*OFFSET(ORÇAMENTO!$W$15,ROW(AE147)-ROW(AE$15),0),15-13*ORÇAMENTO!$AF$11)),0)</f>
        <v>0</v>
      </c>
      <c r="AF147" s="631">
        <f ca="1">IF(AND($D147="Serviço",AF$12&lt;&gt;0,$H147&gt;0,OR(AUTOEVENTO&lt;&gt;"manual",$M147&lt;&gt;1)),
IF(Import.TipoArredondamento&lt;&gt;"TransfereGOV",
ROUND(OFFSET($P147,0,AF$13),15-13*ORÇAMENTO!$AF$7)/$H147*OFFSET(ORÇAMENTO!$X$15,ROW(AF147)-ROW(AF$15),0),
ROUND(ROUND(OFFSET($P147,0,AF$13),15-13*ORÇAMENTO!$AF$7)*OFFSET(ORÇAMENTO!$W$15,ROW(AF147)-ROW(AF$15),0),15-13*ORÇAMENTO!$AF$11)),0)</f>
        <v>0</v>
      </c>
      <c r="AG147" s="631">
        <f ca="1">IF(AND($D147="Serviço",AG$12&lt;&gt;0,$H147&gt;0,OR(AUTOEVENTO&lt;&gt;"manual",$M147&lt;&gt;1)),
IF(Import.TipoArredondamento&lt;&gt;"TransfereGOV",
ROUND(OFFSET($P147,0,AG$13),15-13*ORÇAMENTO!$AF$7)/$H147*OFFSET(ORÇAMENTO!$X$15,ROW(AG147)-ROW(AG$15),0),
ROUND(ROUND(OFFSET($P147,0,AG$13),15-13*ORÇAMENTO!$AF$7)*OFFSET(ORÇAMENTO!$W$15,ROW(AG147)-ROW(AG$15),0),15-13*ORÇAMENTO!$AF$11)),0)</f>
        <v>0</v>
      </c>
      <c r="AH147" s="631">
        <f ca="1">IF(AND($D147="Serviço",AH$12&lt;&gt;0,$H147&gt;0,OR(AUTOEVENTO&lt;&gt;"manual",$M147&lt;&gt;1)),
IF(Import.TipoArredondamento&lt;&gt;"TransfereGOV",
ROUND(OFFSET($P147,0,AH$13),15-13*ORÇAMENTO!$AF$7)/$H147*OFFSET(ORÇAMENTO!$X$15,ROW(AH147)-ROW(AH$15),0),
ROUND(ROUND(OFFSET($P147,0,AH$13),15-13*ORÇAMENTO!$AF$7)*OFFSET(ORÇAMENTO!$W$15,ROW(AH147)-ROW(AH$15),0),15-13*ORÇAMENTO!$AF$11)),0)</f>
        <v>0</v>
      </c>
      <c r="AI147" s="631">
        <f ca="1">IF(AND($D147="Serviço",AI$12&lt;&gt;0,$H147&gt;0,OR(AUTOEVENTO&lt;&gt;"manual",$M147&lt;&gt;1)),
IF(Import.TipoArredondamento&lt;&gt;"TransfereGOV",
ROUND(OFFSET($P147,0,AI$13),15-13*ORÇAMENTO!$AF$7)/$H147*OFFSET(ORÇAMENTO!$X$15,ROW(AI147)-ROW(AI$15),0),
ROUND(ROUND(OFFSET($P147,0,AI$13),15-13*ORÇAMENTO!$AF$7)*OFFSET(ORÇAMENTO!$W$15,ROW(AI147)-ROW(AI$15),0),15-13*ORÇAMENTO!$AF$11)),0)</f>
        <v>0</v>
      </c>
      <c r="AJ147" s="631">
        <f ca="1">IF(AND($D147="Serviço",AJ$12&lt;&gt;0,$H147&gt;0,OR(AUTOEVENTO&lt;&gt;"manual",$M147&lt;&gt;1)),
IF(Import.TipoArredondamento&lt;&gt;"TransfereGOV",
ROUND(OFFSET($P147,0,AJ$13),15-13*ORÇAMENTO!$AF$7)/$H147*OFFSET(ORÇAMENTO!$X$15,ROW(AJ147)-ROW(AJ$15),0),
ROUND(ROUND(OFFSET($P147,0,AJ$13),15-13*ORÇAMENTO!$AF$7)*OFFSET(ORÇAMENTO!$W$15,ROW(AJ147)-ROW(AJ$15),0),15-13*ORÇAMENTO!$AF$11)),0)</f>
        <v>0</v>
      </c>
      <c r="AK147" s="632">
        <f ca="1">IF(AND($D147="Serviço",AK$12&lt;&gt;0,$H147&gt;0,OR(AUTOEVENTO&lt;&gt;"manual",$M147&lt;&gt;1)),
IF(Import.TipoArredondamento&lt;&gt;"TransfereGOV",
ROUND(OFFSET($P147,0,AK$13),15-13*ORÇAMENTO!$AF$7)/$H147*OFFSET(ORÇAMENTO!$X$15,ROW(AK147)-ROW(AK$15),0),
ROUND(ROUND(OFFSET($P147,0,AK$13),15-13*ORÇAMENTO!$AF$7)*OFFSET(ORÇAMENTO!$W$15,ROW(AK147)-ROW(AK$15),0),15-13*ORÇAMENTO!$AF$11)),0)</f>
        <v>0</v>
      </c>
      <c r="AM147" s="215">
        <f ca="1">IF($D147&lt;&gt;"Serviço",0,IF(AND(AUTOEVENTO="Manual",$M147=1),0,IF(OFFSET(CRONOPLE!$F$14,$M147,AM$13)="",10^12,OFFSET(CRONOPLE!$F$14,$M147,AM$13))))</f>
        <v>1000000000000</v>
      </c>
      <c r="AN147" s="215">
        <f ca="1">IF($D147&lt;&gt;"Serviço",0,IF(AND(AUTOEVENTO="Manual",$M147=1),0,IF(OFFSET(CRONOPLE!$F$14,$M147,AN$13)="",10^12,OFFSET(CRONOPLE!$F$14,$M147,AN$13))))</f>
        <v>1000000000000</v>
      </c>
      <c r="AO147" s="215">
        <f ca="1">IF($D147&lt;&gt;"Serviço",0,IF(AND(AUTOEVENTO="Manual",$M147=1),0,IF(OFFSET(CRONOPLE!$F$14,$M147,AO$13)="",10^12,OFFSET(CRONOPLE!$F$14,$M147,AO$13))))</f>
        <v>1000000000000</v>
      </c>
      <c r="AP147" s="215">
        <f ca="1">IF($D147&lt;&gt;"Serviço",0,IF(AND(AUTOEVENTO="Manual",$M147=1),0,IF(OFFSET(CRONOPLE!$F$14,$M147,AP$13)="",10^12,OFFSET(CRONOPLE!$F$14,$M147,AP$13))))</f>
        <v>1000000000000</v>
      </c>
      <c r="AQ147" s="215">
        <f ca="1">IF($D147&lt;&gt;"Serviço",0,IF(AND(AUTOEVENTO="Manual",$M147=1),0,IF(OFFSET(CRONOPLE!$F$14,$M147,AQ$13)="",10^12,OFFSET(CRONOPLE!$F$14,$M147,AQ$13))))</f>
        <v>1000000000000</v>
      </c>
      <c r="AR147" s="215">
        <f ca="1">IF($D147&lt;&gt;"Serviço",0,IF(AND(AUTOEVENTO="Manual",$M147=1),0,IF(OFFSET(CRONOPLE!$F$14,$M147,AR$13)="",10^12,OFFSET(CRONOPLE!$F$14,$M147,AR$13))))</f>
        <v>1000000000000</v>
      </c>
      <c r="AS147" s="215">
        <f ca="1">IF($D147&lt;&gt;"Serviço",0,IF(AND(AUTOEVENTO="Manual",$M147=1),0,IF(OFFSET(CRONOPLE!$F$14,$M147,AS$13)="",10^12,OFFSET(CRONOPLE!$F$14,$M147,AS$13))))</f>
        <v>1000000000000</v>
      </c>
      <c r="AT147" s="215">
        <f ca="1">IF($D147&lt;&gt;"Serviço",0,IF(AND(AUTOEVENTO="Manual",$M147=1),0,IF(OFFSET(CRONOPLE!$F$14,$M147,AT$13)="",10^12,OFFSET(CRONOPLE!$F$14,$M147,AT$13))))</f>
        <v>1000000000000</v>
      </c>
      <c r="AU147" s="215">
        <f ca="1">IF($D147&lt;&gt;"Serviço",0,IF(AND(AUTOEVENTO="Manual",$M147=1),0,IF(OFFSET(CRONOPLE!$F$14,$M147,AU$13)="",10^12,OFFSET(CRONOPLE!$F$14,$M147,AU$13))))</f>
        <v>1000000000000</v>
      </c>
      <c r="AV147" s="215">
        <f ca="1">IF($D147&lt;&gt;"Serviço",0,IF(AND(AUTOEVENTO="Manual",$M147=1),0,IF(OFFSET(CRONOPLE!$F$14,$M147,AV$13)="",10^12,OFFSET(CRONOPLE!$F$14,$M147,AV$13))))</f>
        <v>1000000000000</v>
      </c>
      <c r="AX147" s="216">
        <f ca="1">IF($D147&lt;&gt;"Serviço",0,IF(OR(AND(AUTOEVENTO="Manual",$M147=1),$M147&gt;(ROW(PLE.lastrow)-ROW(PLE.firstrow))),0,IF(OFFSET(PLE!$G$14,$M147,AX$13)="",10^12,OFFSET(PLE!$G$14,$M147,AX$13))))</f>
        <v>1000000000000</v>
      </c>
      <c r="AY147" s="216">
        <f ca="1">IF($D147&lt;&gt;"Serviço",0,IF(OR(AND(AUTOEVENTO="Manual",$M147=1),$M147&gt;(ROW(PLE.lastrow)-ROW(PLE.firstrow))),0,IF(OFFSET(PLE!$G$14,$M147,AY$13)="",10^12,OFFSET(PLE!$G$14,$M147,AY$13))))</f>
        <v>1000000000000</v>
      </c>
      <c r="AZ147" s="216">
        <f ca="1">IF($D147&lt;&gt;"Serviço",0,IF(OR(AND(AUTOEVENTO="Manual",$M147=1),$M147&gt;(ROW(PLE.lastrow)-ROW(PLE.firstrow))),0,IF(OFFSET(PLE!$G$14,$M147,AZ$13)="",10^12,OFFSET(PLE!$G$14,$M147,AZ$13))))</f>
        <v>1000000000000</v>
      </c>
      <c r="BA147" s="216">
        <f ca="1">IF($D147&lt;&gt;"Serviço",0,IF(OR(AND(AUTOEVENTO="Manual",$M147=1),$M147&gt;(ROW(PLE.lastrow)-ROW(PLE.firstrow))),0,IF(OFFSET(PLE!$G$14,$M147,BA$13)="",10^12,OFFSET(PLE!$G$14,$M147,BA$13))))</f>
        <v>1000000000000</v>
      </c>
      <c r="BB147" s="216">
        <f ca="1">IF($D147&lt;&gt;"Serviço",0,IF(OR(AND(AUTOEVENTO="Manual",$M147=1),$M147&gt;(ROW(PLE.lastrow)-ROW(PLE.firstrow))),0,IF(OFFSET(PLE!$G$14,$M147,BB$13)="",10^12,OFFSET(PLE!$G$14,$M147,BB$13))))</f>
        <v>1000000000000</v>
      </c>
      <c r="BC147" s="216">
        <f ca="1">IF($D147&lt;&gt;"Serviço",0,IF(OR(AND(AUTOEVENTO="Manual",$M147=1),$M147&gt;(ROW(PLE.lastrow)-ROW(PLE.firstrow))),0,IF(OFFSET(PLE!$G$14,$M147,BC$13)="",10^12,OFFSET(PLE!$G$14,$M147,BC$13))))</f>
        <v>1000000000000</v>
      </c>
      <c r="BD147" s="216">
        <f ca="1">IF($D147&lt;&gt;"Serviço",0,IF(OR(AND(AUTOEVENTO="Manual",$M147=1),$M147&gt;(ROW(PLE.lastrow)-ROW(PLE.firstrow))),0,IF(OFFSET(PLE!$G$14,$M147,BD$13)="",10^12,OFFSET(PLE!$G$14,$M147,BD$13))))</f>
        <v>1000000000000</v>
      </c>
      <c r="BE147" s="216">
        <f ca="1">IF($D147&lt;&gt;"Serviço",0,IF(OR(AND(AUTOEVENTO="Manual",$M147=1),$M147&gt;(ROW(PLE.lastrow)-ROW(PLE.firstrow))),0,IF(OFFSET(PLE!$G$14,$M147,BE$13)="",10^12,OFFSET(PLE!$G$14,$M147,BE$13))))</f>
        <v>1000000000000</v>
      </c>
      <c r="BF147" s="216">
        <f ca="1">IF($D147&lt;&gt;"Serviço",0,IF(OR(AND(AUTOEVENTO="Manual",$M147=1),$M147&gt;(ROW(PLE.lastrow)-ROW(PLE.firstrow))),0,IF(OFFSET(PLE!$G$14,$M147,BF$13)="",10^12,OFFSET(PLE!$G$14,$M147,BF$13))))</f>
        <v>1000000000000</v>
      </c>
      <c r="BG147" s="216">
        <f ca="1">IF($D147&lt;&gt;"Serviço",0,IF(OR(AND(AUTOEVENTO="Manual",$M147=1),$M147&gt;(ROW(PLE.lastrow)-ROW(PLE.firstrow))),0,IF(OFFSET(PLE!$G$14,$M147,BG$13)="",10^12,OFFSET(PLE!$G$14,$M147,BG$13))))</f>
        <v>1000000000000</v>
      </c>
    </row>
    <row r="148" spans="1:59" ht="38.25" x14ac:dyDescent="0.2">
      <c r="A148" s="9" t="str">
        <f ca="1">IF(AUTOEVENTO="Manual",IF(K148&lt;&gt;"",MIN(VALUE(LEFT(K148,FIND(".",K148)-1)),COUNTA(EVENTOS.Lista)),0),IF(OR($B148&gt;AUTOEVENTO,$B148="S",$B148=0),SUBSTITUTE(OFFSET($A148,-1,0),IF($D148="Serviço",".",""),""),ROW(A148)-ROW($A$15)&amp;"."))</f>
        <v>93</v>
      </c>
      <c r="B148" s="9" t="str">
        <f ca="1">OFFSET(ORÇAMENTO!C$15,ROW(B148)-ROW(B$15),0)</f>
        <v>S</v>
      </c>
      <c r="C148" s="9" t="str">
        <f ca="1">OFFSET(ORÇAMENTO!L$15,ROW(C148)-ROW(C$15),0)</f>
        <v/>
      </c>
      <c r="D148" s="145" t="str">
        <f ca="1">OFFSET(ORÇAMENTO!N$15,ROW(D148)-ROW(D$15),0)</f>
        <v>Serviço</v>
      </c>
      <c r="E148" s="205" t="str">
        <f ca="1">OFFSET(ORÇAMENTO!O$15,ROW(E148)-ROW(E$15),0)</f>
        <v>-</v>
      </c>
      <c r="F148" s="206" t="str">
        <f ca="1">OFFSET(ORÇAMENTO!R$15,ROW(F148)-ROW(F$15),0)</f>
        <v>ELETRODUTO FLEXÍVEL CORRUGADO, PEAD, DN 90 (3"), PARA REDE ENTERRADA DE DISTRIBUIÇÃO DE ENERGIA ELÉTRICA - FORNECIMENTO E INSTALAÇÃO. AF_12/2021</v>
      </c>
      <c r="G148" s="207" t="str">
        <f ca="1">IF($D148&lt;&gt;"Serviço","",OFFSET(ORÇAMENTO!S$15,ROW(G148)-ROW(G$15),0))</f>
        <v>M</v>
      </c>
      <c r="H148" s="151">
        <f ca="1">IF($D148&lt;&gt;"Serviço",0,IF(ACOMPANHAMENTO="BM",ROUND(OFFSET(ORÇAMENTO!AJ$15,ROW(H148)-ROW(H$15),0),15-13*ORÇAMENTO!$AF$7),SUMPRODUCT(($Q$12:$AA$12&lt;&gt;"")*ROUND($Q148:$AA148,15-13*ORÇAMENTO!$AF$7))))</f>
        <v>100</v>
      </c>
      <c r="I148" s="649"/>
      <c r="K148" s="208"/>
      <c r="L148" s="209" t="s">
        <v>255</v>
      </c>
      <c r="M148" s="210">
        <f ca="1">IF($D148&lt;&gt;"Serviço","",IF(AUTOEVENTO="manual",$A148,IF(ISERROR(MATCH($A148,$A$15:OFFSET($A148,-1,0),0)),MAX($M$15:OFFSET(M148,-1,0))+1,INDEX($M$15:OFFSET(M148,-1,0),MATCH($A148,$A$15:OFFSET($A148,-1,0),0)))))</f>
        <v>19</v>
      </c>
      <c r="N148" s="211" t="str">
        <f ca="1">IF($D148&lt;&gt;"Serviço","",IF(AUTOEVENTO="Manual",IF($A148=0,"&lt;-- defina o número do agrupador",OFFSET(EVENTOS!$D$14,$A148,0)),OFFSET($F$15,$A148,0)))</f>
        <v xml:space="preserve">ELÉTRICA </v>
      </c>
      <c r="O148" s="212"/>
      <c r="Q148" s="212"/>
      <c r="R148" s="213"/>
      <c r="S148" s="213"/>
      <c r="T148" s="213"/>
      <c r="U148" s="213"/>
      <c r="V148" s="213"/>
      <c r="W148" s="213"/>
      <c r="X148" s="213"/>
      <c r="Y148" s="213"/>
      <c r="Z148" s="214"/>
      <c r="AB148" s="630">
        <f ca="1">IF(AND($D148="Serviço",AB$12&lt;&gt;0,$H148&gt;0,OR(AUTOEVENTO&lt;&gt;"manual",$M148&lt;&gt;1)),
IF(Import.TipoArredondamento&lt;&gt;"TransfereGOV",
ROUND(OFFSET($P148,0,AB$13),15-13*ORÇAMENTO!$AF$7)/$H148*OFFSET(ORÇAMENTO!$X$15,ROW(AB148)-ROW(AB$15),0),
ROUND(ROUND(OFFSET($P148,0,AB$13),15-13*ORÇAMENTO!$AF$7)*OFFSET(ORÇAMENTO!$W$15,ROW(AB148)-ROW(AB$15),0),15-13*ORÇAMENTO!$AF$11)),0)</f>
        <v>0</v>
      </c>
      <c r="AC148" s="631">
        <f ca="1">IF(AND($D148="Serviço",AC$12&lt;&gt;0,$H148&gt;0,OR(AUTOEVENTO&lt;&gt;"manual",$M148&lt;&gt;1)),
IF(Import.TipoArredondamento&lt;&gt;"TransfereGOV",
ROUND(OFFSET($P148,0,AC$13),15-13*ORÇAMENTO!$AF$7)/$H148*OFFSET(ORÇAMENTO!$X$15,ROW(AC148)-ROW(AC$15),0),
ROUND(ROUND(OFFSET($P148,0,AC$13),15-13*ORÇAMENTO!$AF$7)*OFFSET(ORÇAMENTO!$W$15,ROW(AC148)-ROW(AC$15),0),15-13*ORÇAMENTO!$AF$11)),0)</f>
        <v>0</v>
      </c>
      <c r="AD148" s="631">
        <f ca="1">IF(AND($D148="Serviço",AD$12&lt;&gt;0,$H148&gt;0,OR(AUTOEVENTO&lt;&gt;"manual",$M148&lt;&gt;1)),
IF(Import.TipoArredondamento&lt;&gt;"TransfereGOV",
ROUND(OFFSET($P148,0,AD$13),15-13*ORÇAMENTO!$AF$7)/$H148*OFFSET(ORÇAMENTO!$X$15,ROW(AD148)-ROW(AD$15),0),
ROUND(ROUND(OFFSET($P148,0,AD$13),15-13*ORÇAMENTO!$AF$7)*OFFSET(ORÇAMENTO!$W$15,ROW(AD148)-ROW(AD$15),0),15-13*ORÇAMENTO!$AF$11)),0)</f>
        <v>0</v>
      </c>
      <c r="AE148" s="631">
        <f ca="1">IF(AND($D148="Serviço",AE$12&lt;&gt;0,$H148&gt;0,OR(AUTOEVENTO&lt;&gt;"manual",$M148&lt;&gt;1)),
IF(Import.TipoArredondamento&lt;&gt;"TransfereGOV",
ROUND(OFFSET($P148,0,AE$13),15-13*ORÇAMENTO!$AF$7)/$H148*OFFSET(ORÇAMENTO!$X$15,ROW(AE148)-ROW(AE$15),0),
ROUND(ROUND(OFFSET($P148,0,AE$13),15-13*ORÇAMENTO!$AF$7)*OFFSET(ORÇAMENTO!$W$15,ROW(AE148)-ROW(AE$15),0),15-13*ORÇAMENTO!$AF$11)),0)</f>
        <v>0</v>
      </c>
      <c r="AF148" s="631">
        <f ca="1">IF(AND($D148="Serviço",AF$12&lt;&gt;0,$H148&gt;0,OR(AUTOEVENTO&lt;&gt;"manual",$M148&lt;&gt;1)),
IF(Import.TipoArredondamento&lt;&gt;"TransfereGOV",
ROUND(OFFSET($P148,0,AF$13),15-13*ORÇAMENTO!$AF$7)/$H148*OFFSET(ORÇAMENTO!$X$15,ROW(AF148)-ROW(AF$15),0),
ROUND(ROUND(OFFSET($P148,0,AF$13),15-13*ORÇAMENTO!$AF$7)*OFFSET(ORÇAMENTO!$W$15,ROW(AF148)-ROW(AF$15),0),15-13*ORÇAMENTO!$AF$11)),0)</f>
        <v>0</v>
      </c>
      <c r="AG148" s="631">
        <f ca="1">IF(AND($D148="Serviço",AG$12&lt;&gt;0,$H148&gt;0,OR(AUTOEVENTO&lt;&gt;"manual",$M148&lt;&gt;1)),
IF(Import.TipoArredondamento&lt;&gt;"TransfereGOV",
ROUND(OFFSET($P148,0,AG$13),15-13*ORÇAMENTO!$AF$7)/$H148*OFFSET(ORÇAMENTO!$X$15,ROW(AG148)-ROW(AG$15),0),
ROUND(ROUND(OFFSET($P148,0,AG$13),15-13*ORÇAMENTO!$AF$7)*OFFSET(ORÇAMENTO!$W$15,ROW(AG148)-ROW(AG$15),0),15-13*ORÇAMENTO!$AF$11)),0)</f>
        <v>0</v>
      </c>
      <c r="AH148" s="631">
        <f ca="1">IF(AND($D148="Serviço",AH$12&lt;&gt;0,$H148&gt;0,OR(AUTOEVENTO&lt;&gt;"manual",$M148&lt;&gt;1)),
IF(Import.TipoArredondamento&lt;&gt;"TransfereGOV",
ROUND(OFFSET($P148,0,AH$13),15-13*ORÇAMENTO!$AF$7)/$H148*OFFSET(ORÇAMENTO!$X$15,ROW(AH148)-ROW(AH$15),0),
ROUND(ROUND(OFFSET($P148,0,AH$13),15-13*ORÇAMENTO!$AF$7)*OFFSET(ORÇAMENTO!$W$15,ROW(AH148)-ROW(AH$15),0),15-13*ORÇAMENTO!$AF$11)),0)</f>
        <v>0</v>
      </c>
      <c r="AI148" s="631">
        <f ca="1">IF(AND($D148="Serviço",AI$12&lt;&gt;0,$H148&gt;0,OR(AUTOEVENTO&lt;&gt;"manual",$M148&lt;&gt;1)),
IF(Import.TipoArredondamento&lt;&gt;"TransfereGOV",
ROUND(OFFSET($P148,0,AI$13),15-13*ORÇAMENTO!$AF$7)/$H148*OFFSET(ORÇAMENTO!$X$15,ROW(AI148)-ROW(AI$15),0),
ROUND(ROUND(OFFSET($P148,0,AI$13),15-13*ORÇAMENTO!$AF$7)*OFFSET(ORÇAMENTO!$W$15,ROW(AI148)-ROW(AI$15),0),15-13*ORÇAMENTO!$AF$11)),0)</f>
        <v>0</v>
      </c>
      <c r="AJ148" s="631">
        <f ca="1">IF(AND($D148="Serviço",AJ$12&lt;&gt;0,$H148&gt;0,OR(AUTOEVENTO&lt;&gt;"manual",$M148&lt;&gt;1)),
IF(Import.TipoArredondamento&lt;&gt;"TransfereGOV",
ROUND(OFFSET($P148,0,AJ$13),15-13*ORÇAMENTO!$AF$7)/$H148*OFFSET(ORÇAMENTO!$X$15,ROW(AJ148)-ROW(AJ$15),0),
ROUND(ROUND(OFFSET($P148,0,AJ$13),15-13*ORÇAMENTO!$AF$7)*OFFSET(ORÇAMENTO!$W$15,ROW(AJ148)-ROW(AJ$15),0),15-13*ORÇAMENTO!$AF$11)),0)</f>
        <v>0</v>
      </c>
      <c r="AK148" s="632">
        <f ca="1">IF(AND($D148="Serviço",AK$12&lt;&gt;0,$H148&gt;0,OR(AUTOEVENTO&lt;&gt;"manual",$M148&lt;&gt;1)),
IF(Import.TipoArredondamento&lt;&gt;"TransfereGOV",
ROUND(OFFSET($P148,0,AK$13),15-13*ORÇAMENTO!$AF$7)/$H148*OFFSET(ORÇAMENTO!$X$15,ROW(AK148)-ROW(AK$15),0),
ROUND(ROUND(OFFSET($P148,0,AK$13),15-13*ORÇAMENTO!$AF$7)*OFFSET(ORÇAMENTO!$W$15,ROW(AK148)-ROW(AK$15),0),15-13*ORÇAMENTO!$AF$11)),0)</f>
        <v>0</v>
      </c>
      <c r="AM148" s="215">
        <f ca="1">IF($D148&lt;&gt;"Serviço",0,IF(AND(AUTOEVENTO="Manual",$M148=1),0,IF(OFFSET(CRONOPLE!$F$14,$M148,AM$13)="",10^12,OFFSET(CRONOPLE!$F$14,$M148,AM$13))))</f>
        <v>1000000000000</v>
      </c>
      <c r="AN148" s="215">
        <f ca="1">IF($D148&lt;&gt;"Serviço",0,IF(AND(AUTOEVENTO="Manual",$M148=1),0,IF(OFFSET(CRONOPLE!$F$14,$M148,AN$13)="",10^12,OFFSET(CRONOPLE!$F$14,$M148,AN$13))))</f>
        <v>1000000000000</v>
      </c>
      <c r="AO148" s="215">
        <f ca="1">IF($D148&lt;&gt;"Serviço",0,IF(AND(AUTOEVENTO="Manual",$M148=1),0,IF(OFFSET(CRONOPLE!$F$14,$M148,AO$13)="",10^12,OFFSET(CRONOPLE!$F$14,$M148,AO$13))))</f>
        <v>1000000000000</v>
      </c>
      <c r="AP148" s="215">
        <f ca="1">IF($D148&lt;&gt;"Serviço",0,IF(AND(AUTOEVENTO="Manual",$M148=1),0,IF(OFFSET(CRONOPLE!$F$14,$M148,AP$13)="",10^12,OFFSET(CRONOPLE!$F$14,$M148,AP$13))))</f>
        <v>1000000000000</v>
      </c>
      <c r="AQ148" s="215">
        <f ca="1">IF($D148&lt;&gt;"Serviço",0,IF(AND(AUTOEVENTO="Manual",$M148=1),0,IF(OFFSET(CRONOPLE!$F$14,$M148,AQ$13)="",10^12,OFFSET(CRONOPLE!$F$14,$M148,AQ$13))))</f>
        <v>1000000000000</v>
      </c>
      <c r="AR148" s="215">
        <f ca="1">IF($D148&lt;&gt;"Serviço",0,IF(AND(AUTOEVENTO="Manual",$M148=1),0,IF(OFFSET(CRONOPLE!$F$14,$M148,AR$13)="",10^12,OFFSET(CRONOPLE!$F$14,$M148,AR$13))))</f>
        <v>1000000000000</v>
      </c>
      <c r="AS148" s="215">
        <f ca="1">IF($D148&lt;&gt;"Serviço",0,IF(AND(AUTOEVENTO="Manual",$M148=1),0,IF(OFFSET(CRONOPLE!$F$14,$M148,AS$13)="",10^12,OFFSET(CRONOPLE!$F$14,$M148,AS$13))))</f>
        <v>1000000000000</v>
      </c>
      <c r="AT148" s="215">
        <f ca="1">IF($D148&lt;&gt;"Serviço",0,IF(AND(AUTOEVENTO="Manual",$M148=1),0,IF(OFFSET(CRONOPLE!$F$14,$M148,AT$13)="",10^12,OFFSET(CRONOPLE!$F$14,$M148,AT$13))))</f>
        <v>1000000000000</v>
      </c>
      <c r="AU148" s="215">
        <f ca="1">IF($D148&lt;&gt;"Serviço",0,IF(AND(AUTOEVENTO="Manual",$M148=1),0,IF(OFFSET(CRONOPLE!$F$14,$M148,AU$13)="",10^12,OFFSET(CRONOPLE!$F$14,$M148,AU$13))))</f>
        <v>1000000000000</v>
      </c>
      <c r="AV148" s="215">
        <f ca="1">IF($D148&lt;&gt;"Serviço",0,IF(AND(AUTOEVENTO="Manual",$M148=1),0,IF(OFFSET(CRONOPLE!$F$14,$M148,AV$13)="",10^12,OFFSET(CRONOPLE!$F$14,$M148,AV$13))))</f>
        <v>1000000000000</v>
      </c>
      <c r="AX148" s="216">
        <f ca="1">IF($D148&lt;&gt;"Serviço",0,IF(OR(AND(AUTOEVENTO="Manual",$M148=1),$M148&gt;(ROW(PLE.lastrow)-ROW(PLE.firstrow))),0,IF(OFFSET(PLE!$G$14,$M148,AX$13)="",10^12,OFFSET(PLE!$G$14,$M148,AX$13))))</f>
        <v>1000000000000</v>
      </c>
      <c r="AY148" s="216">
        <f ca="1">IF($D148&lt;&gt;"Serviço",0,IF(OR(AND(AUTOEVENTO="Manual",$M148=1),$M148&gt;(ROW(PLE.lastrow)-ROW(PLE.firstrow))),0,IF(OFFSET(PLE!$G$14,$M148,AY$13)="",10^12,OFFSET(PLE!$G$14,$M148,AY$13))))</f>
        <v>1000000000000</v>
      </c>
      <c r="AZ148" s="216">
        <f ca="1">IF($D148&lt;&gt;"Serviço",0,IF(OR(AND(AUTOEVENTO="Manual",$M148=1),$M148&gt;(ROW(PLE.lastrow)-ROW(PLE.firstrow))),0,IF(OFFSET(PLE!$G$14,$M148,AZ$13)="",10^12,OFFSET(PLE!$G$14,$M148,AZ$13))))</f>
        <v>1000000000000</v>
      </c>
      <c r="BA148" s="216">
        <f ca="1">IF($D148&lt;&gt;"Serviço",0,IF(OR(AND(AUTOEVENTO="Manual",$M148=1),$M148&gt;(ROW(PLE.lastrow)-ROW(PLE.firstrow))),0,IF(OFFSET(PLE!$G$14,$M148,BA$13)="",10^12,OFFSET(PLE!$G$14,$M148,BA$13))))</f>
        <v>1000000000000</v>
      </c>
      <c r="BB148" s="216">
        <f ca="1">IF($D148&lt;&gt;"Serviço",0,IF(OR(AND(AUTOEVENTO="Manual",$M148=1),$M148&gt;(ROW(PLE.lastrow)-ROW(PLE.firstrow))),0,IF(OFFSET(PLE!$G$14,$M148,BB$13)="",10^12,OFFSET(PLE!$G$14,$M148,BB$13))))</f>
        <v>1000000000000</v>
      </c>
      <c r="BC148" s="216">
        <f ca="1">IF($D148&lt;&gt;"Serviço",0,IF(OR(AND(AUTOEVENTO="Manual",$M148=1),$M148&gt;(ROW(PLE.lastrow)-ROW(PLE.firstrow))),0,IF(OFFSET(PLE!$G$14,$M148,BC$13)="",10^12,OFFSET(PLE!$G$14,$M148,BC$13))))</f>
        <v>1000000000000</v>
      </c>
      <c r="BD148" s="216">
        <f ca="1">IF($D148&lt;&gt;"Serviço",0,IF(OR(AND(AUTOEVENTO="Manual",$M148=1),$M148&gt;(ROW(PLE.lastrow)-ROW(PLE.firstrow))),0,IF(OFFSET(PLE!$G$14,$M148,BD$13)="",10^12,OFFSET(PLE!$G$14,$M148,BD$13))))</f>
        <v>1000000000000</v>
      </c>
      <c r="BE148" s="216">
        <f ca="1">IF($D148&lt;&gt;"Serviço",0,IF(OR(AND(AUTOEVENTO="Manual",$M148=1),$M148&gt;(ROW(PLE.lastrow)-ROW(PLE.firstrow))),0,IF(OFFSET(PLE!$G$14,$M148,BE$13)="",10^12,OFFSET(PLE!$G$14,$M148,BE$13))))</f>
        <v>1000000000000</v>
      </c>
      <c r="BF148" s="216">
        <f ca="1">IF($D148&lt;&gt;"Serviço",0,IF(OR(AND(AUTOEVENTO="Manual",$M148=1),$M148&gt;(ROW(PLE.lastrow)-ROW(PLE.firstrow))),0,IF(OFFSET(PLE!$G$14,$M148,BF$13)="",10^12,OFFSET(PLE!$G$14,$M148,BF$13))))</f>
        <v>1000000000000</v>
      </c>
      <c r="BG148" s="216">
        <f ca="1">IF($D148&lt;&gt;"Serviço",0,IF(OR(AND(AUTOEVENTO="Manual",$M148=1),$M148&gt;(ROW(PLE.lastrow)-ROW(PLE.firstrow))),0,IF(OFFSET(PLE!$G$14,$M148,BG$13)="",10^12,OFFSET(PLE!$G$14,$M148,BG$13))))</f>
        <v>1000000000000</v>
      </c>
    </row>
    <row r="149" spans="1:59" ht="12.75" x14ac:dyDescent="0.2">
      <c r="A149" s="9" t="str">
        <f t="shared" ca="1" si="10"/>
        <v>134.</v>
      </c>
      <c r="B149" s="9">
        <f ca="1">OFFSET(ORÇAMENTO!C$15,ROW(B149)-ROW(B$15),0)</f>
        <v>2</v>
      </c>
      <c r="C149" s="9" t="str">
        <f ca="1">OFFSET(ORÇAMENTO!L$15,ROW(C149)-ROW(C$15),0)</f>
        <v>F</v>
      </c>
      <c r="D149" s="145" t="str">
        <f ca="1">OFFSET(ORÇAMENTO!N$15,ROW(D149)-ROW(D$15),0)</f>
        <v>Nível 2</v>
      </c>
      <c r="E149" s="205" t="str">
        <f ca="1">OFFSET(ORÇAMENTO!O$15,ROW(E149)-ROW(E$15),0)</f>
        <v>1.19.</v>
      </c>
      <c r="F149" s="206" t="str">
        <f ca="1">OFFSET(ORÇAMENTO!R$15,ROW(F149)-ROW(F$15),0)</f>
        <v>HIDRAULICO</v>
      </c>
      <c r="G149" s="207" t="str">
        <f ca="1">IF($D149&lt;&gt;"Serviço","",OFFSET(ORÇAMENTO!S$15,ROW(G149)-ROW(G$15),0))</f>
        <v/>
      </c>
      <c r="H149" s="151">
        <f ca="1">IF($D149&lt;&gt;"Serviço",0,IF(ACOMPANHAMENTO="BM",ROUND(OFFSET(ORÇAMENTO!AJ$15,ROW(H149)-ROW(H$15),0),15-13*ORÇAMENTO!$AF$7),SUMPRODUCT(($Q$12:$AA$12&lt;&gt;"")*ROUND($Q149:$AA149,15-13*ORÇAMENTO!$AF$7))))</f>
        <v>0</v>
      </c>
      <c r="I149" s="649"/>
      <c r="K149" s="208"/>
      <c r="L149" s="209" t="s">
        <v>255</v>
      </c>
      <c r="M149" s="210" t="str">
        <f ca="1">IF($D149&lt;&gt;"Serviço","",IF(AUTOEVENTO="manual",$A149,IF(ISERROR(MATCH($A149,$A$15:OFFSET($A149,-1,0),0)),MAX($M$15:OFFSET(M149,-1,0))+1,INDEX($M$15:OFFSET(M149,-1,0),MATCH($A149,$A$15:OFFSET($A149,-1,0),0)))))</f>
        <v/>
      </c>
      <c r="N149" s="211" t="str">
        <f ca="1">IF($D149&lt;&gt;"Serviço","",IF(AUTOEVENTO="Manual",IF($A149=0,"&lt;-- defina o número do agrupador",OFFSET(EVENTOS!$D$14,$A149,0)),OFFSET($F$15,$A149,0)))</f>
        <v/>
      </c>
      <c r="O149" s="212"/>
      <c r="Q149" s="212"/>
      <c r="R149" s="213"/>
      <c r="S149" s="213"/>
      <c r="T149" s="213"/>
      <c r="U149" s="213"/>
      <c r="V149" s="213"/>
      <c r="W149" s="213"/>
      <c r="X149" s="213"/>
      <c r="Y149" s="213"/>
      <c r="Z149" s="214"/>
      <c r="AB149" s="630">
        <f ca="1">IF(AND($D149="Serviço",AB$12&lt;&gt;0,$H149&gt;0,OR(AUTOEVENTO&lt;&gt;"manual",$M149&lt;&gt;1)),
IF(Import.TipoArredondamento&lt;&gt;"TransfereGOV",
ROUND(OFFSET($P149,0,AB$13),15-13*ORÇAMENTO!$AF$7)/$H149*OFFSET(ORÇAMENTO!$X$15,ROW(AB149)-ROW(AB$15),0),
ROUND(ROUND(OFFSET($P149,0,AB$13),15-13*ORÇAMENTO!$AF$7)*OFFSET(ORÇAMENTO!$W$15,ROW(AB149)-ROW(AB$15),0),15-13*ORÇAMENTO!$AF$11)),0)</f>
        <v>0</v>
      </c>
      <c r="AC149" s="631">
        <f ca="1">IF(AND($D149="Serviço",AC$12&lt;&gt;0,$H149&gt;0,OR(AUTOEVENTO&lt;&gt;"manual",$M149&lt;&gt;1)),
IF(Import.TipoArredondamento&lt;&gt;"TransfereGOV",
ROUND(OFFSET($P149,0,AC$13),15-13*ORÇAMENTO!$AF$7)/$H149*OFFSET(ORÇAMENTO!$X$15,ROW(AC149)-ROW(AC$15),0),
ROUND(ROUND(OFFSET($P149,0,AC$13),15-13*ORÇAMENTO!$AF$7)*OFFSET(ORÇAMENTO!$W$15,ROW(AC149)-ROW(AC$15),0),15-13*ORÇAMENTO!$AF$11)),0)</f>
        <v>0</v>
      </c>
      <c r="AD149" s="631">
        <f ca="1">IF(AND($D149="Serviço",AD$12&lt;&gt;0,$H149&gt;0,OR(AUTOEVENTO&lt;&gt;"manual",$M149&lt;&gt;1)),
IF(Import.TipoArredondamento&lt;&gt;"TransfereGOV",
ROUND(OFFSET($P149,0,AD$13),15-13*ORÇAMENTO!$AF$7)/$H149*OFFSET(ORÇAMENTO!$X$15,ROW(AD149)-ROW(AD$15),0),
ROUND(ROUND(OFFSET($P149,0,AD$13),15-13*ORÇAMENTO!$AF$7)*OFFSET(ORÇAMENTO!$W$15,ROW(AD149)-ROW(AD$15),0),15-13*ORÇAMENTO!$AF$11)),0)</f>
        <v>0</v>
      </c>
      <c r="AE149" s="631">
        <f ca="1">IF(AND($D149="Serviço",AE$12&lt;&gt;0,$H149&gt;0,OR(AUTOEVENTO&lt;&gt;"manual",$M149&lt;&gt;1)),
IF(Import.TipoArredondamento&lt;&gt;"TransfereGOV",
ROUND(OFFSET($P149,0,AE$13),15-13*ORÇAMENTO!$AF$7)/$H149*OFFSET(ORÇAMENTO!$X$15,ROW(AE149)-ROW(AE$15),0),
ROUND(ROUND(OFFSET($P149,0,AE$13),15-13*ORÇAMENTO!$AF$7)*OFFSET(ORÇAMENTO!$W$15,ROW(AE149)-ROW(AE$15),0),15-13*ORÇAMENTO!$AF$11)),0)</f>
        <v>0</v>
      </c>
      <c r="AF149" s="631">
        <f ca="1">IF(AND($D149="Serviço",AF$12&lt;&gt;0,$H149&gt;0,OR(AUTOEVENTO&lt;&gt;"manual",$M149&lt;&gt;1)),
IF(Import.TipoArredondamento&lt;&gt;"TransfereGOV",
ROUND(OFFSET($P149,0,AF$13),15-13*ORÇAMENTO!$AF$7)/$H149*OFFSET(ORÇAMENTO!$X$15,ROW(AF149)-ROW(AF$15),0),
ROUND(ROUND(OFFSET($P149,0,AF$13),15-13*ORÇAMENTO!$AF$7)*OFFSET(ORÇAMENTO!$W$15,ROW(AF149)-ROW(AF$15),0),15-13*ORÇAMENTO!$AF$11)),0)</f>
        <v>0</v>
      </c>
      <c r="AG149" s="631">
        <f ca="1">IF(AND($D149="Serviço",AG$12&lt;&gt;0,$H149&gt;0,OR(AUTOEVENTO&lt;&gt;"manual",$M149&lt;&gt;1)),
IF(Import.TipoArredondamento&lt;&gt;"TransfereGOV",
ROUND(OFFSET($P149,0,AG$13),15-13*ORÇAMENTO!$AF$7)/$H149*OFFSET(ORÇAMENTO!$X$15,ROW(AG149)-ROW(AG$15),0),
ROUND(ROUND(OFFSET($P149,0,AG$13),15-13*ORÇAMENTO!$AF$7)*OFFSET(ORÇAMENTO!$W$15,ROW(AG149)-ROW(AG$15),0),15-13*ORÇAMENTO!$AF$11)),0)</f>
        <v>0</v>
      </c>
      <c r="AH149" s="631">
        <f ca="1">IF(AND($D149="Serviço",AH$12&lt;&gt;0,$H149&gt;0,OR(AUTOEVENTO&lt;&gt;"manual",$M149&lt;&gt;1)),
IF(Import.TipoArredondamento&lt;&gt;"TransfereGOV",
ROUND(OFFSET($P149,0,AH$13),15-13*ORÇAMENTO!$AF$7)/$H149*OFFSET(ORÇAMENTO!$X$15,ROW(AH149)-ROW(AH$15),0),
ROUND(ROUND(OFFSET($P149,0,AH$13),15-13*ORÇAMENTO!$AF$7)*OFFSET(ORÇAMENTO!$W$15,ROW(AH149)-ROW(AH$15),0),15-13*ORÇAMENTO!$AF$11)),0)</f>
        <v>0</v>
      </c>
      <c r="AI149" s="631">
        <f ca="1">IF(AND($D149="Serviço",AI$12&lt;&gt;0,$H149&gt;0,OR(AUTOEVENTO&lt;&gt;"manual",$M149&lt;&gt;1)),
IF(Import.TipoArredondamento&lt;&gt;"TransfereGOV",
ROUND(OFFSET($P149,0,AI$13),15-13*ORÇAMENTO!$AF$7)/$H149*OFFSET(ORÇAMENTO!$X$15,ROW(AI149)-ROW(AI$15),0),
ROUND(ROUND(OFFSET($P149,0,AI$13),15-13*ORÇAMENTO!$AF$7)*OFFSET(ORÇAMENTO!$W$15,ROW(AI149)-ROW(AI$15),0),15-13*ORÇAMENTO!$AF$11)),0)</f>
        <v>0</v>
      </c>
      <c r="AJ149" s="631">
        <f ca="1">IF(AND($D149="Serviço",AJ$12&lt;&gt;0,$H149&gt;0,OR(AUTOEVENTO&lt;&gt;"manual",$M149&lt;&gt;1)),
IF(Import.TipoArredondamento&lt;&gt;"TransfereGOV",
ROUND(OFFSET($P149,0,AJ$13),15-13*ORÇAMENTO!$AF$7)/$H149*OFFSET(ORÇAMENTO!$X$15,ROW(AJ149)-ROW(AJ$15),0),
ROUND(ROUND(OFFSET($P149,0,AJ$13),15-13*ORÇAMENTO!$AF$7)*OFFSET(ORÇAMENTO!$W$15,ROW(AJ149)-ROW(AJ$15),0),15-13*ORÇAMENTO!$AF$11)),0)</f>
        <v>0</v>
      </c>
      <c r="AK149" s="632">
        <f ca="1">IF(AND($D149="Serviço",AK$12&lt;&gt;0,$H149&gt;0,OR(AUTOEVENTO&lt;&gt;"manual",$M149&lt;&gt;1)),
IF(Import.TipoArredondamento&lt;&gt;"TransfereGOV",
ROUND(OFFSET($P149,0,AK$13),15-13*ORÇAMENTO!$AF$7)/$H149*OFFSET(ORÇAMENTO!$X$15,ROW(AK149)-ROW(AK$15),0),
ROUND(ROUND(OFFSET($P149,0,AK$13),15-13*ORÇAMENTO!$AF$7)*OFFSET(ORÇAMENTO!$W$15,ROW(AK149)-ROW(AK$15),0),15-13*ORÇAMENTO!$AF$11)),0)</f>
        <v>0</v>
      </c>
      <c r="AM149" s="215">
        <f ca="1">IF($D149&lt;&gt;"Serviço",0,IF(AND(AUTOEVENTO="Manual",$M149=1),0,IF(OFFSET(CRONOPLE!$F$14,$M149,AM$13)="",10^12,OFFSET(CRONOPLE!$F$14,$M149,AM$13))))</f>
        <v>0</v>
      </c>
      <c r="AN149" s="215">
        <f ca="1">IF($D149&lt;&gt;"Serviço",0,IF(AND(AUTOEVENTO="Manual",$M149=1),0,IF(OFFSET(CRONOPLE!$F$14,$M149,AN$13)="",10^12,OFFSET(CRONOPLE!$F$14,$M149,AN$13))))</f>
        <v>0</v>
      </c>
      <c r="AO149" s="215">
        <f ca="1">IF($D149&lt;&gt;"Serviço",0,IF(AND(AUTOEVENTO="Manual",$M149=1),0,IF(OFFSET(CRONOPLE!$F$14,$M149,AO$13)="",10^12,OFFSET(CRONOPLE!$F$14,$M149,AO$13))))</f>
        <v>0</v>
      </c>
      <c r="AP149" s="215">
        <f ca="1">IF($D149&lt;&gt;"Serviço",0,IF(AND(AUTOEVENTO="Manual",$M149=1),0,IF(OFFSET(CRONOPLE!$F$14,$M149,AP$13)="",10^12,OFFSET(CRONOPLE!$F$14,$M149,AP$13))))</f>
        <v>0</v>
      </c>
      <c r="AQ149" s="215">
        <f ca="1">IF($D149&lt;&gt;"Serviço",0,IF(AND(AUTOEVENTO="Manual",$M149=1),0,IF(OFFSET(CRONOPLE!$F$14,$M149,AQ$13)="",10^12,OFFSET(CRONOPLE!$F$14,$M149,AQ$13))))</f>
        <v>0</v>
      </c>
      <c r="AR149" s="215">
        <f ca="1">IF($D149&lt;&gt;"Serviço",0,IF(AND(AUTOEVENTO="Manual",$M149=1),0,IF(OFFSET(CRONOPLE!$F$14,$M149,AR$13)="",10^12,OFFSET(CRONOPLE!$F$14,$M149,AR$13))))</f>
        <v>0</v>
      </c>
      <c r="AS149" s="215">
        <f ca="1">IF($D149&lt;&gt;"Serviço",0,IF(AND(AUTOEVENTO="Manual",$M149=1),0,IF(OFFSET(CRONOPLE!$F$14,$M149,AS$13)="",10^12,OFFSET(CRONOPLE!$F$14,$M149,AS$13))))</f>
        <v>0</v>
      </c>
      <c r="AT149" s="215">
        <f ca="1">IF($D149&lt;&gt;"Serviço",0,IF(AND(AUTOEVENTO="Manual",$M149=1),0,IF(OFFSET(CRONOPLE!$F$14,$M149,AT$13)="",10^12,OFFSET(CRONOPLE!$F$14,$M149,AT$13))))</f>
        <v>0</v>
      </c>
      <c r="AU149" s="215">
        <f ca="1">IF($D149&lt;&gt;"Serviço",0,IF(AND(AUTOEVENTO="Manual",$M149=1),0,IF(OFFSET(CRONOPLE!$F$14,$M149,AU$13)="",10^12,OFFSET(CRONOPLE!$F$14,$M149,AU$13))))</f>
        <v>0</v>
      </c>
      <c r="AV149" s="215">
        <f ca="1">IF($D149&lt;&gt;"Serviço",0,IF(AND(AUTOEVENTO="Manual",$M149=1),0,IF(OFFSET(CRONOPLE!$F$14,$M149,AV$13)="",10^12,OFFSET(CRONOPLE!$F$14,$M149,AV$13))))</f>
        <v>0</v>
      </c>
      <c r="AX149" s="216">
        <f ca="1">IF($D149&lt;&gt;"Serviço",0,IF(OR(AND(AUTOEVENTO="Manual",$M149=1),$M149&gt;(ROW(PLE.lastrow)-ROW(PLE.firstrow))),0,IF(OFFSET(PLE!$G$14,$M149,AX$13)="",10^12,OFFSET(PLE!$G$14,$M149,AX$13))))</f>
        <v>0</v>
      </c>
      <c r="AY149" s="216">
        <f ca="1">IF($D149&lt;&gt;"Serviço",0,IF(OR(AND(AUTOEVENTO="Manual",$M149=1),$M149&gt;(ROW(PLE.lastrow)-ROW(PLE.firstrow))),0,IF(OFFSET(PLE!$G$14,$M149,AY$13)="",10^12,OFFSET(PLE!$G$14,$M149,AY$13))))</f>
        <v>0</v>
      </c>
      <c r="AZ149" s="216">
        <f ca="1">IF($D149&lt;&gt;"Serviço",0,IF(OR(AND(AUTOEVENTO="Manual",$M149=1),$M149&gt;(ROW(PLE.lastrow)-ROW(PLE.firstrow))),0,IF(OFFSET(PLE!$G$14,$M149,AZ$13)="",10^12,OFFSET(PLE!$G$14,$M149,AZ$13))))</f>
        <v>0</v>
      </c>
      <c r="BA149" s="216">
        <f ca="1">IF($D149&lt;&gt;"Serviço",0,IF(OR(AND(AUTOEVENTO="Manual",$M149=1),$M149&gt;(ROW(PLE.lastrow)-ROW(PLE.firstrow))),0,IF(OFFSET(PLE!$G$14,$M149,BA$13)="",10^12,OFFSET(PLE!$G$14,$M149,BA$13))))</f>
        <v>0</v>
      </c>
      <c r="BB149" s="216">
        <f ca="1">IF($D149&lt;&gt;"Serviço",0,IF(OR(AND(AUTOEVENTO="Manual",$M149=1),$M149&gt;(ROW(PLE.lastrow)-ROW(PLE.firstrow))),0,IF(OFFSET(PLE!$G$14,$M149,BB$13)="",10^12,OFFSET(PLE!$G$14,$M149,BB$13))))</f>
        <v>0</v>
      </c>
      <c r="BC149" s="216">
        <f ca="1">IF($D149&lt;&gt;"Serviço",0,IF(OR(AND(AUTOEVENTO="Manual",$M149=1),$M149&gt;(ROW(PLE.lastrow)-ROW(PLE.firstrow))),0,IF(OFFSET(PLE!$G$14,$M149,BC$13)="",10^12,OFFSET(PLE!$G$14,$M149,BC$13))))</f>
        <v>0</v>
      </c>
      <c r="BD149" s="216">
        <f ca="1">IF($D149&lt;&gt;"Serviço",0,IF(OR(AND(AUTOEVENTO="Manual",$M149=1),$M149&gt;(ROW(PLE.lastrow)-ROW(PLE.firstrow))),0,IF(OFFSET(PLE!$G$14,$M149,BD$13)="",10^12,OFFSET(PLE!$G$14,$M149,BD$13))))</f>
        <v>0</v>
      </c>
      <c r="BE149" s="216">
        <f ca="1">IF($D149&lt;&gt;"Serviço",0,IF(OR(AND(AUTOEVENTO="Manual",$M149=1),$M149&gt;(ROW(PLE.lastrow)-ROW(PLE.firstrow))),0,IF(OFFSET(PLE!$G$14,$M149,BE$13)="",10^12,OFFSET(PLE!$G$14,$M149,BE$13))))</f>
        <v>0</v>
      </c>
      <c r="BF149" s="216">
        <f ca="1">IF($D149&lt;&gt;"Serviço",0,IF(OR(AND(AUTOEVENTO="Manual",$M149=1),$M149&gt;(ROW(PLE.lastrow)-ROW(PLE.firstrow))),0,IF(OFFSET(PLE!$G$14,$M149,BF$13)="",10^12,OFFSET(PLE!$G$14,$M149,BF$13))))</f>
        <v>0</v>
      </c>
      <c r="BG149" s="216">
        <f ca="1">IF($D149&lt;&gt;"Serviço",0,IF(OR(AND(AUTOEVENTO="Manual",$M149=1),$M149&gt;(ROW(PLE.lastrow)-ROW(PLE.firstrow))),0,IF(OFFSET(PLE!$G$14,$M149,BG$13)="",10^12,OFFSET(PLE!$G$14,$M149,BG$13))))</f>
        <v>0</v>
      </c>
    </row>
    <row r="150" spans="1:59" ht="25.5" x14ac:dyDescent="0.2">
      <c r="A150" s="9" t="str">
        <f t="shared" ref="A150:A191" ca="1" si="11">IF(AUTOEVENTO="Manual",IF(K150&lt;&gt;"",MIN(VALUE(LEFT(K150,FIND(".",K150)-1)),COUNTA(EVENTOS.Lista)),0),IF(OR($B150&gt;AUTOEVENTO,$B150="S",$B150=0),SUBSTITUTE(OFFSET($A150,-1,0),IF($D150="Serviço",".",""),""),ROW(A150)-ROW($A$15)&amp;"."))</f>
        <v>134</v>
      </c>
      <c r="B150" s="9" t="str">
        <f ca="1">OFFSET(ORÇAMENTO!C$15,ROW(B150)-ROW(B$15),0)</f>
        <v>S</v>
      </c>
      <c r="C150" s="9" t="str">
        <f ca="1">OFFSET(ORÇAMENTO!L$15,ROW(C150)-ROW(C$15),0)</f>
        <v/>
      </c>
      <c r="D150" s="145" t="str">
        <f ca="1">OFFSET(ORÇAMENTO!N$15,ROW(D150)-ROW(D$15),0)</f>
        <v>Serviço</v>
      </c>
      <c r="E150" s="205" t="str">
        <f ca="1">OFFSET(ORÇAMENTO!O$15,ROW(E150)-ROW(E$15),0)</f>
        <v>-</v>
      </c>
      <c r="F150" s="206" t="str">
        <f ca="1">OFFSET(ORÇAMENTO!R$15,ROW(F150)-ROW(F$15),0)</f>
        <v>TUBO, PVC, SOLDÁVEL, DE 25MM, INSTALADO EM RAMAL OU SUB-RAMAL DE ÁGUA - FORNECIMENTO E INSTALAÇÃO. AF_06/2022</v>
      </c>
      <c r="G150" s="207" t="str">
        <f ca="1">IF($D150&lt;&gt;"Serviço","",OFFSET(ORÇAMENTO!S$15,ROW(G150)-ROW(G$15),0))</f>
        <v>M</v>
      </c>
      <c r="H150" s="151">
        <f ca="1">IF($D150&lt;&gt;"Serviço",0,IF(ACOMPANHAMENTO="BM",ROUND(OFFSET(ORÇAMENTO!AJ$15,ROW(H150)-ROW(H$15),0),15-13*ORÇAMENTO!$AF$7),SUMPRODUCT(($Q$12:$AA$12&lt;&gt;"")*ROUND($Q150:$AA150,15-13*ORÇAMENTO!$AF$7))))</f>
        <v>30</v>
      </c>
      <c r="I150" s="649"/>
      <c r="K150" s="208"/>
      <c r="L150" s="209" t="s">
        <v>255</v>
      </c>
      <c r="M150" s="210">
        <f ca="1">IF($D150&lt;&gt;"Serviço","",IF(AUTOEVENTO="manual",$A150,IF(ISERROR(MATCH($A150,$A$15:OFFSET($A150,-1,0),0)),MAX($M$15:OFFSET(M150,-1,0))+1,INDEX($M$15:OFFSET(M150,-1,0),MATCH($A150,$A$15:OFFSET($A150,-1,0),0)))))</f>
        <v>20</v>
      </c>
      <c r="N150" s="211" t="str">
        <f ca="1">IF($D150&lt;&gt;"Serviço","",IF(AUTOEVENTO="Manual",IF($A150=0,"&lt;-- defina o número do agrupador",OFFSET(EVENTOS!$D$14,$A150,0)),OFFSET($F$15,$A150,0)))</f>
        <v>HIDRAULICO</v>
      </c>
      <c r="O150" s="212"/>
      <c r="Q150" s="212"/>
      <c r="R150" s="213"/>
      <c r="S150" s="213"/>
      <c r="T150" s="213"/>
      <c r="U150" s="213"/>
      <c r="V150" s="213"/>
      <c r="W150" s="213"/>
      <c r="X150" s="213"/>
      <c r="Y150" s="213"/>
      <c r="Z150" s="214"/>
      <c r="AB150" s="630">
        <f ca="1">IF(AND($D150="Serviço",AB$12&lt;&gt;0,$H150&gt;0,OR(AUTOEVENTO&lt;&gt;"manual",$M150&lt;&gt;1)),
IF(Import.TipoArredondamento&lt;&gt;"TransfereGOV",
ROUND(OFFSET($P150,0,AB$13),15-13*ORÇAMENTO!$AF$7)/$H150*OFFSET(ORÇAMENTO!$X$15,ROW(AB150)-ROW(AB$15),0),
ROUND(ROUND(OFFSET($P150,0,AB$13),15-13*ORÇAMENTO!$AF$7)*OFFSET(ORÇAMENTO!$W$15,ROW(AB150)-ROW(AB$15),0),15-13*ORÇAMENTO!$AF$11)),0)</f>
        <v>0</v>
      </c>
      <c r="AC150" s="631">
        <f ca="1">IF(AND($D150="Serviço",AC$12&lt;&gt;0,$H150&gt;0,OR(AUTOEVENTO&lt;&gt;"manual",$M150&lt;&gt;1)),
IF(Import.TipoArredondamento&lt;&gt;"TransfereGOV",
ROUND(OFFSET($P150,0,AC$13),15-13*ORÇAMENTO!$AF$7)/$H150*OFFSET(ORÇAMENTO!$X$15,ROW(AC150)-ROW(AC$15),0),
ROUND(ROUND(OFFSET($P150,0,AC$13),15-13*ORÇAMENTO!$AF$7)*OFFSET(ORÇAMENTO!$W$15,ROW(AC150)-ROW(AC$15),0),15-13*ORÇAMENTO!$AF$11)),0)</f>
        <v>0</v>
      </c>
      <c r="AD150" s="631">
        <f ca="1">IF(AND($D150="Serviço",AD$12&lt;&gt;0,$H150&gt;0,OR(AUTOEVENTO&lt;&gt;"manual",$M150&lt;&gt;1)),
IF(Import.TipoArredondamento&lt;&gt;"TransfereGOV",
ROUND(OFFSET($P150,0,AD$13),15-13*ORÇAMENTO!$AF$7)/$H150*OFFSET(ORÇAMENTO!$X$15,ROW(AD150)-ROW(AD$15),0),
ROUND(ROUND(OFFSET($P150,0,AD$13),15-13*ORÇAMENTO!$AF$7)*OFFSET(ORÇAMENTO!$W$15,ROW(AD150)-ROW(AD$15),0),15-13*ORÇAMENTO!$AF$11)),0)</f>
        <v>0</v>
      </c>
      <c r="AE150" s="631">
        <f ca="1">IF(AND($D150="Serviço",AE$12&lt;&gt;0,$H150&gt;0,OR(AUTOEVENTO&lt;&gt;"manual",$M150&lt;&gt;1)),
IF(Import.TipoArredondamento&lt;&gt;"TransfereGOV",
ROUND(OFFSET($P150,0,AE$13),15-13*ORÇAMENTO!$AF$7)/$H150*OFFSET(ORÇAMENTO!$X$15,ROW(AE150)-ROW(AE$15),0),
ROUND(ROUND(OFFSET($P150,0,AE$13),15-13*ORÇAMENTO!$AF$7)*OFFSET(ORÇAMENTO!$W$15,ROW(AE150)-ROW(AE$15),0),15-13*ORÇAMENTO!$AF$11)),0)</f>
        <v>0</v>
      </c>
      <c r="AF150" s="631">
        <f ca="1">IF(AND($D150="Serviço",AF$12&lt;&gt;0,$H150&gt;0,OR(AUTOEVENTO&lt;&gt;"manual",$M150&lt;&gt;1)),
IF(Import.TipoArredondamento&lt;&gt;"TransfereGOV",
ROUND(OFFSET($P150,0,AF$13),15-13*ORÇAMENTO!$AF$7)/$H150*OFFSET(ORÇAMENTO!$X$15,ROW(AF150)-ROW(AF$15),0),
ROUND(ROUND(OFFSET($P150,0,AF$13),15-13*ORÇAMENTO!$AF$7)*OFFSET(ORÇAMENTO!$W$15,ROW(AF150)-ROW(AF$15),0),15-13*ORÇAMENTO!$AF$11)),0)</f>
        <v>0</v>
      </c>
      <c r="AG150" s="631">
        <f ca="1">IF(AND($D150="Serviço",AG$12&lt;&gt;0,$H150&gt;0,OR(AUTOEVENTO&lt;&gt;"manual",$M150&lt;&gt;1)),
IF(Import.TipoArredondamento&lt;&gt;"TransfereGOV",
ROUND(OFFSET($P150,0,AG$13),15-13*ORÇAMENTO!$AF$7)/$H150*OFFSET(ORÇAMENTO!$X$15,ROW(AG150)-ROW(AG$15),0),
ROUND(ROUND(OFFSET($P150,0,AG$13),15-13*ORÇAMENTO!$AF$7)*OFFSET(ORÇAMENTO!$W$15,ROW(AG150)-ROW(AG$15),0),15-13*ORÇAMENTO!$AF$11)),0)</f>
        <v>0</v>
      </c>
      <c r="AH150" s="631">
        <f ca="1">IF(AND($D150="Serviço",AH$12&lt;&gt;0,$H150&gt;0,OR(AUTOEVENTO&lt;&gt;"manual",$M150&lt;&gt;1)),
IF(Import.TipoArredondamento&lt;&gt;"TransfereGOV",
ROUND(OFFSET($P150,0,AH$13),15-13*ORÇAMENTO!$AF$7)/$H150*OFFSET(ORÇAMENTO!$X$15,ROW(AH150)-ROW(AH$15),0),
ROUND(ROUND(OFFSET($P150,0,AH$13),15-13*ORÇAMENTO!$AF$7)*OFFSET(ORÇAMENTO!$W$15,ROW(AH150)-ROW(AH$15),0),15-13*ORÇAMENTO!$AF$11)),0)</f>
        <v>0</v>
      </c>
      <c r="AI150" s="631">
        <f ca="1">IF(AND($D150="Serviço",AI$12&lt;&gt;0,$H150&gt;0,OR(AUTOEVENTO&lt;&gt;"manual",$M150&lt;&gt;1)),
IF(Import.TipoArredondamento&lt;&gt;"TransfereGOV",
ROUND(OFFSET($P150,0,AI$13),15-13*ORÇAMENTO!$AF$7)/$H150*OFFSET(ORÇAMENTO!$X$15,ROW(AI150)-ROW(AI$15),0),
ROUND(ROUND(OFFSET($P150,0,AI$13),15-13*ORÇAMENTO!$AF$7)*OFFSET(ORÇAMENTO!$W$15,ROW(AI150)-ROW(AI$15),0),15-13*ORÇAMENTO!$AF$11)),0)</f>
        <v>0</v>
      </c>
      <c r="AJ150" s="631">
        <f ca="1">IF(AND($D150="Serviço",AJ$12&lt;&gt;0,$H150&gt;0,OR(AUTOEVENTO&lt;&gt;"manual",$M150&lt;&gt;1)),
IF(Import.TipoArredondamento&lt;&gt;"TransfereGOV",
ROUND(OFFSET($P150,0,AJ$13),15-13*ORÇAMENTO!$AF$7)/$H150*OFFSET(ORÇAMENTO!$X$15,ROW(AJ150)-ROW(AJ$15),0),
ROUND(ROUND(OFFSET($P150,0,AJ$13),15-13*ORÇAMENTO!$AF$7)*OFFSET(ORÇAMENTO!$W$15,ROW(AJ150)-ROW(AJ$15),0),15-13*ORÇAMENTO!$AF$11)),0)</f>
        <v>0</v>
      </c>
      <c r="AK150" s="632">
        <f ca="1">IF(AND($D150="Serviço",AK$12&lt;&gt;0,$H150&gt;0,OR(AUTOEVENTO&lt;&gt;"manual",$M150&lt;&gt;1)),
IF(Import.TipoArredondamento&lt;&gt;"TransfereGOV",
ROUND(OFFSET($P150,0,AK$13),15-13*ORÇAMENTO!$AF$7)/$H150*OFFSET(ORÇAMENTO!$X$15,ROW(AK150)-ROW(AK$15),0),
ROUND(ROUND(OFFSET($P150,0,AK$13),15-13*ORÇAMENTO!$AF$7)*OFFSET(ORÇAMENTO!$W$15,ROW(AK150)-ROW(AK$15),0),15-13*ORÇAMENTO!$AF$11)),0)</f>
        <v>0</v>
      </c>
      <c r="AM150" s="215">
        <f ca="1">IF($D150&lt;&gt;"Serviço",0,IF(AND(AUTOEVENTO="Manual",$M150=1),0,IF(OFFSET(CRONOPLE!$F$14,$M150,AM$13)="",10^12,OFFSET(CRONOPLE!$F$14,$M150,AM$13))))</f>
        <v>1000000000000</v>
      </c>
      <c r="AN150" s="215">
        <f ca="1">IF($D150&lt;&gt;"Serviço",0,IF(AND(AUTOEVENTO="Manual",$M150=1),0,IF(OFFSET(CRONOPLE!$F$14,$M150,AN$13)="",10^12,OFFSET(CRONOPLE!$F$14,$M150,AN$13))))</f>
        <v>1000000000000</v>
      </c>
      <c r="AO150" s="215">
        <f ca="1">IF($D150&lt;&gt;"Serviço",0,IF(AND(AUTOEVENTO="Manual",$M150=1),0,IF(OFFSET(CRONOPLE!$F$14,$M150,AO$13)="",10^12,OFFSET(CRONOPLE!$F$14,$M150,AO$13))))</f>
        <v>1000000000000</v>
      </c>
      <c r="AP150" s="215">
        <f ca="1">IF($D150&lt;&gt;"Serviço",0,IF(AND(AUTOEVENTO="Manual",$M150=1),0,IF(OFFSET(CRONOPLE!$F$14,$M150,AP$13)="",10^12,OFFSET(CRONOPLE!$F$14,$M150,AP$13))))</f>
        <v>1000000000000</v>
      </c>
      <c r="AQ150" s="215">
        <f ca="1">IF($D150&lt;&gt;"Serviço",0,IF(AND(AUTOEVENTO="Manual",$M150=1),0,IF(OFFSET(CRONOPLE!$F$14,$M150,AQ$13)="",10^12,OFFSET(CRONOPLE!$F$14,$M150,AQ$13))))</f>
        <v>1000000000000</v>
      </c>
      <c r="AR150" s="215">
        <f ca="1">IF($D150&lt;&gt;"Serviço",0,IF(AND(AUTOEVENTO="Manual",$M150=1),0,IF(OFFSET(CRONOPLE!$F$14,$M150,AR$13)="",10^12,OFFSET(CRONOPLE!$F$14,$M150,AR$13))))</f>
        <v>1000000000000</v>
      </c>
      <c r="AS150" s="215">
        <f ca="1">IF($D150&lt;&gt;"Serviço",0,IF(AND(AUTOEVENTO="Manual",$M150=1),0,IF(OFFSET(CRONOPLE!$F$14,$M150,AS$13)="",10^12,OFFSET(CRONOPLE!$F$14,$M150,AS$13))))</f>
        <v>1000000000000</v>
      </c>
      <c r="AT150" s="215">
        <f ca="1">IF($D150&lt;&gt;"Serviço",0,IF(AND(AUTOEVENTO="Manual",$M150=1),0,IF(OFFSET(CRONOPLE!$F$14,$M150,AT$13)="",10^12,OFFSET(CRONOPLE!$F$14,$M150,AT$13))))</f>
        <v>1000000000000</v>
      </c>
      <c r="AU150" s="215">
        <f ca="1">IF($D150&lt;&gt;"Serviço",0,IF(AND(AUTOEVENTO="Manual",$M150=1),0,IF(OFFSET(CRONOPLE!$F$14,$M150,AU$13)="",10^12,OFFSET(CRONOPLE!$F$14,$M150,AU$13))))</f>
        <v>1000000000000</v>
      </c>
      <c r="AV150" s="215">
        <f ca="1">IF($D150&lt;&gt;"Serviço",0,IF(AND(AUTOEVENTO="Manual",$M150=1),0,IF(OFFSET(CRONOPLE!$F$14,$M150,AV$13)="",10^12,OFFSET(CRONOPLE!$F$14,$M150,AV$13))))</f>
        <v>1000000000000</v>
      </c>
      <c r="AX150" s="216">
        <f ca="1">IF($D150&lt;&gt;"Serviço",0,IF(OR(AND(AUTOEVENTO="Manual",$M150=1),$M150&gt;(ROW(PLE.lastrow)-ROW(PLE.firstrow))),0,IF(OFFSET(PLE!$G$14,$M150,AX$13)="",10^12,OFFSET(PLE!$G$14,$M150,AX$13))))</f>
        <v>1000000000000</v>
      </c>
      <c r="AY150" s="216">
        <f ca="1">IF($D150&lt;&gt;"Serviço",0,IF(OR(AND(AUTOEVENTO="Manual",$M150=1),$M150&gt;(ROW(PLE.lastrow)-ROW(PLE.firstrow))),0,IF(OFFSET(PLE!$G$14,$M150,AY$13)="",10^12,OFFSET(PLE!$G$14,$M150,AY$13))))</f>
        <v>1000000000000</v>
      </c>
      <c r="AZ150" s="216">
        <f ca="1">IF($D150&lt;&gt;"Serviço",0,IF(OR(AND(AUTOEVENTO="Manual",$M150=1),$M150&gt;(ROW(PLE.lastrow)-ROW(PLE.firstrow))),0,IF(OFFSET(PLE!$G$14,$M150,AZ$13)="",10^12,OFFSET(PLE!$G$14,$M150,AZ$13))))</f>
        <v>1000000000000</v>
      </c>
      <c r="BA150" s="216">
        <f ca="1">IF($D150&lt;&gt;"Serviço",0,IF(OR(AND(AUTOEVENTO="Manual",$M150=1),$M150&gt;(ROW(PLE.lastrow)-ROW(PLE.firstrow))),0,IF(OFFSET(PLE!$G$14,$M150,BA$13)="",10^12,OFFSET(PLE!$G$14,$M150,BA$13))))</f>
        <v>1000000000000</v>
      </c>
      <c r="BB150" s="216">
        <f ca="1">IF($D150&lt;&gt;"Serviço",0,IF(OR(AND(AUTOEVENTO="Manual",$M150=1),$M150&gt;(ROW(PLE.lastrow)-ROW(PLE.firstrow))),0,IF(OFFSET(PLE!$G$14,$M150,BB$13)="",10^12,OFFSET(PLE!$G$14,$M150,BB$13))))</f>
        <v>1000000000000</v>
      </c>
      <c r="BC150" s="216">
        <f ca="1">IF($D150&lt;&gt;"Serviço",0,IF(OR(AND(AUTOEVENTO="Manual",$M150=1),$M150&gt;(ROW(PLE.lastrow)-ROW(PLE.firstrow))),0,IF(OFFSET(PLE!$G$14,$M150,BC$13)="",10^12,OFFSET(PLE!$G$14,$M150,BC$13))))</f>
        <v>1000000000000</v>
      </c>
      <c r="BD150" s="216">
        <f ca="1">IF($D150&lt;&gt;"Serviço",0,IF(OR(AND(AUTOEVENTO="Manual",$M150=1),$M150&gt;(ROW(PLE.lastrow)-ROW(PLE.firstrow))),0,IF(OFFSET(PLE!$G$14,$M150,BD$13)="",10^12,OFFSET(PLE!$G$14,$M150,BD$13))))</f>
        <v>1000000000000</v>
      </c>
      <c r="BE150" s="216">
        <f ca="1">IF($D150&lt;&gt;"Serviço",0,IF(OR(AND(AUTOEVENTO="Manual",$M150=1),$M150&gt;(ROW(PLE.lastrow)-ROW(PLE.firstrow))),0,IF(OFFSET(PLE!$G$14,$M150,BE$13)="",10^12,OFFSET(PLE!$G$14,$M150,BE$13))))</f>
        <v>1000000000000</v>
      </c>
      <c r="BF150" s="216">
        <f ca="1">IF($D150&lt;&gt;"Serviço",0,IF(OR(AND(AUTOEVENTO="Manual",$M150=1),$M150&gt;(ROW(PLE.lastrow)-ROW(PLE.firstrow))),0,IF(OFFSET(PLE!$G$14,$M150,BF$13)="",10^12,OFFSET(PLE!$G$14,$M150,BF$13))))</f>
        <v>1000000000000</v>
      </c>
      <c r="BG150" s="216">
        <f ca="1">IF($D150&lt;&gt;"Serviço",0,IF(OR(AND(AUTOEVENTO="Manual",$M150=1),$M150&gt;(ROW(PLE.lastrow)-ROW(PLE.firstrow))),0,IF(OFFSET(PLE!$G$14,$M150,BG$13)="",10^12,OFFSET(PLE!$G$14,$M150,BG$13))))</f>
        <v>1000000000000</v>
      </c>
    </row>
    <row r="151" spans="1:59" ht="25.5" x14ac:dyDescent="0.2">
      <c r="A151" s="9" t="str">
        <f t="shared" ca="1" si="11"/>
        <v>134</v>
      </c>
      <c r="B151" s="9" t="str">
        <f ca="1">OFFSET(ORÇAMENTO!C$15,ROW(B151)-ROW(B$15),0)</f>
        <v>S</v>
      </c>
      <c r="C151" s="9" t="str">
        <f ca="1">OFFSET(ORÇAMENTO!L$15,ROW(C151)-ROW(C$15),0)</f>
        <v/>
      </c>
      <c r="D151" s="145" t="str">
        <f ca="1">OFFSET(ORÇAMENTO!N$15,ROW(D151)-ROW(D$15),0)</f>
        <v>Serviço</v>
      </c>
      <c r="E151" s="205" t="str">
        <f ca="1">OFFSET(ORÇAMENTO!O$15,ROW(E151)-ROW(E$15),0)</f>
        <v>-</v>
      </c>
      <c r="F151" s="206" t="str">
        <f ca="1">OFFSET(ORÇAMENTO!R$15,ROW(F151)-ROW(F$15),0)</f>
        <v>REGISTRO DE GAVETA BRUTO, LATÃO, ROSCÁVEL, 3/4" - FORNECIMENTO E INSTALAÇÃO. AF_08/2021</v>
      </c>
      <c r="G151" s="207" t="str">
        <f ca="1">IF($D151&lt;&gt;"Serviço","",OFFSET(ORÇAMENTO!S$15,ROW(G151)-ROW(G$15),0))</f>
        <v>UN</v>
      </c>
      <c r="H151" s="151">
        <f ca="1">IF($D151&lt;&gt;"Serviço",0,IF(ACOMPANHAMENTO="BM",ROUND(OFFSET(ORÇAMENTO!AJ$15,ROW(H151)-ROW(H$15),0),15-13*ORÇAMENTO!$AF$7),SUMPRODUCT(($Q$12:$AA$12&lt;&gt;"")*ROUND($Q151:$AA151,15-13*ORÇAMENTO!$AF$7))))</f>
        <v>3</v>
      </c>
      <c r="I151" s="649"/>
      <c r="K151" s="208"/>
      <c r="L151" s="209" t="s">
        <v>255</v>
      </c>
      <c r="M151" s="210">
        <f ca="1">IF($D151&lt;&gt;"Serviço","",IF(AUTOEVENTO="manual",$A151,IF(ISERROR(MATCH($A151,$A$15:OFFSET($A151,-1,0),0)),MAX($M$15:OFFSET(M151,-1,0))+1,INDEX($M$15:OFFSET(M151,-1,0),MATCH($A151,$A$15:OFFSET($A151,-1,0),0)))))</f>
        <v>20</v>
      </c>
      <c r="N151" s="211" t="str">
        <f ca="1">IF($D151&lt;&gt;"Serviço","",IF(AUTOEVENTO="Manual",IF($A151=0,"&lt;-- defina o número do agrupador",OFFSET(EVENTOS!$D$14,$A151,0)),OFFSET($F$15,$A151,0)))</f>
        <v>HIDRAULICO</v>
      </c>
      <c r="O151" s="212"/>
      <c r="Q151" s="212"/>
      <c r="R151" s="213"/>
      <c r="S151" s="213"/>
      <c r="T151" s="213"/>
      <c r="U151" s="213"/>
      <c r="V151" s="213"/>
      <c r="W151" s="213"/>
      <c r="X151" s="213"/>
      <c r="Y151" s="213"/>
      <c r="Z151" s="214"/>
      <c r="AB151" s="630">
        <f ca="1">IF(AND($D151="Serviço",AB$12&lt;&gt;0,$H151&gt;0,OR(AUTOEVENTO&lt;&gt;"manual",$M151&lt;&gt;1)),
IF(Import.TipoArredondamento&lt;&gt;"TransfereGOV",
ROUND(OFFSET($P151,0,AB$13),15-13*ORÇAMENTO!$AF$7)/$H151*OFFSET(ORÇAMENTO!$X$15,ROW(AB151)-ROW(AB$15),0),
ROUND(ROUND(OFFSET($P151,0,AB$13),15-13*ORÇAMENTO!$AF$7)*OFFSET(ORÇAMENTO!$W$15,ROW(AB151)-ROW(AB$15),0),15-13*ORÇAMENTO!$AF$11)),0)</f>
        <v>0</v>
      </c>
      <c r="AC151" s="631">
        <f ca="1">IF(AND($D151="Serviço",AC$12&lt;&gt;0,$H151&gt;0,OR(AUTOEVENTO&lt;&gt;"manual",$M151&lt;&gt;1)),
IF(Import.TipoArredondamento&lt;&gt;"TransfereGOV",
ROUND(OFFSET($P151,0,AC$13),15-13*ORÇAMENTO!$AF$7)/$H151*OFFSET(ORÇAMENTO!$X$15,ROW(AC151)-ROW(AC$15),0),
ROUND(ROUND(OFFSET($P151,0,AC$13),15-13*ORÇAMENTO!$AF$7)*OFFSET(ORÇAMENTO!$W$15,ROW(AC151)-ROW(AC$15),0),15-13*ORÇAMENTO!$AF$11)),0)</f>
        <v>0</v>
      </c>
      <c r="AD151" s="631">
        <f ca="1">IF(AND($D151="Serviço",AD$12&lt;&gt;0,$H151&gt;0,OR(AUTOEVENTO&lt;&gt;"manual",$M151&lt;&gt;1)),
IF(Import.TipoArredondamento&lt;&gt;"TransfereGOV",
ROUND(OFFSET($P151,0,AD$13),15-13*ORÇAMENTO!$AF$7)/$H151*OFFSET(ORÇAMENTO!$X$15,ROW(AD151)-ROW(AD$15),0),
ROUND(ROUND(OFFSET($P151,0,AD$13),15-13*ORÇAMENTO!$AF$7)*OFFSET(ORÇAMENTO!$W$15,ROW(AD151)-ROW(AD$15),0),15-13*ORÇAMENTO!$AF$11)),0)</f>
        <v>0</v>
      </c>
      <c r="AE151" s="631">
        <f ca="1">IF(AND($D151="Serviço",AE$12&lt;&gt;0,$H151&gt;0,OR(AUTOEVENTO&lt;&gt;"manual",$M151&lt;&gt;1)),
IF(Import.TipoArredondamento&lt;&gt;"TransfereGOV",
ROUND(OFFSET($P151,0,AE$13),15-13*ORÇAMENTO!$AF$7)/$H151*OFFSET(ORÇAMENTO!$X$15,ROW(AE151)-ROW(AE$15),0),
ROUND(ROUND(OFFSET($P151,0,AE$13),15-13*ORÇAMENTO!$AF$7)*OFFSET(ORÇAMENTO!$W$15,ROW(AE151)-ROW(AE$15),0),15-13*ORÇAMENTO!$AF$11)),0)</f>
        <v>0</v>
      </c>
      <c r="AF151" s="631">
        <f ca="1">IF(AND($D151="Serviço",AF$12&lt;&gt;0,$H151&gt;0,OR(AUTOEVENTO&lt;&gt;"manual",$M151&lt;&gt;1)),
IF(Import.TipoArredondamento&lt;&gt;"TransfereGOV",
ROUND(OFFSET($P151,0,AF$13),15-13*ORÇAMENTO!$AF$7)/$H151*OFFSET(ORÇAMENTO!$X$15,ROW(AF151)-ROW(AF$15),0),
ROUND(ROUND(OFFSET($P151,0,AF$13),15-13*ORÇAMENTO!$AF$7)*OFFSET(ORÇAMENTO!$W$15,ROW(AF151)-ROW(AF$15),0),15-13*ORÇAMENTO!$AF$11)),0)</f>
        <v>0</v>
      </c>
      <c r="AG151" s="631">
        <f ca="1">IF(AND($D151="Serviço",AG$12&lt;&gt;0,$H151&gt;0,OR(AUTOEVENTO&lt;&gt;"manual",$M151&lt;&gt;1)),
IF(Import.TipoArredondamento&lt;&gt;"TransfereGOV",
ROUND(OFFSET($P151,0,AG$13),15-13*ORÇAMENTO!$AF$7)/$H151*OFFSET(ORÇAMENTO!$X$15,ROW(AG151)-ROW(AG$15),0),
ROUND(ROUND(OFFSET($P151,0,AG$13),15-13*ORÇAMENTO!$AF$7)*OFFSET(ORÇAMENTO!$W$15,ROW(AG151)-ROW(AG$15),0),15-13*ORÇAMENTO!$AF$11)),0)</f>
        <v>0</v>
      </c>
      <c r="AH151" s="631">
        <f ca="1">IF(AND($D151="Serviço",AH$12&lt;&gt;0,$H151&gt;0,OR(AUTOEVENTO&lt;&gt;"manual",$M151&lt;&gt;1)),
IF(Import.TipoArredondamento&lt;&gt;"TransfereGOV",
ROUND(OFFSET($P151,0,AH$13),15-13*ORÇAMENTO!$AF$7)/$H151*OFFSET(ORÇAMENTO!$X$15,ROW(AH151)-ROW(AH$15),0),
ROUND(ROUND(OFFSET($P151,0,AH$13),15-13*ORÇAMENTO!$AF$7)*OFFSET(ORÇAMENTO!$W$15,ROW(AH151)-ROW(AH$15),0),15-13*ORÇAMENTO!$AF$11)),0)</f>
        <v>0</v>
      </c>
      <c r="AI151" s="631">
        <f ca="1">IF(AND($D151="Serviço",AI$12&lt;&gt;0,$H151&gt;0,OR(AUTOEVENTO&lt;&gt;"manual",$M151&lt;&gt;1)),
IF(Import.TipoArredondamento&lt;&gt;"TransfereGOV",
ROUND(OFFSET($P151,0,AI$13),15-13*ORÇAMENTO!$AF$7)/$H151*OFFSET(ORÇAMENTO!$X$15,ROW(AI151)-ROW(AI$15),0),
ROUND(ROUND(OFFSET($P151,0,AI$13),15-13*ORÇAMENTO!$AF$7)*OFFSET(ORÇAMENTO!$W$15,ROW(AI151)-ROW(AI$15),0),15-13*ORÇAMENTO!$AF$11)),0)</f>
        <v>0</v>
      </c>
      <c r="AJ151" s="631">
        <f ca="1">IF(AND($D151="Serviço",AJ$12&lt;&gt;0,$H151&gt;0,OR(AUTOEVENTO&lt;&gt;"manual",$M151&lt;&gt;1)),
IF(Import.TipoArredondamento&lt;&gt;"TransfereGOV",
ROUND(OFFSET($P151,0,AJ$13),15-13*ORÇAMENTO!$AF$7)/$H151*OFFSET(ORÇAMENTO!$X$15,ROW(AJ151)-ROW(AJ$15),0),
ROUND(ROUND(OFFSET($P151,0,AJ$13),15-13*ORÇAMENTO!$AF$7)*OFFSET(ORÇAMENTO!$W$15,ROW(AJ151)-ROW(AJ$15),0),15-13*ORÇAMENTO!$AF$11)),0)</f>
        <v>0</v>
      </c>
      <c r="AK151" s="632">
        <f ca="1">IF(AND($D151="Serviço",AK$12&lt;&gt;0,$H151&gt;0,OR(AUTOEVENTO&lt;&gt;"manual",$M151&lt;&gt;1)),
IF(Import.TipoArredondamento&lt;&gt;"TransfereGOV",
ROUND(OFFSET($P151,0,AK$13),15-13*ORÇAMENTO!$AF$7)/$H151*OFFSET(ORÇAMENTO!$X$15,ROW(AK151)-ROW(AK$15),0),
ROUND(ROUND(OFFSET($P151,0,AK$13),15-13*ORÇAMENTO!$AF$7)*OFFSET(ORÇAMENTO!$W$15,ROW(AK151)-ROW(AK$15),0),15-13*ORÇAMENTO!$AF$11)),0)</f>
        <v>0</v>
      </c>
      <c r="AM151" s="215">
        <f ca="1">IF($D151&lt;&gt;"Serviço",0,IF(AND(AUTOEVENTO="Manual",$M151=1),0,IF(OFFSET(CRONOPLE!$F$14,$M151,AM$13)="",10^12,OFFSET(CRONOPLE!$F$14,$M151,AM$13))))</f>
        <v>1000000000000</v>
      </c>
      <c r="AN151" s="215">
        <f ca="1">IF($D151&lt;&gt;"Serviço",0,IF(AND(AUTOEVENTO="Manual",$M151=1),0,IF(OFFSET(CRONOPLE!$F$14,$M151,AN$13)="",10^12,OFFSET(CRONOPLE!$F$14,$M151,AN$13))))</f>
        <v>1000000000000</v>
      </c>
      <c r="AO151" s="215">
        <f ca="1">IF($D151&lt;&gt;"Serviço",0,IF(AND(AUTOEVENTO="Manual",$M151=1),0,IF(OFFSET(CRONOPLE!$F$14,$M151,AO$13)="",10^12,OFFSET(CRONOPLE!$F$14,$M151,AO$13))))</f>
        <v>1000000000000</v>
      </c>
      <c r="AP151" s="215">
        <f ca="1">IF($D151&lt;&gt;"Serviço",0,IF(AND(AUTOEVENTO="Manual",$M151=1),0,IF(OFFSET(CRONOPLE!$F$14,$M151,AP$13)="",10^12,OFFSET(CRONOPLE!$F$14,$M151,AP$13))))</f>
        <v>1000000000000</v>
      </c>
      <c r="AQ151" s="215">
        <f ca="1">IF($D151&lt;&gt;"Serviço",0,IF(AND(AUTOEVENTO="Manual",$M151=1),0,IF(OFFSET(CRONOPLE!$F$14,$M151,AQ$13)="",10^12,OFFSET(CRONOPLE!$F$14,$M151,AQ$13))))</f>
        <v>1000000000000</v>
      </c>
      <c r="AR151" s="215">
        <f ca="1">IF($D151&lt;&gt;"Serviço",0,IF(AND(AUTOEVENTO="Manual",$M151=1),0,IF(OFFSET(CRONOPLE!$F$14,$M151,AR$13)="",10^12,OFFSET(CRONOPLE!$F$14,$M151,AR$13))))</f>
        <v>1000000000000</v>
      </c>
      <c r="AS151" s="215">
        <f ca="1">IF($D151&lt;&gt;"Serviço",0,IF(AND(AUTOEVENTO="Manual",$M151=1),0,IF(OFFSET(CRONOPLE!$F$14,$M151,AS$13)="",10^12,OFFSET(CRONOPLE!$F$14,$M151,AS$13))))</f>
        <v>1000000000000</v>
      </c>
      <c r="AT151" s="215">
        <f ca="1">IF($D151&lt;&gt;"Serviço",0,IF(AND(AUTOEVENTO="Manual",$M151=1),0,IF(OFFSET(CRONOPLE!$F$14,$M151,AT$13)="",10^12,OFFSET(CRONOPLE!$F$14,$M151,AT$13))))</f>
        <v>1000000000000</v>
      </c>
      <c r="AU151" s="215">
        <f ca="1">IF($D151&lt;&gt;"Serviço",0,IF(AND(AUTOEVENTO="Manual",$M151=1),0,IF(OFFSET(CRONOPLE!$F$14,$M151,AU$13)="",10^12,OFFSET(CRONOPLE!$F$14,$M151,AU$13))))</f>
        <v>1000000000000</v>
      </c>
      <c r="AV151" s="215">
        <f ca="1">IF($D151&lt;&gt;"Serviço",0,IF(AND(AUTOEVENTO="Manual",$M151=1),0,IF(OFFSET(CRONOPLE!$F$14,$M151,AV$13)="",10^12,OFFSET(CRONOPLE!$F$14,$M151,AV$13))))</f>
        <v>1000000000000</v>
      </c>
      <c r="AX151" s="216">
        <f ca="1">IF($D151&lt;&gt;"Serviço",0,IF(OR(AND(AUTOEVENTO="Manual",$M151=1),$M151&gt;(ROW(PLE.lastrow)-ROW(PLE.firstrow))),0,IF(OFFSET(PLE!$G$14,$M151,AX$13)="",10^12,OFFSET(PLE!$G$14,$M151,AX$13))))</f>
        <v>1000000000000</v>
      </c>
      <c r="AY151" s="216">
        <f ca="1">IF($D151&lt;&gt;"Serviço",0,IF(OR(AND(AUTOEVENTO="Manual",$M151=1),$M151&gt;(ROW(PLE.lastrow)-ROW(PLE.firstrow))),0,IF(OFFSET(PLE!$G$14,$M151,AY$13)="",10^12,OFFSET(PLE!$G$14,$M151,AY$13))))</f>
        <v>1000000000000</v>
      </c>
      <c r="AZ151" s="216">
        <f ca="1">IF($D151&lt;&gt;"Serviço",0,IF(OR(AND(AUTOEVENTO="Manual",$M151=1),$M151&gt;(ROW(PLE.lastrow)-ROW(PLE.firstrow))),0,IF(OFFSET(PLE!$G$14,$M151,AZ$13)="",10^12,OFFSET(PLE!$G$14,$M151,AZ$13))))</f>
        <v>1000000000000</v>
      </c>
      <c r="BA151" s="216">
        <f ca="1">IF($D151&lt;&gt;"Serviço",0,IF(OR(AND(AUTOEVENTO="Manual",$M151=1),$M151&gt;(ROW(PLE.lastrow)-ROW(PLE.firstrow))),0,IF(OFFSET(PLE!$G$14,$M151,BA$13)="",10^12,OFFSET(PLE!$G$14,$M151,BA$13))))</f>
        <v>1000000000000</v>
      </c>
      <c r="BB151" s="216">
        <f ca="1">IF($D151&lt;&gt;"Serviço",0,IF(OR(AND(AUTOEVENTO="Manual",$M151=1),$M151&gt;(ROW(PLE.lastrow)-ROW(PLE.firstrow))),0,IF(OFFSET(PLE!$G$14,$M151,BB$13)="",10^12,OFFSET(PLE!$G$14,$M151,BB$13))))</f>
        <v>1000000000000</v>
      </c>
      <c r="BC151" s="216">
        <f ca="1">IF($D151&lt;&gt;"Serviço",0,IF(OR(AND(AUTOEVENTO="Manual",$M151=1),$M151&gt;(ROW(PLE.lastrow)-ROW(PLE.firstrow))),0,IF(OFFSET(PLE!$G$14,$M151,BC$13)="",10^12,OFFSET(PLE!$G$14,$M151,BC$13))))</f>
        <v>1000000000000</v>
      </c>
      <c r="BD151" s="216">
        <f ca="1">IF($D151&lt;&gt;"Serviço",0,IF(OR(AND(AUTOEVENTO="Manual",$M151=1),$M151&gt;(ROW(PLE.lastrow)-ROW(PLE.firstrow))),0,IF(OFFSET(PLE!$G$14,$M151,BD$13)="",10^12,OFFSET(PLE!$G$14,$M151,BD$13))))</f>
        <v>1000000000000</v>
      </c>
      <c r="BE151" s="216">
        <f ca="1">IF($D151&lt;&gt;"Serviço",0,IF(OR(AND(AUTOEVENTO="Manual",$M151=1),$M151&gt;(ROW(PLE.lastrow)-ROW(PLE.firstrow))),0,IF(OFFSET(PLE!$G$14,$M151,BE$13)="",10^12,OFFSET(PLE!$G$14,$M151,BE$13))))</f>
        <v>1000000000000</v>
      </c>
      <c r="BF151" s="216">
        <f ca="1">IF($D151&lt;&gt;"Serviço",0,IF(OR(AND(AUTOEVENTO="Manual",$M151=1),$M151&gt;(ROW(PLE.lastrow)-ROW(PLE.firstrow))),0,IF(OFFSET(PLE!$G$14,$M151,BF$13)="",10^12,OFFSET(PLE!$G$14,$M151,BF$13))))</f>
        <v>1000000000000</v>
      </c>
      <c r="BG151" s="216">
        <f ca="1">IF($D151&lt;&gt;"Serviço",0,IF(OR(AND(AUTOEVENTO="Manual",$M151=1),$M151&gt;(ROW(PLE.lastrow)-ROW(PLE.firstrow))),0,IF(OFFSET(PLE!$G$14,$M151,BG$13)="",10^12,OFFSET(PLE!$G$14,$M151,BG$13))))</f>
        <v>1000000000000</v>
      </c>
    </row>
    <row r="152" spans="1:59" ht="38.25" x14ac:dyDescent="0.2">
      <c r="A152" s="9" t="str">
        <f t="shared" ca="1" si="11"/>
        <v>134</v>
      </c>
      <c r="B152" s="9" t="str">
        <f ca="1">OFFSET(ORÇAMENTO!C$15,ROW(B152)-ROW(B$15),0)</f>
        <v>S</v>
      </c>
      <c r="C152" s="9" t="str">
        <f ca="1">OFFSET(ORÇAMENTO!L$15,ROW(C152)-ROW(C$15),0)</f>
        <v/>
      </c>
      <c r="D152" s="145" t="str">
        <f ca="1">OFFSET(ORÇAMENTO!N$15,ROW(D152)-ROW(D$15),0)</f>
        <v>Serviço</v>
      </c>
      <c r="E152" s="205" t="str">
        <f ca="1">OFFSET(ORÇAMENTO!O$15,ROW(E152)-ROW(E$15),0)</f>
        <v>-</v>
      </c>
      <c r="F152" s="206" t="str">
        <f ca="1">OFFSET(ORÇAMENTO!R$15,ROW(F152)-ROW(F$15),0)</f>
        <v>CURVA 90 GRAUS, PVC, SOLDÁVEL, DN 25MM, INSTALADO EM RAMAL DE DISTRIBUIÇÃO DE ÁGUA - FORNECIMENTO E INSTALAÇÃO. AF_06/2022</v>
      </c>
      <c r="G152" s="207" t="str">
        <f ca="1">IF($D152&lt;&gt;"Serviço","",OFFSET(ORÇAMENTO!S$15,ROW(G152)-ROW(G$15),0))</f>
        <v>UN</v>
      </c>
      <c r="H152" s="151">
        <f ca="1">IF($D152&lt;&gt;"Serviço",0,IF(ACOMPANHAMENTO="BM",ROUND(OFFSET(ORÇAMENTO!AJ$15,ROW(H152)-ROW(H$15),0),15-13*ORÇAMENTO!$AF$7),SUMPRODUCT(($Q$12:$AA$12&lt;&gt;"")*ROUND($Q152:$AA152,15-13*ORÇAMENTO!$AF$7))))</f>
        <v>13</v>
      </c>
      <c r="I152" s="649"/>
      <c r="K152" s="208"/>
      <c r="L152" s="209" t="s">
        <v>255</v>
      </c>
      <c r="M152" s="210">
        <f ca="1">IF($D152&lt;&gt;"Serviço","",IF(AUTOEVENTO="manual",$A152,IF(ISERROR(MATCH($A152,$A$15:OFFSET($A152,-1,0),0)),MAX($M$15:OFFSET(M152,-1,0))+1,INDEX($M$15:OFFSET(M152,-1,0),MATCH($A152,$A$15:OFFSET($A152,-1,0),0)))))</f>
        <v>20</v>
      </c>
      <c r="N152" s="211" t="str">
        <f ca="1">IF($D152&lt;&gt;"Serviço","",IF(AUTOEVENTO="Manual",IF($A152=0,"&lt;-- defina o número do agrupador",OFFSET(EVENTOS!$D$14,$A152,0)),OFFSET($F$15,$A152,0)))</f>
        <v>HIDRAULICO</v>
      </c>
      <c r="O152" s="212"/>
      <c r="Q152" s="212"/>
      <c r="R152" s="213"/>
      <c r="S152" s="213"/>
      <c r="T152" s="213"/>
      <c r="U152" s="213"/>
      <c r="V152" s="213"/>
      <c r="W152" s="213"/>
      <c r="X152" s="213"/>
      <c r="Y152" s="213"/>
      <c r="Z152" s="214"/>
      <c r="AB152" s="630">
        <f ca="1">IF(AND($D152="Serviço",AB$12&lt;&gt;0,$H152&gt;0,OR(AUTOEVENTO&lt;&gt;"manual",$M152&lt;&gt;1)),
IF(Import.TipoArredondamento&lt;&gt;"TransfereGOV",
ROUND(OFFSET($P152,0,AB$13),15-13*ORÇAMENTO!$AF$7)/$H152*OFFSET(ORÇAMENTO!$X$15,ROW(AB152)-ROW(AB$15),0),
ROUND(ROUND(OFFSET($P152,0,AB$13),15-13*ORÇAMENTO!$AF$7)*OFFSET(ORÇAMENTO!$W$15,ROW(AB152)-ROW(AB$15),0),15-13*ORÇAMENTO!$AF$11)),0)</f>
        <v>0</v>
      </c>
      <c r="AC152" s="631">
        <f ca="1">IF(AND($D152="Serviço",AC$12&lt;&gt;0,$H152&gt;0,OR(AUTOEVENTO&lt;&gt;"manual",$M152&lt;&gt;1)),
IF(Import.TipoArredondamento&lt;&gt;"TransfereGOV",
ROUND(OFFSET($P152,0,AC$13),15-13*ORÇAMENTO!$AF$7)/$H152*OFFSET(ORÇAMENTO!$X$15,ROW(AC152)-ROW(AC$15),0),
ROUND(ROUND(OFFSET($P152,0,AC$13),15-13*ORÇAMENTO!$AF$7)*OFFSET(ORÇAMENTO!$W$15,ROW(AC152)-ROW(AC$15),0),15-13*ORÇAMENTO!$AF$11)),0)</f>
        <v>0</v>
      </c>
      <c r="AD152" s="631">
        <f ca="1">IF(AND($D152="Serviço",AD$12&lt;&gt;0,$H152&gt;0,OR(AUTOEVENTO&lt;&gt;"manual",$M152&lt;&gt;1)),
IF(Import.TipoArredondamento&lt;&gt;"TransfereGOV",
ROUND(OFFSET($P152,0,AD$13),15-13*ORÇAMENTO!$AF$7)/$H152*OFFSET(ORÇAMENTO!$X$15,ROW(AD152)-ROW(AD$15),0),
ROUND(ROUND(OFFSET($P152,0,AD$13),15-13*ORÇAMENTO!$AF$7)*OFFSET(ORÇAMENTO!$W$15,ROW(AD152)-ROW(AD$15),0),15-13*ORÇAMENTO!$AF$11)),0)</f>
        <v>0</v>
      </c>
      <c r="AE152" s="631">
        <f ca="1">IF(AND($D152="Serviço",AE$12&lt;&gt;0,$H152&gt;0,OR(AUTOEVENTO&lt;&gt;"manual",$M152&lt;&gt;1)),
IF(Import.TipoArredondamento&lt;&gt;"TransfereGOV",
ROUND(OFFSET($P152,0,AE$13),15-13*ORÇAMENTO!$AF$7)/$H152*OFFSET(ORÇAMENTO!$X$15,ROW(AE152)-ROW(AE$15),0),
ROUND(ROUND(OFFSET($P152,0,AE$13),15-13*ORÇAMENTO!$AF$7)*OFFSET(ORÇAMENTO!$W$15,ROW(AE152)-ROW(AE$15),0),15-13*ORÇAMENTO!$AF$11)),0)</f>
        <v>0</v>
      </c>
      <c r="AF152" s="631">
        <f ca="1">IF(AND($D152="Serviço",AF$12&lt;&gt;0,$H152&gt;0,OR(AUTOEVENTO&lt;&gt;"manual",$M152&lt;&gt;1)),
IF(Import.TipoArredondamento&lt;&gt;"TransfereGOV",
ROUND(OFFSET($P152,0,AF$13),15-13*ORÇAMENTO!$AF$7)/$H152*OFFSET(ORÇAMENTO!$X$15,ROW(AF152)-ROW(AF$15),0),
ROUND(ROUND(OFFSET($P152,0,AF$13),15-13*ORÇAMENTO!$AF$7)*OFFSET(ORÇAMENTO!$W$15,ROW(AF152)-ROW(AF$15),0),15-13*ORÇAMENTO!$AF$11)),0)</f>
        <v>0</v>
      </c>
      <c r="AG152" s="631">
        <f ca="1">IF(AND($D152="Serviço",AG$12&lt;&gt;0,$H152&gt;0,OR(AUTOEVENTO&lt;&gt;"manual",$M152&lt;&gt;1)),
IF(Import.TipoArredondamento&lt;&gt;"TransfereGOV",
ROUND(OFFSET($P152,0,AG$13),15-13*ORÇAMENTO!$AF$7)/$H152*OFFSET(ORÇAMENTO!$X$15,ROW(AG152)-ROW(AG$15),0),
ROUND(ROUND(OFFSET($P152,0,AG$13),15-13*ORÇAMENTO!$AF$7)*OFFSET(ORÇAMENTO!$W$15,ROW(AG152)-ROW(AG$15),0),15-13*ORÇAMENTO!$AF$11)),0)</f>
        <v>0</v>
      </c>
      <c r="AH152" s="631">
        <f ca="1">IF(AND($D152="Serviço",AH$12&lt;&gt;0,$H152&gt;0,OR(AUTOEVENTO&lt;&gt;"manual",$M152&lt;&gt;1)),
IF(Import.TipoArredondamento&lt;&gt;"TransfereGOV",
ROUND(OFFSET($P152,0,AH$13),15-13*ORÇAMENTO!$AF$7)/$H152*OFFSET(ORÇAMENTO!$X$15,ROW(AH152)-ROW(AH$15),0),
ROUND(ROUND(OFFSET($P152,0,AH$13),15-13*ORÇAMENTO!$AF$7)*OFFSET(ORÇAMENTO!$W$15,ROW(AH152)-ROW(AH$15),0),15-13*ORÇAMENTO!$AF$11)),0)</f>
        <v>0</v>
      </c>
      <c r="AI152" s="631">
        <f ca="1">IF(AND($D152="Serviço",AI$12&lt;&gt;0,$H152&gt;0,OR(AUTOEVENTO&lt;&gt;"manual",$M152&lt;&gt;1)),
IF(Import.TipoArredondamento&lt;&gt;"TransfereGOV",
ROUND(OFFSET($P152,0,AI$13),15-13*ORÇAMENTO!$AF$7)/$H152*OFFSET(ORÇAMENTO!$X$15,ROW(AI152)-ROW(AI$15),0),
ROUND(ROUND(OFFSET($P152,0,AI$13),15-13*ORÇAMENTO!$AF$7)*OFFSET(ORÇAMENTO!$W$15,ROW(AI152)-ROW(AI$15),0),15-13*ORÇAMENTO!$AF$11)),0)</f>
        <v>0</v>
      </c>
      <c r="AJ152" s="631">
        <f ca="1">IF(AND($D152="Serviço",AJ$12&lt;&gt;0,$H152&gt;0,OR(AUTOEVENTO&lt;&gt;"manual",$M152&lt;&gt;1)),
IF(Import.TipoArredondamento&lt;&gt;"TransfereGOV",
ROUND(OFFSET($P152,0,AJ$13),15-13*ORÇAMENTO!$AF$7)/$H152*OFFSET(ORÇAMENTO!$X$15,ROW(AJ152)-ROW(AJ$15),0),
ROUND(ROUND(OFFSET($P152,0,AJ$13),15-13*ORÇAMENTO!$AF$7)*OFFSET(ORÇAMENTO!$W$15,ROW(AJ152)-ROW(AJ$15),0),15-13*ORÇAMENTO!$AF$11)),0)</f>
        <v>0</v>
      </c>
      <c r="AK152" s="632">
        <f ca="1">IF(AND($D152="Serviço",AK$12&lt;&gt;0,$H152&gt;0,OR(AUTOEVENTO&lt;&gt;"manual",$M152&lt;&gt;1)),
IF(Import.TipoArredondamento&lt;&gt;"TransfereGOV",
ROUND(OFFSET($P152,0,AK$13),15-13*ORÇAMENTO!$AF$7)/$H152*OFFSET(ORÇAMENTO!$X$15,ROW(AK152)-ROW(AK$15),0),
ROUND(ROUND(OFFSET($P152,0,AK$13),15-13*ORÇAMENTO!$AF$7)*OFFSET(ORÇAMENTO!$W$15,ROW(AK152)-ROW(AK$15),0),15-13*ORÇAMENTO!$AF$11)),0)</f>
        <v>0</v>
      </c>
      <c r="AM152" s="215">
        <f ca="1">IF($D152&lt;&gt;"Serviço",0,IF(AND(AUTOEVENTO="Manual",$M152=1),0,IF(OFFSET(CRONOPLE!$F$14,$M152,AM$13)="",10^12,OFFSET(CRONOPLE!$F$14,$M152,AM$13))))</f>
        <v>1000000000000</v>
      </c>
      <c r="AN152" s="215">
        <f ca="1">IF($D152&lt;&gt;"Serviço",0,IF(AND(AUTOEVENTO="Manual",$M152=1),0,IF(OFFSET(CRONOPLE!$F$14,$M152,AN$13)="",10^12,OFFSET(CRONOPLE!$F$14,$M152,AN$13))))</f>
        <v>1000000000000</v>
      </c>
      <c r="AO152" s="215">
        <f ca="1">IF($D152&lt;&gt;"Serviço",0,IF(AND(AUTOEVENTO="Manual",$M152=1),0,IF(OFFSET(CRONOPLE!$F$14,$M152,AO$13)="",10^12,OFFSET(CRONOPLE!$F$14,$M152,AO$13))))</f>
        <v>1000000000000</v>
      </c>
      <c r="AP152" s="215">
        <f ca="1">IF($D152&lt;&gt;"Serviço",0,IF(AND(AUTOEVENTO="Manual",$M152=1),0,IF(OFFSET(CRONOPLE!$F$14,$M152,AP$13)="",10^12,OFFSET(CRONOPLE!$F$14,$M152,AP$13))))</f>
        <v>1000000000000</v>
      </c>
      <c r="AQ152" s="215">
        <f ca="1">IF($D152&lt;&gt;"Serviço",0,IF(AND(AUTOEVENTO="Manual",$M152=1),0,IF(OFFSET(CRONOPLE!$F$14,$M152,AQ$13)="",10^12,OFFSET(CRONOPLE!$F$14,$M152,AQ$13))))</f>
        <v>1000000000000</v>
      </c>
      <c r="AR152" s="215">
        <f ca="1">IF($D152&lt;&gt;"Serviço",0,IF(AND(AUTOEVENTO="Manual",$M152=1),0,IF(OFFSET(CRONOPLE!$F$14,$M152,AR$13)="",10^12,OFFSET(CRONOPLE!$F$14,$M152,AR$13))))</f>
        <v>1000000000000</v>
      </c>
      <c r="AS152" s="215">
        <f ca="1">IF($D152&lt;&gt;"Serviço",0,IF(AND(AUTOEVENTO="Manual",$M152=1),0,IF(OFFSET(CRONOPLE!$F$14,$M152,AS$13)="",10^12,OFFSET(CRONOPLE!$F$14,$M152,AS$13))))</f>
        <v>1000000000000</v>
      </c>
      <c r="AT152" s="215">
        <f ca="1">IF($D152&lt;&gt;"Serviço",0,IF(AND(AUTOEVENTO="Manual",$M152=1),0,IF(OFFSET(CRONOPLE!$F$14,$M152,AT$13)="",10^12,OFFSET(CRONOPLE!$F$14,$M152,AT$13))))</f>
        <v>1000000000000</v>
      </c>
      <c r="AU152" s="215">
        <f ca="1">IF($D152&lt;&gt;"Serviço",0,IF(AND(AUTOEVENTO="Manual",$M152=1),0,IF(OFFSET(CRONOPLE!$F$14,$M152,AU$13)="",10^12,OFFSET(CRONOPLE!$F$14,$M152,AU$13))))</f>
        <v>1000000000000</v>
      </c>
      <c r="AV152" s="215">
        <f ca="1">IF($D152&lt;&gt;"Serviço",0,IF(AND(AUTOEVENTO="Manual",$M152=1),0,IF(OFFSET(CRONOPLE!$F$14,$M152,AV$13)="",10^12,OFFSET(CRONOPLE!$F$14,$M152,AV$13))))</f>
        <v>1000000000000</v>
      </c>
      <c r="AX152" s="216">
        <f ca="1">IF($D152&lt;&gt;"Serviço",0,IF(OR(AND(AUTOEVENTO="Manual",$M152=1),$M152&gt;(ROW(PLE.lastrow)-ROW(PLE.firstrow))),0,IF(OFFSET(PLE!$G$14,$M152,AX$13)="",10^12,OFFSET(PLE!$G$14,$M152,AX$13))))</f>
        <v>1000000000000</v>
      </c>
      <c r="AY152" s="216">
        <f ca="1">IF($D152&lt;&gt;"Serviço",0,IF(OR(AND(AUTOEVENTO="Manual",$M152=1),$M152&gt;(ROW(PLE.lastrow)-ROW(PLE.firstrow))),0,IF(OFFSET(PLE!$G$14,$M152,AY$13)="",10^12,OFFSET(PLE!$G$14,$M152,AY$13))))</f>
        <v>1000000000000</v>
      </c>
      <c r="AZ152" s="216">
        <f ca="1">IF($D152&lt;&gt;"Serviço",0,IF(OR(AND(AUTOEVENTO="Manual",$M152=1),$M152&gt;(ROW(PLE.lastrow)-ROW(PLE.firstrow))),0,IF(OFFSET(PLE!$G$14,$M152,AZ$13)="",10^12,OFFSET(PLE!$G$14,$M152,AZ$13))))</f>
        <v>1000000000000</v>
      </c>
      <c r="BA152" s="216">
        <f ca="1">IF($D152&lt;&gt;"Serviço",0,IF(OR(AND(AUTOEVENTO="Manual",$M152=1),$M152&gt;(ROW(PLE.lastrow)-ROW(PLE.firstrow))),0,IF(OFFSET(PLE!$G$14,$M152,BA$13)="",10^12,OFFSET(PLE!$G$14,$M152,BA$13))))</f>
        <v>1000000000000</v>
      </c>
      <c r="BB152" s="216">
        <f ca="1">IF($D152&lt;&gt;"Serviço",0,IF(OR(AND(AUTOEVENTO="Manual",$M152=1),$M152&gt;(ROW(PLE.lastrow)-ROW(PLE.firstrow))),0,IF(OFFSET(PLE!$G$14,$M152,BB$13)="",10^12,OFFSET(PLE!$G$14,$M152,BB$13))))</f>
        <v>1000000000000</v>
      </c>
      <c r="BC152" s="216">
        <f ca="1">IF($D152&lt;&gt;"Serviço",0,IF(OR(AND(AUTOEVENTO="Manual",$M152=1),$M152&gt;(ROW(PLE.lastrow)-ROW(PLE.firstrow))),0,IF(OFFSET(PLE!$G$14,$M152,BC$13)="",10^12,OFFSET(PLE!$G$14,$M152,BC$13))))</f>
        <v>1000000000000</v>
      </c>
      <c r="BD152" s="216">
        <f ca="1">IF($D152&lt;&gt;"Serviço",0,IF(OR(AND(AUTOEVENTO="Manual",$M152=1),$M152&gt;(ROW(PLE.lastrow)-ROW(PLE.firstrow))),0,IF(OFFSET(PLE!$G$14,$M152,BD$13)="",10^12,OFFSET(PLE!$G$14,$M152,BD$13))))</f>
        <v>1000000000000</v>
      </c>
      <c r="BE152" s="216">
        <f ca="1">IF($D152&lt;&gt;"Serviço",0,IF(OR(AND(AUTOEVENTO="Manual",$M152=1),$M152&gt;(ROW(PLE.lastrow)-ROW(PLE.firstrow))),0,IF(OFFSET(PLE!$G$14,$M152,BE$13)="",10^12,OFFSET(PLE!$G$14,$M152,BE$13))))</f>
        <v>1000000000000</v>
      </c>
      <c r="BF152" s="216">
        <f ca="1">IF($D152&lt;&gt;"Serviço",0,IF(OR(AND(AUTOEVENTO="Manual",$M152=1),$M152&gt;(ROW(PLE.lastrow)-ROW(PLE.firstrow))),0,IF(OFFSET(PLE!$G$14,$M152,BF$13)="",10^12,OFFSET(PLE!$G$14,$M152,BF$13))))</f>
        <v>1000000000000</v>
      </c>
      <c r="BG152" s="216">
        <f ca="1">IF($D152&lt;&gt;"Serviço",0,IF(OR(AND(AUTOEVENTO="Manual",$M152=1),$M152&gt;(ROW(PLE.lastrow)-ROW(PLE.firstrow))),0,IF(OFFSET(PLE!$G$14,$M152,BG$13)="",10^12,OFFSET(PLE!$G$14,$M152,BG$13))))</f>
        <v>1000000000000</v>
      </c>
    </row>
    <row r="153" spans="1:59" ht="38.25" x14ac:dyDescent="0.2">
      <c r="A153" s="9" t="str">
        <f t="shared" ca="1" si="11"/>
        <v>134</v>
      </c>
      <c r="B153" s="9" t="str">
        <f ca="1">OFFSET(ORÇAMENTO!C$15,ROW(B153)-ROW(B$15),0)</f>
        <v>S</v>
      </c>
      <c r="C153" s="9" t="str">
        <f ca="1">OFFSET(ORÇAMENTO!L$15,ROW(C153)-ROW(C$15),0)</f>
        <v/>
      </c>
      <c r="D153" s="145" t="str">
        <f ca="1">OFFSET(ORÇAMENTO!N$15,ROW(D153)-ROW(D$15),0)</f>
        <v>Serviço</v>
      </c>
      <c r="E153" s="205" t="str">
        <f ca="1">OFFSET(ORÇAMENTO!O$15,ROW(E153)-ROW(E$15),0)</f>
        <v>-</v>
      </c>
      <c r="F153" s="206" t="str">
        <f ca="1">OFFSET(ORÇAMENTO!R$15,ROW(F153)-ROW(F$15),0)</f>
        <v>CURVA 90 GRAUS PARA ELETRODUTO, PVC, ROSCÁVEL, DN 25 MM (3/4"), PARA CIRCUITOS TERMINAIS, INSTALADA EM PAREDE - FORNECIMENTO E INSTALAÇÃO. AF_03/2023</v>
      </c>
      <c r="G153" s="207" t="str">
        <f ca="1">IF($D153&lt;&gt;"Serviço","",OFFSET(ORÇAMENTO!S$15,ROW(G153)-ROW(G$15),0))</f>
        <v>UN</v>
      </c>
      <c r="H153" s="151">
        <f ca="1">IF($D153&lt;&gt;"Serviço",0,IF(ACOMPANHAMENTO="BM",ROUND(OFFSET(ORÇAMENTO!AJ$15,ROW(H153)-ROW(H$15),0),15-13*ORÇAMENTO!$AF$7),SUMPRODUCT(($Q$12:$AA$12&lt;&gt;"")*ROUND($Q153:$AA153,15-13*ORÇAMENTO!$AF$7))))</f>
        <v>7</v>
      </c>
      <c r="I153" s="649"/>
      <c r="K153" s="208"/>
      <c r="L153" s="209" t="s">
        <v>255</v>
      </c>
      <c r="M153" s="210">
        <f ca="1">IF($D153&lt;&gt;"Serviço","",IF(AUTOEVENTO="manual",$A153,IF(ISERROR(MATCH($A153,$A$15:OFFSET($A153,-1,0),0)),MAX($M$15:OFFSET(M153,-1,0))+1,INDEX($M$15:OFFSET(M153,-1,0),MATCH($A153,$A$15:OFFSET($A153,-1,0),0)))))</f>
        <v>20</v>
      </c>
      <c r="N153" s="211" t="str">
        <f ca="1">IF($D153&lt;&gt;"Serviço","",IF(AUTOEVENTO="Manual",IF($A153=0,"&lt;-- defina o número do agrupador",OFFSET(EVENTOS!$D$14,$A153,0)),OFFSET($F$15,$A153,0)))</f>
        <v>HIDRAULICO</v>
      </c>
      <c r="O153" s="212"/>
      <c r="Q153" s="212"/>
      <c r="R153" s="213"/>
      <c r="S153" s="213"/>
      <c r="T153" s="213"/>
      <c r="U153" s="213"/>
      <c r="V153" s="213"/>
      <c r="W153" s="213"/>
      <c r="X153" s="213"/>
      <c r="Y153" s="213"/>
      <c r="Z153" s="214"/>
      <c r="AB153" s="630">
        <f ca="1">IF(AND($D153="Serviço",AB$12&lt;&gt;0,$H153&gt;0,OR(AUTOEVENTO&lt;&gt;"manual",$M153&lt;&gt;1)),
IF(Import.TipoArredondamento&lt;&gt;"TransfereGOV",
ROUND(OFFSET($P153,0,AB$13),15-13*ORÇAMENTO!$AF$7)/$H153*OFFSET(ORÇAMENTO!$X$15,ROW(AB153)-ROW(AB$15),0),
ROUND(ROUND(OFFSET($P153,0,AB$13),15-13*ORÇAMENTO!$AF$7)*OFFSET(ORÇAMENTO!$W$15,ROW(AB153)-ROW(AB$15),0),15-13*ORÇAMENTO!$AF$11)),0)</f>
        <v>0</v>
      </c>
      <c r="AC153" s="631">
        <f ca="1">IF(AND($D153="Serviço",AC$12&lt;&gt;0,$H153&gt;0,OR(AUTOEVENTO&lt;&gt;"manual",$M153&lt;&gt;1)),
IF(Import.TipoArredondamento&lt;&gt;"TransfereGOV",
ROUND(OFFSET($P153,0,AC$13),15-13*ORÇAMENTO!$AF$7)/$H153*OFFSET(ORÇAMENTO!$X$15,ROW(AC153)-ROW(AC$15),0),
ROUND(ROUND(OFFSET($P153,0,AC$13),15-13*ORÇAMENTO!$AF$7)*OFFSET(ORÇAMENTO!$W$15,ROW(AC153)-ROW(AC$15),0),15-13*ORÇAMENTO!$AF$11)),0)</f>
        <v>0</v>
      </c>
      <c r="AD153" s="631">
        <f ca="1">IF(AND($D153="Serviço",AD$12&lt;&gt;0,$H153&gt;0,OR(AUTOEVENTO&lt;&gt;"manual",$M153&lt;&gt;1)),
IF(Import.TipoArredondamento&lt;&gt;"TransfereGOV",
ROUND(OFFSET($P153,0,AD$13),15-13*ORÇAMENTO!$AF$7)/$H153*OFFSET(ORÇAMENTO!$X$15,ROW(AD153)-ROW(AD$15),0),
ROUND(ROUND(OFFSET($P153,0,AD$13),15-13*ORÇAMENTO!$AF$7)*OFFSET(ORÇAMENTO!$W$15,ROW(AD153)-ROW(AD$15),0),15-13*ORÇAMENTO!$AF$11)),0)</f>
        <v>0</v>
      </c>
      <c r="AE153" s="631">
        <f ca="1">IF(AND($D153="Serviço",AE$12&lt;&gt;0,$H153&gt;0,OR(AUTOEVENTO&lt;&gt;"manual",$M153&lt;&gt;1)),
IF(Import.TipoArredondamento&lt;&gt;"TransfereGOV",
ROUND(OFFSET($P153,0,AE$13),15-13*ORÇAMENTO!$AF$7)/$H153*OFFSET(ORÇAMENTO!$X$15,ROW(AE153)-ROW(AE$15),0),
ROUND(ROUND(OFFSET($P153,0,AE$13),15-13*ORÇAMENTO!$AF$7)*OFFSET(ORÇAMENTO!$W$15,ROW(AE153)-ROW(AE$15),0),15-13*ORÇAMENTO!$AF$11)),0)</f>
        <v>0</v>
      </c>
      <c r="AF153" s="631">
        <f ca="1">IF(AND($D153="Serviço",AF$12&lt;&gt;0,$H153&gt;0,OR(AUTOEVENTO&lt;&gt;"manual",$M153&lt;&gt;1)),
IF(Import.TipoArredondamento&lt;&gt;"TransfereGOV",
ROUND(OFFSET($P153,0,AF$13),15-13*ORÇAMENTO!$AF$7)/$H153*OFFSET(ORÇAMENTO!$X$15,ROW(AF153)-ROW(AF$15),0),
ROUND(ROUND(OFFSET($P153,0,AF$13),15-13*ORÇAMENTO!$AF$7)*OFFSET(ORÇAMENTO!$W$15,ROW(AF153)-ROW(AF$15),0),15-13*ORÇAMENTO!$AF$11)),0)</f>
        <v>0</v>
      </c>
      <c r="AG153" s="631">
        <f ca="1">IF(AND($D153="Serviço",AG$12&lt;&gt;0,$H153&gt;0,OR(AUTOEVENTO&lt;&gt;"manual",$M153&lt;&gt;1)),
IF(Import.TipoArredondamento&lt;&gt;"TransfereGOV",
ROUND(OFFSET($P153,0,AG$13),15-13*ORÇAMENTO!$AF$7)/$H153*OFFSET(ORÇAMENTO!$X$15,ROW(AG153)-ROW(AG$15),0),
ROUND(ROUND(OFFSET($P153,0,AG$13),15-13*ORÇAMENTO!$AF$7)*OFFSET(ORÇAMENTO!$W$15,ROW(AG153)-ROW(AG$15),0),15-13*ORÇAMENTO!$AF$11)),0)</f>
        <v>0</v>
      </c>
      <c r="AH153" s="631">
        <f ca="1">IF(AND($D153="Serviço",AH$12&lt;&gt;0,$H153&gt;0,OR(AUTOEVENTO&lt;&gt;"manual",$M153&lt;&gt;1)),
IF(Import.TipoArredondamento&lt;&gt;"TransfereGOV",
ROUND(OFFSET($P153,0,AH$13),15-13*ORÇAMENTO!$AF$7)/$H153*OFFSET(ORÇAMENTO!$X$15,ROW(AH153)-ROW(AH$15),0),
ROUND(ROUND(OFFSET($P153,0,AH$13),15-13*ORÇAMENTO!$AF$7)*OFFSET(ORÇAMENTO!$W$15,ROW(AH153)-ROW(AH$15),0),15-13*ORÇAMENTO!$AF$11)),0)</f>
        <v>0</v>
      </c>
      <c r="AI153" s="631">
        <f ca="1">IF(AND($D153="Serviço",AI$12&lt;&gt;0,$H153&gt;0,OR(AUTOEVENTO&lt;&gt;"manual",$M153&lt;&gt;1)),
IF(Import.TipoArredondamento&lt;&gt;"TransfereGOV",
ROUND(OFFSET($P153,0,AI$13),15-13*ORÇAMENTO!$AF$7)/$H153*OFFSET(ORÇAMENTO!$X$15,ROW(AI153)-ROW(AI$15),0),
ROUND(ROUND(OFFSET($P153,0,AI$13),15-13*ORÇAMENTO!$AF$7)*OFFSET(ORÇAMENTO!$W$15,ROW(AI153)-ROW(AI$15),0),15-13*ORÇAMENTO!$AF$11)),0)</f>
        <v>0</v>
      </c>
      <c r="AJ153" s="631">
        <f ca="1">IF(AND($D153="Serviço",AJ$12&lt;&gt;0,$H153&gt;0,OR(AUTOEVENTO&lt;&gt;"manual",$M153&lt;&gt;1)),
IF(Import.TipoArredondamento&lt;&gt;"TransfereGOV",
ROUND(OFFSET($P153,0,AJ$13),15-13*ORÇAMENTO!$AF$7)/$H153*OFFSET(ORÇAMENTO!$X$15,ROW(AJ153)-ROW(AJ$15),0),
ROUND(ROUND(OFFSET($P153,0,AJ$13),15-13*ORÇAMENTO!$AF$7)*OFFSET(ORÇAMENTO!$W$15,ROW(AJ153)-ROW(AJ$15),0),15-13*ORÇAMENTO!$AF$11)),0)</f>
        <v>0</v>
      </c>
      <c r="AK153" s="632">
        <f ca="1">IF(AND($D153="Serviço",AK$12&lt;&gt;0,$H153&gt;0,OR(AUTOEVENTO&lt;&gt;"manual",$M153&lt;&gt;1)),
IF(Import.TipoArredondamento&lt;&gt;"TransfereGOV",
ROUND(OFFSET($P153,0,AK$13),15-13*ORÇAMENTO!$AF$7)/$H153*OFFSET(ORÇAMENTO!$X$15,ROW(AK153)-ROW(AK$15),0),
ROUND(ROUND(OFFSET($P153,0,AK$13),15-13*ORÇAMENTO!$AF$7)*OFFSET(ORÇAMENTO!$W$15,ROW(AK153)-ROW(AK$15),0),15-13*ORÇAMENTO!$AF$11)),0)</f>
        <v>0</v>
      </c>
      <c r="AM153" s="215">
        <f ca="1">IF($D153&lt;&gt;"Serviço",0,IF(AND(AUTOEVENTO="Manual",$M153=1),0,IF(OFFSET(CRONOPLE!$F$14,$M153,AM$13)="",10^12,OFFSET(CRONOPLE!$F$14,$M153,AM$13))))</f>
        <v>1000000000000</v>
      </c>
      <c r="AN153" s="215">
        <f ca="1">IF($D153&lt;&gt;"Serviço",0,IF(AND(AUTOEVENTO="Manual",$M153=1),0,IF(OFFSET(CRONOPLE!$F$14,$M153,AN$13)="",10^12,OFFSET(CRONOPLE!$F$14,$M153,AN$13))))</f>
        <v>1000000000000</v>
      </c>
      <c r="AO153" s="215">
        <f ca="1">IF($D153&lt;&gt;"Serviço",0,IF(AND(AUTOEVENTO="Manual",$M153=1),0,IF(OFFSET(CRONOPLE!$F$14,$M153,AO$13)="",10^12,OFFSET(CRONOPLE!$F$14,$M153,AO$13))))</f>
        <v>1000000000000</v>
      </c>
      <c r="AP153" s="215">
        <f ca="1">IF($D153&lt;&gt;"Serviço",0,IF(AND(AUTOEVENTO="Manual",$M153=1),0,IF(OFFSET(CRONOPLE!$F$14,$M153,AP$13)="",10^12,OFFSET(CRONOPLE!$F$14,$M153,AP$13))))</f>
        <v>1000000000000</v>
      </c>
      <c r="AQ153" s="215">
        <f ca="1">IF($D153&lt;&gt;"Serviço",0,IF(AND(AUTOEVENTO="Manual",$M153=1),0,IF(OFFSET(CRONOPLE!$F$14,$M153,AQ$13)="",10^12,OFFSET(CRONOPLE!$F$14,$M153,AQ$13))))</f>
        <v>1000000000000</v>
      </c>
      <c r="AR153" s="215">
        <f ca="1">IF($D153&lt;&gt;"Serviço",0,IF(AND(AUTOEVENTO="Manual",$M153=1),0,IF(OFFSET(CRONOPLE!$F$14,$M153,AR$13)="",10^12,OFFSET(CRONOPLE!$F$14,$M153,AR$13))))</f>
        <v>1000000000000</v>
      </c>
      <c r="AS153" s="215">
        <f ca="1">IF($D153&lt;&gt;"Serviço",0,IF(AND(AUTOEVENTO="Manual",$M153=1),0,IF(OFFSET(CRONOPLE!$F$14,$M153,AS$13)="",10^12,OFFSET(CRONOPLE!$F$14,$M153,AS$13))))</f>
        <v>1000000000000</v>
      </c>
      <c r="AT153" s="215">
        <f ca="1">IF($D153&lt;&gt;"Serviço",0,IF(AND(AUTOEVENTO="Manual",$M153=1),0,IF(OFFSET(CRONOPLE!$F$14,$M153,AT$13)="",10^12,OFFSET(CRONOPLE!$F$14,$M153,AT$13))))</f>
        <v>1000000000000</v>
      </c>
      <c r="AU153" s="215">
        <f ca="1">IF($D153&lt;&gt;"Serviço",0,IF(AND(AUTOEVENTO="Manual",$M153=1),0,IF(OFFSET(CRONOPLE!$F$14,$M153,AU$13)="",10^12,OFFSET(CRONOPLE!$F$14,$M153,AU$13))))</f>
        <v>1000000000000</v>
      </c>
      <c r="AV153" s="215">
        <f ca="1">IF($D153&lt;&gt;"Serviço",0,IF(AND(AUTOEVENTO="Manual",$M153=1),0,IF(OFFSET(CRONOPLE!$F$14,$M153,AV$13)="",10^12,OFFSET(CRONOPLE!$F$14,$M153,AV$13))))</f>
        <v>1000000000000</v>
      </c>
      <c r="AX153" s="216">
        <f ca="1">IF($D153&lt;&gt;"Serviço",0,IF(OR(AND(AUTOEVENTO="Manual",$M153=1),$M153&gt;(ROW(PLE.lastrow)-ROW(PLE.firstrow))),0,IF(OFFSET(PLE!$G$14,$M153,AX$13)="",10^12,OFFSET(PLE!$G$14,$M153,AX$13))))</f>
        <v>1000000000000</v>
      </c>
      <c r="AY153" s="216">
        <f ca="1">IF($D153&lt;&gt;"Serviço",0,IF(OR(AND(AUTOEVENTO="Manual",$M153=1),$M153&gt;(ROW(PLE.lastrow)-ROW(PLE.firstrow))),0,IF(OFFSET(PLE!$G$14,$M153,AY$13)="",10^12,OFFSET(PLE!$G$14,$M153,AY$13))))</f>
        <v>1000000000000</v>
      </c>
      <c r="AZ153" s="216">
        <f ca="1">IF($D153&lt;&gt;"Serviço",0,IF(OR(AND(AUTOEVENTO="Manual",$M153=1),$M153&gt;(ROW(PLE.lastrow)-ROW(PLE.firstrow))),0,IF(OFFSET(PLE!$G$14,$M153,AZ$13)="",10^12,OFFSET(PLE!$G$14,$M153,AZ$13))))</f>
        <v>1000000000000</v>
      </c>
      <c r="BA153" s="216">
        <f ca="1">IF($D153&lt;&gt;"Serviço",0,IF(OR(AND(AUTOEVENTO="Manual",$M153=1),$M153&gt;(ROW(PLE.lastrow)-ROW(PLE.firstrow))),0,IF(OFFSET(PLE!$G$14,$M153,BA$13)="",10^12,OFFSET(PLE!$G$14,$M153,BA$13))))</f>
        <v>1000000000000</v>
      </c>
      <c r="BB153" s="216">
        <f ca="1">IF($D153&lt;&gt;"Serviço",0,IF(OR(AND(AUTOEVENTO="Manual",$M153=1),$M153&gt;(ROW(PLE.lastrow)-ROW(PLE.firstrow))),0,IF(OFFSET(PLE!$G$14,$M153,BB$13)="",10^12,OFFSET(PLE!$G$14,$M153,BB$13))))</f>
        <v>1000000000000</v>
      </c>
      <c r="BC153" s="216">
        <f ca="1">IF($D153&lt;&gt;"Serviço",0,IF(OR(AND(AUTOEVENTO="Manual",$M153=1),$M153&gt;(ROW(PLE.lastrow)-ROW(PLE.firstrow))),0,IF(OFFSET(PLE!$G$14,$M153,BC$13)="",10^12,OFFSET(PLE!$G$14,$M153,BC$13))))</f>
        <v>1000000000000</v>
      </c>
      <c r="BD153" s="216">
        <f ca="1">IF($D153&lt;&gt;"Serviço",0,IF(OR(AND(AUTOEVENTO="Manual",$M153=1),$M153&gt;(ROW(PLE.lastrow)-ROW(PLE.firstrow))),0,IF(OFFSET(PLE!$G$14,$M153,BD$13)="",10^12,OFFSET(PLE!$G$14,$M153,BD$13))))</f>
        <v>1000000000000</v>
      </c>
      <c r="BE153" s="216">
        <f ca="1">IF($D153&lt;&gt;"Serviço",0,IF(OR(AND(AUTOEVENTO="Manual",$M153=1),$M153&gt;(ROW(PLE.lastrow)-ROW(PLE.firstrow))),0,IF(OFFSET(PLE!$G$14,$M153,BE$13)="",10^12,OFFSET(PLE!$G$14,$M153,BE$13))))</f>
        <v>1000000000000</v>
      </c>
      <c r="BF153" s="216">
        <f ca="1">IF($D153&lt;&gt;"Serviço",0,IF(OR(AND(AUTOEVENTO="Manual",$M153=1),$M153&gt;(ROW(PLE.lastrow)-ROW(PLE.firstrow))),0,IF(OFFSET(PLE!$G$14,$M153,BF$13)="",10^12,OFFSET(PLE!$G$14,$M153,BF$13))))</f>
        <v>1000000000000</v>
      </c>
      <c r="BG153" s="216">
        <f ca="1">IF($D153&lt;&gt;"Serviço",0,IF(OR(AND(AUTOEVENTO="Manual",$M153=1),$M153&gt;(ROW(PLE.lastrow)-ROW(PLE.firstrow))),0,IF(OFFSET(PLE!$G$14,$M153,BG$13)="",10^12,OFFSET(PLE!$G$14,$M153,BG$13))))</f>
        <v>1000000000000</v>
      </c>
    </row>
    <row r="154" spans="1:59" ht="25.5" x14ac:dyDescent="0.2">
      <c r="A154" s="9" t="str">
        <f t="shared" ca="1" si="11"/>
        <v>134</v>
      </c>
      <c r="B154" s="9" t="str">
        <f ca="1">OFFSET(ORÇAMENTO!C$15,ROW(B154)-ROW(B$15),0)</f>
        <v>S</v>
      </c>
      <c r="C154" s="9" t="str">
        <f ca="1">OFFSET(ORÇAMENTO!L$15,ROW(C154)-ROW(C$15),0)</f>
        <v/>
      </c>
      <c r="D154" s="145" t="str">
        <f ca="1">OFFSET(ORÇAMENTO!N$15,ROW(D154)-ROW(D$15),0)</f>
        <v>Serviço</v>
      </c>
      <c r="E154" s="205" t="str">
        <f ca="1">OFFSET(ORÇAMENTO!O$15,ROW(E154)-ROW(E$15),0)</f>
        <v>-</v>
      </c>
      <c r="F154" s="206" t="str">
        <f ca="1">OFFSET(ORÇAMENTO!R$15,ROW(F154)-ROW(F$15),0)</f>
        <v>TE, PVC, SOLDÁVEL, DN 25MM, INSTALADO EM RAMAL OU SUB-RAMAL DE ÁGUA - FORNECIMENTO E INSTALAÇÃO. AF_06/2022</v>
      </c>
      <c r="G154" s="207" t="str">
        <f ca="1">IF($D154&lt;&gt;"Serviço","",OFFSET(ORÇAMENTO!S$15,ROW(G154)-ROW(G$15),0))</f>
        <v>UN</v>
      </c>
      <c r="H154" s="151">
        <f ca="1">IF($D154&lt;&gt;"Serviço",0,IF(ACOMPANHAMENTO="BM",ROUND(OFFSET(ORÇAMENTO!AJ$15,ROW(H154)-ROW(H$15),0),15-13*ORÇAMENTO!$AF$7),SUMPRODUCT(($Q$12:$AA$12&lt;&gt;"")*ROUND($Q154:$AA154,15-13*ORÇAMENTO!$AF$7))))</f>
        <v>6</v>
      </c>
      <c r="I154" s="649"/>
      <c r="K154" s="208"/>
      <c r="L154" s="209" t="s">
        <v>255</v>
      </c>
      <c r="M154" s="210">
        <f ca="1">IF($D154&lt;&gt;"Serviço","",IF(AUTOEVENTO="manual",$A154,IF(ISERROR(MATCH($A154,$A$15:OFFSET($A154,-1,0),0)),MAX($M$15:OFFSET(M154,-1,0))+1,INDEX($M$15:OFFSET(M154,-1,0),MATCH($A154,$A$15:OFFSET($A154,-1,0),0)))))</f>
        <v>20</v>
      </c>
      <c r="N154" s="211" t="str">
        <f ca="1">IF($D154&lt;&gt;"Serviço","",IF(AUTOEVENTO="Manual",IF($A154=0,"&lt;-- defina o número do agrupador",OFFSET(EVENTOS!$D$14,$A154,0)),OFFSET($F$15,$A154,0)))</f>
        <v>HIDRAULICO</v>
      </c>
      <c r="O154" s="212"/>
      <c r="Q154" s="212"/>
      <c r="R154" s="213"/>
      <c r="S154" s="213"/>
      <c r="T154" s="213"/>
      <c r="U154" s="213"/>
      <c r="V154" s="213"/>
      <c r="W154" s="213"/>
      <c r="X154" s="213"/>
      <c r="Y154" s="213"/>
      <c r="Z154" s="214"/>
      <c r="AB154" s="630">
        <f ca="1">IF(AND($D154="Serviço",AB$12&lt;&gt;0,$H154&gt;0,OR(AUTOEVENTO&lt;&gt;"manual",$M154&lt;&gt;1)),
IF(Import.TipoArredondamento&lt;&gt;"TransfereGOV",
ROUND(OFFSET($P154,0,AB$13),15-13*ORÇAMENTO!$AF$7)/$H154*OFFSET(ORÇAMENTO!$X$15,ROW(AB154)-ROW(AB$15),0),
ROUND(ROUND(OFFSET($P154,0,AB$13),15-13*ORÇAMENTO!$AF$7)*OFFSET(ORÇAMENTO!$W$15,ROW(AB154)-ROW(AB$15),0),15-13*ORÇAMENTO!$AF$11)),0)</f>
        <v>0</v>
      </c>
      <c r="AC154" s="631">
        <f ca="1">IF(AND($D154="Serviço",AC$12&lt;&gt;0,$H154&gt;0,OR(AUTOEVENTO&lt;&gt;"manual",$M154&lt;&gt;1)),
IF(Import.TipoArredondamento&lt;&gt;"TransfereGOV",
ROUND(OFFSET($P154,0,AC$13),15-13*ORÇAMENTO!$AF$7)/$H154*OFFSET(ORÇAMENTO!$X$15,ROW(AC154)-ROW(AC$15),0),
ROUND(ROUND(OFFSET($P154,0,AC$13),15-13*ORÇAMENTO!$AF$7)*OFFSET(ORÇAMENTO!$W$15,ROW(AC154)-ROW(AC$15),0),15-13*ORÇAMENTO!$AF$11)),0)</f>
        <v>0</v>
      </c>
      <c r="AD154" s="631">
        <f ca="1">IF(AND($D154="Serviço",AD$12&lt;&gt;0,$H154&gt;0,OR(AUTOEVENTO&lt;&gt;"manual",$M154&lt;&gt;1)),
IF(Import.TipoArredondamento&lt;&gt;"TransfereGOV",
ROUND(OFFSET($P154,0,AD$13),15-13*ORÇAMENTO!$AF$7)/$H154*OFFSET(ORÇAMENTO!$X$15,ROW(AD154)-ROW(AD$15),0),
ROUND(ROUND(OFFSET($P154,0,AD$13),15-13*ORÇAMENTO!$AF$7)*OFFSET(ORÇAMENTO!$W$15,ROW(AD154)-ROW(AD$15),0),15-13*ORÇAMENTO!$AF$11)),0)</f>
        <v>0</v>
      </c>
      <c r="AE154" s="631">
        <f ca="1">IF(AND($D154="Serviço",AE$12&lt;&gt;0,$H154&gt;0,OR(AUTOEVENTO&lt;&gt;"manual",$M154&lt;&gt;1)),
IF(Import.TipoArredondamento&lt;&gt;"TransfereGOV",
ROUND(OFFSET($P154,0,AE$13),15-13*ORÇAMENTO!$AF$7)/$H154*OFFSET(ORÇAMENTO!$X$15,ROW(AE154)-ROW(AE$15),0),
ROUND(ROUND(OFFSET($P154,0,AE$13),15-13*ORÇAMENTO!$AF$7)*OFFSET(ORÇAMENTO!$W$15,ROW(AE154)-ROW(AE$15),0),15-13*ORÇAMENTO!$AF$11)),0)</f>
        <v>0</v>
      </c>
      <c r="AF154" s="631">
        <f ca="1">IF(AND($D154="Serviço",AF$12&lt;&gt;0,$H154&gt;0,OR(AUTOEVENTO&lt;&gt;"manual",$M154&lt;&gt;1)),
IF(Import.TipoArredondamento&lt;&gt;"TransfereGOV",
ROUND(OFFSET($P154,0,AF$13),15-13*ORÇAMENTO!$AF$7)/$H154*OFFSET(ORÇAMENTO!$X$15,ROW(AF154)-ROW(AF$15),0),
ROUND(ROUND(OFFSET($P154,0,AF$13),15-13*ORÇAMENTO!$AF$7)*OFFSET(ORÇAMENTO!$W$15,ROW(AF154)-ROW(AF$15),0),15-13*ORÇAMENTO!$AF$11)),0)</f>
        <v>0</v>
      </c>
      <c r="AG154" s="631">
        <f ca="1">IF(AND($D154="Serviço",AG$12&lt;&gt;0,$H154&gt;0,OR(AUTOEVENTO&lt;&gt;"manual",$M154&lt;&gt;1)),
IF(Import.TipoArredondamento&lt;&gt;"TransfereGOV",
ROUND(OFFSET($P154,0,AG$13),15-13*ORÇAMENTO!$AF$7)/$H154*OFFSET(ORÇAMENTO!$X$15,ROW(AG154)-ROW(AG$15),0),
ROUND(ROUND(OFFSET($P154,0,AG$13),15-13*ORÇAMENTO!$AF$7)*OFFSET(ORÇAMENTO!$W$15,ROW(AG154)-ROW(AG$15),0),15-13*ORÇAMENTO!$AF$11)),0)</f>
        <v>0</v>
      </c>
      <c r="AH154" s="631">
        <f ca="1">IF(AND($D154="Serviço",AH$12&lt;&gt;0,$H154&gt;0,OR(AUTOEVENTO&lt;&gt;"manual",$M154&lt;&gt;1)),
IF(Import.TipoArredondamento&lt;&gt;"TransfereGOV",
ROUND(OFFSET($P154,0,AH$13),15-13*ORÇAMENTO!$AF$7)/$H154*OFFSET(ORÇAMENTO!$X$15,ROW(AH154)-ROW(AH$15),0),
ROUND(ROUND(OFFSET($P154,0,AH$13),15-13*ORÇAMENTO!$AF$7)*OFFSET(ORÇAMENTO!$W$15,ROW(AH154)-ROW(AH$15),0),15-13*ORÇAMENTO!$AF$11)),0)</f>
        <v>0</v>
      </c>
      <c r="AI154" s="631">
        <f ca="1">IF(AND($D154="Serviço",AI$12&lt;&gt;0,$H154&gt;0,OR(AUTOEVENTO&lt;&gt;"manual",$M154&lt;&gt;1)),
IF(Import.TipoArredondamento&lt;&gt;"TransfereGOV",
ROUND(OFFSET($P154,0,AI$13),15-13*ORÇAMENTO!$AF$7)/$H154*OFFSET(ORÇAMENTO!$X$15,ROW(AI154)-ROW(AI$15),0),
ROUND(ROUND(OFFSET($P154,0,AI$13),15-13*ORÇAMENTO!$AF$7)*OFFSET(ORÇAMENTO!$W$15,ROW(AI154)-ROW(AI$15),0),15-13*ORÇAMENTO!$AF$11)),0)</f>
        <v>0</v>
      </c>
      <c r="AJ154" s="631">
        <f ca="1">IF(AND($D154="Serviço",AJ$12&lt;&gt;0,$H154&gt;0,OR(AUTOEVENTO&lt;&gt;"manual",$M154&lt;&gt;1)),
IF(Import.TipoArredondamento&lt;&gt;"TransfereGOV",
ROUND(OFFSET($P154,0,AJ$13),15-13*ORÇAMENTO!$AF$7)/$H154*OFFSET(ORÇAMENTO!$X$15,ROW(AJ154)-ROW(AJ$15),0),
ROUND(ROUND(OFFSET($P154,0,AJ$13),15-13*ORÇAMENTO!$AF$7)*OFFSET(ORÇAMENTO!$W$15,ROW(AJ154)-ROW(AJ$15),0),15-13*ORÇAMENTO!$AF$11)),0)</f>
        <v>0</v>
      </c>
      <c r="AK154" s="632">
        <f ca="1">IF(AND($D154="Serviço",AK$12&lt;&gt;0,$H154&gt;0,OR(AUTOEVENTO&lt;&gt;"manual",$M154&lt;&gt;1)),
IF(Import.TipoArredondamento&lt;&gt;"TransfereGOV",
ROUND(OFFSET($P154,0,AK$13),15-13*ORÇAMENTO!$AF$7)/$H154*OFFSET(ORÇAMENTO!$X$15,ROW(AK154)-ROW(AK$15),0),
ROUND(ROUND(OFFSET($P154,0,AK$13),15-13*ORÇAMENTO!$AF$7)*OFFSET(ORÇAMENTO!$W$15,ROW(AK154)-ROW(AK$15),0),15-13*ORÇAMENTO!$AF$11)),0)</f>
        <v>0</v>
      </c>
      <c r="AM154" s="215">
        <f ca="1">IF($D154&lt;&gt;"Serviço",0,IF(AND(AUTOEVENTO="Manual",$M154=1),0,IF(OFFSET(CRONOPLE!$F$14,$M154,AM$13)="",10^12,OFFSET(CRONOPLE!$F$14,$M154,AM$13))))</f>
        <v>1000000000000</v>
      </c>
      <c r="AN154" s="215">
        <f ca="1">IF($D154&lt;&gt;"Serviço",0,IF(AND(AUTOEVENTO="Manual",$M154=1),0,IF(OFFSET(CRONOPLE!$F$14,$M154,AN$13)="",10^12,OFFSET(CRONOPLE!$F$14,$M154,AN$13))))</f>
        <v>1000000000000</v>
      </c>
      <c r="AO154" s="215">
        <f ca="1">IF($D154&lt;&gt;"Serviço",0,IF(AND(AUTOEVENTO="Manual",$M154=1),0,IF(OFFSET(CRONOPLE!$F$14,$M154,AO$13)="",10^12,OFFSET(CRONOPLE!$F$14,$M154,AO$13))))</f>
        <v>1000000000000</v>
      </c>
      <c r="AP154" s="215">
        <f ca="1">IF($D154&lt;&gt;"Serviço",0,IF(AND(AUTOEVENTO="Manual",$M154=1),0,IF(OFFSET(CRONOPLE!$F$14,$M154,AP$13)="",10^12,OFFSET(CRONOPLE!$F$14,$M154,AP$13))))</f>
        <v>1000000000000</v>
      </c>
      <c r="AQ154" s="215">
        <f ca="1">IF($D154&lt;&gt;"Serviço",0,IF(AND(AUTOEVENTO="Manual",$M154=1),0,IF(OFFSET(CRONOPLE!$F$14,$M154,AQ$13)="",10^12,OFFSET(CRONOPLE!$F$14,$M154,AQ$13))))</f>
        <v>1000000000000</v>
      </c>
      <c r="AR154" s="215">
        <f ca="1">IF($D154&lt;&gt;"Serviço",0,IF(AND(AUTOEVENTO="Manual",$M154=1),0,IF(OFFSET(CRONOPLE!$F$14,$M154,AR$13)="",10^12,OFFSET(CRONOPLE!$F$14,$M154,AR$13))))</f>
        <v>1000000000000</v>
      </c>
      <c r="AS154" s="215">
        <f ca="1">IF($D154&lt;&gt;"Serviço",0,IF(AND(AUTOEVENTO="Manual",$M154=1),0,IF(OFFSET(CRONOPLE!$F$14,$M154,AS$13)="",10^12,OFFSET(CRONOPLE!$F$14,$M154,AS$13))))</f>
        <v>1000000000000</v>
      </c>
      <c r="AT154" s="215">
        <f ca="1">IF($D154&lt;&gt;"Serviço",0,IF(AND(AUTOEVENTO="Manual",$M154=1),0,IF(OFFSET(CRONOPLE!$F$14,$M154,AT$13)="",10^12,OFFSET(CRONOPLE!$F$14,$M154,AT$13))))</f>
        <v>1000000000000</v>
      </c>
      <c r="AU154" s="215">
        <f ca="1">IF($D154&lt;&gt;"Serviço",0,IF(AND(AUTOEVENTO="Manual",$M154=1),0,IF(OFFSET(CRONOPLE!$F$14,$M154,AU$13)="",10^12,OFFSET(CRONOPLE!$F$14,$M154,AU$13))))</f>
        <v>1000000000000</v>
      </c>
      <c r="AV154" s="215">
        <f ca="1">IF($D154&lt;&gt;"Serviço",0,IF(AND(AUTOEVENTO="Manual",$M154=1),0,IF(OFFSET(CRONOPLE!$F$14,$M154,AV$13)="",10^12,OFFSET(CRONOPLE!$F$14,$M154,AV$13))))</f>
        <v>1000000000000</v>
      </c>
      <c r="AX154" s="216">
        <f ca="1">IF($D154&lt;&gt;"Serviço",0,IF(OR(AND(AUTOEVENTO="Manual",$M154=1),$M154&gt;(ROW(PLE.lastrow)-ROW(PLE.firstrow))),0,IF(OFFSET(PLE!$G$14,$M154,AX$13)="",10^12,OFFSET(PLE!$G$14,$M154,AX$13))))</f>
        <v>1000000000000</v>
      </c>
      <c r="AY154" s="216">
        <f ca="1">IF($D154&lt;&gt;"Serviço",0,IF(OR(AND(AUTOEVENTO="Manual",$M154=1),$M154&gt;(ROW(PLE.lastrow)-ROW(PLE.firstrow))),0,IF(OFFSET(PLE!$G$14,$M154,AY$13)="",10^12,OFFSET(PLE!$G$14,$M154,AY$13))))</f>
        <v>1000000000000</v>
      </c>
      <c r="AZ154" s="216">
        <f ca="1">IF($D154&lt;&gt;"Serviço",0,IF(OR(AND(AUTOEVENTO="Manual",$M154=1),$M154&gt;(ROW(PLE.lastrow)-ROW(PLE.firstrow))),0,IF(OFFSET(PLE!$G$14,$M154,AZ$13)="",10^12,OFFSET(PLE!$G$14,$M154,AZ$13))))</f>
        <v>1000000000000</v>
      </c>
      <c r="BA154" s="216">
        <f ca="1">IF($D154&lt;&gt;"Serviço",0,IF(OR(AND(AUTOEVENTO="Manual",$M154=1),$M154&gt;(ROW(PLE.lastrow)-ROW(PLE.firstrow))),0,IF(OFFSET(PLE!$G$14,$M154,BA$13)="",10^12,OFFSET(PLE!$G$14,$M154,BA$13))))</f>
        <v>1000000000000</v>
      </c>
      <c r="BB154" s="216">
        <f ca="1">IF($D154&lt;&gt;"Serviço",0,IF(OR(AND(AUTOEVENTO="Manual",$M154=1),$M154&gt;(ROW(PLE.lastrow)-ROW(PLE.firstrow))),0,IF(OFFSET(PLE!$G$14,$M154,BB$13)="",10^12,OFFSET(PLE!$G$14,$M154,BB$13))))</f>
        <v>1000000000000</v>
      </c>
      <c r="BC154" s="216">
        <f ca="1">IF($D154&lt;&gt;"Serviço",0,IF(OR(AND(AUTOEVENTO="Manual",$M154=1),$M154&gt;(ROW(PLE.lastrow)-ROW(PLE.firstrow))),0,IF(OFFSET(PLE!$G$14,$M154,BC$13)="",10^12,OFFSET(PLE!$G$14,$M154,BC$13))))</f>
        <v>1000000000000</v>
      </c>
      <c r="BD154" s="216">
        <f ca="1">IF($D154&lt;&gt;"Serviço",0,IF(OR(AND(AUTOEVENTO="Manual",$M154=1),$M154&gt;(ROW(PLE.lastrow)-ROW(PLE.firstrow))),0,IF(OFFSET(PLE!$G$14,$M154,BD$13)="",10^12,OFFSET(PLE!$G$14,$M154,BD$13))))</f>
        <v>1000000000000</v>
      </c>
      <c r="BE154" s="216">
        <f ca="1">IF($D154&lt;&gt;"Serviço",0,IF(OR(AND(AUTOEVENTO="Manual",$M154=1),$M154&gt;(ROW(PLE.lastrow)-ROW(PLE.firstrow))),0,IF(OFFSET(PLE!$G$14,$M154,BE$13)="",10^12,OFFSET(PLE!$G$14,$M154,BE$13))))</f>
        <v>1000000000000</v>
      </c>
      <c r="BF154" s="216">
        <f ca="1">IF($D154&lt;&gt;"Serviço",0,IF(OR(AND(AUTOEVENTO="Manual",$M154=1),$M154&gt;(ROW(PLE.lastrow)-ROW(PLE.firstrow))),0,IF(OFFSET(PLE!$G$14,$M154,BF$13)="",10^12,OFFSET(PLE!$G$14,$M154,BF$13))))</f>
        <v>1000000000000</v>
      </c>
      <c r="BG154" s="216">
        <f ca="1">IF($D154&lt;&gt;"Serviço",0,IF(OR(AND(AUTOEVENTO="Manual",$M154=1),$M154&gt;(ROW(PLE.lastrow)-ROW(PLE.firstrow))),0,IF(OFFSET(PLE!$G$14,$M154,BG$13)="",10^12,OFFSET(PLE!$G$14,$M154,BG$13))))</f>
        <v>1000000000000</v>
      </c>
    </row>
    <row r="155" spans="1:59" ht="38.25" x14ac:dyDescent="0.2">
      <c r="A155" s="9" t="str">
        <f t="shared" ca="1" si="11"/>
        <v>134</v>
      </c>
      <c r="B155" s="9" t="str">
        <f ca="1">OFFSET(ORÇAMENTO!C$15,ROW(B155)-ROW(B$15),0)</f>
        <v>S</v>
      </c>
      <c r="C155" s="9" t="str">
        <f ca="1">OFFSET(ORÇAMENTO!L$15,ROW(C155)-ROW(C$15),0)</f>
        <v/>
      </c>
      <c r="D155" s="145" t="str">
        <f ca="1">OFFSET(ORÇAMENTO!N$15,ROW(D155)-ROW(D$15),0)</f>
        <v>Serviço</v>
      </c>
      <c r="E155" s="205" t="str">
        <f ca="1">OFFSET(ORÇAMENTO!O$15,ROW(E155)-ROW(E$15),0)</f>
        <v>-</v>
      </c>
      <c r="F155" s="206" t="str">
        <f ca="1">OFFSET(ORÇAMENTO!R$15,ROW(F155)-ROW(F$15),0)</f>
        <v>LUVA DE TRANSIÇÃO, CPVC, SOLDÁVEL, DN 22MM X 25MM, INSTALADO EM RAMAL DE DISTRIBUIÇÃO DE ÁGUA   FORNECIMENTO E INSTALAÇÃO. AF_06/2022</v>
      </c>
      <c r="G155" s="207" t="str">
        <f ca="1">IF($D155&lt;&gt;"Serviço","",OFFSET(ORÇAMENTO!S$15,ROW(G155)-ROW(G$15),0))</f>
        <v>UN</v>
      </c>
      <c r="H155" s="151">
        <f ca="1">IF($D155&lt;&gt;"Serviço",0,IF(ACOMPANHAMENTO="BM",ROUND(OFFSET(ORÇAMENTO!AJ$15,ROW(H155)-ROW(H$15),0),15-13*ORÇAMENTO!$AF$7),SUMPRODUCT(($Q$12:$AA$12&lt;&gt;"")*ROUND($Q155:$AA155,15-13*ORÇAMENTO!$AF$7))))</f>
        <v>5</v>
      </c>
      <c r="I155" s="649"/>
      <c r="K155" s="208"/>
      <c r="L155" s="209" t="s">
        <v>255</v>
      </c>
      <c r="M155" s="210">
        <f ca="1">IF($D155&lt;&gt;"Serviço","",IF(AUTOEVENTO="manual",$A155,IF(ISERROR(MATCH($A155,$A$15:OFFSET($A155,-1,0),0)),MAX($M$15:OFFSET(M155,-1,0))+1,INDEX($M$15:OFFSET(M155,-1,0),MATCH($A155,$A$15:OFFSET($A155,-1,0),0)))))</f>
        <v>20</v>
      </c>
      <c r="N155" s="211" t="str">
        <f ca="1">IF($D155&lt;&gt;"Serviço","",IF(AUTOEVENTO="Manual",IF($A155=0,"&lt;-- defina o número do agrupador",OFFSET(EVENTOS!$D$14,$A155,0)),OFFSET($F$15,$A155,0)))</f>
        <v>HIDRAULICO</v>
      </c>
      <c r="O155" s="212"/>
      <c r="Q155" s="212"/>
      <c r="R155" s="213"/>
      <c r="S155" s="213"/>
      <c r="T155" s="213"/>
      <c r="U155" s="213"/>
      <c r="V155" s="213"/>
      <c r="W155" s="213"/>
      <c r="X155" s="213"/>
      <c r="Y155" s="213"/>
      <c r="Z155" s="214"/>
      <c r="AB155" s="630">
        <f ca="1">IF(AND($D155="Serviço",AB$12&lt;&gt;0,$H155&gt;0,OR(AUTOEVENTO&lt;&gt;"manual",$M155&lt;&gt;1)),
IF(Import.TipoArredondamento&lt;&gt;"TransfereGOV",
ROUND(OFFSET($P155,0,AB$13),15-13*ORÇAMENTO!$AF$7)/$H155*OFFSET(ORÇAMENTO!$X$15,ROW(AB155)-ROW(AB$15),0),
ROUND(ROUND(OFFSET($P155,0,AB$13),15-13*ORÇAMENTO!$AF$7)*OFFSET(ORÇAMENTO!$W$15,ROW(AB155)-ROW(AB$15),0),15-13*ORÇAMENTO!$AF$11)),0)</f>
        <v>0</v>
      </c>
      <c r="AC155" s="631">
        <f ca="1">IF(AND($D155="Serviço",AC$12&lt;&gt;0,$H155&gt;0,OR(AUTOEVENTO&lt;&gt;"manual",$M155&lt;&gt;1)),
IF(Import.TipoArredondamento&lt;&gt;"TransfereGOV",
ROUND(OFFSET($P155,0,AC$13),15-13*ORÇAMENTO!$AF$7)/$H155*OFFSET(ORÇAMENTO!$X$15,ROW(AC155)-ROW(AC$15),0),
ROUND(ROUND(OFFSET($P155,0,AC$13),15-13*ORÇAMENTO!$AF$7)*OFFSET(ORÇAMENTO!$W$15,ROW(AC155)-ROW(AC$15),0),15-13*ORÇAMENTO!$AF$11)),0)</f>
        <v>0</v>
      </c>
      <c r="AD155" s="631">
        <f ca="1">IF(AND($D155="Serviço",AD$12&lt;&gt;0,$H155&gt;0,OR(AUTOEVENTO&lt;&gt;"manual",$M155&lt;&gt;1)),
IF(Import.TipoArredondamento&lt;&gt;"TransfereGOV",
ROUND(OFFSET($P155,0,AD$13),15-13*ORÇAMENTO!$AF$7)/$H155*OFFSET(ORÇAMENTO!$X$15,ROW(AD155)-ROW(AD$15),0),
ROUND(ROUND(OFFSET($P155,0,AD$13),15-13*ORÇAMENTO!$AF$7)*OFFSET(ORÇAMENTO!$W$15,ROW(AD155)-ROW(AD$15),0),15-13*ORÇAMENTO!$AF$11)),0)</f>
        <v>0</v>
      </c>
      <c r="AE155" s="631">
        <f ca="1">IF(AND($D155="Serviço",AE$12&lt;&gt;0,$H155&gt;0,OR(AUTOEVENTO&lt;&gt;"manual",$M155&lt;&gt;1)),
IF(Import.TipoArredondamento&lt;&gt;"TransfereGOV",
ROUND(OFFSET($P155,0,AE$13),15-13*ORÇAMENTO!$AF$7)/$H155*OFFSET(ORÇAMENTO!$X$15,ROW(AE155)-ROW(AE$15),0),
ROUND(ROUND(OFFSET($P155,0,AE$13),15-13*ORÇAMENTO!$AF$7)*OFFSET(ORÇAMENTO!$W$15,ROW(AE155)-ROW(AE$15),0),15-13*ORÇAMENTO!$AF$11)),0)</f>
        <v>0</v>
      </c>
      <c r="AF155" s="631">
        <f ca="1">IF(AND($D155="Serviço",AF$12&lt;&gt;0,$H155&gt;0,OR(AUTOEVENTO&lt;&gt;"manual",$M155&lt;&gt;1)),
IF(Import.TipoArredondamento&lt;&gt;"TransfereGOV",
ROUND(OFFSET($P155,0,AF$13),15-13*ORÇAMENTO!$AF$7)/$H155*OFFSET(ORÇAMENTO!$X$15,ROW(AF155)-ROW(AF$15),0),
ROUND(ROUND(OFFSET($P155,0,AF$13),15-13*ORÇAMENTO!$AF$7)*OFFSET(ORÇAMENTO!$W$15,ROW(AF155)-ROW(AF$15),0),15-13*ORÇAMENTO!$AF$11)),0)</f>
        <v>0</v>
      </c>
      <c r="AG155" s="631">
        <f ca="1">IF(AND($D155="Serviço",AG$12&lt;&gt;0,$H155&gt;0,OR(AUTOEVENTO&lt;&gt;"manual",$M155&lt;&gt;1)),
IF(Import.TipoArredondamento&lt;&gt;"TransfereGOV",
ROUND(OFFSET($P155,0,AG$13),15-13*ORÇAMENTO!$AF$7)/$H155*OFFSET(ORÇAMENTO!$X$15,ROW(AG155)-ROW(AG$15),0),
ROUND(ROUND(OFFSET($P155,0,AG$13),15-13*ORÇAMENTO!$AF$7)*OFFSET(ORÇAMENTO!$W$15,ROW(AG155)-ROW(AG$15),0),15-13*ORÇAMENTO!$AF$11)),0)</f>
        <v>0</v>
      </c>
      <c r="AH155" s="631">
        <f ca="1">IF(AND($D155="Serviço",AH$12&lt;&gt;0,$H155&gt;0,OR(AUTOEVENTO&lt;&gt;"manual",$M155&lt;&gt;1)),
IF(Import.TipoArredondamento&lt;&gt;"TransfereGOV",
ROUND(OFFSET($P155,0,AH$13),15-13*ORÇAMENTO!$AF$7)/$H155*OFFSET(ORÇAMENTO!$X$15,ROW(AH155)-ROW(AH$15),0),
ROUND(ROUND(OFFSET($P155,0,AH$13),15-13*ORÇAMENTO!$AF$7)*OFFSET(ORÇAMENTO!$W$15,ROW(AH155)-ROW(AH$15),0),15-13*ORÇAMENTO!$AF$11)),0)</f>
        <v>0</v>
      </c>
      <c r="AI155" s="631">
        <f ca="1">IF(AND($D155="Serviço",AI$12&lt;&gt;0,$H155&gt;0,OR(AUTOEVENTO&lt;&gt;"manual",$M155&lt;&gt;1)),
IF(Import.TipoArredondamento&lt;&gt;"TransfereGOV",
ROUND(OFFSET($P155,0,AI$13),15-13*ORÇAMENTO!$AF$7)/$H155*OFFSET(ORÇAMENTO!$X$15,ROW(AI155)-ROW(AI$15),0),
ROUND(ROUND(OFFSET($P155,0,AI$13),15-13*ORÇAMENTO!$AF$7)*OFFSET(ORÇAMENTO!$W$15,ROW(AI155)-ROW(AI$15),0),15-13*ORÇAMENTO!$AF$11)),0)</f>
        <v>0</v>
      </c>
      <c r="AJ155" s="631">
        <f ca="1">IF(AND($D155="Serviço",AJ$12&lt;&gt;0,$H155&gt;0,OR(AUTOEVENTO&lt;&gt;"manual",$M155&lt;&gt;1)),
IF(Import.TipoArredondamento&lt;&gt;"TransfereGOV",
ROUND(OFFSET($P155,0,AJ$13),15-13*ORÇAMENTO!$AF$7)/$H155*OFFSET(ORÇAMENTO!$X$15,ROW(AJ155)-ROW(AJ$15),0),
ROUND(ROUND(OFFSET($P155,0,AJ$13),15-13*ORÇAMENTO!$AF$7)*OFFSET(ORÇAMENTO!$W$15,ROW(AJ155)-ROW(AJ$15),0),15-13*ORÇAMENTO!$AF$11)),0)</f>
        <v>0</v>
      </c>
      <c r="AK155" s="632">
        <f ca="1">IF(AND($D155="Serviço",AK$12&lt;&gt;0,$H155&gt;0,OR(AUTOEVENTO&lt;&gt;"manual",$M155&lt;&gt;1)),
IF(Import.TipoArredondamento&lt;&gt;"TransfereGOV",
ROUND(OFFSET($P155,0,AK$13),15-13*ORÇAMENTO!$AF$7)/$H155*OFFSET(ORÇAMENTO!$X$15,ROW(AK155)-ROW(AK$15),0),
ROUND(ROUND(OFFSET($P155,0,AK$13),15-13*ORÇAMENTO!$AF$7)*OFFSET(ORÇAMENTO!$W$15,ROW(AK155)-ROW(AK$15),0),15-13*ORÇAMENTO!$AF$11)),0)</f>
        <v>0</v>
      </c>
      <c r="AM155" s="215">
        <f ca="1">IF($D155&lt;&gt;"Serviço",0,IF(AND(AUTOEVENTO="Manual",$M155=1),0,IF(OFFSET(CRONOPLE!$F$14,$M155,AM$13)="",10^12,OFFSET(CRONOPLE!$F$14,$M155,AM$13))))</f>
        <v>1000000000000</v>
      </c>
      <c r="AN155" s="215">
        <f ca="1">IF($D155&lt;&gt;"Serviço",0,IF(AND(AUTOEVENTO="Manual",$M155=1),0,IF(OFFSET(CRONOPLE!$F$14,$M155,AN$13)="",10^12,OFFSET(CRONOPLE!$F$14,$M155,AN$13))))</f>
        <v>1000000000000</v>
      </c>
      <c r="AO155" s="215">
        <f ca="1">IF($D155&lt;&gt;"Serviço",0,IF(AND(AUTOEVENTO="Manual",$M155=1),0,IF(OFFSET(CRONOPLE!$F$14,$M155,AO$13)="",10^12,OFFSET(CRONOPLE!$F$14,$M155,AO$13))))</f>
        <v>1000000000000</v>
      </c>
      <c r="AP155" s="215">
        <f ca="1">IF($D155&lt;&gt;"Serviço",0,IF(AND(AUTOEVENTO="Manual",$M155=1),0,IF(OFFSET(CRONOPLE!$F$14,$M155,AP$13)="",10^12,OFFSET(CRONOPLE!$F$14,$M155,AP$13))))</f>
        <v>1000000000000</v>
      </c>
      <c r="AQ155" s="215">
        <f ca="1">IF($D155&lt;&gt;"Serviço",0,IF(AND(AUTOEVENTO="Manual",$M155=1),0,IF(OFFSET(CRONOPLE!$F$14,$M155,AQ$13)="",10^12,OFFSET(CRONOPLE!$F$14,$M155,AQ$13))))</f>
        <v>1000000000000</v>
      </c>
      <c r="AR155" s="215">
        <f ca="1">IF($D155&lt;&gt;"Serviço",0,IF(AND(AUTOEVENTO="Manual",$M155=1),0,IF(OFFSET(CRONOPLE!$F$14,$M155,AR$13)="",10^12,OFFSET(CRONOPLE!$F$14,$M155,AR$13))))</f>
        <v>1000000000000</v>
      </c>
      <c r="AS155" s="215">
        <f ca="1">IF($D155&lt;&gt;"Serviço",0,IF(AND(AUTOEVENTO="Manual",$M155=1),0,IF(OFFSET(CRONOPLE!$F$14,$M155,AS$13)="",10^12,OFFSET(CRONOPLE!$F$14,$M155,AS$13))))</f>
        <v>1000000000000</v>
      </c>
      <c r="AT155" s="215">
        <f ca="1">IF($D155&lt;&gt;"Serviço",0,IF(AND(AUTOEVENTO="Manual",$M155=1),0,IF(OFFSET(CRONOPLE!$F$14,$M155,AT$13)="",10^12,OFFSET(CRONOPLE!$F$14,$M155,AT$13))))</f>
        <v>1000000000000</v>
      </c>
      <c r="AU155" s="215">
        <f ca="1">IF($D155&lt;&gt;"Serviço",0,IF(AND(AUTOEVENTO="Manual",$M155=1),0,IF(OFFSET(CRONOPLE!$F$14,$M155,AU$13)="",10^12,OFFSET(CRONOPLE!$F$14,$M155,AU$13))))</f>
        <v>1000000000000</v>
      </c>
      <c r="AV155" s="215">
        <f ca="1">IF($D155&lt;&gt;"Serviço",0,IF(AND(AUTOEVENTO="Manual",$M155=1),0,IF(OFFSET(CRONOPLE!$F$14,$M155,AV$13)="",10^12,OFFSET(CRONOPLE!$F$14,$M155,AV$13))))</f>
        <v>1000000000000</v>
      </c>
      <c r="AX155" s="216">
        <f ca="1">IF($D155&lt;&gt;"Serviço",0,IF(OR(AND(AUTOEVENTO="Manual",$M155=1),$M155&gt;(ROW(PLE.lastrow)-ROW(PLE.firstrow))),0,IF(OFFSET(PLE!$G$14,$M155,AX$13)="",10^12,OFFSET(PLE!$G$14,$M155,AX$13))))</f>
        <v>1000000000000</v>
      </c>
      <c r="AY155" s="216">
        <f ca="1">IF($D155&lt;&gt;"Serviço",0,IF(OR(AND(AUTOEVENTO="Manual",$M155=1),$M155&gt;(ROW(PLE.lastrow)-ROW(PLE.firstrow))),0,IF(OFFSET(PLE!$G$14,$M155,AY$13)="",10^12,OFFSET(PLE!$G$14,$M155,AY$13))))</f>
        <v>1000000000000</v>
      </c>
      <c r="AZ155" s="216">
        <f ca="1">IF($D155&lt;&gt;"Serviço",0,IF(OR(AND(AUTOEVENTO="Manual",$M155=1),$M155&gt;(ROW(PLE.lastrow)-ROW(PLE.firstrow))),0,IF(OFFSET(PLE!$G$14,$M155,AZ$13)="",10^12,OFFSET(PLE!$G$14,$M155,AZ$13))))</f>
        <v>1000000000000</v>
      </c>
      <c r="BA155" s="216">
        <f ca="1">IF($D155&lt;&gt;"Serviço",0,IF(OR(AND(AUTOEVENTO="Manual",$M155=1),$M155&gt;(ROW(PLE.lastrow)-ROW(PLE.firstrow))),0,IF(OFFSET(PLE!$G$14,$M155,BA$13)="",10^12,OFFSET(PLE!$G$14,$M155,BA$13))))</f>
        <v>1000000000000</v>
      </c>
      <c r="BB155" s="216">
        <f ca="1">IF($D155&lt;&gt;"Serviço",0,IF(OR(AND(AUTOEVENTO="Manual",$M155=1),$M155&gt;(ROW(PLE.lastrow)-ROW(PLE.firstrow))),0,IF(OFFSET(PLE!$G$14,$M155,BB$13)="",10^12,OFFSET(PLE!$G$14,$M155,BB$13))))</f>
        <v>1000000000000</v>
      </c>
      <c r="BC155" s="216">
        <f ca="1">IF($D155&lt;&gt;"Serviço",0,IF(OR(AND(AUTOEVENTO="Manual",$M155=1),$M155&gt;(ROW(PLE.lastrow)-ROW(PLE.firstrow))),0,IF(OFFSET(PLE!$G$14,$M155,BC$13)="",10^12,OFFSET(PLE!$G$14,$M155,BC$13))))</f>
        <v>1000000000000</v>
      </c>
      <c r="BD155" s="216">
        <f ca="1">IF($D155&lt;&gt;"Serviço",0,IF(OR(AND(AUTOEVENTO="Manual",$M155=1),$M155&gt;(ROW(PLE.lastrow)-ROW(PLE.firstrow))),0,IF(OFFSET(PLE!$G$14,$M155,BD$13)="",10^12,OFFSET(PLE!$G$14,$M155,BD$13))))</f>
        <v>1000000000000</v>
      </c>
      <c r="BE155" s="216">
        <f ca="1">IF($D155&lt;&gt;"Serviço",0,IF(OR(AND(AUTOEVENTO="Manual",$M155=1),$M155&gt;(ROW(PLE.lastrow)-ROW(PLE.firstrow))),0,IF(OFFSET(PLE!$G$14,$M155,BE$13)="",10^12,OFFSET(PLE!$G$14,$M155,BE$13))))</f>
        <v>1000000000000</v>
      </c>
      <c r="BF155" s="216">
        <f ca="1">IF($D155&lt;&gt;"Serviço",0,IF(OR(AND(AUTOEVENTO="Manual",$M155=1),$M155&gt;(ROW(PLE.lastrow)-ROW(PLE.firstrow))),0,IF(OFFSET(PLE!$G$14,$M155,BF$13)="",10^12,OFFSET(PLE!$G$14,$M155,BF$13))))</f>
        <v>1000000000000</v>
      </c>
      <c r="BG155" s="216">
        <f ca="1">IF($D155&lt;&gt;"Serviço",0,IF(OR(AND(AUTOEVENTO="Manual",$M155=1),$M155&gt;(ROW(PLE.lastrow)-ROW(PLE.firstrow))),0,IF(OFFSET(PLE!$G$14,$M155,BG$13)="",10^12,OFFSET(PLE!$G$14,$M155,BG$13))))</f>
        <v>1000000000000</v>
      </c>
    </row>
    <row r="156" spans="1:59" ht="38.25" x14ac:dyDescent="0.2">
      <c r="A156" s="9" t="str">
        <f t="shared" ca="1" si="11"/>
        <v>134</v>
      </c>
      <c r="B156" s="9" t="str">
        <f ca="1">OFFSET(ORÇAMENTO!C$15,ROW(B156)-ROW(B$15),0)</f>
        <v>S</v>
      </c>
      <c r="C156" s="9" t="str">
        <f ca="1">OFFSET(ORÇAMENTO!L$15,ROW(C156)-ROW(C$15),0)</f>
        <v/>
      </c>
      <c r="D156" s="145" t="str">
        <f ca="1">OFFSET(ORÇAMENTO!N$15,ROW(D156)-ROW(D$15),0)</f>
        <v>Serviço</v>
      </c>
      <c r="E156" s="205" t="str">
        <f ca="1">OFFSET(ORÇAMENTO!O$15,ROW(E156)-ROW(E$15),0)</f>
        <v>-</v>
      </c>
      <c r="F156" s="206" t="str">
        <f ca="1">OFFSET(ORÇAMENTO!R$15,ROW(F156)-ROW(F$15),0)</f>
        <v>TUBO, PVC, SOLDÁVEL, DE 32MM, INSTALADO EM RAMAL DE DISTRIBUIÇÃO DE ÁGUA - FORNECIMENTO E INSTALAÇÃO. AF_06/2022</v>
      </c>
      <c r="G156" s="207" t="str">
        <f ca="1">IF($D156&lt;&gt;"Serviço","",OFFSET(ORÇAMENTO!S$15,ROW(G156)-ROW(G$15),0))</f>
        <v>M</v>
      </c>
      <c r="H156" s="151">
        <f ca="1">IF($D156&lt;&gt;"Serviço",0,IF(ACOMPANHAMENTO="BM",ROUND(OFFSET(ORÇAMENTO!AJ$15,ROW(H156)-ROW(H$15),0),15-13*ORÇAMENTO!$AF$7),SUMPRODUCT(($Q$12:$AA$12&lt;&gt;"")*ROUND($Q156:$AA156,15-13*ORÇAMENTO!$AF$7))))</f>
        <v>90</v>
      </c>
      <c r="I156" s="649"/>
      <c r="K156" s="208"/>
      <c r="L156" s="209" t="s">
        <v>255</v>
      </c>
      <c r="M156" s="210">
        <f ca="1">IF($D156&lt;&gt;"Serviço","",IF(AUTOEVENTO="manual",$A156,IF(ISERROR(MATCH($A156,$A$15:OFFSET($A156,-1,0),0)),MAX($M$15:OFFSET(M156,-1,0))+1,INDEX($M$15:OFFSET(M156,-1,0),MATCH($A156,$A$15:OFFSET($A156,-1,0),0)))))</f>
        <v>20</v>
      </c>
      <c r="N156" s="211" t="str">
        <f ca="1">IF($D156&lt;&gt;"Serviço","",IF(AUTOEVENTO="Manual",IF($A156=0,"&lt;-- defina o número do agrupador",OFFSET(EVENTOS!$D$14,$A156,0)),OFFSET($F$15,$A156,0)))</f>
        <v>HIDRAULICO</v>
      </c>
      <c r="O156" s="212"/>
      <c r="Q156" s="212"/>
      <c r="R156" s="213"/>
      <c r="S156" s="213"/>
      <c r="T156" s="213"/>
      <c r="U156" s="213"/>
      <c r="V156" s="213"/>
      <c r="W156" s="213"/>
      <c r="X156" s="213"/>
      <c r="Y156" s="213"/>
      <c r="Z156" s="214"/>
      <c r="AB156" s="630">
        <f ca="1">IF(AND($D156="Serviço",AB$12&lt;&gt;0,$H156&gt;0,OR(AUTOEVENTO&lt;&gt;"manual",$M156&lt;&gt;1)),
IF(Import.TipoArredondamento&lt;&gt;"TransfereGOV",
ROUND(OFFSET($P156,0,AB$13),15-13*ORÇAMENTO!$AF$7)/$H156*OFFSET(ORÇAMENTO!$X$15,ROW(AB156)-ROW(AB$15),0),
ROUND(ROUND(OFFSET($P156,0,AB$13),15-13*ORÇAMENTO!$AF$7)*OFFSET(ORÇAMENTO!$W$15,ROW(AB156)-ROW(AB$15),0),15-13*ORÇAMENTO!$AF$11)),0)</f>
        <v>0</v>
      </c>
      <c r="AC156" s="631">
        <f ca="1">IF(AND($D156="Serviço",AC$12&lt;&gt;0,$H156&gt;0,OR(AUTOEVENTO&lt;&gt;"manual",$M156&lt;&gt;1)),
IF(Import.TipoArredondamento&lt;&gt;"TransfereGOV",
ROUND(OFFSET($P156,0,AC$13),15-13*ORÇAMENTO!$AF$7)/$H156*OFFSET(ORÇAMENTO!$X$15,ROW(AC156)-ROW(AC$15),0),
ROUND(ROUND(OFFSET($P156,0,AC$13),15-13*ORÇAMENTO!$AF$7)*OFFSET(ORÇAMENTO!$W$15,ROW(AC156)-ROW(AC$15),0),15-13*ORÇAMENTO!$AF$11)),0)</f>
        <v>0</v>
      </c>
      <c r="AD156" s="631">
        <f ca="1">IF(AND($D156="Serviço",AD$12&lt;&gt;0,$H156&gt;0,OR(AUTOEVENTO&lt;&gt;"manual",$M156&lt;&gt;1)),
IF(Import.TipoArredondamento&lt;&gt;"TransfereGOV",
ROUND(OFFSET($P156,0,AD$13),15-13*ORÇAMENTO!$AF$7)/$H156*OFFSET(ORÇAMENTO!$X$15,ROW(AD156)-ROW(AD$15),0),
ROUND(ROUND(OFFSET($P156,0,AD$13),15-13*ORÇAMENTO!$AF$7)*OFFSET(ORÇAMENTO!$W$15,ROW(AD156)-ROW(AD$15),0),15-13*ORÇAMENTO!$AF$11)),0)</f>
        <v>0</v>
      </c>
      <c r="AE156" s="631">
        <f ca="1">IF(AND($D156="Serviço",AE$12&lt;&gt;0,$H156&gt;0,OR(AUTOEVENTO&lt;&gt;"manual",$M156&lt;&gt;1)),
IF(Import.TipoArredondamento&lt;&gt;"TransfereGOV",
ROUND(OFFSET($P156,0,AE$13),15-13*ORÇAMENTO!$AF$7)/$H156*OFFSET(ORÇAMENTO!$X$15,ROW(AE156)-ROW(AE$15),0),
ROUND(ROUND(OFFSET($P156,0,AE$13),15-13*ORÇAMENTO!$AF$7)*OFFSET(ORÇAMENTO!$W$15,ROW(AE156)-ROW(AE$15),0),15-13*ORÇAMENTO!$AF$11)),0)</f>
        <v>0</v>
      </c>
      <c r="AF156" s="631">
        <f ca="1">IF(AND($D156="Serviço",AF$12&lt;&gt;0,$H156&gt;0,OR(AUTOEVENTO&lt;&gt;"manual",$M156&lt;&gt;1)),
IF(Import.TipoArredondamento&lt;&gt;"TransfereGOV",
ROUND(OFFSET($P156,0,AF$13),15-13*ORÇAMENTO!$AF$7)/$H156*OFFSET(ORÇAMENTO!$X$15,ROW(AF156)-ROW(AF$15),0),
ROUND(ROUND(OFFSET($P156,0,AF$13),15-13*ORÇAMENTO!$AF$7)*OFFSET(ORÇAMENTO!$W$15,ROW(AF156)-ROW(AF$15),0),15-13*ORÇAMENTO!$AF$11)),0)</f>
        <v>0</v>
      </c>
      <c r="AG156" s="631">
        <f ca="1">IF(AND($D156="Serviço",AG$12&lt;&gt;0,$H156&gt;0,OR(AUTOEVENTO&lt;&gt;"manual",$M156&lt;&gt;1)),
IF(Import.TipoArredondamento&lt;&gt;"TransfereGOV",
ROUND(OFFSET($P156,0,AG$13),15-13*ORÇAMENTO!$AF$7)/$H156*OFFSET(ORÇAMENTO!$X$15,ROW(AG156)-ROW(AG$15),0),
ROUND(ROUND(OFFSET($P156,0,AG$13),15-13*ORÇAMENTO!$AF$7)*OFFSET(ORÇAMENTO!$W$15,ROW(AG156)-ROW(AG$15),0),15-13*ORÇAMENTO!$AF$11)),0)</f>
        <v>0</v>
      </c>
      <c r="AH156" s="631">
        <f ca="1">IF(AND($D156="Serviço",AH$12&lt;&gt;0,$H156&gt;0,OR(AUTOEVENTO&lt;&gt;"manual",$M156&lt;&gt;1)),
IF(Import.TipoArredondamento&lt;&gt;"TransfereGOV",
ROUND(OFFSET($P156,0,AH$13),15-13*ORÇAMENTO!$AF$7)/$H156*OFFSET(ORÇAMENTO!$X$15,ROW(AH156)-ROW(AH$15),0),
ROUND(ROUND(OFFSET($P156,0,AH$13),15-13*ORÇAMENTO!$AF$7)*OFFSET(ORÇAMENTO!$W$15,ROW(AH156)-ROW(AH$15),0),15-13*ORÇAMENTO!$AF$11)),0)</f>
        <v>0</v>
      </c>
      <c r="AI156" s="631">
        <f ca="1">IF(AND($D156="Serviço",AI$12&lt;&gt;0,$H156&gt;0,OR(AUTOEVENTO&lt;&gt;"manual",$M156&lt;&gt;1)),
IF(Import.TipoArredondamento&lt;&gt;"TransfereGOV",
ROUND(OFFSET($P156,0,AI$13),15-13*ORÇAMENTO!$AF$7)/$H156*OFFSET(ORÇAMENTO!$X$15,ROW(AI156)-ROW(AI$15),0),
ROUND(ROUND(OFFSET($P156,0,AI$13),15-13*ORÇAMENTO!$AF$7)*OFFSET(ORÇAMENTO!$W$15,ROW(AI156)-ROW(AI$15),0),15-13*ORÇAMENTO!$AF$11)),0)</f>
        <v>0</v>
      </c>
      <c r="AJ156" s="631">
        <f ca="1">IF(AND($D156="Serviço",AJ$12&lt;&gt;0,$H156&gt;0,OR(AUTOEVENTO&lt;&gt;"manual",$M156&lt;&gt;1)),
IF(Import.TipoArredondamento&lt;&gt;"TransfereGOV",
ROUND(OFFSET($P156,0,AJ$13),15-13*ORÇAMENTO!$AF$7)/$H156*OFFSET(ORÇAMENTO!$X$15,ROW(AJ156)-ROW(AJ$15),0),
ROUND(ROUND(OFFSET($P156,0,AJ$13),15-13*ORÇAMENTO!$AF$7)*OFFSET(ORÇAMENTO!$W$15,ROW(AJ156)-ROW(AJ$15),0),15-13*ORÇAMENTO!$AF$11)),0)</f>
        <v>0</v>
      </c>
      <c r="AK156" s="632">
        <f ca="1">IF(AND($D156="Serviço",AK$12&lt;&gt;0,$H156&gt;0,OR(AUTOEVENTO&lt;&gt;"manual",$M156&lt;&gt;1)),
IF(Import.TipoArredondamento&lt;&gt;"TransfereGOV",
ROUND(OFFSET($P156,0,AK$13),15-13*ORÇAMENTO!$AF$7)/$H156*OFFSET(ORÇAMENTO!$X$15,ROW(AK156)-ROW(AK$15),0),
ROUND(ROUND(OFFSET($P156,0,AK$13),15-13*ORÇAMENTO!$AF$7)*OFFSET(ORÇAMENTO!$W$15,ROW(AK156)-ROW(AK$15),0),15-13*ORÇAMENTO!$AF$11)),0)</f>
        <v>0</v>
      </c>
      <c r="AM156" s="215">
        <f ca="1">IF($D156&lt;&gt;"Serviço",0,IF(AND(AUTOEVENTO="Manual",$M156=1),0,IF(OFFSET(CRONOPLE!$F$14,$M156,AM$13)="",10^12,OFFSET(CRONOPLE!$F$14,$M156,AM$13))))</f>
        <v>1000000000000</v>
      </c>
      <c r="AN156" s="215">
        <f ca="1">IF($D156&lt;&gt;"Serviço",0,IF(AND(AUTOEVENTO="Manual",$M156=1),0,IF(OFFSET(CRONOPLE!$F$14,$M156,AN$13)="",10^12,OFFSET(CRONOPLE!$F$14,$M156,AN$13))))</f>
        <v>1000000000000</v>
      </c>
      <c r="AO156" s="215">
        <f ca="1">IF($D156&lt;&gt;"Serviço",0,IF(AND(AUTOEVENTO="Manual",$M156=1),0,IF(OFFSET(CRONOPLE!$F$14,$M156,AO$13)="",10^12,OFFSET(CRONOPLE!$F$14,$M156,AO$13))))</f>
        <v>1000000000000</v>
      </c>
      <c r="AP156" s="215">
        <f ca="1">IF($D156&lt;&gt;"Serviço",0,IF(AND(AUTOEVENTO="Manual",$M156=1),0,IF(OFFSET(CRONOPLE!$F$14,$M156,AP$13)="",10^12,OFFSET(CRONOPLE!$F$14,$M156,AP$13))))</f>
        <v>1000000000000</v>
      </c>
      <c r="AQ156" s="215">
        <f ca="1">IF($D156&lt;&gt;"Serviço",0,IF(AND(AUTOEVENTO="Manual",$M156=1),0,IF(OFFSET(CRONOPLE!$F$14,$M156,AQ$13)="",10^12,OFFSET(CRONOPLE!$F$14,$M156,AQ$13))))</f>
        <v>1000000000000</v>
      </c>
      <c r="AR156" s="215">
        <f ca="1">IF($D156&lt;&gt;"Serviço",0,IF(AND(AUTOEVENTO="Manual",$M156=1),0,IF(OFFSET(CRONOPLE!$F$14,$M156,AR$13)="",10^12,OFFSET(CRONOPLE!$F$14,$M156,AR$13))))</f>
        <v>1000000000000</v>
      </c>
      <c r="AS156" s="215">
        <f ca="1">IF($D156&lt;&gt;"Serviço",0,IF(AND(AUTOEVENTO="Manual",$M156=1),0,IF(OFFSET(CRONOPLE!$F$14,$M156,AS$13)="",10^12,OFFSET(CRONOPLE!$F$14,$M156,AS$13))))</f>
        <v>1000000000000</v>
      </c>
      <c r="AT156" s="215">
        <f ca="1">IF($D156&lt;&gt;"Serviço",0,IF(AND(AUTOEVENTO="Manual",$M156=1),0,IF(OFFSET(CRONOPLE!$F$14,$M156,AT$13)="",10^12,OFFSET(CRONOPLE!$F$14,$M156,AT$13))))</f>
        <v>1000000000000</v>
      </c>
      <c r="AU156" s="215">
        <f ca="1">IF($D156&lt;&gt;"Serviço",0,IF(AND(AUTOEVENTO="Manual",$M156=1),0,IF(OFFSET(CRONOPLE!$F$14,$M156,AU$13)="",10^12,OFFSET(CRONOPLE!$F$14,$M156,AU$13))))</f>
        <v>1000000000000</v>
      </c>
      <c r="AV156" s="215">
        <f ca="1">IF($D156&lt;&gt;"Serviço",0,IF(AND(AUTOEVENTO="Manual",$M156=1),0,IF(OFFSET(CRONOPLE!$F$14,$M156,AV$13)="",10^12,OFFSET(CRONOPLE!$F$14,$M156,AV$13))))</f>
        <v>1000000000000</v>
      </c>
      <c r="AX156" s="216">
        <f ca="1">IF($D156&lt;&gt;"Serviço",0,IF(OR(AND(AUTOEVENTO="Manual",$M156=1),$M156&gt;(ROW(PLE.lastrow)-ROW(PLE.firstrow))),0,IF(OFFSET(PLE!$G$14,$M156,AX$13)="",10^12,OFFSET(PLE!$G$14,$M156,AX$13))))</f>
        <v>1000000000000</v>
      </c>
      <c r="AY156" s="216">
        <f ca="1">IF($D156&lt;&gt;"Serviço",0,IF(OR(AND(AUTOEVENTO="Manual",$M156=1),$M156&gt;(ROW(PLE.lastrow)-ROW(PLE.firstrow))),0,IF(OFFSET(PLE!$G$14,$M156,AY$13)="",10^12,OFFSET(PLE!$G$14,$M156,AY$13))))</f>
        <v>1000000000000</v>
      </c>
      <c r="AZ156" s="216">
        <f ca="1">IF($D156&lt;&gt;"Serviço",0,IF(OR(AND(AUTOEVENTO="Manual",$M156=1),$M156&gt;(ROW(PLE.lastrow)-ROW(PLE.firstrow))),0,IF(OFFSET(PLE!$G$14,$M156,AZ$13)="",10^12,OFFSET(PLE!$G$14,$M156,AZ$13))))</f>
        <v>1000000000000</v>
      </c>
      <c r="BA156" s="216">
        <f ca="1">IF($D156&lt;&gt;"Serviço",0,IF(OR(AND(AUTOEVENTO="Manual",$M156=1),$M156&gt;(ROW(PLE.lastrow)-ROW(PLE.firstrow))),0,IF(OFFSET(PLE!$G$14,$M156,BA$13)="",10^12,OFFSET(PLE!$G$14,$M156,BA$13))))</f>
        <v>1000000000000</v>
      </c>
      <c r="BB156" s="216">
        <f ca="1">IF($D156&lt;&gt;"Serviço",0,IF(OR(AND(AUTOEVENTO="Manual",$M156=1),$M156&gt;(ROW(PLE.lastrow)-ROW(PLE.firstrow))),0,IF(OFFSET(PLE!$G$14,$M156,BB$13)="",10^12,OFFSET(PLE!$G$14,$M156,BB$13))))</f>
        <v>1000000000000</v>
      </c>
      <c r="BC156" s="216">
        <f ca="1">IF($D156&lt;&gt;"Serviço",0,IF(OR(AND(AUTOEVENTO="Manual",$M156=1),$M156&gt;(ROW(PLE.lastrow)-ROW(PLE.firstrow))),0,IF(OFFSET(PLE!$G$14,$M156,BC$13)="",10^12,OFFSET(PLE!$G$14,$M156,BC$13))))</f>
        <v>1000000000000</v>
      </c>
      <c r="BD156" s="216">
        <f ca="1">IF($D156&lt;&gt;"Serviço",0,IF(OR(AND(AUTOEVENTO="Manual",$M156=1),$M156&gt;(ROW(PLE.lastrow)-ROW(PLE.firstrow))),0,IF(OFFSET(PLE!$G$14,$M156,BD$13)="",10^12,OFFSET(PLE!$G$14,$M156,BD$13))))</f>
        <v>1000000000000</v>
      </c>
      <c r="BE156" s="216">
        <f ca="1">IF($D156&lt;&gt;"Serviço",0,IF(OR(AND(AUTOEVENTO="Manual",$M156=1),$M156&gt;(ROW(PLE.lastrow)-ROW(PLE.firstrow))),0,IF(OFFSET(PLE!$G$14,$M156,BE$13)="",10^12,OFFSET(PLE!$G$14,$M156,BE$13))))</f>
        <v>1000000000000</v>
      </c>
      <c r="BF156" s="216">
        <f ca="1">IF($D156&lt;&gt;"Serviço",0,IF(OR(AND(AUTOEVENTO="Manual",$M156=1),$M156&gt;(ROW(PLE.lastrow)-ROW(PLE.firstrow))),0,IF(OFFSET(PLE!$G$14,$M156,BF$13)="",10^12,OFFSET(PLE!$G$14,$M156,BF$13))))</f>
        <v>1000000000000</v>
      </c>
      <c r="BG156" s="216">
        <f ca="1">IF($D156&lt;&gt;"Serviço",0,IF(OR(AND(AUTOEVENTO="Manual",$M156=1),$M156&gt;(ROW(PLE.lastrow)-ROW(PLE.firstrow))),0,IF(OFFSET(PLE!$G$14,$M156,BG$13)="",10^12,OFFSET(PLE!$G$14,$M156,BG$13))))</f>
        <v>1000000000000</v>
      </c>
    </row>
    <row r="157" spans="1:59" ht="25.5" x14ac:dyDescent="0.2">
      <c r="A157" s="9" t="str">
        <f t="shared" ca="1" si="11"/>
        <v>134</v>
      </c>
      <c r="B157" s="9" t="str">
        <f ca="1">OFFSET(ORÇAMENTO!C$15,ROW(B157)-ROW(B$15),0)</f>
        <v>S</v>
      </c>
      <c r="C157" s="9" t="str">
        <f ca="1">OFFSET(ORÇAMENTO!L$15,ROW(C157)-ROW(C$15),0)</f>
        <v/>
      </c>
      <c r="D157" s="145" t="str">
        <f ca="1">OFFSET(ORÇAMENTO!N$15,ROW(D157)-ROW(D$15),0)</f>
        <v>Serviço</v>
      </c>
      <c r="E157" s="205" t="str">
        <f ca="1">OFFSET(ORÇAMENTO!O$15,ROW(E157)-ROW(E$15),0)</f>
        <v>-</v>
      </c>
      <c r="F157" s="206" t="str">
        <f ca="1">OFFSET(ORÇAMENTO!R$15,ROW(F157)-ROW(F$15),0)</f>
        <v>LUVA, PVC, SOLDÁVEL, DN 32MM, INSTALADO EM RAMAL OU SUB-RAMAL DE ÁGUA - FORNECIMENTO E INSTALAÇÃO. AF_06/2022</v>
      </c>
      <c r="G157" s="207" t="str">
        <f ca="1">IF($D157&lt;&gt;"Serviço","",OFFSET(ORÇAMENTO!S$15,ROW(G157)-ROW(G$15),0))</f>
        <v>UN</v>
      </c>
      <c r="H157" s="151">
        <f ca="1">IF($D157&lt;&gt;"Serviço",0,IF(ACOMPANHAMENTO="BM",ROUND(OFFSET(ORÇAMENTO!AJ$15,ROW(H157)-ROW(H$15),0),15-13*ORÇAMENTO!$AF$7),SUMPRODUCT(($Q$12:$AA$12&lt;&gt;"")*ROUND($Q157:$AA157,15-13*ORÇAMENTO!$AF$7))))</f>
        <v>15</v>
      </c>
      <c r="I157" s="649"/>
      <c r="K157" s="208"/>
      <c r="L157" s="209" t="s">
        <v>255</v>
      </c>
      <c r="M157" s="210">
        <f ca="1">IF($D157&lt;&gt;"Serviço","",IF(AUTOEVENTO="manual",$A157,IF(ISERROR(MATCH($A157,$A$15:OFFSET($A157,-1,0),0)),MAX($M$15:OFFSET(M157,-1,0))+1,INDEX($M$15:OFFSET(M157,-1,0),MATCH($A157,$A$15:OFFSET($A157,-1,0),0)))))</f>
        <v>20</v>
      </c>
      <c r="N157" s="211" t="str">
        <f ca="1">IF($D157&lt;&gt;"Serviço","",IF(AUTOEVENTO="Manual",IF($A157=0,"&lt;-- defina o número do agrupador",OFFSET(EVENTOS!$D$14,$A157,0)),OFFSET($F$15,$A157,0)))</f>
        <v>HIDRAULICO</v>
      </c>
      <c r="O157" s="212"/>
      <c r="Q157" s="212"/>
      <c r="R157" s="213"/>
      <c r="S157" s="213"/>
      <c r="T157" s="213"/>
      <c r="U157" s="213"/>
      <c r="V157" s="213"/>
      <c r="W157" s="213"/>
      <c r="X157" s="213"/>
      <c r="Y157" s="213"/>
      <c r="Z157" s="214"/>
      <c r="AB157" s="630">
        <f ca="1">IF(AND($D157="Serviço",AB$12&lt;&gt;0,$H157&gt;0,OR(AUTOEVENTO&lt;&gt;"manual",$M157&lt;&gt;1)),
IF(Import.TipoArredondamento&lt;&gt;"TransfereGOV",
ROUND(OFFSET($P157,0,AB$13),15-13*ORÇAMENTO!$AF$7)/$H157*OFFSET(ORÇAMENTO!$X$15,ROW(AB157)-ROW(AB$15),0),
ROUND(ROUND(OFFSET($P157,0,AB$13),15-13*ORÇAMENTO!$AF$7)*OFFSET(ORÇAMENTO!$W$15,ROW(AB157)-ROW(AB$15),0),15-13*ORÇAMENTO!$AF$11)),0)</f>
        <v>0</v>
      </c>
      <c r="AC157" s="631">
        <f ca="1">IF(AND($D157="Serviço",AC$12&lt;&gt;0,$H157&gt;0,OR(AUTOEVENTO&lt;&gt;"manual",$M157&lt;&gt;1)),
IF(Import.TipoArredondamento&lt;&gt;"TransfereGOV",
ROUND(OFFSET($P157,0,AC$13),15-13*ORÇAMENTO!$AF$7)/$H157*OFFSET(ORÇAMENTO!$X$15,ROW(AC157)-ROW(AC$15),0),
ROUND(ROUND(OFFSET($P157,0,AC$13),15-13*ORÇAMENTO!$AF$7)*OFFSET(ORÇAMENTO!$W$15,ROW(AC157)-ROW(AC$15),0),15-13*ORÇAMENTO!$AF$11)),0)</f>
        <v>0</v>
      </c>
      <c r="AD157" s="631">
        <f ca="1">IF(AND($D157="Serviço",AD$12&lt;&gt;0,$H157&gt;0,OR(AUTOEVENTO&lt;&gt;"manual",$M157&lt;&gt;1)),
IF(Import.TipoArredondamento&lt;&gt;"TransfereGOV",
ROUND(OFFSET($P157,0,AD$13),15-13*ORÇAMENTO!$AF$7)/$H157*OFFSET(ORÇAMENTO!$X$15,ROW(AD157)-ROW(AD$15),0),
ROUND(ROUND(OFFSET($P157,0,AD$13),15-13*ORÇAMENTO!$AF$7)*OFFSET(ORÇAMENTO!$W$15,ROW(AD157)-ROW(AD$15),0),15-13*ORÇAMENTO!$AF$11)),0)</f>
        <v>0</v>
      </c>
      <c r="AE157" s="631">
        <f ca="1">IF(AND($D157="Serviço",AE$12&lt;&gt;0,$H157&gt;0,OR(AUTOEVENTO&lt;&gt;"manual",$M157&lt;&gt;1)),
IF(Import.TipoArredondamento&lt;&gt;"TransfereGOV",
ROUND(OFFSET($P157,0,AE$13),15-13*ORÇAMENTO!$AF$7)/$H157*OFFSET(ORÇAMENTO!$X$15,ROW(AE157)-ROW(AE$15),0),
ROUND(ROUND(OFFSET($P157,0,AE$13),15-13*ORÇAMENTO!$AF$7)*OFFSET(ORÇAMENTO!$W$15,ROW(AE157)-ROW(AE$15),0),15-13*ORÇAMENTO!$AF$11)),0)</f>
        <v>0</v>
      </c>
      <c r="AF157" s="631">
        <f ca="1">IF(AND($D157="Serviço",AF$12&lt;&gt;0,$H157&gt;0,OR(AUTOEVENTO&lt;&gt;"manual",$M157&lt;&gt;1)),
IF(Import.TipoArredondamento&lt;&gt;"TransfereGOV",
ROUND(OFFSET($P157,0,AF$13),15-13*ORÇAMENTO!$AF$7)/$H157*OFFSET(ORÇAMENTO!$X$15,ROW(AF157)-ROW(AF$15),0),
ROUND(ROUND(OFFSET($P157,0,AF$13),15-13*ORÇAMENTO!$AF$7)*OFFSET(ORÇAMENTO!$W$15,ROW(AF157)-ROW(AF$15),0),15-13*ORÇAMENTO!$AF$11)),0)</f>
        <v>0</v>
      </c>
      <c r="AG157" s="631">
        <f ca="1">IF(AND($D157="Serviço",AG$12&lt;&gt;0,$H157&gt;0,OR(AUTOEVENTO&lt;&gt;"manual",$M157&lt;&gt;1)),
IF(Import.TipoArredondamento&lt;&gt;"TransfereGOV",
ROUND(OFFSET($P157,0,AG$13),15-13*ORÇAMENTO!$AF$7)/$H157*OFFSET(ORÇAMENTO!$X$15,ROW(AG157)-ROW(AG$15),0),
ROUND(ROUND(OFFSET($P157,0,AG$13),15-13*ORÇAMENTO!$AF$7)*OFFSET(ORÇAMENTO!$W$15,ROW(AG157)-ROW(AG$15),0),15-13*ORÇAMENTO!$AF$11)),0)</f>
        <v>0</v>
      </c>
      <c r="AH157" s="631">
        <f ca="1">IF(AND($D157="Serviço",AH$12&lt;&gt;0,$H157&gt;0,OR(AUTOEVENTO&lt;&gt;"manual",$M157&lt;&gt;1)),
IF(Import.TipoArredondamento&lt;&gt;"TransfereGOV",
ROUND(OFFSET($P157,0,AH$13),15-13*ORÇAMENTO!$AF$7)/$H157*OFFSET(ORÇAMENTO!$X$15,ROW(AH157)-ROW(AH$15),0),
ROUND(ROUND(OFFSET($P157,0,AH$13),15-13*ORÇAMENTO!$AF$7)*OFFSET(ORÇAMENTO!$W$15,ROW(AH157)-ROW(AH$15),0),15-13*ORÇAMENTO!$AF$11)),0)</f>
        <v>0</v>
      </c>
      <c r="AI157" s="631">
        <f ca="1">IF(AND($D157="Serviço",AI$12&lt;&gt;0,$H157&gt;0,OR(AUTOEVENTO&lt;&gt;"manual",$M157&lt;&gt;1)),
IF(Import.TipoArredondamento&lt;&gt;"TransfereGOV",
ROUND(OFFSET($P157,0,AI$13),15-13*ORÇAMENTO!$AF$7)/$H157*OFFSET(ORÇAMENTO!$X$15,ROW(AI157)-ROW(AI$15),0),
ROUND(ROUND(OFFSET($P157,0,AI$13),15-13*ORÇAMENTO!$AF$7)*OFFSET(ORÇAMENTO!$W$15,ROW(AI157)-ROW(AI$15),0),15-13*ORÇAMENTO!$AF$11)),0)</f>
        <v>0</v>
      </c>
      <c r="AJ157" s="631">
        <f ca="1">IF(AND($D157="Serviço",AJ$12&lt;&gt;0,$H157&gt;0,OR(AUTOEVENTO&lt;&gt;"manual",$M157&lt;&gt;1)),
IF(Import.TipoArredondamento&lt;&gt;"TransfereGOV",
ROUND(OFFSET($P157,0,AJ$13),15-13*ORÇAMENTO!$AF$7)/$H157*OFFSET(ORÇAMENTO!$X$15,ROW(AJ157)-ROW(AJ$15),0),
ROUND(ROUND(OFFSET($P157,0,AJ$13),15-13*ORÇAMENTO!$AF$7)*OFFSET(ORÇAMENTO!$W$15,ROW(AJ157)-ROW(AJ$15),0),15-13*ORÇAMENTO!$AF$11)),0)</f>
        <v>0</v>
      </c>
      <c r="AK157" s="632">
        <f ca="1">IF(AND($D157="Serviço",AK$12&lt;&gt;0,$H157&gt;0,OR(AUTOEVENTO&lt;&gt;"manual",$M157&lt;&gt;1)),
IF(Import.TipoArredondamento&lt;&gt;"TransfereGOV",
ROUND(OFFSET($P157,0,AK$13),15-13*ORÇAMENTO!$AF$7)/$H157*OFFSET(ORÇAMENTO!$X$15,ROW(AK157)-ROW(AK$15),0),
ROUND(ROUND(OFFSET($P157,0,AK$13),15-13*ORÇAMENTO!$AF$7)*OFFSET(ORÇAMENTO!$W$15,ROW(AK157)-ROW(AK$15),0),15-13*ORÇAMENTO!$AF$11)),0)</f>
        <v>0</v>
      </c>
      <c r="AM157" s="215">
        <f ca="1">IF($D157&lt;&gt;"Serviço",0,IF(AND(AUTOEVENTO="Manual",$M157=1),0,IF(OFFSET(CRONOPLE!$F$14,$M157,AM$13)="",10^12,OFFSET(CRONOPLE!$F$14,$M157,AM$13))))</f>
        <v>1000000000000</v>
      </c>
      <c r="AN157" s="215">
        <f ca="1">IF($D157&lt;&gt;"Serviço",0,IF(AND(AUTOEVENTO="Manual",$M157=1),0,IF(OFFSET(CRONOPLE!$F$14,$M157,AN$13)="",10^12,OFFSET(CRONOPLE!$F$14,$M157,AN$13))))</f>
        <v>1000000000000</v>
      </c>
      <c r="AO157" s="215">
        <f ca="1">IF($D157&lt;&gt;"Serviço",0,IF(AND(AUTOEVENTO="Manual",$M157=1),0,IF(OFFSET(CRONOPLE!$F$14,$M157,AO$13)="",10^12,OFFSET(CRONOPLE!$F$14,$M157,AO$13))))</f>
        <v>1000000000000</v>
      </c>
      <c r="AP157" s="215">
        <f ca="1">IF($D157&lt;&gt;"Serviço",0,IF(AND(AUTOEVENTO="Manual",$M157=1),0,IF(OFFSET(CRONOPLE!$F$14,$M157,AP$13)="",10^12,OFFSET(CRONOPLE!$F$14,$M157,AP$13))))</f>
        <v>1000000000000</v>
      </c>
      <c r="AQ157" s="215">
        <f ca="1">IF($D157&lt;&gt;"Serviço",0,IF(AND(AUTOEVENTO="Manual",$M157=1),0,IF(OFFSET(CRONOPLE!$F$14,$M157,AQ$13)="",10^12,OFFSET(CRONOPLE!$F$14,$M157,AQ$13))))</f>
        <v>1000000000000</v>
      </c>
      <c r="AR157" s="215">
        <f ca="1">IF($D157&lt;&gt;"Serviço",0,IF(AND(AUTOEVENTO="Manual",$M157=1),0,IF(OFFSET(CRONOPLE!$F$14,$M157,AR$13)="",10^12,OFFSET(CRONOPLE!$F$14,$M157,AR$13))))</f>
        <v>1000000000000</v>
      </c>
      <c r="AS157" s="215">
        <f ca="1">IF($D157&lt;&gt;"Serviço",0,IF(AND(AUTOEVENTO="Manual",$M157=1),0,IF(OFFSET(CRONOPLE!$F$14,$M157,AS$13)="",10^12,OFFSET(CRONOPLE!$F$14,$M157,AS$13))))</f>
        <v>1000000000000</v>
      </c>
      <c r="AT157" s="215">
        <f ca="1">IF($D157&lt;&gt;"Serviço",0,IF(AND(AUTOEVENTO="Manual",$M157=1),0,IF(OFFSET(CRONOPLE!$F$14,$M157,AT$13)="",10^12,OFFSET(CRONOPLE!$F$14,$M157,AT$13))))</f>
        <v>1000000000000</v>
      </c>
      <c r="AU157" s="215">
        <f ca="1">IF($D157&lt;&gt;"Serviço",0,IF(AND(AUTOEVENTO="Manual",$M157=1),0,IF(OFFSET(CRONOPLE!$F$14,$M157,AU$13)="",10^12,OFFSET(CRONOPLE!$F$14,$M157,AU$13))))</f>
        <v>1000000000000</v>
      </c>
      <c r="AV157" s="215">
        <f ca="1">IF($D157&lt;&gt;"Serviço",0,IF(AND(AUTOEVENTO="Manual",$M157=1),0,IF(OFFSET(CRONOPLE!$F$14,$M157,AV$13)="",10^12,OFFSET(CRONOPLE!$F$14,$M157,AV$13))))</f>
        <v>1000000000000</v>
      </c>
      <c r="AX157" s="216">
        <f ca="1">IF($D157&lt;&gt;"Serviço",0,IF(OR(AND(AUTOEVENTO="Manual",$M157=1),$M157&gt;(ROW(PLE.lastrow)-ROW(PLE.firstrow))),0,IF(OFFSET(PLE!$G$14,$M157,AX$13)="",10^12,OFFSET(PLE!$G$14,$M157,AX$13))))</f>
        <v>1000000000000</v>
      </c>
      <c r="AY157" s="216">
        <f ca="1">IF($D157&lt;&gt;"Serviço",0,IF(OR(AND(AUTOEVENTO="Manual",$M157=1),$M157&gt;(ROW(PLE.lastrow)-ROW(PLE.firstrow))),0,IF(OFFSET(PLE!$G$14,$M157,AY$13)="",10^12,OFFSET(PLE!$G$14,$M157,AY$13))))</f>
        <v>1000000000000</v>
      </c>
      <c r="AZ157" s="216">
        <f ca="1">IF($D157&lt;&gt;"Serviço",0,IF(OR(AND(AUTOEVENTO="Manual",$M157=1),$M157&gt;(ROW(PLE.lastrow)-ROW(PLE.firstrow))),0,IF(OFFSET(PLE!$G$14,$M157,AZ$13)="",10^12,OFFSET(PLE!$G$14,$M157,AZ$13))))</f>
        <v>1000000000000</v>
      </c>
      <c r="BA157" s="216">
        <f ca="1">IF($D157&lt;&gt;"Serviço",0,IF(OR(AND(AUTOEVENTO="Manual",$M157=1),$M157&gt;(ROW(PLE.lastrow)-ROW(PLE.firstrow))),0,IF(OFFSET(PLE!$G$14,$M157,BA$13)="",10^12,OFFSET(PLE!$G$14,$M157,BA$13))))</f>
        <v>1000000000000</v>
      </c>
      <c r="BB157" s="216">
        <f ca="1">IF($D157&lt;&gt;"Serviço",0,IF(OR(AND(AUTOEVENTO="Manual",$M157=1),$M157&gt;(ROW(PLE.lastrow)-ROW(PLE.firstrow))),0,IF(OFFSET(PLE!$G$14,$M157,BB$13)="",10^12,OFFSET(PLE!$G$14,$M157,BB$13))))</f>
        <v>1000000000000</v>
      </c>
      <c r="BC157" s="216">
        <f ca="1">IF($D157&lt;&gt;"Serviço",0,IF(OR(AND(AUTOEVENTO="Manual",$M157=1),$M157&gt;(ROW(PLE.lastrow)-ROW(PLE.firstrow))),0,IF(OFFSET(PLE!$G$14,$M157,BC$13)="",10^12,OFFSET(PLE!$G$14,$M157,BC$13))))</f>
        <v>1000000000000</v>
      </c>
      <c r="BD157" s="216">
        <f ca="1">IF($D157&lt;&gt;"Serviço",0,IF(OR(AND(AUTOEVENTO="Manual",$M157=1),$M157&gt;(ROW(PLE.lastrow)-ROW(PLE.firstrow))),0,IF(OFFSET(PLE!$G$14,$M157,BD$13)="",10^12,OFFSET(PLE!$G$14,$M157,BD$13))))</f>
        <v>1000000000000</v>
      </c>
      <c r="BE157" s="216">
        <f ca="1">IF($D157&lt;&gt;"Serviço",0,IF(OR(AND(AUTOEVENTO="Manual",$M157=1),$M157&gt;(ROW(PLE.lastrow)-ROW(PLE.firstrow))),0,IF(OFFSET(PLE!$G$14,$M157,BE$13)="",10^12,OFFSET(PLE!$G$14,$M157,BE$13))))</f>
        <v>1000000000000</v>
      </c>
      <c r="BF157" s="216">
        <f ca="1">IF($D157&lt;&gt;"Serviço",0,IF(OR(AND(AUTOEVENTO="Manual",$M157=1),$M157&gt;(ROW(PLE.lastrow)-ROW(PLE.firstrow))),0,IF(OFFSET(PLE!$G$14,$M157,BF$13)="",10^12,OFFSET(PLE!$G$14,$M157,BF$13))))</f>
        <v>1000000000000</v>
      </c>
      <c r="BG157" s="216">
        <f ca="1">IF($D157&lt;&gt;"Serviço",0,IF(OR(AND(AUTOEVENTO="Manual",$M157=1),$M157&gt;(ROW(PLE.lastrow)-ROW(PLE.firstrow))),0,IF(OFFSET(PLE!$G$14,$M157,BG$13)="",10^12,OFFSET(PLE!$G$14,$M157,BG$13))))</f>
        <v>1000000000000</v>
      </c>
    </row>
    <row r="158" spans="1:59" ht="38.25" x14ac:dyDescent="0.2">
      <c r="A158" s="9" t="str">
        <f t="shared" ca="1" si="11"/>
        <v>134</v>
      </c>
      <c r="B158" s="9" t="str">
        <f ca="1">OFFSET(ORÇAMENTO!C$15,ROW(B158)-ROW(B$15),0)</f>
        <v>S</v>
      </c>
      <c r="C158" s="9" t="str">
        <f ca="1">OFFSET(ORÇAMENTO!L$15,ROW(C158)-ROW(C$15),0)</f>
        <v/>
      </c>
      <c r="D158" s="145" t="str">
        <f ca="1">OFFSET(ORÇAMENTO!N$15,ROW(D158)-ROW(D$15),0)</f>
        <v>Serviço</v>
      </c>
      <c r="E158" s="205" t="str">
        <f ca="1">OFFSET(ORÇAMENTO!O$15,ROW(E158)-ROW(E$15),0)</f>
        <v>-</v>
      </c>
      <c r="F158" s="206" t="str">
        <f ca="1">OFFSET(ORÇAMENTO!R$15,ROW(F158)-ROW(F$15),0)</f>
        <v>LUVA DE REDUÇÃO, PVC, SOLDÁVEL, DN 32MM X 25MM, INSTALADO EM RAMAL DE DISTRIBUIÇÃO DE ÁGUA - FORNECIMENTO E INSTALAÇÃO. AF_06/2022</v>
      </c>
      <c r="G158" s="207" t="str">
        <f ca="1">IF($D158&lt;&gt;"Serviço","",OFFSET(ORÇAMENTO!S$15,ROW(G158)-ROW(G$15),0))</f>
        <v>UN</v>
      </c>
      <c r="H158" s="151">
        <f ca="1">IF($D158&lt;&gt;"Serviço",0,IF(ACOMPANHAMENTO="BM",ROUND(OFFSET(ORÇAMENTO!AJ$15,ROW(H158)-ROW(H$15),0),15-13*ORÇAMENTO!$AF$7),SUMPRODUCT(($Q$12:$AA$12&lt;&gt;"")*ROUND($Q158:$AA158,15-13*ORÇAMENTO!$AF$7))))</f>
        <v>1</v>
      </c>
      <c r="I158" s="649"/>
      <c r="K158" s="208"/>
      <c r="L158" s="209" t="s">
        <v>255</v>
      </c>
      <c r="M158" s="210">
        <f ca="1">IF($D158&lt;&gt;"Serviço","",IF(AUTOEVENTO="manual",$A158,IF(ISERROR(MATCH($A158,$A$15:OFFSET($A158,-1,0),0)),MAX($M$15:OFFSET(M158,-1,0))+1,INDEX($M$15:OFFSET(M158,-1,0),MATCH($A158,$A$15:OFFSET($A158,-1,0),0)))))</f>
        <v>20</v>
      </c>
      <c r="N158" s="211" t="str">
        <f ca="1">IF($D158&lt;&gt;"Serviço","",IF(AUTOEVENTO="Manual",IF($A158=0,"&lt;-- defina o número do agrupador",OFFSET(EVENTOS!$D$14,$A158,0)),OFFSET($F$15,$A158,0)))</f>
        <v>HIDRAULICO</v>
      </c>
      <c r="O158" s="212"/>
      <c r="Q158" s="212"/>
      <c r="R158" s="213"/>
      <c r="S158" s="213"/>
      <c r="T158" s="213"/>
      <c r="U158" s="213"/>
      <c r="V158" s="213"/>
      <c r="W158" s="213"/>
      <c r="X158" s="213"/>
      <c r="Y158" s="213"/>
      <c r="Z158" s="214"/>
      <c r="AB158" s="630">
        <f ca="1">IF(AND($D158="Serviço",AB$12&lt;&gt;0,$H158&gt;0,OR(AUTOEVENTO&lt;&gt;"manual",$M158&lt;&gt;1)),
IF(Import.TipoArredondamento&lt;&gt;"TransfereGOV",
ROUND(OFFSET($P158,0,AB$13),15-13*ORÇAMENTO!$AF$7)/$H158*OFFSET(ORÇAMENTO!$X$15,ROW(AB158)-ROW(AB$15),0),
ROUND(ROUND(OFFSET($P158,0,AB$13),15-13*ORÇAMENTO!$AF$7)*OFFSET(ORÇAMENTO!$W$15,ROW(AB158)-ROW(AB$15),0),15-13*ORÇAMENTO!$AF$11)),0)</f>
        <v>0</v>
      </c>
      <c r="AC158" s="631">
        <f ca="1">IF(AND($D158="Serviço",AC$12&lt;&gt;0,$H158&gt;0,OR(AUTOEVENTO&lt;&gt;"manual",$M158&lt;&gt;1)),
IF(Import.TipoArredondamento&lt;&gt;"TransfereGOV",
ROUND(OFFSET($P158,0,AC$13),15-13*ORÇAMENTO!$AF$7)/$H158*OFFSET(ORÇAMENTO!$X$15,ROW(AC158)-ROW(AC$15),0),
ROUND(ROUND(OFFSET($P158,0,AC$13),15-13*ORÇAMENTO!$AF$7)*OFFSET(ORÇAMENTO!$W$15,ROW(AC158)-ROW(AC$15),0),15-13*ORÇAMENTO!$AF$11)),0)</f>
        <v>0</v>
      </c>
      <c r="AD158" s="631">
        <f ca="1">IF(AND($D158="Serviço",AD$12&lt;&gt;0,$H158&gt;0,OR(AUTOEVENTO&lt;&gt;"manual",$M158&lt;&gt;1)),
IF(Import.TipoArredondamento&lt;&gt;"TransfereGOV",
ROUND(OFFSET($P158,0,AD$13),15-13*ORÇAMENTO!$AF$7)/$H158*OFFSET(ORÇAMENTO!$X$15,ROW(AD158)-ROW(AD$15),0),
ROUND(ROUND(OFFSET($P158,0,AD$13),15-13*ORÇAMENTO!$AF$7)*OFFSET(ORÇAMENTO!$W$15,ROW(AD158)-ROW(AD$15),0),15-13*ORÇAMENTO!$AF$11)),0)</f>
        <v>0</v>
      </c>
      <c r="AE158" s="631">
        <f ca="1">IF(AND($D158="Serviço",AE$12&lt;&gt;0,$H158&gt;0,OR(AUTOEVENTO&lt;&gt;"manual",$M158&lt;&gt;1)),
IF(Import.TipoArredondamento&lt;&gt;"TransfereGOV",
ROUND(OFFSET($P158,0,AE$13),15-13*ORÇAMENTO!$AF$7)/$H158*OFFSET(ORÇAMENTO!$X$15,ROW(AE158)-ROW(AE$15),0),
ROUND(ROUND(OFFSET($P158,0,AE$13),15-13*ORÇAMENTO!$AF$7)*OFFSET(ORÇAMENTO!$W$15,ROW(AE158)-ROW(AE$15),0),15-13*ORÇAMENTO!$AF$11)),0)</f>
        <v>0</v>
      </c>
      <c r="AF158" s="631">
        <f ca="1">IF(AND($D158="Serviço",AF$12&lt;&gt;0,$H158&gt;0,OR(AUTOEVENTO&lt;&gt;"manual",$M158&lt;&gt;1)),
IF(Import.TipoArredondamento&lt;&gt;"TransfereGOV",
ROUND(OFFSET($P158,0,AF$13),15-13*ORÇAMENTO!$AF$7)/$H158*OFFSET(ORÇAMENTO!$X$15,ROW(AF158)-ROW(AF$15),0),
ROUND(ROUND(OFFSET($P158,0,AF$13),15-13*ORÇAMENTO!$AF$7)*OFFSET(ORÇAMENTO!$W$15,ROW(AF158)-ROW(AF$15),0),15-13*ORÇAMENTO!$AF$11)),0)</f>
        <v>0</v>
      </c>
      <c r="AG158" s="631">
        <f ca="1">IF(AND($D158="Serviço",AG$12&lt;&gt;0,$H158&gt;0,OR(AUTOEVENTO&lt;&gt;"manual",$M158&lt;&gt;1)),
IF(Import.TipoArredondamento&lt;&gt;"TransfereGOV",
ROUND(OFFSET($P158,0,AG$13),15-13*ORÇAMENTO!$AF$7)/$H158*OFFSET(ORÇAMENTO!$X$15,ROW(AG158)-ROW(AG$15),0),
ROUND(ROUND(OFFSET($P158,0,AG$13),15-13*ORÇAMENTO!$AF$7)*OFFSET(ORÇAMENTO!$W$15,ROW(AG158)-ROW(AG$15),0),15-13*ORÇAMENTO!$AF$11)),0)</f>
        <v>0</v>
      </c>
      <c r="AH158" s="631">
        <f ca="1">IF(AND($D158="Serviço",AH$12&lt;&gt;0,$H158&gt;0,OR(AUTOEVENTO&lt;&gt;"manual",$M158&lt;&gt;1)),
IF(Import.TipoArredondamento&lt;&gt;"TransfereGOV",
ROUND(OFFSET($P158,0,AH$13),15-13*ORÇAMENTO!$AF$7)/$H158*OFFSET(ORÇAMENTO!$X$15,ROW(AH158)-ROW(AH$15),0),
ROUND(ROUND(OFFSET($P158,0,AH$13),15-13*ORÇAMENTO!$AF$7)*OFFSET(ORÇAMENTO!$W$15,ROW(AH158)-ROW(AH$15),0),15-13*ORÇAMENTO!$AF$11)),0)</f>
        <v>0</v>
      </c>
      <c r="AI158" s="631">
        <f ca="1">IF(AND($D158="Serviço",AI$12&lt;&gt;0,$H158&gt;0,OR(AUTOEVENTO&lt;&gt;"manual",$M158&lt;&gt;1)),
IF(Import.TipoArredondamento&lt;&gt;"TransfereGOV",
ROUND(OFFSET($P158,0,AI$13),15-13*ORÇAMENTO!$AF$7)/$H158*OFFSET(ORÇAMENTO!$X$15,ROW(AI158)-ROW(AI$15),0),
ROUND(ROUND(OFFSET($P158,0,AI$13),15-13*ORÇAMENTO!$AF$7)*OFFSET(ORÇAMENTO!$W$15,ROW(AI158)-ROW(AI$15),0),15-13*ORÇAMENTO!$AF$11)),0)</f>
        <v>0</v>
      </c>
      <c r="AJ158" s="631">
        <f ca="1">IF(AND($D158="Serviço",AJ$12&lt;&gt;0,$H158&gt;0,OR(AUTOEVENTO&lt;&gt;"manual",$M158&lt;&gt;1)),
IF(Import.TipoArredondamento&lt;&gt;"TransfereGOV",
ROUND(OFFSET($P158,0,AJ$13),15-13*ORÇAMENTO!$AF$7)/$H158*OFFSET(ORÇAMENTO!$X$15,ROW(AJ158)-ROW(AJ$15),0),
ROUND(ROUND(OFFSET($P158,0,AJ$13),15-13*ORÇAMENTO!$AF$7)*OFFSET(ORÇAMENTO!$W$15,ROW(AJ158)-ROW(AJ$15),0),15-13*ORÇAMENTO!$AF$11)),0)</f>
        <v>0</v>
      </c>
      <c r="AK158" s="632">
        <f ca="1">IF(AND($D158="Serviço",AK$12&lt;&gt;0,$H158&gt;0,OR(AUTOEVENTO&lt;&gt;"manual",$M158&lt;&gt;1)),
IF(Import.TipoArredondamento&lt;&gt;"TransfereGOV",
ROUND(OFFSET($P158,0,AK$13),15-13*ORÇAMENTO!$AF$7)/$H158*OFFSET(ORÇAMENTO!$X$15,ROW(AK158)-ROW(AK$15),0),
ROUND(ROUND(OFFSET($P158,0,AK$13),15-13*ORÇAMENTO!$AF$7)*OFFSET(ORÇAMENTO!$W$15,ROW(AK158)-ROW(AK$15),0),15-13*ORÇAMENTO!$AF$11)),0)</f>
        <v>0</v>
      </c>
      <c r="AM158" s="215">
        <f ca="1">IF($D158&lt;&gt;"Serviço",0,IF(AND(AUTOEVENTO="Manual",$M158=1),0,IF(OFFSET(CRONOPLE!$F$14,$M158,AM$13)="",10^12,OFFSET(CRONOPLE!$F$14,$M158,AM$13))))</f>
        <v>1000000000000</v>
      </c>
      <c r="AN158" s="215">
        <f ca="1">IF($D158&lt;&gt;"Serviço",0,IF(AND(AUTOEVENTO="Manual",$M158=1),0,IF(OFFSET(CRONOPLE!$F$14,$M158,AN$13)="",10^12,OFFSET(CRONOPLE!$F$14,$M158,AN$13))))</f>
        <v>1000000000000</v>
      </c>
      <c r="AO158" s="215">
        <f ca="1">IF($D158&lt;&gt;"Serviço",0,IF(AND(AUTOEVENTO="Manual",$M158=1),0,IF(OFFSET(CRONOPLE!$F$14,$M158,AO$13)="",10^12,OFFSET(CRONOPLE!$F$14,$M158,AO$13))))</f>
        <v>1000000000000</v>
      </c>
      <c r="AP158" s="215">
        <f ca="1">IF($D158&lt;&gt;"Serviço",0,IF(AND(AUTOEVENTO="Manual",$M158=1),0,IF(OFFSET(CRONOPLE!$F$14,$M158,AP$13)="",10^12,OFFSET(CRONOPLE!$F$14,$M158,AP$13))))</f>
        <v>1000000000000</v>
      </c>
      <c r="AQ158" s="215">
        <f ca="1">IF($D158&lt;&gt;"Serviço",0,IF(AND(AUTOEVENTO="Manual",$M158=1),0,IF(OFFSET(CRONOPLE!$F$14,$M158,AQ$13)="",10^12,OFFSET(CRONOPLE!$F$14,$M158,AQ$13))))</f>
        <v>1000000000000</v>
      </c>
      <c r="AR158" s="215">
        <f ca="1">IF($D158&lt;&gt;"Serviço",0,IF(AND(AUTOEVENTO="Manual",$M158=1),0,IF(OFFSET(CRONOPLE!$F$14,$M158,AR$13)="",10^12,OFFSET(CRONOPLE!$F$14,$M158,AR$13))))</f>
        <v>1000000000000</v>
      </c>
      <c r="AS158" s="215">
        <f ca="1">IF($D158&lt;&gt;"Serviço",0,IF(AND(AUTOEVENTO="Manual",$M158=1),0,IF(OFFSET(CRONOPLE!$F$14,$M158,AS$13)="",10^12,OFFSET(CRONOPLE!$F$14,$M158,AS$13))))</f>
        <v>1000000000000</v>
      </c>
      <c r="AT158" s="215">
        <f ca="1">IF($D158&lt;&gt;"Serviço",0,IF(AND(AUTOEVENTO="Manual",$M158=1),0,IF(OFFSET(CRONOPLE!$F$14,$M158,AT$13)="",10^12,OFFSET(CRONOPLE!$F$14,$M158,AT$13))))</f>
        <v>1000000000000</v>
      </c>
      <c r="AU158" s="215">
        <f ca="1">IF($D158&lt;&gt;"Serviço",0,IF(AND(AUTOEVENTO="Manual",$M158=1),0,IF(OFFSET(CRONOPLE!$F$14,$M158,AU$13)="",10^12,OFFSET(CRONOPLE!$F$14,$M158,AU$13))))</f>
        <v>1000000000000</v>
      </c>
      <c r="AV158" s="215">
        <f ca="1">IF($D158&lt;&gt;"Serviço",0,IF(AND(AUTOEVENTO="Manual",$M158=1),0,IF(OFFSET(CRONOPLE!$F$14,$M158,AV$13)="",10^12,OFFSET(CRONOPLE!$F$14,$M158,AV$13))))</f>
        <v>1000000000000</v>
      </c>
      <c r="AX158" s="216">
        <f ca="1">IF($D158&lt;&gt;"Serviço",0,IF(OR(AND(AUTOEVENTO="Manual",$M158=1),$M158&gt;(ROW(PLE.lastrow)-ROW(PLE.firstrow))),0,IF(OFFSET(PLE!$G$14,$M158,AX$13)="",10^12,OFFSET(PLE!$G$14,$M158,AX$13))))</f>
        <v>1000000000000</v>
      </c>
      <c r="AY158" s="216">
        <f ca="1">IF($D158&lt;&gt;"Serviço",0,IF(OR(AND(AUTOEVENTO="Manual",$M158=1),$M158&gt;(ROW(PLE.lastrow)-ROW(PLE.firstrow))),0,IF(OFFSET(PLE!$G$14,$M158,AY$13)="",10^12,OFFSET(PLE!$G$14,$M158,AY$13))))</f>
        <v>1000000000000</v>
      </c>
      <c r="AZ158" s="216">
        <f ca="1">IF($D158&lt;&gt;"Serviço",0,IF(OR(AND(AUTOEVENTO="Manual",$M158=1),$M158&gt;(ROW(PLE.lastrow)-ROW(PLE.firstrow))),0,IF(OFFSET(PLE!$G$14,$M158,AZ$13)="",10^12,OFFSET(PLE!$G$14,$M158,AZ$13))))</f>
        <v>1000000000000</v>
      </c>
      <c r="BA158" s="216">
        <f ca="1">IF($D158&lt;&gt;"Serviço",0,IF(OR(AND(AUTOEVENTO="Manual",$M158=1),$M158&gt;(ROW(PLE.lastrow)-ROW(PLE.firstrow))),0,IF(OFFSET(PLE!$G$14,$M158,BA$13)="",10^12,OFFSET(PLE!$G$14,$M158,BA$13))))</f>
        <v>1000000000000</v>
      </c>
      <c r="BB158" s="216">
        <f ca="1">IF($D158&lt;&gt;"Serviço",0,IF(OR(AND(AUTOEVENTO="Manual",$M158=1),$M158&gt;(ROW(PLE.lastrow)-ROW(PLE.firstrow))),0,IF(OFFSET(PLE!$G$14,$M158,BB$13)="",10^12,OFFSET(PLE!$G$14,$M158,BB$13))))</f>
        <v>1000000000000</v>
      </c>
      <c r="BC158" s="216">
        <f ca="1">IF($D158&lt;&gt;"Serviço",0,IF(OR(AND(AUTOEVENTO="Manual",$M158=1),$M158&gt;(ROW(PLE.lastrow)-ROW(PLE.firstrow))),0,IF(OFFSET(PLE!$G$14,$M158,BC$13)="",10^12,OFFSET(PLE!$G$14,$M158,BC$13))))</f>
        <v>1000000000000</v>
      </c>
      <c r="BD158" s="216">
        <f ca="1">IF($D158&lt;&gt;"Serviço",0,IF(OR(AND(AUTOEVENTO="Manual",$M158=1),$M158&gt;(ROW(PLE.lastrow)-ROW(PLE.firstrow))),0,IF(OFFSET(PLE!$G$14,$M158,BD$13)="",10^12,OFFSET(PLE!$G$14,$M158,BD$13))))</f>
        <v>1000000000000</v>
      </c>
      <c r="BE158" s="216">
        <f ca="1">IF($D158&lt;&gt;"Serviço",0,IF(OR(AND(AUTOEVENTO="Manual",$M158=1),$M158&gt;(ROW(PLE.lastrow)-ROW(PLE.firstrow))),0,IF(OFFSET(PLE!$G$14,$M158,BE$13)="",10^12,OFFSET(PLE!$G$14,$M158,BE$13))))</f>
        <v>1000000000000</v>
      </c>
      <c r="BF158" s="216">
        <f ca="1">IF($D158&lt;&gt;"Serviço",0,IF(OR(AND(AUTOEVENTO="Manual",$M158=1),$M158&gt;(ROW(PLE.lastrow)-ROW(PLE.firstrow))),0,IF(OFFSET(PLE!$G$14,$M158,BF$13)="",10^12,OFFSET(PLE!$G$14,$M158,BF$13))))</f>
        <v>1000000000000</v>
      </c>
      <c r="BG158" s="216">
        <f ca="1">IF($D158&lt;&gt;"Serviço",0,IF(OR(AND(AUTOEVENTO="Manual",$M158=1),$M158&gt;(ROW(PLE.lastrow)-ROW(PLE.firstrow))),0,IF(OFFSET(PLE!$G$14,$M158,BG$13)="",10^12,OFFSET(PLE!$G$14,$M158,BG$13))))</f>
        <v>1000000000000</v>
      </c>
    </row>
    <row r="159" spans="1:59" ht="12.75" x14ac:dyDescent="0.2">
      <c r="A159" s="9" t="str">
        <f t="shared" ca="1" si="11"/>
        <v>144.</v>
      </c>
      <c r="B159" s="9">
        <f ca="1">OFFSET(ORÇAMENTO!C$15,ROW(B159)-ROW(B$15),0)</f>
        <v>2</v>
      </c>
      <c r="C159" s="9" t="str">
        <f ca="1">OFFSET(ORÇAMENTO!L$15,ROW(C159)-ROW(C$15),0)</f>
        <v>F</v>
      </c>
      <c r="D159" s="145" t="str">
        <f ca="1">OFFSET(ORÇAMENTO!N$15,ROW(D159)-ROW(D$15),0)</f>
        <v>Nível 2</v>
      </c>
      <c r="E159" s="205" t="str">
        <f ca="1">OFFSET(ORÇAMENTO!O$15,ROW(E159)-ROW(E$15),0)</f>
        <v>1.20.</v>
      </c>
      <c r="F159" s="206" t="str">
        <f ca="1">OFFSET(ORÇAMENTO!R$15,ROW(F159)-ROW(F$15),0)</f>
        <v>SANITÁRIO</v>
      </c>
      <c r="G159" s="207" t="str">
        <f ca="1">IF($D159&lt;&gt;"Serviço","",OFFSET(ORÇAMENTO!S$15,ROW(G159)-ROW(G$15),0))</f>
        <v/>
      </c>
      <c r="H159" s="151">
        <f ca="1">IF($D159&lt;&gt;"Serviço",0,IF(ACOMPANHAMENTO="BM",ROUND(OFFSET(ORÇAMENTO!AJ$15,ROW(H159)-ROW(H$15),0),15-13*ORÇAMENTO!$AF$7),SUMPRODUCT(($Q$12:$AA$12&lt;&gt;"")*ROUND($Q159:$AA159,15-13*ORÇAMENTO!$AF$7))))</f>
        <v>0</v>
      </c>
      <c r="I159" s="649"/>
      <c r="K159" s="208"/>
      <c r="L159" s="209" t="s">
        <v>255</v>
      </c>
      <c r="M159" s="210" t="str">
        <f ca="1">IF($D159&lt;&gt;"Serviço","",IF(AUTOEVENTO="manual",$A159,IF(ISERROR(MATCH($A159,$A$15:OFFSET($A159,-1,0),0)),MAX($M$15:OFFSET(M159,-1,0))+1,INDEX($M$15:OFFSET(M159,-1,0),MATCH($A159,$A$15:OFFSET($A159,-1,0),0)))))</f>
        <v/>
      </c>
      <c r="N159" s="211" t="str">
        <f ca="1">IF($D159&lt;&gt;"Serviço","",IF(AUTOEVENTO="Manual",IF($A159=0,"&lt;-- defina o número do agrupador",OFFSET(EVENTOS!$D$14,$A159,0)),OFFSET($F$15,$A159,0)))</f>
        <v/>
      </c>
      <c r="O159" s="212"/>
      <c r="Q159" s="212"/>
      <c r="R159" s="213"/>
      <c r="S159" s="213"/>
      <c r="T159" s="213"/>
      <c r="U159" s="213"/>
      <c r="V159" s="213"/>
      <c r="W159" s="213"/>
      <c r="X159" s="213"/>
      <c r="Y159" s="213"/>
      <c r="Z159" s="214"/>
      <c r="AB159" s="630">
        <f ca="1">IF(AND($D159="Serviço",AB$12&lt;&gt;0,$H159&gt;0,OR(AUTOEVENTO&lt;&gt;"manual",$M159&lt;&gt;1)),
IF(Import.TipoArredondamento&lt;&gt;"TransfereGOV",
ROUND(OFFSET($P159,0,AB$13),15-13*ORÇAMENTO!$AF$7)/$H159*OFFSET(ORÇAMENTO!$X$15,ROW(AB159)-ROW(AB$15),0),
ROUND(ROUND(OFFSET($P159,0,AB$13),15-13*ORÇAMENTO!$AF$7)*OFFSET(ORÇAMENTO!$W$15,ROW(AB159)-ROW(AB$15),0),15-13*ORÇAMENTO!$AF$11)),0)</f>
        <v>0</v>
      </c>
      <c r="AC159" s="631">
        <f ca="1">IF(AND($D159="Serviço",AC$12&lt;&gt;0,$H159&gt;0,OR(AUTOEVENTO&lt;&gt;"manual",$M159&lt;&gt;1)),
IF(Import.TipoArredondamento&lt;&gt;"TransfereGOV",
ROUND(OFFSET($P159,0,AC$13),15-13*ORÇAMENTO!$AF$7)/$H159*OFFSET(ORÇAMENTO!$X$15,ROW(AC159)-ROW(AC$15),0),
ROUND(ROUND(OFFSET($P159,0,AC$13),15-13*ORÇAMENTO!$AF$7)*OFFSET(ORÇAMENTO!$W$15,ROW(AC159)-ROW(AC$15),0),15-13*ORÇAMENTO!$AF$11)),0)</f>
        <v>0</v>
      </c>
      <c r="AD159" s="631">
        <f ca="1">IF(AND($D159="Serviço",AD$12&lt;&gt;0,$H159&gt;0,OR(AUTOEVENTO&lt;&gt;"manual",$M159&lt;&gt;1)),
IF(Import.TipoArredondamento&lt;&gt;"TransfereGOV",
ROUND(OFFSET($P159,0,AD$13),15-13*ORÇAMENTO!$AF$7)/$H159*OFFSET(ORÇAMENTO!$X$15,ROW(AD159)-ROW(AD$15),0),
ROUND(ROUND(OFFSET($P159,0,AD$13),15-13*ORÇAMENTO!$AF$7)*OFFSET(ORÇAMENTO!$W$15,ROW(AD159)-ROW(AD$15),0),15-13*ORÇAMENTO!$AF$11)),0)</f>
        <v>0</v>
      </c>
      <c r="AE159" s="631">
        <f ca="1">IF(AND($D159="Serviço",AE$12&lt;&gt;0,$H159&gt;0,OR(AUTOEVENTO&lt;&gt;"manual",$M159&lt;&gt;1)),
IF(Import.TipoArredondamento&lt;&gt;"TransfereGOV",
ROUND(OFFSET($P159,0,AE$13),15-13*ORÇAMENTO!$AF$7)/$H159*OFFSET(ORÇAMENTO!$X$15,ROW(AE159)-ROW(AE$15),0),
ROUND(ROUND(OFFSET($P159,0,AE$13),15-13*ORÇAMENTO!$AF$7)*OFFSET(ORÇAMENTO!$W$15,ROW(AE159)-ROW(AE$15),0),15-13*ORÇAMENTO!$AF$11)),0)</f>
        <v>0</v>
      </c>
      <c r="AF159" s="631">
        <f ca="1">IF(AND($D159="Serviço",AF$12&lt;&gt;0,$H159&gt;0,OR(AUTOEVENTO&lt;&gt;"manual",$M159&lt;&gt;1)),
IF(Import.TipoArredondamento&lt;&gt;"TransfereGOV",
ROUND(OFFSET($P159,0,AF$13),15-13*ORÇAMENTO!$AF$7)/$H159*OFFSET(ORÇAMENTO!$X$15,ROW(AF159)-ROW(AF$15),0),
ROUND(ROUND(OFFSET($P159,0,AF$13),15-13*ORÇAMENTO!$AF$7)*OFFSET(ORÇAMENTO!$W$15,ROW(AF159)-ROW(AF$15),0),15-13*ORÇAMENTO!$AF$11)),0)</f>
        <v>0</v>
      </c>
      <c r="AG159" s="631">
        <f ca="1">IF(AND($D159="Serviço",AG$12&lt;&gt;0,$H159&gt;0,OR(AUTOEVENTO&lt;&gt;"manual",$M159&lt;&gt;1)),
IF(Import.TipoArredondamento&lt;&gt;"TransfereGOV",
ROUND(OFFSET($P159,0,AG$13),15-13*ORÇAMENTO!$AF$7)/$H159*OFFSET(ORÇAMENTO!$X$15,ROW(AG159)-ROW(AG$15),0),
ROUND(ROUND(OFFSET($P159,0,AG$13),15-13*ORÇAMENTO!$AF$7)*OFFSET(ORÇAMENTO!$W$15,ROW(AG159)-ROW(AG$15),0),15-13*ORÇAMENTO!$AF$11)),0)</f>
        <v>0</v>
      </c>
      <c r="AH159" s="631">
        <f ca="1">IF(AND($D159="Serviço",AH$12&lt;&gt;0,$H159&gt;0,OR(AUTOEVENTO&lt;&gt;"manual",$M159&lt;&gt;1)),
IF(Import.TipoArredondamento&lt;&gt;"TransfereGOV",
ROUND(OFFSET($P159,0,AH$13),15-13*ORÇAMENTO!$AF$7)/$H159*OFFSET(ORÇAMENTO!$X$15,ROW(AH159)-ROW(AH$15),0),
ROUND(ROUND(OFFSET($P159,0,AH$13),15-13*ORÇAMENTO!$AF$7)*OFFSET(ORÇAMENTO!$W$15,ROW(AH159)-ROW(AH$15),0),15-13*ORÇAMENTO!$AF$11)),0)</f>
        <v>0</v>
      </c>
      <c r="AI159" s="631">
        <f ca="1">IF(AND($D159="Serviço",AI$12&lt;&gt;0,$H159&gt;0,OR(AUTOEVENTO&lt;&gt;"manual",$M159&lt;&gt;1)),
IF(Import.TipoArredondamento&lt;&gt;"TransfereGOV",
ROUND(OFFSET($P159,0,AI$13),15-13*ORÇAMENTO!$AF$7)/$H159*OFFSET(ORÇAMENTO!$X$15,ROW(AI159)-ROW(AI$15),0),
ROUND(ROUND(OFFSET($P159,0,AI$13),15-13*ORÇAMENTO!$AF$7)*OFFSET(ORÇAMENTO!$W$15,ROW(AI159)-ROW(AI$15),0),15-13*ORÇAMENTO!$AF$11)),0)</f>
        <v>0</v>
      </c>
      <c r="AJ159" s="631">
        <f ca="1">IF(AND($D159="Serviço",AJ$12&lt;&gt;0,$H159&gt;0,OR(AUTOEVENTO&lt;&gt;"manual",$M159&lt;&gt;1)),
IF(Import.TipoArredondamento&lt;&gt;"TransfereGOV",
ROUND(OFFSET($P159,0,AJ$13),15-13*ORÇAMENTO!$AF$7)/$H159*OFFSET(ORÇAMENTO!$X$15,ROW(AJ159)-ROW(AJ$15),0),
ROUND(ROUND(OFFSET($P159,0,AJ$13),15-13*ORÇAMENTO!$AF$7)*OFFSET(ORÇAMENTO!$W$15,ROW(AJ159)-ROW(AJ$15),0),15-13*ORÇAMENTO!$AF$11)),0)</f>
        <v>0</v>
      </c>
      <c r="AK159" s="632">
        <f ca="1">IF(AND($D159="Serviço",AK$12&lt;&gt;0,$H159&gt;0,OR(AUTOEVENTO&lt;&gt;"manual",$M159&lt;&gt;1)),
IF(Import.TipoArredondamento&lt;&gt;"TransfereGOV",
ROUND(OFFSET($P159,0,AK$13),15-13*ORÇAMENTO!$AF$7)/$H159*OFFSET(ORÇAMENTO!$X$15,ROW(AK159)-ROW(AK$15),0),
ROUND(ROUND(OFFSET($P159,0,AK$13),15-13*ORÇAMENTO!$AF$7)*OFFSET(ORÇAMENTO!$W$15,ROW(AK159)-ROW(AK$15),0),15-13*ORÇAMENTO!$AF$11)),0)</f>
        <v>0</v>
      </c>
      <c r="AM159" s="215">
        <f ca="1">IF($D159&lt;&gt;"Serviço",0,IF(AND(AUTOEVENTO="Manual",$M159=1),0,IF(OFFSET(CRONOPLE!$F$14,$M159,AM$13)="",10^12,OFFSET(CRONOPLE!$F$14,$M159,AM$13))))</f>
        <v>0</v>
      </c>
      <c r="AN159" s="215">
        <f ca="1">IF($D159&lt;&gt;"Serviço",0,IF(AND(AUTOEVENTO="Manual",$M159=1),0,IF(OFFSET(CRONOPLE!$F$14,$M159,AN$13)="",10^12,OFFSET(CRONOPLE!$F$14,$M159,AN$13))))</f>
        <v>0</v>
      </c>
      <c r="AO159" s="215">
        <f ca="1">IF($D159&lt;&gt;"Serviço",0,IF(AND(AUTOEVENTO="Manual",$M159=1),0,IF(OFFSET(CRONOPLE!$F$14,$M159,AO$13)="",10^12,OFFSET(CRONOPLE!$F$14,$M159,AO$13))))</f>
        <v>0</v>
      </c>
      <c r="AP159" s="215">
        <f ca="1">IF($D159&lt;&gt;"Serviço",0,IF(AND(AUTOEVENTO="Manual",$M159=1),0,IF(OFFSET(CRONOPLE!$F$14,$M159,AP$13)="",10^12,OFFSET(CRONOPLE!$F$14,$M159,AP$13))))</f>
        <v>0</v>
      </c>
      <c r="AQ159" s="215">
        <f ca="1">IF($D159&lt;&gt;"Serviço",0,IF(AND(AUTOEVENTO="Manual",$M159=1),0,IF(OFFSET(CRONOPLE!$F$14,$M159,AQ$13)="",10^12,OFFSET(CRONOPLE!$F$14,$M159,AQ$13))))</f>
        <v>0</v>
      </c>
      <c r="AR159" s="215">
        <f ca="1">IF($D159&lt;&gt;"Serviço",0,IF(AND(AUTOEVENTO="Manual",$M159=1),0,IF(OFFSET(CRONOPLE!$F$14,$M159,AR$13)="",10^12,OFFSET(CRONOPLE!$F$14,$M159,AR$13))))</f>
        <v>0</v>
      </c>
      <c r="AS159" s="215">
        <f ca="1">IF($D159&lt;&gt;"Serviço",0,IF(AND(AUTOEVENTO="Manual",$M159=1),0,IF(OFFSET(CRONOPLE!$F$14,$M159,AS$13)="",10^12,OFFSET(CRONOPLE!$F$14,$M159,AS$13))))</f>
        <v>0</v>
      </c>
      <c r="AT159" s="215">
        <f ca="1">IF($D159&lt;&gt;"Serviço",0,IF(AND(AUTOEVENTO="Manual",$M159=1),0,IF(OFFSET(CRONOPLE!$F$14,$M159,AT$13)="",10^12,OFFSET(CRONOPLE!$F$14,$M159,AT$13))))</f>
        <v>0</v>
      </c>
      <c r="AU159" s="215">
        <f ca="1">IF($D159&lt;&gt;"Serviço",0,IF(AND(AUTOEVENTO="Manual",$M159=1),0,IF(OFFSET(CRONOPLE!$F$14,$M159,AU$13)="",10^12,OFFSET(CRONOPLE!$F$14,$M159,AU$13))))</f>
        <v>0</v>
      </c>
      <c r="AV159" s="215">
        <f ca="1">IF($D159&lt;&gt;"Serviço",0,IF(AND(AUTOEVENTO="Manual",$M159=1),0,IF(OFFSET(CRONOPLE!$F$14,$M159,AV$13)="",10^12,OFFSET(CRONOPLE!$F$14,$M159,AV$13))))</f>
        <v>0</v>
      </c>
      <c r="AX159" s="216">
        <f ca="1">IF($D159&lt;&gt;"Serviço",0,IF(OR(AND(AUTOEVENTO="Manual",$M159=1),$M159&gt;(ROW(PLE.lastrow)-ROW(PLE.firstrow))),0,IF(OFFSET(PLE!$G$14,$M159,AX$13)="",10^12,OFFSET(PLE!$G$14,$M159,AX$13))))</f>
        <v>0</v>
      </c>
      <c r="AY159" s="216">
        <f ca="1">IF($D159&lt;&gt;"Serviço",0,IF(OR(AND(AUTOEVENTO="Manual",$M159=1),$M159&gt;(ROW(PLE.lastrow)-ROW(PLE.firstrow))),0,IF(OFFSET(PLE!$G$14,$M159,AY$13)="",10^12,OFFSET(PLE!$G$14,$M159,AY$13))))</f>
        <v>0</v>
      </c>
      <c r="AZ159" s="216">
        <f ca="1">IF($D159&lt;&gt;"Serviço",0,IF(OR(AND(AUTOEVENTO="Manual",$M159=1),$M159&gt;(ROW(PLE.lastrow)-ROW(PLE.firstrow))),0,IF(OFFSET(PLE!$G$14,$M159,AZ$13)="",10^12,OFFSET(PLE!$G$14,$M159,AZ$13))))</f>
        <v>0</v>
      </c>
      <c r="BA159" s="216">
        <f ca="1">IF($D159&lt;&gt;"Serviço",0,IF(OR(AND(AUTOEVENTO="Manual",$M159=1),$M159&gt;(ROW(PLE.lastrow)-ROW(PLE.firstrow))),0,IF(OFFSET(PLE!$G$14,$M159,BA$13)="",10^12,OFFSET(PLE!$G$14,$M159,BA$13))))</f>
        <v>0</v>
      </c>
      <c r="BB159" s="216">
        <f ca="1">IF($D159&lt;&gt;"Serviço",0,IF(OR(AND(AUTOEVENTO="Manual",$M159=1),$M159&gt;(ROW(PLE.lastrow)-ROW(PLE.firstrow))),0,IF(OFFSET(PLE!$G$14,$M159,BB$13)="",10^12,OFFSET(PLE!$G$14,$M159,BB$13))))</f>
        <v>0</v>
      </c>
      <c r="BC159" s="216">
        <f ca="1">IF($D159&lt;&gt;"Serviço",0,IF(OR(AND(AUTOEVENTO="Manual",$M159=1),$M159&gt;(ROW(PLE.lastrow)-ROW(PLE.firstrow))),0,IF(OFFSET(PLE!$G$14,$M159,BC$13)="",10^12,OFFSET(PLE!$G$14,$M159,BC$13))))</f>
        <v>0</v>
      </c>
      <c r="BD159" s="216">
        <f ca="1">IF($D159&lt;&gt;"Serviço",0,IF(OR(AND(AUTOEVENTO="Manual",$M159=1),$M159&gt;(ROW(PLE.lastrow)-ROW(PLE.firstrow))),0,IF(OFFSET(PLE!$G$14,$M159,BD$13)="",10^12,OFFSET(PLE!$G$14,$M159,BD$13))))</f>
        <v>0</v>
      </c>
      <c r="BE159" s="216">
        <f ca="1">IF($D159&lt;&gt;"Serviço",0,IF(OR(AND(AUTOEVENTO="Manual",$M159=1),$M159&gt;(ROW(PLE.lastrow)-ROW(PLE.firstrow))),0,IF(OFFSET(PLE!$G$14,$M159,BE$13)="",10^12,OFFSET(PLE!$G$14,$M159,BE$13))))</f>
        <v>0</v>
      </c>
      <c r="BF159" s="216">
        <f ca="1">IF($D159&lt;&gt;"Serviço",0,IF(OR(AND(AUTOEVENTO="Manual",$M159=1),$M159&gt;(ROW(PLE.lastrow)-ROW(PLE.firstrow))),0,IF(OFFSET(PLE!$G$14,$M159,BF$13)="",10^12,OFFSET(PLE!$G$14,$M159,BF$13))))</f>
        <v>0</v>
      </c>
      <c r="BG159" s="216">
        <f ca="1">IF($D159&lt;&gt;"Serviço",0,IF(OR(AND(AUTOEVENTO="Manual",$M159=1),$M159&gt;(ROW(PLE.lastrow)-ROW(PLE.firstrow))),0,IF(OFFSET(PLE!$G$14,$M159,BG$13)="",10^12,OFFSET(PLE!$G$14,$M159,BG$13))))</f>
        <v>0</v>
      </c>
    </row>
    <row r="160" spans="1:59" ht="38.25" x14ac:dyDescent="0.2">
      <c r="A160" s="9" t="str">
        <f t="shared" ca="1" si="11"/>
        <v>144</v>
      </c>
      <c r="B160" s="9" t="str">
        <f ca="1">OFFSET(ORÇAMENTO!C$15,ROW(B160)-ROW(B$15),0)</f>
        <v>S</v>
      </c>
      <c r="C160" s="9" t="str">
        <f ca="1">OFFSET(ORÇAMENTO!L$15,ROW(C160)-ROW(C$15),0)</f>
        <v/>
      </c>
      <c r="D160" s="145" t="str">
        <f ca="1">OFFSET(ORÇAMENTO!N$15,ROW(D160)-ROW(D$15),0)</f>
        <v>Serviço</v>
      </c>
      <c r="E160" s="205" t="str">
        <f ca="1">OFFSET(ORÇAMENTO!O$15,ROW(E160)-ROW(E$15),0)</f>
        <v>-</v>
      </c>
      <c r="F160" s="206" t="str">
        <f ca="1">OFFSET(ORÇAMENTO!R$15,ROW(F160)-ROW(F$15),0)</f>
        <v>TUBO PVC, SERIE NORMAL, ESGOTO PREDIAL, DN 50 MM, FORNECIDO E INSTALADO EM RAMAL DE DESCARGA OU RAMAL DE ESGOTO SANITÁRIO. AF_08/2022</v>
      </c>
      <c r="G160" s="207" t="str">
        <f ca="1">IF($D160&lt;&gt;"Serviço","",OFFSET(ORÇAMENTO!S$15,ROW(G160)-ROW(G$15),0))</f>
        <v>M</v>
      </c>
      <c r="H160" s="151">
        <f ca="1">IF($D160&lt;&gt;"Serviço",0,IF(ACOMPANHAMENTO="BM",ROUND(OFFSET(ORÇAMENTO!AJ$15,ROW(H160)-ROW(H$15),0),15-13*ORÇAMENTO!$AF$7),SUMPRODUCT(($Q$12:$AA$12&lt;&gt;"")*ROUND($Q160:$AA160,15-13*ORÇAMENTO!$AF$7))))</f>
        <v>12</v>
      </c>
      <c r="I160" s="649"/>
      <c r="K160" s="208"/>
      <c r="L160" s="209" t="s">
        <v>255</v>
      </c>
      <c r="M160" s="210">
        <f ca="1">IF($D160&lt;&gt;"Serviço","",IF(AUTOEVENTO="manual",$A160,IF(ISERROR(MATCH($A160,$A$15:OFFSET($A160,-1,0),0)),MAX($M$15:OFFSET(M160,-1,0))+1,INDEX($M$15:OFFSET(M160,-1,0),MATCH($A160,$A$15:OFFSET($A160,-1,0),0)))))</f>
        <v>21</v>
      </c>
      <c r="N160" s="211" t="str">
        <f ca="1">IF($D160&lt;&gt;"Serviço","",IF(AUTOEVENTO="Manual",IF($A160=0,"&lt;-- defina o número do agrupador",OFFSET(EVENTOS!$D$14,$A160,0)),OFFSET($F$15,$A160,0)))</f>
        <v>SANITÁRIO</v>
      </c>
      <c r="O160" s="212"/>
      <c r="Q160" s="212"/>
      <c r="R160" s="213"/>
      <c r="S160" s="213"/>
      <c r="T160" s="213"/>
      <c r="U160" s="213"/>
      <c r="V160" s="213"/>
      <c r="W160" s="213"/>
      <c r="X160" s="213"/>
      <c r="Y160" s="213"/>
      <c r="Z160" s="214"/>
      <c r="AB160" s="630">
        <f ca="1">IF(AND($D160="Serviço",AB$12&lt;&gt;0,$H160&gt;0,OR(AUTOEVENTO&lt;&gt;"manual",$M160&lt;&gt;1)),
IF(Import.TipoArredondamento&lt;&gt;"TransfereGOV",
ROUND(OFFSET($P160,0,AB$13),15-13*ORÇAMENTO!$AF$7)/$H160*OFFSET(ORÇAMENTO!$X$15,ROW(AB160)-ROW(AB$15),0),
ROUND(ROUND(OFFSET($P160,0,AB$13),15-13*ORÇAMENTO!$AF$7)*OFFSET(ORÇAMENTO!$W$15,ROW(AB160)-ROW(AB$15),0),15-13*ORÇAMENTO!$AF$11)),0)</f>
        <v>0</v>
      </c>
      <c r="AC160" s="631">
        <f ca="1">IF(AND($D160="Serviço",AC$12&lt;&gt;0,$H160&gt;0,OR(AUTOEVENTO&lt;&gt;"manual",$M160&lt;&gt;1)),
IF(Import.TipoArredondamento&lt;&gt;"TransfereGOV",
ROUND(OFFSET($P160,0,AC$13),15-13*ORÇAMENTO!$AF$7)/$H160*OFFSET(ORÇAMENTO!$X$15,ROW(AC160)-ROW(AC$15),0),
ROUND(ROUND(OFFSET($P160,0,AC$13),15-13*ORÇAMENTO!$AF$7)*OFFSET(ORÇAMENTO!$W$15,ROW(AC160)-ROW(AC$15),0),15-13*ORÇAMENTO!$AF$11)),0)</f>
        <v>0</v>
      </c>
      <c r="AD160" s="631">
        <f ca="1">IF(AND($D160="Serviço",AD$12&lt;&gt;0,$H160&gt;0,OR(AUTOEVENTO&lt;&gt;"manual",$M160&lt;&gt;1)),
IF(Import.TipoArredondamento&lt;&gt;"TransfereGOV",
ROUND(OFFSET($P160,0,AD$13),15-13*ORÇAMENTO!$AF$7)/$H160*OFFSET(ORÇAMENTO!$X$15,ROW(AD160)-ROW(AD$15),0),
ROUND(ROUND(OFFSET($P160,0,AD$13),15-13*ORÇAMENTO!$AF$7)*OFFSET(ORÇAMENTO!$W$15,ROW(AD160)-ROW(AD$15),0),15-13*ORÇAMENTO!$AF$11)),0)</f>
        <v>0</v>
      </c>
      <c r="AE160" s="631">
        <f ca="1">IF(AND($D160="Serviço",AE$12&lt;&gt;0,$H160&gt;0,OR(AUTOEVENTO&lt;&gt;"manual",$M160&lt;&gt;1)),
IF(Import.TipoArredondamento&lt;&gt;"TransfereGOV",
ROUND(OFFSET($P160,0,AE$13),15-13*ORÇAMENTO!$AF$7)/$H160*OFFSET(ORÇAMENTO!$X$15,ROW(AE160)-ROW(AE$15),0),
ROUND(ROUND(OFFSET($P160,0,AE$13),15-13*ORÇAMENTO!$AF$7)*OFFSET(ORÇAMENTO!$W$15,ROW(AE160)-ROW(AE$15),0),15-13*ORÇAMENTO!$AF$11)),0)</f>
        <v>0</v>
      </c>
      <c r="AF160" s="631">
        <f ca="1">IF(AND($D160="Serviço",AF$12&lt;&gt;0,$H160&gt;0,OR(AUTOEVENTO&lt;&gt;"manual",$M160&lt;&gt;1)),
IF(Import.TipoArredondamento&lt;&gt;"TransfereGOV",
ROUND(OFFSET($P160,0,AF$13),15-13*ORÇAMENTO!$AF$7)/$H160*OFFSET(ORÇAMENTO!$X$15,ROW(AF160)-ROW(AF$15),0),
ROUND(ROUND(OFFSET($P160,0,AF$13),15-13*ORÇAMENTO!$AF$7)*OFFSET(ORÇAMENTO!$W$15,ROW(AF160)-ROW(AF$15),0),15-13*ORÇAMENTO!$AF$11)),0)</f>
        <v>0</v>
      </c>
      <c r="AG160" s="631">
        <f ca="1">IF(AND($D160="Serviço",AG$12&lt;&gt;0,$H160&gt;0,OR(AUTOEVENTO&lt;&gt;"manual",$M160&lt;&gt;1)),
IF(Import.TipoArredondamento&lt;&gt;"TransfereGOV",
ROUND(OFFSET($P160,0,AG$13),15-13*ORÇAMENTO!$AF$7)/$H160*OFFSET(ORÇAMENTO!$X$15,ROW(AG160)-ROW(AG$15),0),
ROUND(ROUND(OFFSET($P160,0,AG$13),15-13*ORÇAMENTO!$AF$7)*OFFSET(ORÇAMENTO!$W$15,ROW(AG160)-ROW(AG$15),0),15-13*ORÇAMENTO!$AF$11)),0)</f>
        <v>0</v>
      </c>
      <c r="AH160" s="631">
        <f ca="1">IF(AND($D160="Serviço",AH$12&lt;&gt;0,$H160&gt;0,OR(AUTOEVENTO&lt;&gt;"manual",$M160&lt;&gt;1)),
IF(Import.TipoArredondamento&lt;&gt;"TransfereGOV",
ROUND(OFFSET($P160,0,AH$13),15-13*ORÇAMENTO!$AF$7)/$H160*OFFSET(ORÇAMENTO!$X$15,ROW(AH160)-ROW(AH$15),0),
ROUND(ROUND(OFFSET($P160,0,AH$13),15-13*ORÇAMENTO!$AF$7)*OFFSET(ORÇAMENTO!$W$15,ROW(AH160)-ROW(AH$15),0),15-13*ORÇAMENTO!$AF$11)),0)</f>
        <v>0</v>
      </c>
      <c r="AI160" s="631">
        <f ca="1">IF(AND($D160="Serviço",AI$12&lt;&gt;0,$H160&gt;0,OR(AUTOEVENTO&lt;&gt;"manual",$M160&lt;&gt;1)),
IF(Import.TipoArredondamento&lt;&gt;"TransfereGOV",
ROUND(OFFSET($P160,0,AI$13),15-13*ORÇAMENTO!$AF$7)/$H160*OFFSET(ORÇAMENTO!$X$15,ROW(AI160)-ROW(AI$15),0),
ROUND(ROUND(OFFSET($P160,0,AI$13),15-13*ORÇAMENTO!$AF$7)*OFFSET(ORÇAMENTO!$W$15,ROW(AI160)-ROW(AI$15),0),15-13*ORÇAMENTO!$AF$11)),0)</f>
        <v>0</v>
      </c>
      <c r="AJ160" s="631">
        <f ca="1">IF(AND($D160="Serviço",AJ$12&lt;&gt;0,$H160&gt;0,OR(AUTOEVENTO&lt;&gt;"manual",$M160&lt;&gt;1)),
IF(Import.TipoArredondamento&lt;&gt;"TransfereGOV",
ROUND(OFFSET($P160,0,AJ$13),15-13*ORÇAMENTO!$AF$7)/$H160*OFFSET(ORÇAMENTO!$X$15,ROW(AJ160)-ROW(AJ$15),0),
ROUND(ROUND(OFFSET($P160,0,AJ$13),15-13*ORÇAMENTO!$AF$7)*OFFSET(ORÇAMENTO!$W$15,ROW(AJ160)-ROW(AJ$15),0),15-13*ORÇAMENTO!$AF$11)),0)</f>
        <v>0</v>
      </c>
      <c r="AK160" s="632">
        <f ca="1">IF(AND($D160="Serviço",AK$12&lt;&gt;0,$H160&gt;0,OR(AUTOEVENTO&lt;&gt;"manual",$M160&lt;&gt;1)),
IF(Import.TipoArredondamento&lt;&gt;"TransfereGOV",
ROUND(OFFSET($P160,0,AK$13),15-13*ORÇAMENTO!$AF$7)/$H160*OFFSET(ORÇAMENTO!$X$15,ROW(AK160)-ROW(AK$15),0),
ROUND(ROUND(OFFSET($P160,0,AK$13),15-13*ORÇAMENTO!$AF$7)*OFFSET(ORÇAMENTO!$W$15,ROW(AK160)-ROW(AK$15),0),15-13*ORÇAMENTO!$AF$11)),0)</f>
        <v>0</v>
      </c>
      <c r="AM160" s="215">
        <f ca="1">IF($D160&lt;&gt;"Serviço",0,IF(AND(AUTOEVENTO="Manual",$M160=1),0,IF(OFFSET(CRONOPLE!$F$14,$M160,AM$13)="",10^12,OFFSET(CRONOPLE!$F$14,$M160,AM$13))))</f>
        <v>1000000000000</v>
      </c>
      <c r="AN160" s="215">
        <f ca="1">IF($D160&lt;&gt;"Serviço",0,IF(AND(AUTOEVENTO="Manual",$M160=1),0,IF(OFFSET(CRONOPLE!$F$14,$M160,AN$13)="",10^12,OFFSET(CRONOPLE!$F$14,$M160,AN$13))))</f>
        <v>1000000000000</v>
      </c>
      <c r="AO160" s="215">
        <f ca="1">IF($D160&lt;&gt;"Serviço",0,IF(AND(AUTOEVENTO="Manual",$M160=1),0,IF(OFFSET(CRONOPLE!$F$14,$M160,AO$13)="",10^12,OFFSET(CRONOPLE!$F$14,$M160,AO$13))))</f>
        <v>1000000000000</v>
      </c>
      <c r="AP160" s="215">
        <f ca="1">IF($D160&lt;&gt;"Serviço",0,IF(AND(AUTOEVENTO="Manual",$M160=1),0,IF(OFFSET(CRONOPLE!$F$14,$M160,AP$13)="",10^12,OFFSET(CRONOPLE!$F$14,$M160,AP$13))))</f>
        <v>1000000000000</v>
      </c>
      <c r="AQ160" s="215">
        <f ca="1">IF($D160&lt;&gt;"Serviço",0,IF(AND(AUTOEVENTO="Manual",$M160=1),0,IF(OFFSET(CRONOPLE!$F$14,$M160,AQ$13)="",10^12,OFFSET(CRONOPLE!$F$14,$M160,AQ$13))))</f>
        <v>1000000000000</v>
      </c>
      <c r="AR160" s="215">
        <f ca="1">IF($D160&lt;&gt;"Serviço",0,IF(AND(AUTOEVENTO="Manual",$M160=1),0,IF(OFFSET(CRONOPLE!$F$14,$M160,AR$13)="",10^12,OFFSET(CRONOPLE!$F$14,$M160,AR$13))))</f>
        <v>1000000000000</v>
      </c>
      <c r="AS160" s="215">
        <f ca="1">IF($D160&lt;&gt;"Serviço",0,IF(AND(AUTOEVENTO="Manual",$M160=1),0,IF(OFFSET(CRONOPLE!$F$14,$M160,AS$13)="",10^12,OFFSET(CRONOPLE!$F$14,$M160,AS$13))))</f>
        <v>1000000000000</v>
      </c>
      <c r="AT160" s="215">
        <f ca="1">IF($D160&lt;&gt;"Serviço",0,IF(AND(AUTOEVENTO="Manual",$M160=1),0,IF(OFFSET(CRONOPLE!$F$14,$M160,AT$13)="",10^12,OFFSET(CRONOPLE!$F$14,$M160,AT$13))))</f>
        <v>1000000000000</v>
      </c>
      <c r="AU160" s="215">
        <f ca="1">IF($D160&lt;&gt;"Serviço",0,IF(AND(AUTOEVENTO="Manual",$M160=1),0,IF(OFFSET(CRONOPLE!$F$14,$M160,AU$13)="",10^12,OFFSET(CRONOPLE!$F$14,$M160,AU$13))))</f>
        <v>1000000000000</v>
      </c>
      <c r="AV160" s="215">
        <f ca="1">IF($D160&lt;&gt;"Serviço",0,IF(AND(AUTOEVENTO="Manual",$M160=1),0,IF(OFFSET(CRONOPLE!$F$14,$M160,AV$13)="",10^12,OFFSET(CRONOPLE!$F$14,$M160,AV$13))))</f>
        <v>1000000000000</v>
      </c>
      <c r="AX160" s="216">
        <f ca="1">IF($D160&lt;&gt;"Serviço",0,IF(OR(AND(AUTOEVENTO="Manual",$M160=1),$M160&gt;(ROW(PLE.lastrow)-ROW(PLE.firstrow))),0,IF(OFFSET(PLE!$G$14,$M160,AX$13)="",10^12,OFFSET(PLE!$G$14,$M160,AX$13))))</f>
        <v>1000000000000</v>
      </c>
      <c r="AY160" s="216">
        <f ca="1">IF($D160&lt;&gt;"Serviço",0,IF(OR(AND(AUTOEVENTO="Manual",$M160=1),$M160&gt;(ROW(PLE.lastrow)-ROW(PLE.firstrow))),0,IF(OFFSET(PLE!$G$14,$M160,AY$13)="",10^12,OFFSET(PLE!$G$14,$M160,AY$13))))</f>
        <v>1000000000000</v>
      </c>
      <c r="AZ160" s="216">
        <f ca="1">IF($D160&lt;&gt;"Serviço",0,IF(OR(AND(AUTOEVENTO="Manual",$M160=1),$M160&gt;(ROW(PLE.lastrow)-ROW(PLE.firstrow))),0,IF(OFFSET(PLE!$G$14,$M160,AZ$13)="",10^12,OFFSET(PLE!$G$14,$M160,AZ$13))))</f>
        <v>1000000000000</v>
      </c>
      <c r="BA160" s="216">
        <f ca="1">IF($D160&lt;&gt;"Serviço",0,IF(OR(AND(AUTOEVENTO="Manual",$M160=1),$M160&gt;(ROW(PLE.lastrow)-ROW(PLE.firstrow))),0,IF(OFFSET(PLE!$G$14,$M160,BA$13)="",10^12,OFFSET(PLE!$G$14,$M160,BA$13))))</f>
        <v>1000000000000</v>
      </c>
      <c r="BB160" s="216">
        <f ca="1">IF($D160&lt;&gt;"Serviço",0,IF(OR(AND(AUTOEVENTO="Manual",$M160=1),$M160&gt;(ROW(PLE.lastrow)-ROW(PLE.firstrow))),0,IF(OFFSET(PLE!$G$14,$M160,BB$13)="",10^12,OFFSET(PLE!$G$14,$M160,BB$13))))</f>
        <v>1000000000000</v>
      </c>
      <c r="BC160" s="216">
        <f ca="1">IF($D160&lt;&gt;"Serviço",0,IF(OR(AND(AUTOEVENTO="Manual",$M160=1),$M160&gt;(ROW(PLE.lastrow)-ROW(PLE.firstrow))),0,IF(OFFSET(PLE!$G$14,$M160,BC$13)="",10^12,OFFSET(PLE!$G$14,$M160,BC$13))))</f>
        <v>1000000000000</v>
      </c>
      <c r="BD160" s="216">
        <f ca="1">IF($D160&lt;&gt;"Serviço",0,IF(OR(AND(AUTOEVENTO="Manual",$M160=1),$M160&gt;(ROW(PLE.lastrow)-ROW(PLE.firstrow))),0,IF(OFFSET(PLE!$G$14,$M160,BD$13)="",10^12,OFFSET(PLE!$G$14,$M160,BD$13))))</f>
        <v>1000000000000</v>
      </c>
      <c r="BE160" s="216">
        <f ca="1">IF($D160&lt;&gt;"Serviço",0,IF(OR(AND(AUTOEVENTO="Manual",$M160=1),$M160&gt;(ROW(PLE.lastrow)-ROW(PLE.firstrow))),0,IF(OFFSET(PLE!$G$14,$M160,BE$13)="",10^12,OFFSET(PLE!$G$14,$M160,BE$13))))</f>
        <v>1000000000000</v>
      </c>
      <c r="BF160" s="216">
        <f ca="1">IF($D160&lt;&gt;"Serviço",0,IF(OR(AND(AUTOEVENTO="Manual",$M160=1),$M160&gt;(ROW(PLE.lastrow)-ROW(PLE.firstrow))),0,IF(OFFSET(PLE!$G$14,$M160,BF$13)="",10^12,OFFSET(PLE!$G$14,$M160,BF$13))))</f>
        <v>1000000000000</v>
      </c>
      <c r="BG160" s="216">
        <f ca="1">IF($D160&lt;&gt;"Serviço",0,IF(OR(AND(AUTOEVENTO="Manual",$M160=1),$M160&gt;(ROW(PLE.lastrow)-ROW(PLE.firstrow))),0,IF(OFFSET(PLE!$G$14,$M160,BG$13)="",10^12,OFFSET(PLE!$G$14,$M160,BG$13))))</f>
        <v>1000000000000</v>
      </c>
    </row>
    <row r="161" spans="1:59" ht="38.25" x14ac:dyDescent="0.2">
      <c r="A161" s="9" t="str">
        <f t="shared" ca="1" si="11"/>
        <v>144</v>
      </c>
      <c r="B161" s="9" t="str">
        <f ca="1">OFFSET(ORÇAMENTO!C$15,ROW(B161)-ROW(B$15),0)</f>
        <v>S</v>
      </c>
      <c r="C161" s="9" t="str">
        <f ca="1">OFFSET(ORÇAMENTO!L$15,ROW(C161)-ROW(C$15),0)</f>
        <v/>
      </c>
      <c r="D161" s="145" t="str">
        <f ca="1">OFFSET(ORÇAMENTO!N$15,ROW(D161)-ROW(D$15),0)</f>
        <v>Serviço</v>
      </c>
      <c r="E161" s="205" t="str">
        <f ca="1">OFFSET(ORÇAMENTO!O$15,ROW(E161)-ROW(E$15),0)</f>
        <v>-</v>
      </c>
      <c r="F161" s="206" t="str">
        <f ca="1">OFFSET(ORÇAMENTO!R$15,ROW(F161)-ROW(F$15),0)</f>
        <v>TUBO PVC, SERIE NORMAL, ESGOTO PREDIAL, DN 75 MM, FORNECIDO E INSTALADO EM RAMAL DE DESCARGA OU RAMAL DE ESGOTO SANITÁRIO. AF_08/2022</v>
      </c>
      <c r="G161" s="207" t="str">
        <f ca="1">IF($D161&lt;&gt;"Serviço","",OFFSET(ORÇAMENTO!S$15,ROW(G161)-ROW(G$15),0))</f>
        <v>M</v>
      </c>
      <c r="H161" s="151">
        <f ca="1">IF($D161&lt;&gt;"Serviço",0,IF(ACOMPANHAMENTO="BM",ROUND(OFFSET(ORÇAMENTO!AJ$15,ROW(H161)-ROW(H$15),0),15-13*ORÇAMENTO!$AF$7),SUMPRODUCT(($Q$12:$AA$12&lt;&gt;"")*ROUND($Q161:$AA161,15-13*ORÇAMENTO!$AF$7))))</f>
        <v>1</v>
      </c>
      <c r="I161" s="649"/>
      <c r="K161" s="208"/>
      <c r="L161" s="209" t="s">
        <v>255</v>
      </c>
      <c r="M161" s="210">
        <f ca="1">IF($D161&lt;&gt;"Serviço","",IF(AUTOEVENTO="manual",$A161,IF(ISERROR(MATCH($A161,$A$15:OFFSET($A161,-1,0),0)),MAX($M$15:OFFSET(M161,-1,0))+1,INDEX($M$15:OFFSET(M161,-1,0),MATCH($A161,$A$15:OFFSET($A161,-1,0),0)))))</f>
        <v>21</v>
      </c>
      <c r="N161" s="211" t="str">
        <f ca="1">IF($D161&lt;&gt;"Serviço","",IF(AUTOEVENTO="Manual",IF($A161=0,"&lt;-- defina o número do agrupador",OFFSET(EVENTOS!$D$14,$A161,0)),OFFSET($F$15,$A161,0)))</f>
        <v>SANITÁRIO</v>
      </c>
      <c r="O161" s="212"/>
      <c r="Q161" s="212"/>
      <c r="R161" s="213"/>
      <c r="S161" s="213"/>
      <c r="T161" s="213"/>
      <c r="U161" s="213"/>
      <c r="V161" s="213"/>
      <c r="W161" s="213"/>
      <c r="X161" s="213"/>
      <c r="Y161" s="213"/>
      <c r="Z161" s="214"/>
      <c r="AB161" s="630">
        <f ca="1">IF(AND($D161="Serviço",AB$12&lt;&gt;0,$H161&gt;0,OR(AUTOEVENTO&lt;&gt;"manual",$M161&lt;&gt;1)),
IF(Import.TipoArredondamento&lt;&gt;"TransfereGOV",
ROUND(OFFSET($P161,0,AB$13),15-13*ORÇAMENTO!$AF$7)/$H161*OFFSET(ORÇAMENTO!$X$15,ROW(AB161)-ROW(AB$15),0),
ROUND(ROUND(OFFSET($P161,0,AB$13),15-13*ORÇAMENTO!$AF$7)*OFFSET(ORÇAMENTO!$W$15,ROW(AB161)-ROW(AB$15),0),15-13*ORÇAMENTO!$AF$11)),0)</f>
        <v>0</v>
      </c>
      <c r="AC161" s="631">
        <f ca="1">IF(AND($D161="Serviço",AC$12&lt;&gt;0,$H161&gt;0,OR(AUTOEVENTO&lt;&gt;"manual",$M161&lt;&gt;1)),
IF(Import.TipoArredondamento&lt;&gt;"TransfereGOV",
ROUND(OFFSET($P161,0,AC$13),15-13*ORÇAMENTO!$AF$7)/$H161*OFFSET(ORÇAMENTO!$X$15,ROW(AC161)-ROW(AC$15),0),
ROUND(ROUND(OFFSET($P161,0,AC$13),15-13*ORÇAMENTO!$AF$7)*OFFSET(ORÇAMENTO!$W$15,ROW(AC161)-ROW(AC$15),0),15-13*ORÇAMENTO!$AF$11)),0)</f>
        <v>0</v>
      </c>
      <c r="AD161" s="631">
        <f ca="1">IF(AND($D161="Serviço",AD$12&lt;&gt;0,$H161&gt;0,OR(AUTOEVENTO&lt;&gt;"manual",$M161&lt;&gt;1)),
IF(Import.TipoArredondamento&lt;&gt;"TransfereGOV",
ROUND(OFFSET($P161,0,AD$13),15-13*ORÇAMENTO!$AF$7)/$H161*OFFSET(ORÇAMENTO!$X$15,ROW(AD161)-ROW(AD$15),0),
ROUND(ROUND(OFFSET($P161,0,AD$13),15-13*ORÇAMENTO!$AF$7)*OFFSET(ORÇAMENTO!$W$15,ROW(AD161)-ROW(AD$15),0),15-13*ORÇAMENTO!$AF$11)),0)</f>
        <v>0</v>
      </c>
      <c r="AE161" s="631">
        <f ca="1">IF(AND($D161="Serviço",AE$12&lt;&gt;0,$H161&gt;0,OR(AUTOEVENTO&lt;&gt;"manual",$M161&lt;&gt;1)),
IF(Import.TipoArredondamento&lt;&gt;"TransfereGOV",
ROUND(OFFSET($P161,0,AE$13),15-13*ORÇAMENTO!$AF$7)/$H161*OFFSET(ORÇAMENTO!$X$15,ROW(AE161)-ROW(AE$15),0),
ROUND(ROUND(OFFSET($P161,0,AE$13),15-13*ORÇAMENTO!$AF$7)*OFFSET(ORÇAMENTO!$W$15,ROW(AE161)-ROW(AE$15),0),15-13*ORÇAMENTO!$AF$11)),0)</f>
        <v>0</v>
      </c>
      <c r="AF161" s="631">
        <f ca="1">IF(AND($D161="Serviço",AF$12&lt;&gt;0,$H161&gt;0,OR(AUTOEVENTO&lt;&gt;"manual",$M161&lt;&gt;1)),
IF(Import.TipoArredondamento&lt;&gt;"TransfereGOV",
ROUND(OFFSET($P161,0,AF$13),15-13*ORÇAMENTO!$AF$7)/$H161*OFFSET(ORÇAMENTO!$X$15,ROW(AF161)-ROW(AF$15),0),
ROUND(ROUND(OFFSET($P161,0,AF$13),15-13*ORÇAMENTO!$AF$7)*OFFSET(ORÇAMENTO!$W$15,ROW(AF161)-ROW(AF$15),0),15-13*ORÇAMENTO!$AF$11)),0)</f>
        <v>0</v>
      </c>
      <c r="AG161" s="631">
        <f ca="1">IF(AND($D161="Serviço",AG$12&lt;&gt;0,$H161&gt;0,OR(AUTOEVENTO&lt;&gt;"manual",$M161&lt;&gt;1)),
IF(Import.TipoArredondamento&lt;&gt;"TransfereGOV",
ROUND(OFFSET($P161,0,AG$13),15-13*ORÇAMENTO!$AF$7)/$H161*OFFSET(ORÇAMENTO!$X$15,ROW(AG161)-ROW(AG$15),0),
ROUND(ROUND(OFFSET($P161,0,AG$13),15-13*ORÇAMENTO!$AF$7)*OFFSET(ORÇAMENTO!$W$15,ROW(AG161)-ROW(AG$15),0),15-13*ORÇAMENTO!$AF$11)),0)</f>
        <v>0</v>
      </c>
      <c r="AH161" s="631">
        <f ca="1">IF(AND($D161="Serviço",AH$12&lt;&gt;0,$H161&gt;0,OR(AUTOEVENTO&lt;&gt;"manual",$M161&lt;&gt;1)),
IF(Import.TipoArredondamento&lt;&gt;"TransfereGOV",
ROUND(OFFSET($P161,0,AH$13),15-13*ORÇAMENTO!$AF$7)/$H161*OFFSET(ORÇAMENTO!$X$15,ROW(AH161)-ROW(AH$15),0),
ROUND(ROUND(OFFSET($P161,0,AH$13),15-13*ORÇAMENTO!$AF$7)*OFFSET(ORÇAMENTO!$W$15,ROW(AH161)-ROW(AH$15),0),15-13*ORÇAMENTO!$AF$11)),0)</f>
        <v>0</v>
      </c>
      <c r="AI161" s="631">
        <f ca="1">IF(AND($D161="Serviço",AI$12&lt;&gt;0,$H161&gt;0,OR(AUTOEVENTO&lt;&gt;"manual",$M161&lt;&gt;1)),
IF(Import.TipoArredondamento&lt;&gt;"TransfereGOV",
ROUND(OFFSET($P161,0,AI$13),15-13*ORÇAMENTO!$AF$7)/$H161*OFFSET(ORÇAMENTO!$X$15,ROW(AI161)-ROW(AI$15),0),
ROUND(ROUND(OFFSET($P161,0,AI$13),15-13*ORÇAMENTO!$AF$7)*OFFSET(ORÇAMENTO!$W$15,ROW(AI161)-ROW(AI$15),0),15-13*ORÇAMENTO!$AF$11)),0)</f>
        <v>0</v>
      </c>
      <c r="AJ161" s="631">
        <f ca="1">IF(AND($D161="Serviço",AJ$12&lt;&gt;0,$H161&gt;0,OR(AUTOEVENTO&lt;&gt;"manual",$M161&lt;&gt;1)),
IF(Import.TipoArredondamento&lt;&gt;"TransfereGOV",
ROUND(OFFSET($P161,0,AJ$13),15-13*ORÇAMENTO!$AF$7)/$H161*OFFSET(ORÇAMENTO!$X$15,ROW(AJ161)-ROW(AJ$15),0),
ROUND(ROUND(OFFSET($P161,0,AJ$13),15-13*ORÇAMENTO!$AF$7)*OFFSET(ORÇAMENTO!$W$15,ROW(AJ161)-ROW(AJ$15),0),15-13*ORÇAMENTO!$AF$11)),0)</f>
        <v>0</v>
      </c>
      <c r="AK161" s="632">
        <f ca="1">IF(AND($D161="Serviço",AK$12&lt;&gt;0,$H161&gt;0,OR(AUTOEVENTO&lt;&gt;"manual",$M161&lt;&gt;1)),
IF(Import.TipoArredondamento&lt;&gt;"TransfereGOV",
ROUND(OFFSET($P161,0,AK$13),15-13*ORÇAMENTO!$AF$7)/$H161*OFFSET(ORÇAMENTO!$X$15,ROW(AK161)-ROW(AK$15),0),
ROUND(ROUND(OFFSET($P161,0,AK$13),15-13*ORÇAMENTO!$AF$7)*OFFSET(ORÇAMENTO!$W$15,ROW(AK161)-ROW(AK$15),0),15-13*ORÇAMENTO!$AF$11)),0)</f>
        <v>0</v>
      </c>
      <c r="AM161" s="215">
        <f ca="1">IF($D161&lt;&gt;"Serviço",0,IF(AND(AUTOEVENTO="Manual",$M161=1),0,IF(OFFSET(CRONOPLE!$F$14,$M161,AM$13)="",10^12,OFFSET(CRONOPLE!$F$14,$M161,AM$13))))</f>
        <v>1000000000000</v>
      </c>
      <c r="AN161" s="215">
        <f ca="1">IF($D161&lt;&gt;"Serviço",0,IF(AND(AUTOEVENTO="Manual",$M161=1),0,IF(OFFSET(CRONOPLE!$F$14,$M161,AN$13)="",10^12,OFFSET(CRONOPLE!$F$14,$M161,AN$13))))</f>
        <v>1000000000000</v>
      </c>
      <c r="AO161" s="215">
        <f ca="1">IF($D161&lt;&gt;"Serviço",0,IF(AND(AUTOEVENTO="Manual",$M161=1),0,IF(OFFSET(CRONOPLE!$F$14,$M161,AO$13)="",10^12,OFFSET(CRONOPLE!$F$14,$M161,AO$13))))</f>
        <v>1000000000000</v>
      </c>
      <c r="AP161" s="215">
        <f ca="1">IF($D161&lt;&gt;"Serviço",0,IF(AND(AUTOEVENTO="Manual",$M161=1),0,IF(OFFSET(CRONOPLE!$F$14,$M161,AP$13)="",10^12,OFFSET(CRONOPLE!$F$14,$M161,AP$13))))</f>
        <v>1000000000000</v>
      </c>
      <c r="AQ161" s="215">
        <f ca="1">IF($D161&lt;&gt;"Serviço",0,IF(AND(AUTOEVENTO="Manual",$M161=1),0,IF(OFFSET(CRONOPLE!$F$14,$M161,AQ$13)="",10^12,OFFSET(CRONOPLE!$F$14,$M161,AQ$13))))</f>
        <v>1000000000000</v>
      </c>
      <c r="AR161" s="215">
        <f ca="1">IF($D161&lt;&gt;"Serviço",0,IF(AND(AUTOEVENTO="Manual",$M161=1),0,IF(OFFSET(CRONOPLE!$F$14,$M161,AR$13)="",10^12,OFFSET(CRONOPLE!$F$14,$M161,AR$13))))</f>
        <v>1000000000000</v>
      </c>
      <c r="AS161" s="215">
        <f ca="1">IF($D161&lt;&gt;"Serviço",0,IF(AND(AUTOEVENTO="Manual",$M161=1),0,IF(OFFSET(CRONOPLE!$F$14,$M161,AS$13)="",10^12,OFFSET(CRONOPLE!$F$14,$M161,AS$13))))</f>
        <v>1000000000000</v>
      </c>
      <c r="AT161" s="215">
        <f ca="1">IF($D161&lt;&gt;"Serviço",0,IF(AND(AUTOEVENTO="Manual",$M161=1),0,IF(OFFSET(CRONOPLE!$F$14,$M161,AT$13)="",10^12,OFFSET(CRONOPLE!$F$14,$M161,AT$13))))</f>
        <v>1000000000000</v>
      </c>
      <c r="AU161" s="215">
        <f ca="1">IF($D161&lt;&gt;"Serviço",0,IF(AND(AUTOEVENTO="Manual",$M161=1),0,IF(OFFSET(CRONOPLE!$F$14,$M161,AU$13)="",10^12,OFFSET(CRONOPLE!$F$14,$M161,AU$13))))</f>
        <v>1000000000000</v>
      </c>
      <c r="AV161" s="215">
        <f ca="1">IF($D161&lt;&gt;"Serviço",0,IF(AND(AUTOEVENTO="Manual",$M161=1),0,IF(OFFSET(CRONOPLE!$F$14,$M161,AV$13)="",10^12,OFFSET(CRONOPLE!$F$14,$M161,AV$13))))</f>
        <v>1000000000000</v>
      </c>
      <c r="AX161" s="216">
        <f ca="1">IF($D161&lt;&gt;"Serviço",0,IF(OR(AND(AUTOEVENTO="Manual",$M161=1),$M161&gt;(ROW(PLE.lastrow)-ROW(PLE.firstrow))),0,IF(OFFSET(PLE!$G$14,$M161,AX$13)="",10^12,OFFSET(PLE!$G$14,$M161,AX$13))))</f>
        <v>1000000000000</v>
      </c>
      <c r="AY161" s="216">
        <f ca="1">IF($D161&lt;&gt;"Serviço",0,IF(OR(AND(AUTOEVENTO="Manual",$M161=1),$M161&gt;(ROW(PLE.lastrow)-ROW(PLE.firstrow))),0,IF(OFFSET(PLE!$G$14,$M161,AY$13)="",10^12,OFFSET(PLE!$G$14,$M161,AY$13))))</f>
        <v>1000000000000</v>
      </c>
      <c r="AZ161" s="216">
        <f ca="1">IF($D161&lt;&gt;"Serviço",0,IF(OR(AND(AUTOEVENTO="Manual",$M161=1),$M161&gt;(ROW(PLE.lastrow)-ROW(PLE.firstrow))),0,IF(OFFSET(PLE!$G$14,$M161,AZ$13)="",10^12,OFFSET(PLE!$G$14,$M161,AZ$13))))</f>
        <v>1000000000000</v>
      </c>
      <c r="BA161" s="216">
        <f ca="1">IF($D161&lt;&gt;"Serviço",0,IF(OR(AND(AUTOEVENTO="Manual",$M161=1),$M161&gt;(ROW(PLE.lastrow)-ROW(PLE.firstrow))),0,IF(OFFSET(PLE!$G$14,$M161,BA$13)="",10^12,OFFSET(PLE!$G$14,$M161,BA$13))))</f>
        <v>1000000000000</v>
      </c>
      <c r="BB161" s="216">
        <f ca="1">IF($D161&lt;&gt;"Serviço",0,IF(OR(AND(AUTOEVENTO="Manual",$M161=1),$M161&gt;(ROW(PLE.lastrow)-ROW(PLE.firstrow))),0,IF(OFFSET(PLE!$G$14,$M161,BB$13)="",10^12,OFFSET(PLE!$G$14,$M161,BB$13))))</f>
        <v>1000000000000</v>
      </c>
      <c r="BC161" s="216">
        <f ca="1">IF($D161&lt;&gt;"Serviço",0,IF(OR(AND(AUTOEVENTO="Manual",$M161=1),$M161&gt;(ROW(PLE.lastrow)-ROW(PLE.firstrow))),0,IF(OFFSET(PLE!$G$14,$M161,BC$13)="",10^12,OFFSET(PLE!$G$14,$M161,BC$13))))</f>
        <v>1000000000000</v>
      </c>
      <c r="BD161" s="216">
        <f ca="1">IF($D161&lt;&gt;"Serviço",0,IF(OR(AND(AUTOEVENTO="Manual",$M161=1),$M161&gt;(ROW(PLE.lastrow)-ROW(PLE.firstrow))),0,IF(OFFSET(PLE!$G$14,$M161,BD$13)="",10^12,OFFSET(PLE!$G$14,$M161,BD$13))))</f>
        <v>1000000000000</v>
      </c>
      <c r="BE161" s="216">
        <f ca="1">IF($D161&lt;&gt;"Serviço",0,IF(OR(AND(AUTOEVENTO="Manual",$M161=1),$M161&gt;(ROW(PLE.lastrow)-ROW(PLE.firstrow))),0,IF(OFFSET(PLE!$G$14,$M161,BE$13)="",10^12,OFFSET(PLE!$G$14,$M161,BE$13))))</f>
        <v>1000000000000</v>
      </c>
      <c r="BF161" s="216">
        <f ca="1">IF($D161&lt;&gt;"Serviço",0,IF(OR(AND(AUTOEVENTO="Manual",$M161=1),$M161&gt;(ROW(PLE.lastrow)-ROW(PLE.firstrow))),0,IF(OFFSET(PLE!$G$14,$M161,BF$13)="",10^12,OFFSET(PLE!$G$14,$M161,BF$13))))</f>
        <v>1000000000000</v>
      </c>
      <c r="BG161" s="216">
        <f ca="1">IF($D161&lt;&gt;"Serviço",0,IF(OR(AND(AUTOEVENTO="Manual",$M161=1),$M161&gt;(ROW(PLE.lastrow)-ROW(PLE.firstrow))),0,IF(OFFSET(PLE!$G$14,$M161,BG$13)="",10^12,OFFSET(PLE!$G$14,$M161,BG$13))))</f>
        <v>1000000000000</v>
      </c>
    </row>
    <row r="162" spans="1:59" ht="38.25" x14ac:dyDescent="0.2">
      <c r="A162" s="9" t="str">
        <f t="shared" ca="1" si="11"/>
        <v>144</v>
      </c>
      <c r="B162" s="9" t="str">
        <f ca="1">OFFSET(ORÇAMENTO!C$15,ROW(B162)-ROW(B$15),0)</f>
        <v>S</v>
      </c>
      <c r="C162" s="9" t="str">
        <f ca="1">OFFSET(ORÇAMENTO!L$15,ROW(C162)-ROW(C$15),0)</f>
        <v/>
      </c>
      <c r="D162" s="145" t="str">
        <f ca="1">OFFSET(ORÇAMENTO!N$15,ROW(D162)-ROW(D$15),0)</f>
        <v>Serviço</v>
      </c>
      <c r="E162" s="205" t="str">
        <f ca="1">OFFSET(ORÇAMENTO!O$15,ROW(E162)-ROW(E$15),0)</f>
        <v>-</v>
      </c>
      <c r="F162" s="206" t="str">
        <f ca="1">OFFSET(ORÇAMENTO!R$15,ROW(F162)-ROW(F$15),0)</f>
        <v>TUBO PVC, SERIE NORMAL, ESGOTO PREDIAL, DN 100 MM, FORNECIDO E INSTALADO EM RAMAL DE DESCARGA OU RAMAL DE ESGOTO SANITÁRIO. AF_08/2022</v>
      </c>
      <c r="G162" s="207" t="str">
        <f ca="1">IF($D162&lt;&gt;"Serviço","",OFFSET(ORÇAMENTO!S$15,ROW(G162)-ROW(G$15),0))</f>
        <v>M</v>
      </c>
      <c r="H162" s="151">
        <f ca="1">IF($D162&lt;&gt;"Serviço",0,IF(ACOMPANHAMENTO="BM",ROUND(OFFSET(ORÇAMENTO!AJ$15,ROW(H162)-ROW(H$15),0),15-13*ORÇAMENTO!$AF$7),SUMPRODUCT(($Q$12:$AA$12&lt;&gt;"")*ROUND($Q162:$AA162,15-13*ORÇAMENTO!$AF$7))))</f>
        <v>84</v>
      </c>
      <c r="I162" s="649"/>
      <c r="K162" s="208"/>
      <c r="L162" s="209" t="s">
        <v>255</v>
      </c>
      <c r="M162" s="210">
        <f ca="1">IF($D162&lt;&gt;"Serviço","",IF(AUTOEVENTO="manual",$A162,IF(ISERROR(MATCH($A162,$A$15:OFFSET($A162,-1,0),0)),MAX($M$15:OFFSET(M162,-1,0))+1,INDEX($M$15:OFFSET(M162,-1,0),MATCH($A162,$A$15:OFFSET($A162,-1,0),0)))))</f>
        <v>21</v>
      </c>
      <c r="N162" s="211" t="str">
        <f ca="1">IF($D162&lt;&gt;"Serviço","",IF(AUTOEVENTO="Manual",IF($A162=0,"&lt;-- defina o número do agrupador",OFFSET(EVENTOS!$D$14,$A162,0)),OFFSET($F$15,$A162,0)))</f>
        <v>SANITÁRIO</v>
      </c>
      <c r="O162" s="212"/>
      <c r="Q162" s="212"/>
      <c r="R162" s="213"/>
      <c r="S162" s="213"/>
      <c r="T162" s="213"/>
      <c r="U162" s="213"/>
      <c r="V162" s="213"/>
      <c r="W162" s="213"/>
      <c r="X162" s="213"/>
      <c r="Y162" s="213"/>
      <c r="Z162" s="214"/>
      <c r="AB162" s="630">
        <f ca="1">IF(AND($D162="Serviço",AB$12&lt;&gt;0,$H162&gt;0,OR(AUTOEVENTO&lt;&gt;"manual",$M162&lt;&gt;1)),
IF(Import.TipoArredondamento&lt;&gt;"TransfereGOV",
ROUND(OFFSET($P162,0,AB$13),15-13*ORÇAMENTO!$AF$7)/$H162*OFFSET(ORÇAMENTO!$X$15,ROW(AB162)-ROW(AB$15),0),
ROUND(ROUND(OFFSET($P162,0,AB$13),15-13*ORÇAMENTO!$AF$7)*OFFSET(ORÇAMENTO!$W$15,ROW(AB162)-ROW(AB$15),0),15-13*ORÇAMENTO!$AF$11)),0)</f>
        <v>0</v>
      </c>
      <c r="AC162" s="631">
        <f ca="1">IF(AND($D162="Serviço",AC$12&lt;&gt;0,$H162&gt;0,OR(AUTOEVENTO&lt;&gt;"manual",$M162&lt;&gt;1)),
IF(Import.TipoArredondamento&lt;&gt;"TransfereGOV",
ROUND(OFFSET($P162,0,AC$13),15-13*ORÇAMENTO!$AF$7)/$H162*OFFSET(ORÇAMENTO!$X$15,ROW(AC162)-ROW(AC$15),0),
ROUND(ROUND(OFFSET($P162,0,AC$13),15-13*ORÇAMENTO!$AF$7)*OFFSET(ORÇAMENTO!$W$15,ROW(AC162)-ROW(AC$15),0),15-13*ORÇAMENTO!$AF$11)),0)</f>
        <v>0</v>
      </c>
      <c r="AD162" s="631">
        <f ca="1">IF(AND($D162="Serviço",AD$12&lt;&gt;0,$H162&gt;0,OR(AUTOEVENTO&lt;&gt;"manual",$M162&lt;&gt;1)),
IF(Import.TipoArredondamento&lt;&gt;"TransfereGOV",
ROUND(OFFSET($P162,0,AD$13),15-13*ORÇAMENTO!$AF$7)/$H162*OFFSET(ORÇAMENTO!$X$15,ROW(AD162)-ROW(AD$15),0),
ROUND(ROUND(OFFSET($P162,0,AD$13),15-13*ORÇAMENTO!$AF$7)*OFFSET(ORÇAMENTO!$W$15,ROW(AD162)-ROW(AD$15),0),15-13*ORÇAMENTO!$AF$11)),0)</f>
        <v>0</v>
      </c>
      <c r="AE162" s="631">
        <f ca="1">IF(AND($D162="Serviço",AE$12&lt;&gt;0,$H162&gt;0,OR(AUTOEVENTO&lt;&gt;"manual",$M162&lt;&gt;1)),
IF(Import.TipoArredondamento&lt;&gt;"TransfereGOV",
ROUND(OFFSET($P162,0,AE$13),15-13*ORÇAMENTO!$AF$7)/$H162*OFFSET(ORÇAMENTO!$X$15,ROW(AE162)-ROW(AE$15),0),
ROUND(ROUND(OFFSET($P162,0,AE$13),15-13*ORÇAMENTO!$AF$7)*OFFSET(ORÇAMENTO!$W$15,ROW(AE162)-ROW(AE$15),0),15-13*ORÇAMENTO!$AF$11)),0)</f>
        <v>0</v>
      </c>
      <c r="AF162" s="631">
        <f ca="1">IF(AND($D162="Serviço",AF$12&lt;&gt;0,$H162&gt;0,OR(AUTOEVENTO&lt;&gt;"manual",$M162&lt;&gt;1)),
IF(Import.TipoArredondamento&lt;&gt;"TransfereGOV",
ROUND(OFFSET($P162,0,AF$13),15-13*ORÇAMENTO!$AF$7)/$H162*OFFSET(ORÇAMENTO!$X$15,ROW(AF162)-ROW(AF$15),0),
ROUND(ROUND(OFFSET($P162,0,AF$13),15-13*ORÇAMENTO!$AF$7)*OFFSET(ORÇAMENTO!$W$15,ROW(AF162)-ROW(AF$15),0),15-13*ORÇAMENTO!$AF$11)),0)</f>
        <v>0</v>
      </c>
      <c r="AG162" s="631">
        <f ca="1">IF(AND($D162="Serviço",AG$12&lt;&gt;0,$H162&gt;0,OR(AUTOEVENTO&lt;&gt;"manual",$M162&lt;&gt;1)),
IF(Import.TipoArredondamento&lt;&gt;"TransfereGOV",
ROUND(OFFSET($P162,0,AG$13),15-13*ORÇAMENTO!$AF$7)/$H162*OFFSET(ORÇAMENTO!$X$15,ROW(AG162)-ROW(AG$15),0),
ROUND(ROUND(OFFSET($P162,0,AG$13),15-13*ORÇAMENTO!$AF$7)*OFFSET(ORÇAMENTO!$W$15,ROW(AG162)-ROW(AG$15),0),15-13*ORÇAMENTO!$AF$11)),0)</f>
        <v>0</v>
      </c>
      <c r="AH162" s="631">
        <f ca="1">IF(AND($D162="Serviço",AH$12&lt;&gt;0,$H162&gt;0,OR(AUTOEVENTO&lt;&gt;"manual",$M162&lt;&gt;1)),
IF(Import.TipoArredondamento&lt;&gt;"TransfereGOV",
ROUND(OFFSET($P162,0,AH$13),15-13*ORÇAMENTO!$AF$7)/$H162*OFFSET(ORÇAMENTO!$X$15,ROW(AH162)-ROW(AH$15),0),
ROUND(ROUND(OFFSET($P162,0,AH$13),15-13*ORÇAMENTO!$AF$7)*OFFSET(ORÇAMENTO!$W$15,ROW(AH162)-ROW(AH$15),0),15-13*ORÇAMENTO!$AF$11)),0)</f>
        <v>0</v>
      </c>
      <c r="AI162" s="631">
        <f ca="1">IF(AND($D162="Serviço",AI$12&lt;&gt;0,$H162&gt;0,OR(AUTOEVENTO&lt;&gt;"manual",$M162&lt;&gt;1)),
IF(Import.TipoArredondamento&lt;&gt;"TransfereGOV",
ROUND(OFFSET($P162,0,AI$13),15-13*ORÇAMENTO!$AF$7)/$H162*OFFSET(ORÇAMENTO!$X$15,ROW(AI162)-ROW(AI$15),0),
ROUND(ROUND(OFFSET($P162,0,AI$13),15-13*ORÇAMENTO!$AF$7)*OFFSET(ORÇAMENTO!$W$15,ROW(AI162)-ROW(AI$15),0),15-13*ORÇAMENTO!$AF$11)),0)</f>
        <v>0</v>
      </c>
      <c r="AJ162" s="631">
        <f ca="1">IF(AND($D162="Serviço",AJ$12&lt;&gt;0,$H162&gt;0,OR(AUTOEVENTO&lt;&gt;"manual",$M162&lt;&gt;1)),
IF(Import.TipoArredondamento&lt;&gt;"TransfereGOV",
ROUND(OFFSET($P162,0,AJ$13),15-13*ORÇAMENTO!$AF$7)/$H162*OFFSET(ORÇAMENTO!$X$15,ROW(AJ162)-ROW(AJ$15),0),
ROUND(ROUND(OFFSET($P162,0,AJ$13),15-13*ORÇAMENTO!$AF$7)*OFFSET(ORÇAMENTO!$W$15,ROW(AJ162)-ROW(AJ$15),0),15-13*ORÇAMENTO!$AF$11)),0)</f>
        <v>0</v>
      </c>
      <c r="AK162" s="632">
        <f ca="1">IF(AND($D162="Serviço",AK$12&lt;&gt;0,$H162&gt;0,OR(AUTOEVENTO&lt;&gt;"manual",$M162&lt;&gt;1)),
IF(Import.TipoArredondamento&lt;&gt;"TransfereGOV",
ROUND(OFFSET($P162,0,AK$13),15-13*ORÇAMENTO!$AF$7)/$H162*OFFSET(ORÇAMENTO!$X$15,ROW(AK162)-ROW(AK$15),0),
ROUND(ROUND(OFFSET($P162,0,AK$13),15-13*ORÇAMENTO!$AF$7)*OFFSET(ORÇAMENTO!$W$15,ROW(AK162)-ROW(AK$15),0),15-13*ORÇAMENTO!$AF$11)),0)</f>
        <v>0</v>
      </c>
      <c r="AM162" s="215">
        <f ca="1">IF($D162&lt;&gt;"Serviço",0,IF(AND(AUTOEVENTO="Manual",$M162=1),0,IF(OFFSET(CRONOPLE!$F$14,$M162,AM$13)="",10^12,OFFSET(CRONOPLE!$F$14,$M162,AM$13))))</f>
        <v>1000000000000</v>
      </c>
      <c r="AN162" s="215">
        <f ca="1">IF($D162&lt;&gt;"Serviço",0,IF(AND(AUTOEVENTO="Manual",$M162=1),0,IF(OFFSET(CRONOPLE!$F$14,$M162,AN$13)="",10^12,OFFSET(CRONOPLE!$F$14,$M162,AN$13))))</f>
        <v>1000000000000</v>
      </c>
      <c r="AO162" s="215">
        <f ca="1">IF($D162&lt;&gt;"Serviço",0,IF(AND(AUTOEVENTO="Manual",$M162=1),0,IF(OFFSET(CRONOPLE!$F$14,$M162,AO$13)="",10^12,OFFSET(CRONOPLE!$F$14,$M162,AO$13))))</f>
        <v>1000000000000</v>
      </c>
      <c r="AP162" s="215">
        <f ca="1">IF($D162&lt;&gt;"Serviço",0,IF(AND(AUTOEVENTO="Manual",$M162=1),0,IF(OFFSET(CRONOPLE!$F$14,$M162,AP$13)="",10^12,OFFSET(CRONOPLE!$F$14,$M162,AP$13))))</f>
        <v>1000000000000</v>
      </c>
      <c r="AQ162" s="215">
        <f ca="1">IF($D162&lt;&gt;"Serviço",0,IF(AND(AUTOEVENTO="Manual",$M162=1),0,IF(OFFSET(CRONOPLE!$F$14,$M162,AQ$13)="",10^12,OFFSET(CRONOPLE!$F$14,$M162,AQ$13))))</f>
        <v>1000000000000</v>
      </c>
      <c r="AR162" s="215">
        <f ca="1">IF($D162&lt;&gt;"Serviço",0,IF(AND(AUTOEVENTO="Manual",$M162=1),0,IF(OFFSET(CRONOPLE!$F$14,$M162,AR$13)="",10^12,OFFSET(CRONOPLE!$F$14,$M162,AR$13))))</f>
        <v>1000000000000</v>
      </c>
      <c r="AS162" s="215">
        <f ca="1">IF($D162&lt;&gt;"Serviço",0,IF(AND(AUTOEVENTO="Manual",$M162=1),0,IF(OFFSET(CRONOPLE!$F$14,$M162,AS$13)="",10^12,OFFSET(CRONOPLE!$F$14,$M162,AS$13))))</f>
        <v>1000000000000</v>
      </c>
      <c r="AT162" s="215">
        <f ca="1">IF($D162&lt;&gt;"Serviço",0,IF(AND(AUTOEVENTO="Manual",$M162=1),0,IF(OFFSET(CRONOPLE!$F$14,$M162,AT$13)="",10^12,OFFSET(CRONOPLE!$F$14,$M162,AT$13))))</f>
        <v>1000000000000</v>
      </c>
      <c r="AU162" s="215">
        <f ca="1">IF($D162&lt;&gt;"Serviço",0,IF(AND(AUTOEVENTO="Manual",$M162=1),0,IF(OFFSET(CRONOPLE!$F$14,$M162,AU$13)="",10^12,OFFSET(CRONOPLE!$F$14,$M162,AU$13))))</f>
        <v>1000000000000</v>
      </c>
      <c r="AV162" s="215">
        <f ca="1">IF($D162&lt;&gt;"Serviço",0,IF(AND(AUTOEVENTO="Manual",$M162=1),0,IF(OFFSET(CRONOPLE!$F$14,$M162,AV$13)="",10^12,OFFSET(CRONOPLE!$F$14,$M162,AV$13))))</f>
        <v>1000000000000</v>
      </c>
      <c r="AX162" s="216">
        <f ca="1">IF($D162&lt;&gt;"Serviço",0,IF(OR(AND(AUTOEVENTO="Manual",$M162=1),$M162&gt;(ROW(PLE.lastrow)-ROW(PLE.firstrow))),0,IF(OFFSET(PLE!$G$14,$M162,AX$13)="",10^12,OFFSET(PLE!$G$14,$M162,AX$13))))</f>
        <v>1000000000000</v>
      </c>
      <c r="AY162" s="216">
        <f ca="1">IF($D162&lt;&gt;"Serviço",0,IF(OR(AND(AUTOEVENTO="Manual",$M162=1),$M162&gt;(ROW(PLE.lastrow)-ROW(PLE.firstrow))),0,IF(OFFSET(PLE!$G$14,$M162,AY$13)="",10^12,OFFSET(PLE!$G$14,$M162,AY$13))))</f>
        <v>1000000000000</v>
      </c>
      <c r="AZ162" s="216">
        <f ca="1">IF($D162&lt;&gt;"Serviço",0,IF(OR(AND(AUTOEVENTO="Manual",$M162=1),$M162&gt;(ROW(PLE.lastrow)-ROW(PLE.firstrow))),0,IF(OFFSET(PLE!$G$14,$M162,AZ$13)="",10^12,OFFSET(PLE!$G$14,$M162,AZ$13))))</f>
        <v>1000000000000</v>
      </c>
      <c r="BA162" s="216">
        <f ca="1">IF($D162&lt;&gt;"Serviço",0,IF(OR(AND(AUTOEVENTO="Manual",$M162=1),$M162&gt;(ROW(PLE.lastrow)-ROW(PLE.firstrow))),0,IF(OFFSET(PLE!$G$14,$M162,BA$13)="",10^12,OFFSET(PLE!$G$14,$M162,BA$13))))</f>
        <v>1000000000000</v>
      </c>
      <c r="BB162" s="216">
        <f ca="1">IF($D162&lt;&gt;"Serviço",0,IF(OR(AND(AUTOEVENTO="Manual",$M162=1),$M162&gt;(ROW(PLE.lastrow)-ROW(PLE.firstrow))),0,IF(OFFSET(PLE!$G$14,$M162,BB$13)="",10^12,OFFSET(PLE!$G$14,$M162,BB$13))))</f>
        <v>1000000000000</v>
      </c>
      <c r="BC162" s="216">
        <f ca="1">IF($D162&lt;&gt;"Serviço",0,IF(OR(AND(AUTOEVENTO="Manual",$M162=1),$M162&gt;(ROW(PLE.lastrow)-ROW(PLE.firstrow))),0,IF(OFFSET(PLE!$G$14,$M162,BC$13)="",10^12,OFFSET(PLE!$G$14,$M162,BC$13))))</f>
        <v>1000000000000</v>
      </c>
      <c r="BD162" s="216">
        <f ca="1">IF($D162&lt;&gt;"Serviço",0,IF(OR(AND(AUTOEVENTO="Manual",$M162=1),$M162&gt;(ROW(PLE.lastrow)-ROW(PLE.firstrow))),0,IF(OFFSET(PLE!$G$14,$M162,BD$13)="",10^12,OFFSET(PLE!$G$14,$M162,BD$13))))</f>
        <v>1000000000000</v>
      </c>
      <c r="BE162" s="216">
        <f ca="1">IF($D162&lt;&gt;"Serviço",0,IF(OR(AND(AUTOEVENTO="Manual",$M162=1),$M162&gt;(ROW(PLE.lastrow)-ROW(PLE.firstrow))),0,IF(OFFSET(PLE!$G$14,$M162,BE$13)="",10^12,OFFSET(PLE!$G$14,$M162,BE$13))))</f>
        <v>1000000000000</v>
      </c>
      <c r="BF162" s="216">
        <f ca="1">IF($D162&lt;&gt;"Serviço",0,IF(OR(AND(AUTOEVENTO="Manual",$M162=1),$M162&gt;(ROW(PLE.lastrow)-ROW(PLE.firstrow))),0,IF(OFFSET(PLE!$G$14,$M162,BF$13)="",10^12,OFFSET(PLE!$G$14,$M162,BF$13))))</f>
        <v>1000000000000</v>
      </c>
      <c r="BG162" s="216">
        <f ca="1">IF($D162&lt;&gt;"Serviço",0,IF(OR(AND(AUTOEVENTO="Manual",$M162=1),$M162&gt;(ROW(PLE.lastrow)-ROW(PLE.firstrow))),0,IF(OFFSET(PLE!$G$14,$M162,BG$13)="",10^12,OFFSET(PLE!$G$14,$M162,BG$13))))</f>
        <v>1000000000000</v>
      </c>
    </row>
    <row r="163" spans="1:59" ht="25.5" x14ac:dyDescent="0.2">
      <c r="A163" s="9" t="str">
        <f t="shared" ca="1" si="11"/>
        <v>144</v>
      </c>
      <c r="B163" s="9" t="str">
        <f ca="1">OFFSET(ORÇAMENTO!C$15,ROW(B163)-ROW(B$15),0)</f>
        <v>S</v>
      </c>
      <c r="C163" s="9" t="str">
        <f ca="1">OFFSET(ORÇAMENTO!L$15,ROW(C163)-ROW(C$15),0)</f>
        <v/>
      </c>
      <c r="D163" s="145" t="str">
        <f ca="1">OFFSET(ORÇAMENTO!N$15,ROW(D163)-ROW(D$15),0)</f>
        <v>Serviço</v>
      </c>
      <c r="E163" s="205" t="str">
        <f ca="1">OFFSET(ORÇAMENTO!O$15,ROW(E163)-ROW(E$15),0)</f>
        <v>-</v>
      </c>
      <c r="F163" s="206" t="str">
        <f ca="1">OFFSET(ORÇAMENTO!R$15,ROW(F163)-ROW(F$15),0)</f>
        <v>CAIXA DE GORDURA PEQUENA (CAPACIDADE: 19 L), CIRCULAR, EM PVC, DIÂMETRO INTERNO= 0,3 M. AF_12/2020</v>
      </c>
      <c r="G163" s="207" t="str">
        <f ca="1">IF($D163&lt;&gt;"Serviço","",OFFSET(ORÇAMENTO!S$15,ROW(G163)-ROW(G$15),0))</f>
        <v>UN</v>
      </c>
      <c r="H163" s="151">
        <f ca="1">IF($D163&lt;&gt;"Serviço",0,IF(ACOMPANHAMENTO="BM",ROUND(OFFSET(ORÇAMENTO!AJ$15,ROW(H163)-ROW(H$15),0),15-13*ORÇAMENTO!$AF$7),SUMPRODUCT(($Q$12:$AA$12&lt;&gt;"")*ROUND($Q163:$AA163,15-13*ORÇAMENTO!$AF$7))))</f>
        <v>1</v>
      </c>
      <c r="I163" s="649"/>
      <c r="K163" s="208"/>
      <c r="L163" s="209" t="s">
        <v>255</v>
      </c>
      <c r="M163" s="210">
        <f ca="1">IF($D163&lt;&gt;"Serviço","",IF(AUTOEVENTO="manual",$A163,IF(ISERROR(MATCH($A163,$A$15:OFFSET($A163,-1,0),0)),MAX($M$15:OFFSET(M163,-1,0))+1,INDEX($M$15:OFFSET(M163,-1,0),MATCH($A163,$A$15:OFFSET($A163,-1,0),0)))))</f>
        <v>21</v>
      </c>
      <c r="N163" s="211" t="str">
        <f ca="1">IF($D163&lt;&gt;"Serviço","",IF(AUTOEVENTO="Manual",IF($A163=0,"&lt;-- defina o número do agrupador",OFFSET(EVENTOS!$D$14,$A163,0)),OFFSET($F$15,$A163,0)))</f>
        <v>SANITÁRIO</v>
      </c>
      <c r="O163" s="212"/>
      <c r="Q163" s="212"/>
      <c r="R163" s="213"/>
      <c r="S163" s="213"/>
      <c r="T163" s="213"/>
      <c r="U163" s="213"/>
      <c r="V163" s="213"/>
      <c r="W163" s="213"/>
      <c r="X163" s="213"/>
      <c r="Y163" s="213"/>
      <c r="Z163" s="214"/>
      <c r="AB163" s="630">
        <f ca="1">IF(AND($D163="Serviço",AB$12&lt;&gt;0,$H163&gt;0,OR(AUTOEVENTO&lt;&gt;"manual",$M163&lt;&gt;1)),
IF(Import.TipoArredondamento&lt;&gt;"TransfereGOV",
ROUND(OFFSET($P163,0,AB$13),15-13*ORÇAMENTO!$AF$7)/$H163*OFFSET(ORÇAMENTO!$X$15,ROW(AB163)-ROW(AB$15),0),
ROUND(ROUND(OFFSET($P163,0,AB$13),15-13*ORÇAMENTO!$AF$7)*OFFSET(ORÇAMENTO!$W$15,ROW(AB163)-ROW(AB$15),0),15-13*ORÇAMENTO!$AF$11)),0)</f>
        <v>0</v>
      </c>
      <c r="AC163" s="631">
        <f ca="1">IF(AND($D163="Serviço",AC$12&lt;&gt;0,$H163&gt;0,OR(AUTOEVENTO&lt;&gt;"manual",$M163&lt;&gt;1)),
IF(Import.TipoArredondamento&lt;&gt;"TransfereGOV",
ROUND(OFFSET($P163,0,AC$13),15-13*ORÇAMENTO!$AF$7)/$H163*OFFSET(ORÇAMENTO!$X$15,ROW(AC163)-ROW(AC$15),0),
ROUND(ROUND(OFFSET($P163,0,AC$13),15-13*ORÇAMENTO!$AF$7)*OFFSET(ORÇAMENTO!$W$15,ROW(AC163)-ROW(AC$15),0),15-13*ORÇAMENTO!$AF$11)),0)</f>
        <v>0</v>
      </c>
      <c r="AD163" s="631">
        <f ca="1">IF(AND($D163="Serviço",AD$12&lt;&gt;0,$H163&gt;0,OR(AUTOEVENTO&lt;&gt;"manual",$M163&lt;&gt;1)),
IF(Import.TipoArredondamento&lt;&gt;"TransfereGOV",
ROUND(OFFSET($P163,0,AD$13),15-13*ORÇAMENTO!$AF$7)/$H163*OFFSET(ORÇAMENTO!$X$15,ROW(AD163)-ROW(AD$15),0),
ROUND(ROUND(OFFSET($P163,0,AD$13),15-13*ORÇAMENTO!$AF$7)*OFFSET(ORÇAMENTO!$W$15,ROW(AD163)-ROW(AD$15),0),15-13*ORÇAMENTO!$AF$11)),0)</f>
        <v>0</v>
      </c>
      <c r="AE163" s="631">
        <f ca="1">IF(AND($D163="Serviço",AE$12&lt;&gt;0,$H163&gt;0,OR(AUTOEVENTO&lt;&gt;"manual",$M163&lt;&gt;1)),
IF(Import.TipoArredondamento&lt;&gt;"TransfereGOV",
ROUND(OFFSET($P163,0,AE$13),15-13*ORÇAMENTO!$AF$7)/$H163*OFFSET(ORÇAMENTO!$X$15,ROW(AE163)-ROW(AE$15),0),
ROUND(ROUND(OFFSET($P163,0,AE$13),15-13*ORÇAMENTO!$AF$7)*OFFSET(ORÇAMENTO!$W$15,ROW(AE163)-ROW(AE$15),0),15-13*ORÇAMENTO!$AF$11)),0)</f>
        <v>0</v>
      </c>
      <c r="AF163" s="631">
        <f ca="1">IF(AND($D163="Serviço",AF$12&lt;&gt;0,$H163&gt;0,OR(AUTOEVENTO&lt;&gt;"manual",$M163&lt;&gt;1)),
IF(Import.TipoArredondamento&lt;&gt;"TransfereGOV",
ROUND(OFFSET($P163,0,AF$13),15-13*ORÇAMENTO!$AF$7)/$H163*OFFSET(ORÇAMENTO!$X$15,ROW(AF163)-ROW(AF$15),0),
ROUND(ROUND(OFFSET($P163,0,AF$13),15-13*ORÇAMENTO!$AF$7)*OFFSET(ORÇAMENTO!$W$15,ROW(AF163)-ROW(AF$15),0),15-13*ORÇAMENTO!$AF$11)),0)</f>
        <v>0</v>
      </c>
      <c r="AG163" s="631">
        <f ca="1">IF(AND($D163="Serviço",AG$12&lt;&gt;0,$H163&gt;0,OR(AUTOEVENTO&lt;&gt;"manual",$M163&lt;&gt;1)),
IF(Import.TipoArredondamento&lt;&gt;"TransfereGOV",
ROUND(OFFSET($P163,0,AG$13),15-13*ORÇAMENTO!$AF$7)/$H163*OFFSET(ORÇAMENTO!$X$15,ROW(AG163)-ROW(AG$15),0),
ROUND(ROUND(OFFSET($P163,0,AG$13),15-13*ORÇAMENTO!$AF$7)*OFFSET(ORÇAMENTO!$W$15,ROW(AG163)-ROW(AG$15),0),15-13*ORÇAMENTO!$AF$11)),0)</f>
        <v>0</v>
      </c>
      <c r="AH163" s="631">
        <f ca="1">IF(AND($D163="Serviço",AH$12&lt;&gt;0,$H163&gt;0,OR(AUTOEVENTO&lt;&gt;"manual",$M163&lt;&gt;1)),
IF(Import.TipoArredondamento&lt;&gt;"TransfereGOV",
ROUND(OFFSET($P163,0,AH$13),15-13*ORÇAMENTO!$AF$7)/$H163*OFFSET(ORÇAMENTO!$X$15,ROW(AH163)-ROW(AH$15),0),
ROUND(ROUND(OFFSET($P163,0,AH$13),15-13*ORÇAMENTO!$AF$7)*OFFSET(ORÇAMENTO!$W$15,ROW(AH163)-ROW(AH$15),0),15-13*ORÇAMENTO!$AF$11)),0)</f>
        <v>0</v>
      </c>
      <c r="AI163" s="631">
        <f ca="1">IF(AND($D163="Serviço",AI$12&lt;&gt;0,$H163&gt;0,OR(AUTOEVENTO&lt;&gt;"manual",$M163&lt;&gt;1)),
IF(Import.TipoArredondamento&lt;&gt;"TransfereGOV",
ROUND(OFFSET($P163,0,AI$13),15-13*ORÇAMENTO!$AF$7)/$H163*OFFSET(ORÇAMENTO!$X$15,ROW(AI163)-ROW(AI$15),0),
ROUND(ROUND(OFFSET($P163,0,AI$13),15-13*ORÇAMENTO!$AF$7)*OFFSET(ORÇAMENTO!$W$15,ROW(AI163)-ROW(AI$15),0),15-13*ORÇAMENTO!$AF$11)),0)</f>
        <v>0</v>
      </c>
      <c r="AJ163" s="631">
        <f ca="1">IF(AND($D163="Serviço",AJ$12&lt;&gt;0,$H163&gt;0,OR(AUTOEVENTO&lt;&gt;"manual",$M163&lt;&gt;1)),
IF(Import.TipoArredondamento&lt;&gt;"TransfereGOV",
ROUND(OFFSET($P163,0,AJ$13),15-13*ORÇAMENTO!$AF$7)/$H163*OFFSET(ORÇAMENTO!$X$15,ROW(AJ163)-ROW(AJ$15),0),
ROUND(ROUND(OFFSET($P163,0,AJ$13),15-13*ORÇAMENTO!$AF$7)*OFFSET(ORÇAMENTO!$W$15,ROW(AJ163)-ROW(AJ$15),0),15-13*ORÇAMENTO!$AF$11)),0)</f>
        <v>0</v>
      </c>
      <c r="AK163" s="632">
        <f ca="1">IF(AND($D163="Serviço",AK$12&lt;&gt;0,$H163&gt;0,OR(AUTOEVENTO&lt;&gt;"manual",$M163&lt;&gt;1)),
IF(Import.TipoArredondamento&lt;&gt;"TransfereGOV",
ROUND(OFFSET($P163,0,AK$13),15-13*ORÇAMENTO!$AF$7)/$H163*OFFSET(ORÇAMENTO!$X$15,ROW(AK163)-ROW(AK$15),0),
ROUND(ROUND(OFFSET($P163,0,AK$13),15-13*ORÇAMENTO!$AF$7)*OFFSET(ORÇAMENTO!$W$15,ROW(AK163)-ROW(AK$15),0),15-13*ORÇAMENTO!$AF$11)),0)</f>
        <v>0</v>
      </c>
      <c r="AM163" s="215">
        <f ca="1">IF($D163&lt;&gt;"Serviço",0,IF(AND(AUTOEVENTO="Manual",$M163=1),0,IF(OFFSET(CRONOPLE!$F$14,$M163,AM$13)="",10^12,OFFSET(CRONOPLE!$F$14,$M163,AM$13))))</f>
        <v>1000000000000</v>
      </c>
      <c r="AN163" s="215">
        <f ca="1">IF($D163&lt;&gt;"Serviço",0,IF(AND(AUTOEVENTO="Manual",$M163=1),0,IF(OFFSET(CRONOPLE!$F$14,$M163,AN$13)="",10^12,OFFSET(CRONOPLE!$F$14,$M163,AN$13))))</f>
        <v>1000000000000</v>
      </c>
      <c r="AO163" s="215">
        <f ca="1">IF($D163&lt;&gt;"Serviço",0,IF(AND(AUTOEVENTO="Manual",$M163=1),0,IF(OFFSET(CRONOPLE!$F$14,$M163,AO$13)="",10^12,OFFSET(CRONOPLE!$F$14,$M163,AO$13))))</f>
        <v>1000000000000</v>
      </c>
      <c r="AP163" s="215">
        <f ca="1">IF($D163&lt;&gt;"Serviço",0,IF(AND(AUTOEVENTO="Manual",$M163=1),0,IF(OFFSET(CRONOPLE!$F$14,$M163,AP$13)="",10^12,OFFSET(CRONOPLE!$F$14,$M163,AP$13))))</f>
        <v>1000000000000</v>
      </c>
      <c r="AQ163" s="215">
        <f ca="1">IF($D163&lt;&gt;"Serviço",0,IF(AND(AUTOEVENTO="Manual",$M163=1),0,IF(OFFSET(CRONOPLE!$F$14,$M163,AQ$13)="",10^12,OFFSET(CRONOPLE!$F$14,$M163,AQ$13))))</f>
        <v>1000000000000</v>
      </c>
      <c r="AR163" s="215">
        <f ca="1">IF($D163&lt;&gt;"Serviço",0,IF(AND(AUTOEVENTO="Manual",$M163=1),0,IF(OFFSET(CRONOPLE!$F$14,$M163,AR$13)="",10^12,OFFSET(CRONOPLE!$F$14,$M163,AR$13))))</f>
        <v>1000000000000</v>
      </c>
      <c r="AS163" s="215">
        <f ca="1">IF($D163&lt;&gt;"Serviço",0,IF(AND(AUTOEVENTO="Manual",$M163=1),0,IF(OFFSET(CRONOPLE!$F$14,$M163,AS$13)="",10^12,OFFSET(CRONOPLE!$F$14,$M163,AS$13))))</f>
        <v>1000000000000</v>
      </c>
      <c r="AT163" s="215">
        <f ca="1">IF($D163&lt;&gt;"Serviço",0,IF(AND(AUTOEVENTO="Manual",$M163=1),0,IF(OFFSET(CRONOPLE!$F$14,$M163,AT$13)="",10^12,OFFSET(CRONOPLE!$F$14,$M163,AT$13))))</f>
        <v>1000000000000</v>
      </c>
      <c r="AU163" s="215">
        <f ca="1">IF($D163&lt;&gt;"Serviço",0,IF(AND(AUTOEVENTO="Manual",$M163=1),0,IF(OFFSET(CRONOPLE!$F$14,$M163,AU$13)="",10^12,OFFSET(CRONOPLE!$F$14,$M163,AU$13))))</f>
        <v>1000000000000</v>
      </c>
      <c r="AV163" s="215">
        <f ca="1">IF($D163&lt;&gt;"Serviço",0,IF(AND(AUTOEVENTO="Manual",$M163=1),0,IF(OFFSET(CRONOPLE!$F$14,$M163,AV$13)="",10^12,OFFSET(CRONOPLE!$F$14,$M163,AV$13))))</f>
        <v>1000000000000</v>
      </c>
      <c r="AX163" s="216">
        <f ca="1">IF($D163&lt;&gt;"Serviço",0,IF(OR(AND(AUTOEVENTO="Manual",$M163=1),$M163&gt;(ROW(PLE.lastrow)-ROW(PLE.firstrow))),0,IF(OFFSET(PLE!$G$14,$M163,AX$13)="",10^12,OFFSET(PLE!$G$14,$M163,AX$13))))</f>
        <v>1000000000000</v>
      </c>
      <c r="AY163" s="216">
        <f ca="1">IF($D163&lt;&gt;"Serviço",0,IF(OR(AND(AUTOEVENTO="Manual",$M163=1),$M163&gt;(ROW(PLE.lastrow)-ROW(PLE.firstrow))),0,IF(OFFSET(PLE!$G$14,$M163,AY$13)="",10^12,OFFSET(PLE!$G$14,$M163,AY$13))))</f>
        <v>1000000000000</v>
      </c>
      <c r="AZ163" s="216">
        <f ca="1">IF($D163&lt;&gt;"Serviço",0,IF(OR(AND(AUTOEVENTO="Manual",$M163=1),$M163&gt;(ROW(PLE.lastrow)-ROW(PLE.firstrow))),0,IF(OFFSET(PLE!$G$14,$M163,AZ$13)="",10^12,OFFSET(PLE!$G$14,$M163,AZ$13))))</f>
        <v>1000000000000</v>
      </c>
      <c r="BA163" s="216">
        <f ca="1">IF($D163&lt;&gt;"Serviço",0,IF(OR(AND(AUTOEVENTO="Manual",$M163=1),$M163&gt;(ROW(PLE.lastrow)-ROW(PLE.firstrow))),0,IF(OFFSET(PLE!$G$14,$M163,BA$13)="",10^12,OFFSET(PLE!$G$14,$M163,BA$13))))</f>
        <v>1000000000000</v>
      </c>
      <c r="BB163" s="216">
        <f ca="1">IF($D163&lt;&gt;"Serviço",0,IF(OR(AND(AUTOEVENTO="Manual",$M163=1),$M163&gt;(ROW(PLE.lastrow)-ROW(PLE.firstrow))),0,IF(OFFSET(PLE!$G$14,$M163,BB$13)="",10^12,OFFSET(PLE!$G$14,$M163,BB$13))))</f>
        <v>1000000000000</v>
      </c>
      <c r="BC163" s="216">
        <f ca="1">IF($D163&lt;&gt;"Serviço",0,IF(OR(AND(AUTOEVENTO="Manual",$M163=1),$M163&gt;(ROW(PLE.lastrow)-ROW(PLE.firstrow))),0,IF(OFFSET(PLE!$G$14,$M163,BC$13)="",10^12,OFFSET(PLE!$G$14,$M163,BC$13))))</f>
        <v>1000000000000</v>
      </c>
      <c r="BD163" s="216">
        <f ca="1">IF($D163&lt;&gt;"Serviço",0,IF(OR(AND(AUTOEVENTO="Manual",$M163=1),$M163&gt;(ROW(PLE.lastrow)-ROW(PLE.firstrow))),0,IF(OFFSET(PLE!$G$14,$M163,BD$13)="",10^12,OFFSET(PLE!$G$14,$M163,BD$13))))</f>
        <v>1000000000000</v>
      </c>
      <c r="BE163" s="216">
        <f ca="1">IF($D163&lt;&gt;"Serviço",0,IF(OR(AND(AUTOEVENTO="Manual",$M163=1),$M163&gt;(ROW(PLE.lastrow)-ROW(PLE.firstrow))),0,IF(OFFSET(PLE!$G$14,$M163,BE$13)="",10^12,OFFSET(PLE!$G$14,$M163,BE$13))))</f>
        <v>1000000000000</v>
      </c>
      <c r="BF163" s="216">
        <f ca="1">IF($D163&lt;&gt;"Serviço",0,IF(OR(AND(AUTOEVENTO="Manual",$M163=1),$M163&gt;(ROW(PLE.lastrow)-ROW(PLE.firstrow))),0,IF(OFFSET(PLE!$G$14,$M163,BF$13)="",10^12,OFFSET(PLE!$G$14,$M163,BF$13))))</f>
        <v>1000000000000</v>
      </c>
      <c r="BG163" s="216">
        <f ca="1">IF($D163&lt;&gt;"Serviço",0,IF(OR(AND(AUTOEVENTO="Manual",$M163=1),$M163&gt;(ROW(PLE.lastrow)-ROW(PLE.firstrow))),0,IF(OFFSET(PLE!$G$14,$M163,BG$13)="",10^12,OFFSET(PLE!$G$14,$M163,BG$13))))</f>
        <v>1000000000000</v>
      </c>
    </row>
    <row r="164" spans="1:59" ht="38.25" x14ac:dyDescent="0.2">
      <c r="A164" s="9" t="str">
        <f t="shared" ca="1" si="11"/>
        <v>144</v>
      </c>
      <c r="B164" s="9" t="str">
        <f ca="1">OFFSET(ORÇAMENTO!C$15,ROW(B164)-ROW(B$15),0)</f>
        <v>S</v>
      </c>
      <c r="C164" s="9" t="str">
        <f ca="1">OFFSET(ORÇAMENTO!L$15,ROW(C164)-ROW(C$15),0)</f>
        <v/>
      </c>
      <c r="D164" s="145" t="str">
        <f ca="1">OFFSET(ORÇAMENTO!N$15,ROW(D164)-ROW(D$15),0)</f>
        <v>Serviço</v>
      </c>
      <c r="E164" s="205" t="str">
        <f ca="1">OFFSET(ORÇAMENTO!O$15,ROW(E164)-ROW(E$15),0)</f>
        <v>-</v>
      </c>
      <c r="F164" s="206" t="str">
        <f ca="1">OFFSET(ORÇAMENTO!R$15,ROW(F164)-ROW(F$15),0)</f>
        <v>CAIXA ENTERRADA HIDRÁULICA RETANGULAR, EM ALVENARIA COM BLOCOS DE CONCRETO, DIMENSÕES INTERNAS: 0,6X0,6X0,6 M PARA REDE DE ESGOTO. AF_12/2020</v>
      </c>
      <c r="G164" s="207" t="str">
        <f ca="1">IF($D164&lt;&gt;"Serviço","",OFFSET(ORÇAMENTO!S$15,ROW(G164)-ROW(G$15),0))</f>
        <v>UN</v>
      </c>
      <c r="H164" s="151">
        <f ca="1">IF($D164&lt;&gt;"Serviço",0,IF(ACOMPANHAMENTO="BM",ROUND(OFFSET(ORÇAMENTO!AJ$15,ROW(H164)-ROW(H$15),0),15-13*ORÇAMENTO!$AF$7),SUMPRODUCT(($Q$12:$AA$12&lt;&gt;"")*ROUND($Q164:$AA164,15-13*ORÇAMENTO!$AF$7))))</f>
        <v>6</v>
      </c>
      <c r="I164" s="649"/>
      <c r="K164" s="208"/>
      <c r="L164" s="209" t="s">
        <v>255</v>
      </c>
      <c r="M164" s="210">
        <f ca="1">IF($D164&lt;&gt;"Serviço","",IF(AUTOEVENTO="manual",$A164,IF(ISERROR(MATCH($A164,$A$15:OFFSET($A164,-1,0),0)),MAX($M$15:OFFSET(M164,-1,0))+1,INDEX($M$15:OFFSET(M164,-1,0),MATCH($A164,$A$15:OFFSET($A164,-1,0),0)))))</f>
        <v>21</v>
      </c>
      <c r="N164" s="211" t="str">
        <f ca="1">IF($D164&lt;&gt;"Serviço","",IF(AUTOEVENTO="Manual",IF($A164=0,"&lt;-- defina o número do agrupador",OFFSET(EVENTOS!$D$14,$A164,0)),OFFSET($F$15,$A164,0)))</f>
        <v>SANITÁRIO</v>
      </c>
      <c r="O164" s="212"/>
      <c r="Q164" s="212"/>
      <c r="R164" s="213"/>
      <c r="S164" s="213"/>
      <c r="T164" s="213"/>
      <c r="U164" s="213"/>
      <c r="V164" s="213"/>
      <c r="W164" s="213"/>
      <c r="X164" s="213"/>
      <c r="Y164" s="213"/>
      <c r="Z164" s="214"/>
      <c r="AB164" s="630">
        <f ca="1">IF(AND($D164="Serviço",AB$12&lt;&gt;0,$H164&gt;0,OR(AUTOEVENTO&lt;&gt;"manual",$M164&lt;&gt;1)),
IF(Import.TipoArredondamento&lt;&gt;"TransfereGOV",
ROUND(OFFSET($P164,0,AB$13),15-13*ORÇAMENTO!$AF$7)/$H164*OFFSET(ORÇAMENTO!$X$15,ROW(AB164)-ROW(AB$15),0),
ROUND(ROUND(OFFSET($P164,0,AB$13),15-13*ORÇAMENTO!$AF$7)*OFFSET(ORÇAMENTO!$W$15,ROW(AB164)-ROW(AB$15),0),15-13*ORÇAMENTO!$AF$11)),0)</f>
        <v>0</v>
      </c>
      <c r="AC164" s="631">
        <f ca="1">IF(AND($D164="Serviço",AC$12&lt;&gt;0,$H164&gt;0,OR(AUTOEVENTO&lt;&gt;"manual",$M164&lt;&gt;1)),
IF(Import.TipoArredondamento&lt;&gt;"TransfereGOV",
ROUND(OFFSET($P164,0,AC$13),15-13*ORÇAMENTO!$AF$7)/$H164*OFFSET(ORÇAMENTO!$X$15,ROW(AC164)-ROW(AC$15),0),
ROUND(ROUND(OFFSET($P164,0,AC$13),15-13*ORÇAMENTO!$AF$7)*OFFSET(ORÇAMENTO!$W$15,ROW(AC164)-ROW(AC$15),0),15-13*ORÇAMENTO!$AF$11)),0)</f>
        <v>0</v>
      </c>
      <c r="AD164" s="631">
        <f ca="1">IF(AND($D164="Serviço",AD$12&lt;&gt;0,$H164&gt;0,OR(AUTOEVENTO&lt;&gt;"manual",$M164&lt;&gt;1)),
IF(Import.TipoArredondamento&lt;&gt;"TransfereGOV",
ROUND(OFFSET($P164,0,AD$13),15-13*ORÇAMENTO!$AF$7)/$H164*OFFSET(ORÇAMENTO!$X$15,ROW(AD164)-ROW(AD$15),0),
ROUND(ROUND(OFFSET($P164,0,AD$13),15-13*ORÇAMENTO!$AF$7)*OFFSET(ORÇAMENTO!$W$15,ROW(AD164)-ROW(AD$15),0),15-13*ORÇAMENTO!$AF$11)),0)</f>
        <v>0</v>
      </c>
      <c r="AE164" s="631">
        <f ca="1">IF(AND($D164="Serviço",AE$12&lt;&gt;0,$H164&gt;0,OR(AUTOEVENTO&lt;&gt;"manual",$M164&lt;&gt;1)),
IF(Import.TipoArredondamento&lt;&gt;"TransfereGOV",
ROUND(OFFSET($P164,0,AE$13),15-13*ORÇAMENTO!$AF$7)/$H164*OFFSET(ORÇAMENTO!$X$15,ROW(AE164)-ROW(AE$15),0),
ROUND(ROUND(OFFSET($P164,0,AE$13),15-13*ORÇAMENTO!$AF$7)*OFFSET(ORÇAMENTO!$W$15,ROW(AE164)-ROW(AE$15),0),15-13*ORÇAMENTO!$AF$11)),0)</f>
        <v>0</v>
      </c>
      <c r="AF164" s="631">
        <f ca="1">IF(AND($D164="Serviço",AF$12&lt;&gt;0,$H164&gt;0,OR(AUTOEVENTO&lt;&gt;"manual",$M164&lt;&gt;1)),
IF(Import.TipoArredondamento&lt;&gt;"TransfereGOV",
ROUND(OFFSET($P164,0,AF$13),15-13*ORÇAMENTO!$AF$7)/$H164*OFFSET(ORÇAMENTO!$X$15,ROW(AF164)-ROW(AF$15),0),
ROUND(ROUND(OFFSET($P164,0,AF$13),15-13*ORÇAMENTO!$AF$7)*OFFSET(ORÇAMENTO!$W$15,ROW(AF164)-ROW(AF$15),0),15-13*ORÇAMENTO!$AF$11)),0)</f>
        <v>0</v>
      </c>
      <c r="AG164" s="631">
        <f ca="1">IF(AND($D164="Serviço",AG$12&lt;&gt;0,$H164&gt;0,OR(AUTOEVENTO&lt;&gt;"manual",$M164&lt;&gt;1)),
IF(Import.TipoArredondamento&lt;&gt;"TransfereGOV",
ROUND(OFFSET($P164,0,AG$13),15-13*ORÇAMENTO!$AF$7)/$H164*OFFSET(ORÇAMENTO!$X$15,ROW(AG164)-ROW(AG$15),0),
ROUND(ROUND(OFFSET($P164,0,AG$13),15-13*ORÇAMENTO!$AF$7)*OFFSET(ORÇAMENTO!$W$15,ROW(AG164)-ROW(AG$15),0),15-13*ORÇAMENTO!$AF$11)),0)</f>
        <v>0</v>
      </c>
      <c r="AH164" s="631">
        <f ca="1">IF(AND($D164="Serviço",AH$12&lt;&gt;0,$H164&gt;0,OR(AUTOEVENTO&lt;&gt;"manual",$M164&lt;&gt;1)),
IF(Import.TipoArredondamento&lt;&gt;"TransfereGOV",
ROUND(OFFSET($P164,0,AH$13),15-13*ORÇAMENTO!$AF$7)/$H164*OFFSET(ORÇAMENTO!$X$15,ROW(AH164)-ROW(AH$15),0),
ROUND(ROUND(OFFSET($P164,0,AH$13),15-13*ORÇAMENTO!$AF$7)*OFFSET(ORÇAMENTO!$W$15,ROW(AH164)-ROW(AH$15),0),15-13*ORÇAMENTO!$AF$11)),0)</f>
        <v>0</v>
      </c>
      <c r="AI164" s="631">
        <f ca="1">IF(AND($D164="Serviço",AI$12&lt;&gt;0,$H164&gt;0,OR(AUTOEVENTO&lt;&gt;"manual",$M164&lt;&gt;1)),
IF(Import.TipoArredondamento&lt;&gt;"TransfereGOV",
ROUND(OFFSET($P164,0,AI$13),15-13*ORÇAMENTO!$AF$7)/$H164*OFFSET(ORÇAMENTO!$X$15,ROW(AI164)-ROW(AI$15),0),
ROUND(ROUND(OFFSET($P164,0,AI$13),15-13*ORÇAMENTO!$AF$7)*OFFSET(ORÇAMENTO!$W$15,ROW(AI164)-ROW(AI$15),0),15-13*ORÇAMENTO!$AF$11)),0)</f>
        <v>0</v>
      </c>
      <c r="AJ164" s="631">
        <f ca="1">IF(AND($D164="Serviço",AJ$12&lt;&gt;0,$H164&gt;0,OR(AUTOEVENTO&lt;&gt;"manual",$M164&lt;&gt;1)),
IF(Import.TipoArredondamento&lt;&gt;"TransfereGOV",
ROUND(OFFSET($P164,0,AJ$13),15-13*ORÇAMENTO!$AF$7)/$H164*OFFSET(ORÇAMENTO!$X$15,ROW(AJ164)-ROW(AJ$15),0),
ROUND(ROUND(OFFSET($P164,0,AJ$13),15-13*ORÇAMENTO!$AF$7)*OFFSET(ORÇAMENTO!$W$15,ROW(AJ164)-ROW(AJ$15),0),15-13*ORÇAMENTO!$AF$11)),0)</f>
        <v>0</v>
      </c>
      <c r="AK164" s="632">
        <f ca="1">IF(AND($D164="Serviço",AK$12&lt;&gt;0,$H164&gt;0,OR(AUTOEVENTO&lt;&gt;"manual",$M164&lt;&gt;1)),
IF(Import.TipoArredondamento&lt;&gt;"TransfereGOV",
ROUND(OFFSET($P164,0,AK$13),15-13*ORÇAMENTO!$AF$7)/$H164*OFFSET(ORÇAMENTO!$X$15,ROW(AK164)-ROW(AK$15),0),
ROUND(ROUND(OFFSET($P164,0,AK$13),15-13*ORÇAMENTO!$AF$7)*OFFSET(ORÇAMENTO!$W$15,ROW(AK164)-ROW(AK$15),0),15-13*ORÇAMENTO!$AF$11)),0)</f>
        <v>0</v>
      </c>
      <c r="AM164" s="215">
        <f ca="1">IF($D164&lt;&gt;"Serviço",0,IF(AND(AUTOEVENTO="Manual",$M164=1),0,IF(OFFSET(CRONOPLE!$F$14,$M164,AM$13)="",10^12,OFFSET(CRONOPLE!$F$14,$M164,AM$13))))</f>
        <v>1000000000000</v>
      </c>
      <c r="AN164" s="215">
        <f ca="1">IF($D164&lt;&gt;"Serviço",0,IF(AND(AUTOEVENTO="Manual",$M164=1),0,IF(OFFSET(CRONOPLE!$F$14,$M164,AN$13)="",10^12,OFFSET(CRONOPLE!$F$14,$M164,AN$13))))</f>
        <v>1000000000000</v>
      </c>
      <c r="AO164" s="215">
        <f ca="1">IF($D164&lt;&gt;"Serviço",0,IF(AND(AUTOEVENTO="Manual",$M164=1),0,IF(OFFSET(CRONOPLE!$F$14,$M164,AO$13)="",10^12,OFFSET(CRONOPLE!$F$14,$M164,AO$13))))</f>
        <v>1000000000000</v>
      </c>
      <c r="AP164" s="215">
        <f ca="1">IF($D164&lt;&gt;"Serviço",0,IF(AND(AUTOEVENTO="Manual",$M164=1),0,IF(OFFSET(CRONOPLE!$F$14,$M164,AP$13)="",10^12,OFFSET(CRONOPLE!$F$14,$M164,AP$13))))</f>
        <v>1000000000000</v>
      </c>
      <c r="AQ164" s="215">
        <f ca="1">IF($D164&lt;&gt;"Serviço",0,IF(AND(AUTOEVENTO="Manual",$M164=1),0,IF(OFFSET(CRONOPLE!$F$14,$M164,AQ$13)="",10^12,OFFSET(CRONOPLE!$F$14,$M164,AQ$13))))</f>
        <v>1000000000000</v>
      </c>
      <c r="AR164" s="215">
        <f ca="1">IF($D164&lt;&gt;"Serviço",0,IF(AND(AUTOEVENTO="Manual",$M164=1),0,IF(OFFSET(CRONOPLE!$F$14,$M164,AR$13)="",10^12,OFFSET(CRONOPLE!$F$14,$M164,AR$13))))</f>
        <v>1000000000000</v>
      </c>
      <c r="AS164" s="215">
        <f ca="1">IF($D164&lt;&gt;"Serviço",0,IF(AND(AUTOEVENTO="Manual",$M164=1),0,IF(OFFSET(CRONOPLE!$F$14,$M164,AS$13)="",10^12,OFFSET(CRONOPLE!$F$14,$M164,AS$13))))</f>
        <v>1000000000000</v>
      </c>
      <c r="AT164" s="215">
        <f ca="1">IF($D164&lt;&gt;"Serviço",0,IF(AND(AUTOEVENTO="Manual",$M164=1),0,IF(OFFSET(CRONOPLE!$F$14,$M164,AT$13)="",10^12,OFFSET(CRONOPLE!$F$14,$M164,AT$13))))</f>
        <v>1000000000000</v>
      </c>
      <c r="AU164" s="215">
        <f ca="1">IF($D164&lt;&gt;"Serviço",0,IF(AND(AUTOEVENTO="Manual",$M164=1),0,IF(OFFSET(CRONOPLE!$F$14,$M164,AU$13)="",10^12,OFFSET(CRONOPLE!$F$14,$M164,AU$13))))</f>
        <v>1000000000000</v>
      </c>
      <c r="AV164" s="215">
        <f ca="1">IF($D164&lt;&gt;"Serviço",0,IF(AND(AUTOEVENTO="Manual",$M164=1),0,IF(OFFSET(CRONOPLE!$F$14,$M164,AV$13)="",10^12,OFFSET(CRONOPLE!$F$14,$M164,AV$13))))</f>
        <v>1000000000000</v>
      </c>
      <c r="AX164" s="216">
        <f ca="1">IF($D164&lt;&gt;"Serviço",0,IF(OR(AND(AUTOEVENTO="Manual",$M164=1),$M164&gt;(ROW(PLE.lastrow)-ROW(PLE.firstrow))),0,IF(OFFSET(PLE!$G$14,$M164,AX$13)="",10^12,OFFSET(PLE!$G$14,$M164,AX$13))))</f>
        <v>1000000000000</v>
      </c>
      <c r="AY164" s="216">
        <f ca="1">IF($D164&lt;&gt;"Serviço",0,IF(OR(AND(AUTOEVENTO="Manual",$M164=1),$M164&gt;(ROW(PLE.lastrow)-ROW(PLE.firstrow))),0,IF(OFFSET(PLE!$G$14,$M164,AY$13)="",10^12,OFFSET(PLE!$G$14,$M164,AY$13))))</f>
        <v>1000000000000</v>
      </c>
      <c r="AZ164" s="216">
        <f ca="1">IF($D164&lt;&gt;"Serviço",0,IF(OR(AND(AUTOEVENTO="Manual",$M164=1),$M164&gt;(ROW(PLE.lastrow)-ROW(PLE.firstrow))),0,IF(OFFSET(PLE!$G$14,$M164,AZ$13)="",10^12,OFFSET(PLE!$G$14,$M164,AZ$13))))</f>
        <v>1000000000000</v>
      </c>
      <c r="BA164" s="216">
        <f ca="1">IF($D164&lt;&gt;"Serviço",0,IF(OR(AND(AUTOEVENTO="Manual",$M164=1),$M164&gt;(ROW(PLE.lastrow)-ROW(PLE.firstrow))),0,IF(OFFSET(PLE!$G$14,$M164,BA$13)="",10^12,OFFSET(PLE!$G$14,$M164,BA$13))))</f>
        <v>1000000000000</v>
      </c>
      <c r="BB164" s="216">
        <f ca="1">IF($D164&lt;&gt;"Serviço",0,IF(OR(AND(AUTOEVENTO="Manual",$M164=1),$M164&gt;(ROW(PLE.lastrow)-ROW(PLE.firstrow))),0,IF(OFFSET(PLE!$G$14,$M164,BB$13)="",10^12,OFFSET(PLE!$G$14,$M164,BB$13))))</f>
        <v>1000000000000</v>
      </c>
      <c r="BC164" s="216">
        <f ca="1">IF($D164&lt;&gt;"Serviço",0,IF(OR(AND(AUTOEVENTO="Manual",$M164=1),$M164&gt;(ROW(PLE.lastrow)-ROW(PLE.firstrow))),0,IF(OFFSET(PLE!$G$14,$M164,BC$13)="",10^12,OFFSET(PLE!$G$14,$M164,BC$13))))</f>
        <v>1000000000000</v>
      </c>
      <c r="BD164" s="216">
        <f ca="1">IF($D164&lt;&gt;"Serviço",0,IF(OR(AND(AUTOEVENTO="Manual",$M164=1),$M164&gt;(ROW(PLE.lastrow)-ROW(PLE.firstrow))),0,IF(OFFSET(PLE!$G$14,$M164,BD$13)="",10^12,OFFSET(PLE!$G$14,$M164,BD$13))))</f>
        <v>1000000000000</v>
      </c>
      <c r="BE164" s="216">
        <f ca="1">IF($D164&lt;&gt;"Serviço",0,IF(OR(AND(AUTOEVENTO="Manual",$M164=1),$M164&gt;(ROW(PLE.lastrow)-ROW(PLE.firstrow))),0,IF(OFFSET(PLE!$G$14,$M164,BE$13)="",10^12,OFFSET(PLE!$G$14,$M164,BE$13))))</f>
        <v>1000000000000</v>
      </c>
      <c r="BF164" s="216">
        <f ca="1">IF($D164&lt;&gt;"Serviço",0,IF(OR(AND(AUTOEVENTO="Manual",$M164=1),$M164&gt;(ROW(PLE.lastrow)-ROW(PLE.firstrow))),0,IF(OFFSET(PLE!$G$14,$M164,BF$13)="",10^12,OFFSET(PLE!$G$14,$M164,BF$13))))</f>
        <v>1000000000000</v>
      </c>
      <c r="BG164" s="216">
        <f ca="1">IF($D164&lt;&gt;"Serviço",0,IF(OR(AND(AUTOEVENTO="Manual",$M164=1),$M164&gt;(ROW(PLE.lastrow)-ROW(PLE.firstrow))),0,IF(OFFSET(PLE!$G$14,$M164,BG$13)="",10^12,OFFSET(PLE!$G$14,$M164,BG$13))))</f>
        <v>1000000000000</v>
      </c>
    </row>
    <row r="165" spans="1:59" ht="38.25" x14ac:dyDescent="0.2">
      <c r="A165" s="9" t="str">
        <f t="shared" ca="1" si="11"/>
        <v>144</v>
      </c>
      <c r="B165" s="9" t="str">
        <f ca="1">OFFSET(ORÇAMENTO!C$15,ROW(B165)-ROW(B$15),0)</f>
        <v>S</v>
      </c>
      <c r="C165" s="9" t="str">
        <f ca="1">OFFSET(ORÇAMENTO!L$15,ROW(C165)-ROW(C$15),0)</f>
        <v/>
      </c>
      <c r="D165" s="145" t="str">
        <f ca="1">OFFSET(ORÇAMENTO!N$15,ROW(D165)-ROW(D$15),0)</f>
        <v>Serviço</v>
      </c>
      <c r="E165" s="205" t="str">
        <f ca="1">OFFSET(ORÇAMENTO!O$15,ROW(E165)-ROW(E$15),0)</f>
        <v>-</v>
      </c>
      <c r="F165" s="206" t="str">
        <f ca="1">OFFSET(ORÇAMENTO!R$15,ROW(F165)-ROW(F$15),0)</f>
        <v>CURVA CURTA 90 GRAUS, PVC, SERIE NORMAL, ESGOTO PREDIAL, DN 100 MM, JUNTA ELÁSTICA, FORNECIDO E INSTALADO EM PRUMADA DE ESGOTO SANITÁRIO OU VENTILAÇÃO. AF_08/2022</v>
      </c>
      <c r="G165" s="207" t="str">
        <f ca="1">IF($D165&lt;&gt;"Serviço","",OFFSET(ORÇAMENTO!S$15,ROW(G165)-ROW(G$15),0))</f>
        <v>UN</v>
      </c>
      <c r="H165" s="151">
        <f ca="1">IF($D165&lt;&gt;"Serviço",0,IF(ACOMPANHAMENTO="BM",ROUND(OFFSET(ORÇAMENTO!AJ$15,ROW(H165)-ROW(H$15),0),15-13*ORÇAMENTO!$AF$7),SUMPRODUCT(($Q$12:$AA$12&lt;&gt;"")*ROUND($Q165:$AA165,15-13*ORÇAMENTO!$AF$7))))</f>
        <v>3</v>
      </c>
      <c r="I165" s="649"/>
      <c r="K165" s="208"/>
      <c r="L165" s="209" t="s">
        <v>255</v>
      </c>
      <c r="M165" s="210">
        <f ca="1">IF($D165&lt;&gt;"Serviço","",IF(AUTOEVENTO="manual",$A165,IF(ISERROR(MATCH($A165,$A$15:OFFSET($A165,-1,0),0)),MAX($M$15:OFFSET(M165,-1,0))+1,INDEX($M$15:OFFSET(M165,-1,0),MATCH($A165,$A$15:OFFSET($A165,-1,0),0)))))</f>
        <v>21</v>
      </c>
      <c r="N165" s="211" t="str">
        <f ca="1">IF($D165&lt;&gt;"Serviço","",IF(AUTOEVENTO="Manual",IF($A165=0,"&lt;-- defina o número do agrupador",OFFSET(EVENTOS!$D$14,$A165,0)),OFFSET($F$15,$A165,0)))</f>
        <v>SANITÁRIO</v>
      </c>
      <c r="O165" s="212"/>
      <c r="Q165" s="212"/>
      <c r="R165" s="213"/>
      <c r="S165" s="213"/>
      <c r="T165" s="213"/>
      <c r="U165" s="213"/>
      <c r="V165" s="213"/>
      <c r="W165" s="213"/>
      <c r="X165" s="213"/>
      <c r="Y165" s="213"/>
      <c r="Z165" s="214"/>
      <c r="AB165" s="630">
        <f ca="1">IF(AND($D165="Serviço",AB$12&lt;&gt;0,$H165&gt;0,OR(AUTOEVENTO&lt;&gt;"manual",$M165&lt;&gt;1)),
IF(Import.TipoArredondamento&lt;&gt;"TransfereGOV",
ROUND(OFFSET($P165,0,AB$13),15-13*ORÇAMENTO!$AF$7)/$H165*OFFSET(ORÇAMENTO!$X$15,ROW(AB165)-ROW(AB$15),0),
ROUND(ROUND(OFFSET($P165,0,AB$13),15-13*ORÇAMENTO!$AF$7)*OFFSET(ORÇAMENTO!$W$15,ROW(AB165)-ROW(AB$15),0),15-13*ORÇAMENTO!$AF$11)),0)</f>
        <v>0</v>
      </c>
      <c r="AC165" s="631">
        <f ca="1">IF(AND($D165="Serviço",AC$12&lt;&gt;0,$H165&gt;0,OR(AUTOEVENTO&lt;&gt;"manual",$M165&lt;&gt;1)),
IF(Import.TipoArredondamento&lt;&gt;"TransfereGOV",
ROUND(OFFSET($P165,0,AC$13),15-13*ORÇAMENTO!$AF$7)/$H165*OFFSET(ORÇAMENTO!$X$15,ROW(AC165)-ROW(AC$15),0),
ROUND(ROUND(OFFSET($P165,0,AC$13),15-13*ORÇAMENTO!$AF$7)*OFFSET(ORÇAMENTO!$W$15,ROW(AC165)-ROW(AC$15),0),15-13*ORÇAMENTO!$AF$11)),0)</f>
        <v>0</v>
      </c>
      <c r="AD165" s="631">
        <f ca="1">IF(AND($D165="Serviço",AD$12&lt;&gt;0,$H165&gt;0,OR(AUTOEVENTO&lt;&gt;"manual",$M165&lt;&gt;1)),
IF(Import.TipoArredondamento&lt;&gt;"TransfereGOV",
ROUND(OFFSET($P165,0,AD$13),15-13*ORÇAMENTO!$AF$7)/$H165*OFFSET(ORÇAMENTO!$X$15,ROW(AD165)-ROW(AD$15),0),
ROUND(ROUND(OFFSET($P165,0,AD$13),15-13*ORÇAMENTO!$AF$7)*OFFSET(ORÇAMENTO!$W$15,ROW(AD165)-ROW(AD$15),0),15-13*ORÇAMENTO!$AF$11)),0)</f>
        <v>0</v>
      </c>
      <c r="AE165" s="631">
        <f ca="1">IF(AND($D165="Serviço",AE$12&lt;&gt;0,$H165&gt;0,OR(AUTOEVENTO&lt;&gt;"manual",$M165&lt;&gt;1)),
IF(Import.TipoArredondamento&lt;&gt;"TransfereGOV",
ROUND(OFFSET($P165,0,AE$13),15-13*ORÇAMENTO!$AF$7)/$H165*OFFSET(ORÇAMENTO!$X$15,ROW(AE165)-ROW(AE$15),0),
ROUND(ROUND(OFFSET($P165,0,AE$13),15-13*ORÇAMENTO!$AF$7)*OFFSET(ORÇAMENTO!$W$15,ROW(AE165)-ROW(AE$15),0),15-13*ORÇAMENTO!$AF$11)),0)</f>
        <v>0</v>
      </c>
      <c r="AF165" s="631">
        <f ca="1">IF(AND($D165="Serviço",AF$12&lt;&gt;0,$H165&gt;0,OR(AUTOEVENTO&lt;&gt;"manual",$M165&lt;&gt;1)),
IF(Import.TipoArredondamento&lt;&gt;"TransfereGOV",
ROUND(OFFSET($P165,0,AF$13),15-13*ORÇAMENTO!$AF$7)/$H165*OFFSET(ORÇAMENTO!$X$15,ROW(AF165)-ROW(AF$15),0),
ROUND(ROUND(OFFSET($P165,0,AF$13),15-13*ORÇAMENTO!$AF$7)*OFFSET(ORÇAMENTO!$W$15,ROW(AF165)-ROW(AF$15),0),15-13*ORÇAMENTO!$AF$11)),0)</f>
        <v>0</v>
      </c>
      <c r="AG165" s="631">
        <f ca="1">IF(AND($D165="Serviço",AG$12&lt;&gt;0,$H165&gt;0,OR(AUTOEVENTO&lt;&gt;"manual",$M165&lt;&gt;1)),
IF(Import.TipoArredondamento&lt;&gt;"TransfereGOV",
ROUND(OFFSET($P165,0,AG$13),15-13*ORÇAMENTO!$AF$7)/$H165*OFFSET(ORÇAMENTO!$X$15,ROW(AG165)-ROW(AG$15),0),
ROUND(ROUND(OFFSET($P165,0,AG$13),15-13*ORÇAMENTO!$AF$7)*OFFSET(ORÇAMENTO!$W$15,ROW(AG165)-ROW(AG$15),0),15-13*ORÇAMENTO!$AF$11)),0)</f>
        <v>0</v>
      </c>
      <c r="AH165" s="631">
        <f ca="1">IF(AND($D165="Serviço",AH$12&lt;&gt;0,$H165&gt;0,OR(AUTOEVENTO&lt;&gt;"manual",$M165&lt;&gt;1)),
IF(Import.TipoArredondamento&lt;&gt;"TransfereGOV",
ROUND(OFFSET($P165,0,AH$13),15-13*ORÇAMENTO!$AF$7)/$H165*OFFSET(ORÇAMENTO!$X$15,ROW(AH165)-ROW(AH$15),0),
ROUND(ROUND(OFFSET($P165,0,AH$13),15-13*ORÇAMENTO!$AF$7)*OFFSET(ORÇAMENTO!$W$15,ROW(AH165)-ROW(AH$15),0),15-13*ORÇAMENTO!$AF$11)),0)</f>
        <v>0</v>
      </c>
      <c r="AI165" s="631">
        <f ca="1">IF(AND($D165="Serviço",AI$12&lt;&gt;0,$H165&gt;0,OR(AUTOEVENTO&lt;&gt;"manual",$M165&lt;&gt;1)),
IF(Import.TipoArredondamento&lt;&gt;"TransfereGOV",
ROUND(OFFSET($P165,0,AI$13),15-13*ORÇAMENTO!$AF$7)/$H165*OFFSET(ORÇAMENTO!$X$15,ROW(AI165)-ROW(AI$15),0),
ROUND(ROUND(OFFSET($P165,0,AI$13),15-13*ORÇAMENTO!$AF$7)*OFFSET(ORÇAMENTO!$W$15,ROW(AI165)-ROW(AI$15),0),15-13*ORÇAMENTO!$AF$11)),0)</f>
        <v>0</v>
      </c>
      <c r="AJ165" s="631">
        <f ca="1">IF(AND($D165="Serviço",AJ$12&lt;&gt;0,$H165&gt;0,OR(AUTOEVENTO&lt;&gt;"manual",$M165&lt;&gt;1)),
IF(Import.TipoArredondamento&lt;&gt;"TransfereGOV",
ROUND(OFFSET($P165,0,AJ$13),15-13*ORÇAMENTO!$AF$7)/$H165*OFFSET(ORÇAMENTO!$X$15,ROW(AJ165)-ROW(AJ$15),0),
ROUND(ROUND(OFFSET($P165,0,AJ$13),15-13*ORÇAMENTO!$AF$7)*OFFSET(ORÇAMENTO!$W$15,ROW(AJ165)-ROW(AJ$15),0),15-13*ORÇAMENTO!$AF$11)),0)</f>
        <v>0</v>
      </c>
      <c r="AK165" s="632">
        <f ca="1">IF(AND($D165="Serviço",AK$12&lt;&gt;0,$H165&gt;0,OR(AUTOEVENTO&lt;&gt;"manual",$M165&lt;&gt;1)),
IF(Import.TipoArredondamento&lt;&gt;"TransfereGOV",
ROUND(OFFSET($P165,0,AK$13),15-13*ORÇAMENTO!$AF$7)/$H165*OFFSET(ORÇAMENTO!$X$15,ROW(AK165)-ROW(AK$15),0),
ROUND(ROUND(OFFSET($P165,0,AK$13),15-13*ORÇAMENTO!$AF$7)*OFFSET(ORÇAMENTO!$W$15,ROW(AK165)-ROW(AK$15),0),15-13*ORÇAMENTO!$AF$11)),0)</f>
        <v>0</v>
      </c>
      <c r="AM165" s="215">
        <f ca="1">IF($D165&lt;&gt;"Serviço",0,IF(AND(AUTOEVENTO="Manual",$M165=1),0,IF(OFFSET(CRONOPLE!$F$14,$M165,AM$13)="",10^12,OFFSET(CRONOPLE!$F$14,$M165,AM$13))))</f>
        <v>1000000000000</v>
      </c>
      <c r="AN165" s="215">
        <f ca="1">IF($D165&lt;&gt;"Serviço",0,IF(AND(AUTOEVENTO="Manual",$M165=1),0,IF(OFFSET(CRONOPLE!$F$14,$M165,AN$13)="",10^12,OFFSET(CRONOPLE!$F$14,$M165,AN$13))))</f>
        <v>1000000000000</v>
      </c>
      <c r="AO165" s="215">
        <f ca="1">IF($D165&lt;&gt;"Serviço",0,IF(AND(AUTOEVENTO="Manual",$M165=1),0,IF(OFFSET(CRONOPLE!$F$14,$M165,AO$13)="",10^12,OFFSET(CRONOPLE!$F$14,$M165,AO$13))))</f>
        <v>1000000000000</v>
      </c>
      <c r="AP165" s="215">
        <f ca="1">IF($D165&lt;&gt;"Serviço",0,IF(AND(AUTOEVENTO="Manual",$M165=1),0,IF(OFFSET(CRONOPLE!$F$14,$M165,AP$13)="",10^12,OFFSET(CRONOPLE!$F$14,$M165,AP$13))))</f>
        <v>1000000000000</v>
      </c>
      <c r="AQ165" s="215">
        <f ca="1">IF($D165&lt;&gt;"Serviço",0,IF(AND(AUTOEVENTO="Manual",$M165=1),0,IF(OFFSET(CRONOPLE!$F$14,$M165,AQ$13)="",10^12,OFFSET(CRONOPLE!$F$14,$M165,AQ$13))))</f>
        <v>1000000000000</v>
      </c>
      <c r="AR165" s="215">
        <f ca="1">IF($D165&lt;&gt;"Serviço",0,IF(AND(AUTOEVENTO="Manual",$M165=1),0,IF(OFFSET(CRONOPLE!$F$14,$M165,AR$13)="",10^12,OFFSET(CRONOPLE!$F$14,$M165,AR$13))))</f>
        <v>1000000000000</v>
      </c>
      <c r="AS165" s="215">
        <f ca="1">IF($D165&lt;&gt;"Serviço",0,IF(AND(AUTOEVENTO="Manual",$M165=1),0,IF(OFFSET(CRONOPLE!$F$14,$M165,AS$13)="",10^12,OFFSET(CRONOPLE!$F$14,$M165,AS$13))))</f>
        <v>1000000000000</v>
      </c>
      <c r="AT165" s="215">
        <f ca="1">IF($D165&lt;&gt;"Serviço",0,IF(AND(AUTOEVENTO="Manual",$M165=1),0,IF(OFFSET(CRONOPLE!$F$14,$M165,AT$13)="",10^12,OFFSET(CRONOPLE!$F$14,$M165,AT$13))))</f>
        <v>1000000000000</v>
      </c>
      <c r="AU165" s="215">
        <f ca="1">IF($D165&lt;&gt;"Serviço",0,IF(AND(AUTOEVENTO="Manual",$M165=1),0,IF(OFFSET(CRONOPLE!$F$14,$M165,AU$13)="",10^12,OFFSET(CRONOPLE!$F$14,$M165,AU$13))))</f>
        <v>1000000000000</v>
      </c>
      <c r="AV165" s="215">
        <f ca="1">IF($D165&lt;&gt;"Serviço",0,IF(AND(AUTOEVENTO="Manual",$M165=1),0,IF(OFFSET(CRONOPLE!$F$14,$M165,AV$13)="",10^12,OFFSET(CRONOPLE!$F$14,$M165,AV$13))))</f>
        <v>1000000000000</v>
      </c>
      <c r="AX165" s="216">
        <f ca="1">IF($D165&lt;&gt;"Serviço",0,IF(OR(AND(AUTOEVENTO="Manual",$M165=1),$M165&gt;(ROW(PLE.lastrow)-ROW(PLE.firstrow))),0,IF(OFFSET(PLE!$G$14,$M165,AX$13)="",10^12,OFFSET(PLE!$G$14,$M165,AX$13))))</f>
        <v>1000000000000</v>
      </c>
      <c r="AY165" s="216">
        <f ca="1">IF($D165&lt;&gt;"Serviço",0,IF(OR(AND(AUTOEVENTO="Manual",$M165=1),$M165&gt;(ROW(PLE.lastrow)-ROW(PLE.firstrow))),0,IF(OFFSET(PLE!$G$14,$M165,AY$13)="",10^12,OFFSET(PLE!$G$14,$M165,AY$13))))</f>
        <v>1000000000000</v>
      </c>
      <c r="AZ165" s="216">
        <f ca="1">IF($D165&lt;&gt;"Serviço",0,IF(OR(AND(AUTOEVENTO="Manual",$M165=1),$M165&gt;(ROW(PLE.lastrow)-ROW(PLE.firstrow))),0,IF(OFFSET(PLE!$G$14,$M165,AZ$13)="",10^12,OFFSET(PLE!$G$14,$M165,AZ$13))))</f>
        <v>1000000000000</v>
      </c>
      <c r="BA165" s="216">
        <f ca="1">IF($D165&lt;&gt;"Serviço",0,IF(OR(AND(AUTOEVENTO="Manual",$M165=1),$M165&gt;(ROW(PLE.lastrow)-ROW(PLE.firstrow))),0,IF(OFFSET(PLE!$G$14,$M165,BA$13)="",10^12,OFFSET(PLE!$G$14,$M165,BA$13))))</f>
        <v>1000000000000</v>
      </c>
      <c r="BB165" s="216">
        <f ca="1">IF($D165&lt;&gt;"Serviço",0,IF(OR(AND(AUTOEVENTO="Manual",$M165=1),$M165&gt;(ROW(PLE.lastrow)-ROW(PLE.firstrow))),0,IF(OFFSET(PLE!$G$14,$M165,BB$13)="",10^12,OFFSET(PLE!$G$14,$M165,BB$13))))</f>
        <v>1000000000000</v>
      </c>
      <c r="BC165" s="216">
        <f ca="1">IF($D165&lt;&gt;"Serviço",0,IF(OR(AND(AUTOEVENTO="Manual",$M165=1),$M165&gt;(ROW(PLE.lastrow)-ROW(PLE.firstrow))),0,IF(OFFSET(PLE!$G$14,$M165,BC$13)="",10^12,OFFSET(PLE!$G$14,$M165,BC$13))))</f>
        <v>1000000000000</v>
      </c>
      <c r="BD165" s="216">
        <f ca="1">IF($D165&lt;&gt;"Serviço",0,IF(OR(AND(AUTOEVENTO="Manual",$M165=1),$M165&gt;(ROW(PLE.lastrow)-ROW(PLE.firstrow))),0,IF(OFFSET(PLE!$G$14,$M165,BD$13)="",10^12,OFFSET(PLE!$G$14,$M165,BD$13))))</f>
        <v>1000000000000</v>
      </c>
      <c r="BE165" s="216">
        <f ca="1">IF($D165&lt;&gt;"Serviço",0,IF(OR(AND(AUTOEVENTO="Manual",$M165=1),$M165&gt;(ROW(PLE.lastrow)-ROW(PLE.firstrow))),0,IF(OFFSET(PLE!$G$14,$M165,BE$13)="",10^12,OFFSET(PLE!$G$14,$M165,BE$13))))</f>
        <v>1000000000000</v>
      </c>
      <c r="BF165" s="216">
        <f ca="1">IF($D165&lt;&gt;"Serviço",0,IF(OR(AND(AUTOEVENTO="Manual",$M165=1),$M165&gt;(ROW(PLE.lastrow)-ROW(PLE.firstrow))),0,IF(OFFSET(PLE!$G$14,$M165,BF$13)="",10^12,OFFSET(PLE!$G$14,$M165,BF$13))))</f>
        <v>1000000000000</v>
      </c>
      <c r="BG165" s="216">
        <f ca="1">IF($D165&lt;&gt;"Serviço",0,IF(OR(AND(AUTOEVENTO="Manual",$M165=1),$M165&gt;(ROW(PLE.lastrow)-ROW(PLE.firstrow))),0,IF(OFFSET(PLE!$G$14,$M165,BG$13)="",10^12,OFFSET(PLE!$G$14,$M165,BG$13))))</f>
        <v>1000000000000</v>
      </c>
    </row>
    <row r="166" spans="1:59" ht="38.25" x14ac:dyDescent="0.2">
      <c r="A166" s="9" t="str">
        <f t="shared" ca="1" si="11"/>
        <v>144</v>
      </c>
      <c r="B166" s="9" t="str">
        <f ca="1">OFFSET(ORÇAMENTO!C$15,ROW(B166)-ROW(B$15),0)</f>
        <v>S</v>
      </c>
      <c r="C166" s="9" t="str">
        <f ca="1">OFFSET(ORÇAMENTO!L$15,ROW(C166)-ROW(C$15),0)</f>
        <v/>
      </c>
      <c r="D166" s="145" t="str">
        <f ca="1">OFFSET(ORÇAMENTO!N$15,ROW(D166)-ROW(D$15),0)</f>
        <v>Serviço</v>
      </c>
      <c r="E166" s="205" t="str">
        <f ca="1">OFFSET(ORÇAMENTO!O$15,ROW(E166)-ROW(E$15),0)</f>
        <v>-</v>
      </c>
      <c r="F166" s="206" t="str">
        <f ca="1">OFFSET(ORÇAMENTO!R$15,ROW(F166)-ROW(F$15),0)</f>
        <v>TE, PVC, SÉRIE NORMAL, ESGOTO PREDIAL, DN 100 X 50 MM, JUNTA ELÁSTICA, FORNECIDO E INSTALADO EM RAMAL DE DESCARGA OU RAMAL DE ESGOTO SANITÁRIO. AF_08/2022</v>
      </c>
      <c r="G166" s="207" t="str">
        <f ca="1">IF($D166&lt;&gt;"Serviço","",OFFSET(ORÇAMENTO!S$15,ROW(G166)-ROW(G$15),0))</f>
        <v>UN</v>
      </c>
      <c r="H166" s="151">
        <f ca="1">IF($D166&lt;&gt;"Serviço",0,IF(ACOMPANHAMENTO="BM",ROUND(OFFSET(ORÇAMENTO!AJ$15,ROW(H166)-ROW(H$15),0),15-13*ORÇAMENTO!$AF$7),SUMPRODUCT(($Q$12:$AA$12&lt;&gt;"")*ROUND($Q166:$AA166,15-13*ORÇAMENTO!$AF$7))))</f>
        <v>3</v>
      </c>
      <c r="I166" s="649"/>
      <c r="K166" s="208"/>
      <c r="L166" s="209" t="s">
        <v>255</v>
      </c>
      <c r="M166" s="210">
        <f ca="1">IF($D166&lt;&gt;"Serviço","",IF(AUTOEVENTO="manual",$A166,IF(ISERROR(MATCH($A166,$A$15:OFFSET($A166,-1,0),0)),MAX($M$15:OFFSET(M166,-1,0))+1,INDEX($M$15:OFFSET(M166,-1,0),MATCH($A166,$A$15:OFFSET($A166,-1,0),0)))))</f>
        <v>21</v>
      </c>
      <c r="N166" s="211" t="str">
        <f ca="1">IF($D166&lt;&gt;"Serviço","",IF(AUTOEVENTO="Manual",IF($A166=0,"&lt;-- defina o número do agrupador",OFFSET(EVENTOS!$D$14,$A166,0)),OFFSET($F$15,$A166,0)))</f>
        <v>SANITÁRIO</v>
      </c>
      <c r="O166" s="212"/>
      <c r="Q166" s="212"/>
      <c r="R166" s="213"/>
      <c r="S166" s="213"/>
      <c r="T166" s="213"/>
      <c r="U166" s="213"/>
      <c r="V166" s="213"/>
      <c r="W166" s="213"/>
      <c r="X166" s="213"/>
      <c r="Y166" s="213"/>
      <c r="Z166" s="214"/>
      <c r="AB166" s="630">
        <f ca="1">IF(AND($D166="Serviço",AB$12&lt;&gt;0,$H166&gt;0,OR(AUTOEVENTO&lt;&gt;"manual",$M166&lt;&gt;1)),
IF(Import.TipoArredondamento&lt;&gt;"TransfereGOV",
ROUND(OFFSET($P166,0,AB$13),15-13*ORÇAMENTO!$AF$7)/$H166*OFFSET(ORÇAMENTO!$X$15,ROW(AB166)-ROW(AB$15),0),
ROUND(ROUND(OFFSET($P166,0,AB$13),15-13*ORÇAMENTO!$AF$7)*OFFSET(ORÇAMENTO!$W$15,ROW(AB166)-ROW(AB$15),0),15-13*ORÇAMENTO!$AF$11)),0)</f>
        <v>0</v>
      </c>
      <c r="AC166" s="631">
        <f ca="1">IF(AND($D166="Serviço",AC$12&lt;&gt;0,$H166&gt;0,OR(AUTOEVENTO&lt;&gt;"manual",$M166&lt;&gt;1)),
IF(Import.TipoArredondamento&lt;&gt;"TransfereGOV",
ROUND(OFFSET($P166,0,AC$13),15-13*ORÇAMENTO!$AF$7)/$H166*OFFSET(ORÇAMENTO!$X$15,ROW(AC166)-ROW(AC$15),0),
ROUND(ROUND(OFFSET($P166,0,AC$13),15-13*ORÇAMENTO!$AF$7)*OFFSET(ORÇAMENTO!$W$15,ROW(AC166)-ROW(AC$15),0),15-13*ORÇAMENTO!$AF$11)),0)</f>
        <v>0</v>
      </c>
      <c r="AD166" s="631">
        <f ca="1">IF(AND($D166="Serviço",AD$12&lt;&gt;0,$H166&gt;0,OR(AUTOEVENTO&lt;&gt;"manual",$M166&lt;&gt;1)),
IF(Import.TipoArredondamento&lt;&gt;"TransfereGOV",
ROUND(OFFSET($P166,0,AD$13),15-13*ORÇAMENTO!$AF$7)/$H166*OFFSET(ORÇAMENTO!$X$15,ROW(AD166)-ROW(AD$15),0),
ROUND(ROUND(OFFSET($P166,0,AD$13),15-13*ORÇAMENTO!$AF$7)*OFFSET(ORÇAMENTO!$W$15,ROW(AD166)-ROW(AD$15),0),15-13*ORÇAMENTO!$AF$11)),0)</f>
        <v>0</v>
      </c>
      <c r="AE166" s="631">
        <f ca="1">IF(AND($D166="Serviço",AE$12&lt;&gt;0,$H166&gt;0,OR(AUTOEVENTO&lt;&gt;"manual",$M166&lt;&gt;1)),
IF(Import.TipoArredondamento&lt;&gt;"TransfereGOV",
ROUND(OFFSET($P166,0,AE$13),15-13*ORÇAMENTO!$AF$7)/$H166*OFFSET(ORÇAMENTO!$X$15,ROW(AE166)-ROW(AE$15),0),
ROUND(ROUND(OFFSET($P166,0,AE$13),15-13*ORÇAMENTO!$AF$7)*OFFSET(ORÇAMENTO!$W$15,ROW(AE166)-ROW(AE$15),0),15-13*ORÇAMENTO!$AF$11)),0)</f>
        <v>0</v>
      </c>
      <c r="AF166" s="631">
        <f ca="1">IF(AND($D166="Serviço",AF$12&lt;&gt;0,$H166&gt;0,OR(AUTOEVENTO&lt;&gt;"manual",$M166&lt;&gt;1)),
IF(Import.TipoArredondamento&lt;&gt;"TransfereGOV",
ROUND(OFFSET($P166,0,AF$13),15-13*ORÇAMENTO!$AF$7)/$H166*OFFSET(ORÇAMENTO!$X$15,ROW(AF166)-ROW(AF$15),0),
ROUND(ROUND(OFFSET($P166,0,AF$13),15-13*ORÇAMENTO!$AF$7)*OFFSET(ORÇAMENTO!$W$15,ROW(AF166)-ROW(AF$15),0),15-13*ORÇAMENTO!$AF$11)),0)</f>
        <v>0</v>
      </c>
      <c r="AG166" s="631">
        <f ca="1">IF(AND($D166="Serviço",AG$12&lt;&gt;0,$H166&gt;0,OR(AUTOEVENTO&lt;&gt;"manual",$M166&lt;&gt;1)),
IF(Import.TipoArredondamento&lt;&gt;"TransfereGOV",
ROUND(OFFSET($P166,0,AG$13),15-13*ORÇAMENTO!$AF$7)/$H166*OFFSET(ORÇAMENTO!$X$15,ROW(AG166)-ROW(AG$15),0),
ROUND(ROUND(OFFSET($P166,0,AG$13),15-13*ORÇAMENTO!$AF$7)*OFFSET(ORÇAMENTO!$W$15,ROW(AG166)-ROW(AG$15),0),15-13*ORÇAMENTO!$AF$11)),0)</f>
        <v>0</v>
      </c>
      <c r="AH166" s="631">
        <f ca="1">IF(AND($D166="Serviço",AH$12&lt;&gt;0,$H166&gt;0,OR(AUTOEVENTO&lt;&gt;"manual",$M166&lt;&gt;1)),
IF(Import.TipoArredondamento&lt;&gt;"TransfereGOV",
ROUND(OFFSET($P166,0,AH$13),15-13*ORÇAMENTO!$AF$7)/$H166*OFFSET(ORÇAMENTO!$X$15,ROW(AH166)-ROW(AH$15),0),
ROUND(ROUND(OFFSET($P166,0,AH$13),15-13*ORÇAMENTO!$AF$7)*OFFSET(ORÇAMENTO!$W$15,ROW(AH166)-ROW(AH$15),0),15-13*ORÇAMENTO!$AF$11)),0)</f>
        <v>0</v>
      </c>
      <c r="AI166" s="631">
        <f ca="1">IF(AND($D166="Serviço",AI$12&lt;&gt;0,$H166&gt;0,OR(AUTOEVENTO&lt;&gt;"manual",$M166&lt;&gt;1)),
IF(Import.TipoArredondamento&lt;&gt;"TransfereGOV",
ROUND(OFFSET($P166,0,AI$13),15-13*ORÇAMENTO!$AF$7)/$H166*OFFSET(ORÇAMENTO!$X$15,ROW(AI166)-ROW(AI$15),0),
ROUND(ROUND(OFFSET($P166,0,AI$13),15-13*ORÇAMENTO!$AF$7)*OFFSET(ORÇAMENTO!$W$15,ROW(AI166)-ROW(AI$15),0),15-13*ORÇAMENTO!$AF$11)),0)</f>
        <v>0</v>
      </c>
      <c r="AJ166" s="631">
        <f ca="1">IF(AND($D166="Serviço",AJ$12&lt;&gt;0,$H166&gt;0,OR(AUTOEVENTO&lt;&gt;"manual",$M166&lt;&gt;1)),
IF(Import.TipoArredondamento&lt;&gt;"TransfereGOV",
ROUND(OFFSET($P166,0,AJ$13),15-13*ORÇAMENTO!$AF$7)/$H166*OFFSET(ORÇAMENTO!$X$15,ROW(AJ166)-ROW(AJ$15),0),
ROUND(ROUND(OFFSET($P166,0,AJ$13),15-13*ORÇAMENTO!$AF$7)*OFFSET(ORÇAMENTO!$W$15,ROW(AJ166)-ROW(AJ$15),0),15-13*ORÇAMENTO!$AF$11)),0)</f>
        <v>0</v>
      </c>
      <c r="AK166" s="632">
        <f ca="1">IF(AND($D166="Serviço",AK$12&lt;&gt;0,$H166&gt;0,OR(AUTOEVENTO&lt;&gt;"manual",$M166&lt;&gt;1)),
IF(Import.TipoArredondamento&lt;&gt;"TransfereGOV",
ROUND(OFFSET($P166,0,AK$13),15-13*ORÇAMENTO!$AF$7)/$H166*OFFSET(ORÇAMENTO!$X$15,ROW(AK166)-ROW(AK$15),0),
ROUND(ROUND(OFFSET($P166,0,AK$13),15-13*ORÇAMENTO!$AF$7)*OFFSET(ORÇAMENTO!$W$15,ROW(AK166)-ROW(AK$15),0),15-13*ORÇAMENTO!$AF$11)),0)</f>
        <v>0</v>
      </c>
      <c r="AM166" s="215">
        <f ca="1">IF($D166&lt;&gt;"Serviço",0,IF(AND(AUTOEVENTO="Manual",$M166=1),0,IF(OFFSET(CRONOPLE!$F$14,$M166,AM$13)="",10^12,OFFSET(CRONOPLE!$F$14,$M166,AM$13))))</f>
        <v>1000000000000</v>
      </c>
      <c r="AN166" s="215">
        <f ca="1">IF($D166&lt;&gt;"Serviço",0,IF(AND(AUTOEVENTO="Manual",$M166=1),0,IF(OFFSET(CRONOPLE!$F$14,$M166,AN$13)="",10^12,OFFSET(CRONOPLE!$F$14,$M166,AN$13))))</f>
        <v>1000000000000</v>
      </c>
      <c r="AO166" s="215">
        <f ca="1">IF($D166&lt;&gt;"Serviço",0,IF(AND(AUTOEVENTO="Manual",$M166=1),0,IF(OFFSET(CRONOPLE!$F$14,$M166,AO$13)="",10^12,OFFSET(CRONOPLE!$F$14,$M166,AO$13))))</f>
        <v>1000000000000</v>
      </c>
      <c r="AP166" s="215">
        <f ca="1">IF($D166&lt;&gt;"Serviço",0,IF(AND(AUTOEVENTO="Manual",$M166=1),0,IF(OFFSET(CRONOPLE!$F$14,$M166,AP$13)="",10^12,OFFSET(CRONOPLE!$F$14,$M166,AP$13))))</f>
        <v>1000000000000</v>
      </c>
      <c r="AQ166" s="215">
        <f ca="1">IF($D166&lt;&gt;"Serviço",0,IF(AND(AUTOEVENTO="Manual",$M166=1),0,IF(OFFSET(CRONOPLE!$F$14,$M166,AQ$13)="",10^12,OFFSET(CRONOPLE!$F$14,$M166,AQ$13))))</f>
        <v>1000000000000</v>
      </c>
      <c r="AR166" s="215">
        <f ca="1">IF($D166&lt;&gt;"Serviço",0,IF(AND(AUTOEVENTO="Manual",$M166=1),0,IF(OFFSET(CRONOPLE!$F$14,$M166,AR$13)="",10^12,OFFSET(CRONOPLE!$F$14,$M166,AR$13))))</f>
        <v>1000000000000</v>
      </c>
      <c r="AS166" s="215">
        <f ca="1">IF($D166&lt;&gt;"Serviço",0,IF(AND(AUTOEVENTO="Manual",$M166=1),0,IF(OFFSET(CRONOPLE!$F$14,$M166,AS$13)="",10^12,OFFSET(CRONOPLE!$F$14,$M166,AS$13))))</f>
        <v>1000000000000</v>
      </c>
      <c r="AT166" s="215">
        <f ca="1">IF($D166&lt;&gt;"Serviço",0,IF(AND(AUTOEVENTO="Manual",$M166=1),0,IF(OFFSET(CRONOPLE!$F$14,$M166,AT$13)="",10^12,OFFSET(CRONOPLE!$F$14,$M166,AT$13))))</f>
        <v>1000000000000</v>
      </c>
      <c r="AU166" s="215">
        <f ca="1">IF($D166&lt;&gt;"Serviço",0,IF(AND(AUTOEVENTO="Manual",$M166=1),0,IF(OFFSET(CRONOPLE!$F$14,$M166,AU$13)="",10^12,OFFSET(CRONOPLE!$F$14,$M166,AU$13))))</f>
        <v>1000000000000</v>
      </c>
      <c r="AV166" s="215">
        <f ca="1">IF($D166&lt;&gt;"Serviço",0,IF(AND(AUTOEVENTO="Manual",$M166=1),0,IF(OFFSET(CRONOPLE!$F$14,$M166,AV$13)="",10^12,OFFSET(CRONOPLE!$F$14,$M166,AV$13))))</f>
        <v>1000000000000</v>
      </c>
      <c r="AX166" s="216">
        <f ca="1">IF($D166&lt;&gt;"Serviço",0,IF(OR(AND(AUTOEVENTO="Manual",$M166=1),$M166&gt;(ROW(PLE.lastrow)-ROW(PLE.firstrow))),0,IF(OFFSET(PLE!$G$14,$M166,AX$13)="",10^12,OFFSET(PLE!$G$14,$M166,AX$13))))</f>
        <v>1000000000000</v>
      </c>
      <c r="AY166" s="216">
        <f ca="1">IF($D166&lt;&gt;"Serviço",0,IF(OR(AND(AUTOEVENTO="Manual",$M166=1),$M166&gt;(ROW(PLE.lastrow)-ROW(PLE.firstrow))),0,IF(OFFSET(PLE!$G$14,$M166,AY$13)="",10^12,OFFSET(PLE!$G$14,$M166,AY$13))))</f>
        <v>1000000000000</v>
      </c>
      <c r="AZ166" s="216">
        <f ca="1">IF($D166&lt;&gt;"Serviço",0,IF(OR(AND(AUTOEVENTO="Manual",$M166=1),$M166&gt;(ROW(PLE.lastrow)-ROW(PLE.firstrow))),0,IF(OFFSET(PLE!$G$14,$M166,AZ$13)="",10^12,OFFSET(PLE!$G$14,$M166,AZ$13))))</f>
        <v>1000000000000</v>
      </c>
      <c r="BA166" s="216">
        <f ca="1">IF($D166&lt;&gt;"Serviço",0,IF(OR(AND(AUTOEVENTO="Manual",$M166=1),$M166&gt;(ROW(PLE.lastrow)-ROW(PLE.firstrow))),0,IF(OFFSET(PLE!$G$14,$M166,BA$13)="",10^12,OFFSET(PLE!$G$14,$M166,BA$13))))</f>
        <v>1000000000000</v>
      </c>
      <c r="BB166" s="216">
        <f ca="1">IF($D166&lt;&gt;"Serviço",0,IF(OR(AND(AUTOEVENTO="Manual",$M166=1),$M166&gt;(ROW(PLE.lastrow)-ROW(PLE.firstrow))),0,IF(OFFSET(PLE!$G$14,$M166,BB$13)="",10^12,OFFSET(PLE!$G$14,$M166,BB$13))))</f>
        <v>1000000000000</v>
      </c>
      <c r="BC166" s="216">
        <f ca="1">IF($D166&lt;&gt;"Serviço",0,IF(OR(AND(AUTOEVENTO="Manual",$M166=1),$M166&gt;(ROW(PLE.lastrow)-ROW(PLE.firstrow))),0,IF(OFFSET(PLE!$G$14,$M166,BC$13)="",10^12,OFFSET(PLE!$G$14,$M166,BC$13))))</f>
        <v>1000000000000</v>
      </c>
      <c r="BD166" s="216">
        <f ca="1">IF($D166&lt;&gt;"Serviço",0,IF(OR(AND(AUTOEVENTO="Manual",$M166=1),$M166&gt;(ROW(PLE.lastrow)-ROW(PLE.firstrow))),0,IF(OFFSET(PLE!$G$14,$M166,BD$13)="",10^12,OFFSET(PLE!$G$14,$M166,BD$13))))</f>
        <v>1000000000000</v>
      </c>
      <c r="BE166" s="216">
        <f ca="1">IF($D166&lt;&gt;"Serviço",0,IF(OR(AND(AUTOEVENTO="Manual",$M166=1),$M166&gt;(ROW(PLE.lastrow)-ROW(PLE.firstrow))),0,IF(OFFSET(PLE!$G$14,$M166,BE$13)="",10^12,OFFSET(PLE!$G$14,$M166,BE$13))))</f>
        <v>1000000000000</v>
      </c>
      <c r="BF166" s="216">
        <f ca="1">IF($D166&lt;&gt;"Serviço",0,IF(OR(AND(AUTOEVENTO="Manual",$M166=1),$M166&gt;(ROW(PLE.lastrow)-ROW(PLE.firstrow))),0,IF(OFFSET(PLE!$G$14,$M166,BF$13)="",10^12,OFFSET(PLE!$G$14,$M166,BF$13))))</f>
        <v>1000000000000</v>
      </c>
      <c r="BG166" s="216">
        <f ca="1">IF($D166&lt;&gt;"Serviço",0,IF(OR(AND(AUTOEVENTO="Manual",$M166=1),$M166&gt;(ROW(PLE.lastrow)-ROW(PLE.firstrow))),0,IF(OFFSET(PLE!$G$14,$M166,BG$13)="",10^12,OFFSET(PLE!$G$14,$M166,BG$13))))</f>
        <v>1000000000000</v>
      </c>
    </row>
    <row r="167" spans="1:59" ht="38.25" x14ac:dyDescent="0.2">
      <c r="A167" s="9" t="str">
        <f t="shared" ca="1" si="11"/>
        <v>144</v>
      </c>
      <c r="B167" s="9" t="str">
        <f ca="1">OFFSET(ORÇAMENTO!C$15,ROW(B167)-ROW(B$15),0)</f>
        <v>S</v>
      </c>
      <c r="C167" s="9" t="str">
        <f ca="1">OFFSET(ORÇAMENTO!L$15,ROW(C167)-ROW(C$15),0)</f>
        <v/>
      </c>
      <c r="D167" s="145" t="str">
        <f ca="1">OFFSET(ORÇAMENTO!N$15,ROW(D167)-ROW(D$15),0)</f>
        <v>Serviço</v>
      </c>
      <c r="E167" s="205" t="str">
        <f ca="1">OFFSET(ORÇAMENTO!O$15,ROW(E167)-ROW(E$15),0)</f>
        <v>-</v>
      </c>
      <c r="F167" s="206" t="str">
        <f ca="1">OFFSET(ORÇAMENTO!R$15,ROW(F167)-ROW(F$15),0)</f>
        <v>TE, PVC, SERIE NORMAL, ESGOTO PREDIAL, DN 100 X 100 MM, JUNTA ELÁSTICA, FORNECIDO E INSTALADO EM PRUMADA DE ESGOTO SANITÁRIO OU VENTILAÇÃO. AF_08/2022</v>
      </c>
      <c r="G167" s="207" t="str">
        <f ca="1">IF($D167&lt;&gt;"Serviço","",OFFSET(ORÇAMENTO!S$15,ROW(G167)-ROW(G$15),0))</f>
        <v>UN</v>
      </c>
      <c r="H167" s="151">
        <f ca="1">IF($D167&lt;&gt;"Serviço",0,IF(ACOMPANHAMENTO="BM",ROUND(OFFSET(ORÇAMENTO!AJ$15,ROW(H167)-ROW(H$15),0),15-13*ORÇAMENTO!$AF$7),SUMPRODUCT(($Q$12:$AA$12&lt;&gt;"")*ROUND($Q167:$AA167,15-13*ORÇAMENTO!$AF$7))))</f>
        <v>2</v>
      </c>
      <c r="I167" s="649"/>
      <c r="K167" s="208"/>
      <c r="L167" s="209" t="s">
        <v>255</v>
      </c>
      <c r="M167" s="210">
        <f ca="1">IF($D167&lt;&gt;"Serviço","",IF(AUTOEVENTO="manual",$A167,IF(ISERROR(MATCH($A167,$A$15:OFFSET($A167,-1,0),0)),MAX($M$15:OFFSET(M167,-1,0))+1,INDEX($M$15:OFFSET(M167,-1,0),MATCH($A167,$A$15:OFFSET($A167,-1,0),0)))))</f>
        <v>21</v>
      </c>
      <c r="N167" s="211" t="str">
        <f ca="1">IF($D167&lt;&gt;"Serviço","",IF(AUTOEVENTO="Manual",IF($A167=0,"&lt;-- defina o número do agrupador",OFFSET(EVENTOS!$D$14,$A167,0)),OFFSET($F$15,$A167,0)))</f>
        <v>SANITÁRIO</v>
      </c>
      <c r="O167" s="212"/>
      <c r="Q167" s="212"/>
      <c r="R167" s="213"/>
      <c r="S167" s="213"/>
      <c r="T167" s="213"/>
      <c r="U167" s="213"/>
      <c r="V167" s="213"/>
      <c r="W167" s="213"/>
      <c r="X167" s="213"/>
      <c r="Y167" s="213"/>
      <c r="Z167" s="214"/>
      <c r="AB167" s="630">
        <f ca="1">IF(AND($D167="Serviço",AB$12&lt;&gt;0,$H167&gt;0,OR(AUTOEVENTO&lt;&gt;"manual",$M167&lt;&gt;1)),
IF(Import.TipoArredondamento&lt;&gt;"TransfereGOV",
ROUND(OFFSET($P167,0,AB$13),15-13*ORÇAMENTO!$AF$7)/$H167*OFFSET(ORÇAMENTO!$X$15,ROW(AB167)-ROW(AB$15),0),
ROUND(ROUND(OFFSET($P167,0,AB$13),15-13*ORÇAMENTO!$AF$7)*OFFSET(ORÇAMENTO!$W$15,ROW(AB167)-ROW(AB$15),0),15-13*ORÇAMENTO!$AF$11)),0)</f>
        <v>0</v>
      </c>
      <c r="AC167" s="631">
        <f ca="1">IF(AND($D167="Serviço",AC$12&lt;&gt;0,$H167&gt;0,OR(AUTOEVENTO&lt;&gt;"manual",$M167&lt;&gt;1)),
IF(Import.TipoArredondamento&lt;&gt;"TransfereGOV",
ROUND(OFFSET($P167,0,AC$13),15-13*ORÇAMENTO!$AF$7)/$H167*OFFSET(ORÇAMENTO!$X$15,ROW(AC167)-ROW(AC$15),0),
ROUND(ROUND(OFFSET($P167,0,AC$13),15-13*ORÇAMENTO!$AF$7)*OFFSET(ORÇAMENTO!$W$15,ROW(AC167)-ROW(AC$15),0),15-13*ORÇAMENTO!$AF$11)),0)</f>
        <v>0</v>
      </c>
      <c r="AD167" s="631">
        <f ca="1">IF(AND($D167="Serviço",AD$12&lt;&gt;0,$H167&gt;0,OR(AUTOEVENTO&lt;&gt;"manual",$M167&lt;&gt;1)),
IF(Import.TipoArredondamento&lt;&gt;"TransfereGOV",
ROUND(OFFSET($P167,0,AD$13),15-13*ORÇAMENTO!$AF$7)/$H167*OFFSET(ORÇAMENTO!$X$15,ROW(AD167)-ROW(AD$15),0),
ROUND(ROUND(OFFSET($P167,0,AD$13),15-13*ORÇAMENTO!$AF$7)*OFFSET(ORÇAMENTO!$W$15,ROW(AD167)-ROW(AD$15),0),15-13*ORÇAMENTO!$AF$11)),0)</f>
        <v>0</v>
      </c>
      <c r="AE167" s="631">
        <f ca="1">IF(AND($D167="Serviço",AE$12&lt;&gt;0,$H167&gt;0,OR(AUTOEVENTO&lt;&gt;"manual",$M167&lt;&gt;1)),
IF(Import.TipoArredondamento&lt;&gt;"TransfereGOV",
ROUND(OFFSET($P167,0,AE$13),15-13*ORÇAMENTO!$AF$7)/$H167*OFFSET(ORÇAMENTO!$X$15,ROW(AE167)-ROW(AE$15),0),
ROUND(ROUND(OFFSET($P167,0,AE$13),15-13*ORÇAMENTO!$AF$7)*OFFSET(ORÇAMENTO!$W$15,ROW(AE167)-ROW(AE$15),0),15-13*ORÇAMENTO!$AF$11)),0)</f>
        <v>0</v>
      </c>
      <c r="AF167" s="631">
        <f ca="1">IF(AND($D167="Serviço",AF$12&lt;&gt;0,$H167&gt;0,OR(AUTOEVENTO&lt;&gt;"manual",$M167&lt;&gt;1)),
IF(Import.TipoArredondamento&lt;&gt;"TransfereGOV",
ROUND(OFFSET($P167,0,AF$13),15-13*ORÇAMENTO!$AF$7)/$H167*OFFSET(ORÇAMENTO!$X$15,ROW(AF167)-ROW(AF$15),0),
ROUND(ROUND(OFFSET($P167,0,AF$13),15-13*ORÇAMENTO!$AF$7)*OFFSET(ORÇAMENTO!$W$15,ROW(AF167)-ROW(AF$15),0),15-13*ORÇAMENTO!$AF$11)),0)</f>
        <v>0</v>
      </c>
      <c r="AG167" s="631">
        <f ca="1">IF(AND($D167="Serviço",AG$12&lt;&gt;0,$H167&gt;0,OR(AUTOEVENTO&lt;&gt;"manual",$M167&lt;&gt;1)),
IF(Import.TipoArredondamento&lt;&gt;"TransfereGOV",
ROUND(OFFSET($P167,0,AG$13),15-13*ORÇAMENTO!$AF$7)/$H167*OFFSET(ORÇAMENTO!$X$15,ROW(AG167)-ROW(AG$15),0),
ROUND(ROUND(OFFSET($P167,0,AG$13),15-13*ORÇAMENTO!$AF$7)*OFFSET(ORÇAMENTO!$W$15,ROW(AG167)-ROW(AG$15),0),15-13*ORÇAMENTO!$AF$11)),0)</f>
        <v>0</v>
      </c>
      <c r="AH167" s="631">
        <f ca="1">IF(AND($D167="Serviço",AH$12&lt;&gt;0,$H167&gt;0,OR(AUTOEVENTO&lt;&gt;"manual",$M167&lt;&gt;1)),
IF(Import.TipoArredondamento&lt;&gt;"TransfereGOV",
ROUND(OFFSET($P167,0,AH$13),15-13*ORÇAMENTO!$AF$7)/$H167*OFFSET(ORÇAMENTO!$X$15,ROW(AH167)-ROW(AH$15),0),
ROUND(ROUND(OFFSET($P167,0,AH$13),15-13*ORÇAMENTO!$AF$7)*OFFSET(ORÇAMENTO!$W$15,ROW(AH167)-ROW(AH$15),0),15-13*ORÇAMENTO!$AF$11)),0)</f>
        <v>0</v>
      </c>
      <c r="AI167" s="631">
        <f ca="1">IF(AND($D167="Serviço",AI$12&lt;&gt;0,$H167&gt;0,OR(AUTOEVENTO&lt;&gt;"manual",$M167&lt;&gt;1)),
IF(Import.TipoArredondamento&lt;&gt;"TransfereGOV",
ROUND(OFFSET($P167,0,AI$13),15-13*ORÇAMENTO!$AF$7)/$H167*OFFSET(ORÇAMENTO!$X$15,ROW(AI167)-ROW(AI$15),0),
ROUND(ROUND(OFFSET($P167,0,AI$13),15-13*ORÇAMENTO!$AF$7)*OFFSET(ORÇAMENTO!$W$15,ROW(AI167)-ROW(AI$15),0),15-13*ORÇAMENTO!$AF$11)),0)</f>
        <v>0</v>
      </c>
      <c r="AJ167" s="631">
        <f ca="1">IF(AND($D167="Serviço",AJ$12&lt;&gt;0,$H167&gt;0,OR(AUTOEVENTO&lt;&gt;"manual",$M167&lt;&gt;1)),
IF(Import.TipoArredondamento&lt;&gt;"TransfereGOV",
ROUND(OFFSET($P167,0,AJ$13),15-13*ORÇAMENTO!$AF$7)/$H167*OFFSET(ORÇAMENTO!$X$15,ROW(AJ167)-ROW(AJ$15),0),
ROUND(ROUND(OFFSET($P167,0,AJ$13),15-13*ORÇAMENTO!$AF$7)*OFFSET(ORÇAMENTO!$W$15,ROW(AJ167)-ROW(AJ$15),0),15-13*ORÇAMENTO!$AF$11)),0)</f>
        <v>0</v>
      </c>
      <c r="AK167" s="632">
        <f ca="1">IF(AND($D167="Serviço",AK$12&lt;&gt;0,$H167&gt;0,OR(AUTOEVENTO&lt;&gt;"manual",$M167&lt;&gt;1)),
IF(Import.TipoArredondamento&lt;&gt;"TransfereGOV",
ROUND(OFFSET($P167,0,AK$13),15-13*ORÇAMENTO!$AF$7)/$H167*OFFSET(ORÇAMENTO!$X$15,ROW(AK167)-ROW(AK$15),0),
ROUND(ROUND(OFFSET($P167,0,AK$13),15-13*ORÇAMENTO!$AF$7)*OFFSET(ORÇAMENTO!$W$15,ROW(AK167)-ROW(AK$15),0),15-13*ORÇAMENTO!$AF$11)),0)</f>
        <v>0</v>
      </c>
      <c r="AM167" s="215">
        <f ca="1">IF($D167&lt;&gt;"Serviço",0,IF(AND(AUTOEVENTO="Manual",$M167=1),0,IF(OFFSET(CRONOPLE!$F$14,$M167,AM$13)="",10^12,OFFSET(CRONOPLE!$F$14,$M167,AM$13))))</f>
        <v>1000000000000</v>
      </c>
      <c r="AN167" s="215">
        <f ca="1">IF($D167&lt;&gt;"Serviço",0,IF(AND(AUTOEVENTO="Manual",$M167=1),0,IF(OFFSET(CRONOPLE!$F$14,$M167,AN$13)="",10^12,OFFSET(CRONOPLE!$F$14,$M167,AN$13))))</f>
        <v>1000000000000</v>
      </c>
      <c r="AO167" s="215">
        <f ca="1">IF($D167&lt;&gt;"Serviço",0,IF(AND(AUTOEVENTO="Manual",$M167=1),0,IF(OFFSET(CRONOPLE!$F$14,$M167,AO$13)="",10^12,OFFSET(CRONOPLE!$F$14,$M167,AO$13))))</f>
        <v>1000000000000</v>
      </c>
      <c r="AP167" s="215">
        <f ca="1">IF($D167&lt;&gt;"Serviço",0,IF(AND(AUTOEVENTO="Manual",$M167=1),0,IF(OFFSET(CRONOPLE!$F$14,$M167,AP$13)="",10^12,OFFSET(CRONOPLE!$F$14,$M167,AP$13))))</f>
        <v>1000000000000</v>
      </c>
      <c r="AQ167" s="215">
        <f ca="1">IF($D167&lt;&gt;"Serviço",0,IF(AND(AUTOEVENTO="Manual",$M167=1),0,IF(OFFSET(CRONOPLE!$F$14,$M167,AQ$13)="",10^12,OFFSET(CRONOPLE!$F$14,$M167,AQ$13))))</f>
        <v>1000000000000</v>
      </c>
      <c r="AR167" s="215">
        <f ca="1">IF($D167&lt;&gt;"Serviço",0,IF(AND(AUTOEVENTO="Manual",$M167=1),0,IF(OFFSET(CRONOPLE!$F$14,$M167,AR$13)="",10^12,OFFSET(CRONOPLE!$F$14,$M167,AR$13))))</f>
        <v>1000000000000</v>
      </c>
      <c r="AS167" s="215">
        <f ca="1">IF($D167&lt;&gt;"Serviço",0,IF(AND(AUTOEVENTO="Manual",$M167=1),0,IF(OFFSET(CRONOPLE!$F$14,$M167,AS$13)="",10^12,OFFSET(CRONOPLE!$F$14,$M167,AS$13))))</f>
        <v>1000000000000</v>
      </c>
      <c r="AT167" s="215">
        <f ca="1">IF($D167&lt;&gt;"Serviço",0,IF(AND(AUTOEVENTO="Manual",$M167=1),0,IF(OFFSET(CRONOPLE!$F$14,$M167,AT$13)="",10^12,OFFSET(CRONOPLE!$F$14,$M167,AT$13))))</f>
        <v>1000000000000</v>
      </c>
      <c r="AU167" s="215">
        <f ca="1">IF($D167&lt;&gt;"Serviço",0,IF(AND(AUTOEVENTO="Manual",$M167=1),0,IF(OFFSET(CRONOPLE!$F$14,$M167,AU$13)="",10^12,OFFSET(CRONOPLE!$F$14,$M167,AU$13))))</f>
        <v>1000000000000</v>
      </c>
      <c r="AV167" s="215">
        <f ca="1">IF($D167&lt;&gt;"Serviço",0,IF(AND(AUTOEVENTO="Manual",$M167=1),0,IF(OFFSET(CRONOPLE!$F$14,$M167,AV$13)="",10^12,OFFSET(CRONOPLE!$F$14,$M167,AV$13))))</f>
        <v>1000000000000</v>
      </c>
      <c r="AX167" s="216">
        <f ca="1">IF($D167&lt;&gt;"Serviço",0,IF(OR(AND(AUTOEVENTO="Manual",$M167=1),$M167&gt;(ROW(PLE.lastrow)-ROW(PLE.firstrow))),0,IF(OFFSET(PLE!$G$14,$M167,AX$13)="",10^12,OFFSET(PLE!$G$14,$M167,AX$13))))</f>
        <v>1000000000000</v>
      </c>
      <c r="AY167" s="216">
        <f ca="1">IF($D167&lt;&gt;"Serviço",0,IF(OR(AND(AUTOEVENTO="Manual",$M167=1),$M167&gt;(ROW(PLE.lastrow)-ROW(PLE.firstrow))),0,IF(OFFSET(PLE!$G$14,$M167,AY$13)="",10^12,OFFSET(PLE!$G$14,$M167,AY$13))))</f>
        <v>1000000000000</v>
      </c>
      <c r="AZ167" s="216">
        <f ca="1">IF($D167&lt;&gt;"Serviço",0,IF(OR(AND(AUTOEVENTO="Manual",$M167=1),$M167&gt;(ROW(PLE.lastrow)-ROW(PLE.firstrow))),0,IF(OFFSET(PLE!$G$14,$M167,AZ$13)="",10^12,OFFSET(PLE!$G$14,$M167,AZ$13))))</f>
        <v>1000000000000</v>
      </c>
      <c r="BA167" s="216">
        <f ca="1">IF($D167&lt;&gt;"Serviço",0,IF(OR(AND(AUTOEVENTO="Manual",$M167=1),$M167&gt;(ROW(PLE.lastrow)-ROW(PLE.firstrow))),0,IF(OFFSET(PLE!$G$14,$M167,BA$13)="",10^12,OFFSET(PLE!$G$14,$M167,BA$13))))</f>
        <v>1000000000000</v>
      </c>
      <c r="BB167" s="216">
        <f ca="1">IF($D167&lt;&gt;"Serviço",0,IF(OR(AND(AUTOEVENTO="Manual",$M167=1),$M167&gt;(ROW(PLE.lastrow)-ROW(PLE.firstrow))),0,IF(OFFSET(PLE!$G$14,$M167,BB$13)="",10^12,OFFSET(PLE!$G$14,$M167,BB$13))))</f>
        <v>1000000000000</v>
      </c>
      <c r="BC167" s="216">
        <f ca="1">IF($D167&lt;&gt;"Serviço",0,IF(OR(AND(AUTOEVENTO="Manual",$M167=1),$M167&gt;(ROW(PLE.lastrow)-ROW(PLE.firstrow))),0,IF(OFFSET(PLE!$G$14,$M167,BC$13)="",10^12,OFFSET(PLE!$G$14,$M167,BC$13))))</f>
        <v>1000000000000</v>
      </c>
      <c r="BD167" s="216">
        <f ca="1">IF($D167&lt;&gt;"Serviço",0,IF(OR(AND(AUTOEVENTO="Manual",$M167=1),$M167&gt;(ROW(PLE.lastrow)-ROW(PLE.firstrow))),0,IF(OFFSET(PLE!$G$14,$M167,BD$13)="",10^12,OFFSET(PLE!$G$14,$M167,BD$13))))</f>
        <v>1000000000000</v>
      </c>
      <c r="BE167" s="216">
        <f ca="1">IF($D167&lt;&gt;"Serviço",0,IF(OR(AND(AUTOEVENTO="Manual",$M167=1),$M167&gt;(ROW(PLE.lastrow)-ROW(PLE.firstrow))),0,IF(OFFSET(PLE!$G$14,$M167,BE$13)="",10^12,OFFSET(PLE!$G$14,$M167,BE$13))))</f>
        <v>1000000000000</v>
      </c>
      <c r="BF167" s="216">
        <f ca="1">IF($D167&lt;&gt;"Serviço",0,IF(OR(AND(AUTOEVENTO="Manual",$M167=1),$M167&gt;(ROW(PLE.lastrow)-ROW(PLE.firstrow))),0,IF(OFFSET(PLE!$G$14,$M167,BF$13)="",10^12,OFFSET(PLE!$G$14,$M167,BF$13))))</f>
        <v>1000000000000</v>
      </c>
      <c r="BG167" s="216">
        <f ca="1">IF($D167&lt;&gt;"Serviço",0,IF(OR(AND(AUTOEVENTO="Manual",$M167=1),$M167&gt;(ROW(PLE.lastrow)-ROW(PLE.firstrow))),0,IF(OFFSET(PLE!$G$14,$M167,BG$13)="",10^12,OFFSET(PLE!$G$14,$M167,BG$13))))</f>
        <v>1000000000000</v>
      </c>
    </row>
    <row r="168" spans="1:59" ht="25.5" x14ac:dyDescent="0.2">
      <c r="A168" s="9" t="str">
        <f t="shared" ca="1" si="11"/>
        <v>144</v>
      </c>
      <c r="B168" s="9" t="str">
        <f ca="1">OFFSET(ORÇAMENTO!C$15,ROW(B168)-ROW(B$15),0)</f>
        <v>S</v>
      </c>
      <c r="C168" s="9" t="str">
        <f ca="1">OFFSET(ORÇAMENTO!L$15,ROW(C168)-ROW(C$15),0)</f>
        <v/>
      </c>
      <c r="D168" s="145" t="str">
        <f ca="1">OFFSET(ORÇAMENTO!N$15,ROW(D168)-ROW(D$15),0)</f>
        <v>Serviço</v>
      </c>
      <c r="E168" s="205" t="str">
        <f ca="1">OFFSET(ORÇAMENTO!O$15,ROW(E168)-ROW(E$15),0)</f>
        <v>-</v>
      </c>
      <c r="F168" s="206" t="str">
        <f ca="1">OFFSET(ORÇAMENTO!R$15,ROW(F168)-ROW(F$15),0)</f>
        <v>CURVA LONGA, 45 GRAUS, PVC OCRE, JUNTA ELÁSTICA, DN 100 MM, PARA COLETOR PREDIAL DE ESGOTO. AF_06/2022</v>
      </c>
      <c r="G168" s="207" t="str">
        <f ca="1">IF($D168&lt;&gt;"Serviço","",OFFSET(ORÇAMENTO!S$15,ROW(G168)-ROW(G$15),0))</f>
        <v>UN</v>
      </c>
      <c r="H168" s="151">
        <f ca="1">IF($D168&lt;&gt;"Serviço",0,IF(ACOMPANHAMENTO="BM",ROUND(OFFSET(ORÇAMENTO!AJ$15,ROW(H168)-ROW(H$15),0),15-13*ORÇAMENTO!$AF$7),SUMPRODUCT(($Q$12:$AA$12&lt;&gt;"")*ROUND($Q168:$AA168,15-13*ORÇAMENTO!$AF$7))))</f>
        <v>2</v>
      </c>
      <c r="I168" s="649"/>
      <c r="K168" s="208"/>
      <c r="L168" s="209" t="s">
        <v>255</v>
      </c>
      <c r="M168" s="210">
        <f ca="1">IF($D168&lt;&gt;"Serviço","",IF(AUTOEVENTO="manual",$A168,IF(ISERROR(MATCH($A168,$A$15:OFFSET($A168,-1,0),0)),MAX($M$15:OFFSET(M168,-1,0))+1,INDEX($M$15:OFFSET(M168,-1,0),MATCH($A168,$A$15:OFFSET($A168,-1,0),0)))))</f>
        <v>21</v>
      </c>
      <c r="N168" s="211" t="str">
        <f ca="1">IF($D168&lt;&gt;"Serviço","",IF(AUTOEVENTO="Manual",IF($A168=0,"&lt;-- defina o número do agrupador",OFFSET(EVENTOS!$D$14,$A168,0)),OFFSET($F$15,$A168,0)))</f>
        <v>SANITÁRIO</v>
      </c>
      <c r="O168" s="212"/>
      <c r="Q168" s="212"/>
      <c r="R168" s="213"/>
      <c r="S168" s="213"/>
      <c r="T168" s="213"/>
      <c r="U168" s="213"/>
      <c r="V168" s="213"/>
      <c r="W168" s="213"/>
      <c r="X168" s="213"/>
      <c r="Y168" s="213"/>
      <c r="Z168" s="214"/>
      <c r="AB168" s="630">
        <f ca="1">IF(AND($D168="Serviço",AB$12&lt;&gt;0,$H168&gt;0,OR(AUTOEVENTO&lt;&gt;"manual",$M168&lt;&gt;1)),
IF(Import.TipoArredondamento&lt;&gt;"TransfereGOV",
ROUND(OFFSET($P168,0,AB$13),15-13*ORÇAMENTO!$AF$7)/$H168*OFFSET(ORÇAMENTO!$X$15,ROW(AB168)-ROW(AB$15),0),
ROUND(ROUND(OFFSET($P168,0,AB$13),15-13*ORÇAMENTO!$AF$7)*OFFSET(ORÇAMENTO!$W$15,ROW(AB168)-ROW(AB$15),0),15-13*ORÇAMENTO!$AF$11)),0)</f>
        <v>0</v>
      </c>
      <c r="AC168" s="631">
        <f ca="1">IF(AND($D168="Serviço",AC$12&lt;&gt;0,$H168&gt;0,OR(AUTOEVENTO&lt;&gt;"manual",$M168&lt;&gt;1)),
IF(Import.TipoArredondamento&lt;&gt;"TransfereGOV",
ROUND(OFFSET($P168,0,AC$13),15-13*ORÇAMENTO!$AF$7)/$H168*OFFSET(ORÇAMENTO!$X$15,ROW(AC168)-ROW(AC$15),0),
ROUND(ROUND(OFFSET($P168,0,AC$13),15-13*ORÇAMENTO!$AF$7)*OFFSET(ORÇAMENTO!$W$15,ROW(AC168)-ROW(AC$15),0),15-13*ORÇAMENTO!$AF$11)),0)</f>
        <v>0</v>
      </c>
      <c r="AD168" s="631">
        <f ca="1">IF(AND($D168="Serviço",AD$12&lt;&gt;0,$H168&gt;0,OR(AUTOEVENTO&lt;&gt;"manual",$M168&lt;&gt;1)),
IF(Import.TipoArredondamento&lt;&gt;"TransfereGOV",
ROUND(OFFSET($P168,0,AD$13),15-13*ORÇAMENTO!$AF$7)/$H168*OFFSET(ORÇAMENTO!$X$15,ROW(AD168)-ROW(AD$15),0),
ROUND(ROUND(OFFSET($P168,0,AD$13),15-13*ORÇAMENTO!$AF$7)*OFFSET(ORÇAMENTO!$W$15,ROW(AD168)-ROW(AD$15),0),15-13*ORÇAMENTO!$AF$11)),0)</f>
        <v>0</v>
      </c>
      <c r="AE168" s="631">
        <f ca="1">IF(AND($D168="Serviço",AE$12&lt;&gt;0,$H168&gt;0,OR(AUTOEVENTO&lt;&gt;"manual",$M168&lt;&gt;1)),
IF(Import.TipoArredondamento&lt;&gt;"TransfereGOV",
ROUND(OFFSET($P168,0,AE$13),15-13*ORÇAMENTO!$AF$7)/$H168*OFFSET(ORÇAMENTO!$X$15,ROW(AE168)-ROW(AE$15),0),
ROUND(ROUND(OFFSET($P168,0,AE$13),15-13*ORÇAMENTO!$AF$7)*OFFSET(ORÇAMENTO!$W$15,ROW(AE168)-ROW(AE$15),0),15-13*ORÇAMENTO!$AF$11)),0)</f>
        <v>0</v>
      </c>
      <c r="AF168" s="631">
        <f ca="1">IF(AND($D168="Serviço",AF$12&lt;&gt;0,$H168&gt;0,OR(AUTOEVENTO&lt;&gt;"manual",$M168&lt;&gt;1)),
IF(Import.TipoArredondamento&lt;&gt;"TransfereGOV",
ROUND(OFFSET($P168,0,AF$13),15-13*ORÇAMENTO!$AF$7)/$H168*OFFSET(ORÇAMENTO!$X$15,ROW(AF168)-ROW(AF$15),0),
ROUND(ROUND(OFFSET($P168,0,AF$13),15-13*ORÇAMENTO!$AF$7)*OFFSET(ORÇAMENTO!$W$15,ROW(AF168)-ROW(AF$15),0),15-13*ORÇAMENTO!$AF$11)),0)</f>
        <v>0</v>
      </c>
      <c r="AG168" s="631">
        <f ca="1">IF(AND($D168="Serviço",AG$12&lt;&gt;0,$H168&gt;0,OR(AUTOEVENTO&lt;&gt;"manual",$M168&lt;&gt;1)),
IF(Import.TipoArredondamento&lt;&gt;"TransfereGOV",
ROUND(OFFSET($P168,0,AG$13),15-13*ORÇAMENTO!$AF$7)/$H168*OFFSET(ORÇAMENTO!$X$15,ROW(AG168)-ROW(AG$15),0),
ROUND(ROUND(OFFSET($P168,0,AG$13),15-13*ORÇAMENTO!$AF$7)*OFFSET(ORÇAMENTO!$W$15,ROW(AG168)-ROW(AG$15),0),15-13*ORÇAMENTO!$AF$11)),0)</f>
        <v>0</v>
      </c>
      <c r="AH168" s="631">
        <f ca="1">IF(AND($D168="Serviço",AH$12&lt;&gt;0,$H168&gt;0,OR(AUTOEVENTO&lt;&gt;"manual",$M168&lt;&gt;1)),
IF(Import.TipoArredondamento&lt;&gt;"TransfereGOV",
ROUND(OFFSET($P168,0,AH$13),15-13*ORÇAMENTO!$AF$7)/$H168*OFFSET(ORÇAMENTO!$X$15,ROW(AH168)-ROW(AH$15),0),
ROUND(ROUND(OFFSET($P168,0,AH$13),15-13*ORÇAMENTO!$AF$7)*OFFSET(ORÇAMENTO!$W$15,ROW(AH168)-ROW(AH$15),0),15-13*ORÇAMENTO!$AF$11)),0)</f>
        <v>0</v>
      </c>
      <c r="AI168" s="631">
        <f ca="1">IF(AND($D168="Serviço",AI$12&lt;&gt;0,$H168&gt;0,OR(AUTOEVENTO&lt;&gt;"manual",$M168&lt;&gt;1)),
IF(Import.TipoArredondamento&lt;&gt;"TransfereGOV",
ROUND(OFFSET($P168,0,AI$13),15-13*ORÇAMENTO!$AF$7)/$H168*OFFSET(ORÇAMENTO!$X$15,ROW(AI168)-ROW(AI$15),0),
ROUND(ROUND(OFFSET($P168,0,AI$13),15-13*ORÇAMENTO!$AF$7)*OFFSET(ORÇAMENTO!$W$15,ROW(AI168)-ROW(AI$15),0),15-13*ORÇAMENTO!$AF$11)),0)</f>
        <v>0</v>
      </c>
      <c r="AJ168" s="631">
        <f ca="1">IF(AND($D168="Serviço",AJ$12&lt;&gt;0,$H168&gt;0,OR(AUTOEVENTO&lt;&gt;"manual",$M168&lt;&gt;1)),
IF(Import.TipoArredondamento&lt;&gt;"TransfereGOV",
ROUND(OFFSET($P168,0,AJ$13),15-13*ORÇAMENTO!$AF$7)/$H168*OFFSET(ORÇAMENTO!$X$15,ROW(AJ168)-ROW(AJ$15),0),
ROUND(ROUND(OFFSET($P168,0,AJ$13),15-13*ORÇAMENTO!$AF$7)*OFFSET(ORÇAMENTO!$W$15,ROW(AJ168)-ROW(AJ$15),0),15-13*ORÇAMENTO!$AF$11)),0)</f>
        <v>0</v>
      </c>
      <c r="AK168" s="632">
        <f ca="1">IF(AND($D168="Serviço",AK$12&lt;&gt;0,$H168&gt;0,OR(AUTOEVENTO&lt;&gt;"manual",$M168&lt;&gt;1)),
IF(Import.TipoArredondamento&lt;&gt;"TransfereGOV",
ROUND(OFFSET($P168,0,AK$13),15-13*ORÇAMENTO!$AF$7)/$H168*OFFSET(ORÇAMENTO!$X$15,ROW(AK168)-ROW(AK$15),0),
ROUND(ROUND(OFFSET($P168,0,AK$13),15-13*ORÇAMENTO!$AF$7)*OFFSET(ORÇAMENTO!$W$15,ROW(AK168)-ROW(AK$15),0),15-13*ORÇAMENTO!$AF$11)),0)</f>
        <v>0</v>
      </c>
      <c r="AM168" s="215">
        <f ca="1">IF($D168&lt;&gt;"Serviço",0,IF(AND(AUTOEVENTO="Manual",$M168=1),0,IF(OFFSET(CRONOPLE!$F$14,$M168,AM$13)="",10^12,OFFSET(CRONOPLE!$F$14,$M168,AM$13))))</f>
        <v>1000000000000</v>
      </c>
      <c r="AN168" s="215">
        <f ca="1">IF($D168&lt;&gt;"Serviço",0,IF(AND(AUTOEVENTO="Manual",$M168=1),0,IF(OFFSET(CRONOPLE!$F$14,$M168,AN$13)="",10^12,OFFSET(CRONOPLE!$F$14,$M168,AN$13))))</f>
        <v>1000000000000</v>
      </c>
      <c r="AO168" s="215">
        <f ca="1">IF($D168&lt;&gt;"Serviço",0,IF(AND(AUTOEVENTO="Manual",$M168=1),0,IF(OFFSET(CRONOPLE!$F$14,$M168,AO$13)="",10^12,OFFSET(CRONOPLE!$F$14,$M168,AO$13))))</f>
        <v>1000000000000</v>
      </c>
      <c r="AP168" s="215">
        <f ca="1">IF($D168&lt;&gt;"Serviço",0,IF(AND(AUTOEVENTO="Manual",$M168=1),0,IF(OFFSET(CRONOPLE!$F$14,$M168,AP$13)="",10^12,OFFSET(CRONOPLE!$F$14,$M168,AP$13))))</f>
        <v>1000000000000</v>
      </c>
      <c r="AQ168" s="215">
        <f ca="1">IF($D168&lt;&gt;"Serviço",0,IF(AND(AUTOEVENTO="Manual",$M168=1),0,IF(OFFSET(CRONOPLE!$F$14,$M168,AQ$13)="",10^12,OFFSET(CRONOPLE!$F$14,$M168,AQ$13))))</f>
        <v>1000000000000</v>
      </c>
      <c r="AR168" s="215">
        <f ca="1">IF($D168&lt;&gt;"Serviço",0,IF(AND(AUTOEVENTO="Manual",$M168=1),0,IF(OFFSET(CRONOPLE!$F$14,$M168,AR$13)="",10^12,OFFSET(CRONOPLE!$F$14,$M168,AR$13))))</f>
        <v>1000000000000</v>
      </c>
      <c r="AS168" s="215">
        <f ca="1">IF($D168&lt;&gt;"Serviço",0,IF(AND(AUTOEVENTO="Manual",$M168=1),0,IF(OFFSET(CRONOPLE!$F$14,$M168,AS$13)="",10^12,OFFSET(CRONOPLE!$F$14,$M168,AS$13))))</f>
        <v>1000000000000</v>
      </c>
      <c r="AT168" s="215">
        <f ca="1">IF($D168&lt;&gt;"Serviço",0,IF(AND(AUTOEVENTO="Manual",$M168=1),0,IF(OFFSET(CRONOPLE!$F$14,$M168,AT$13)="",10^12,OFFSET(CRONOPLE!$F$14,$M168,AT$13))))</f>
        <v>1000000000000</v>
      </c>
      <c r="AU168" s="215">
        <f ca="1">IF($D168&lt;&gt;"Serviço",0,IF(AND(AUTOEVENTO="Manual",$M168=1),0,IF(OFFSET(CRONOPLE!$F$14,$M168,AU$13)="",10^12,OFFSET(CRONOPLE!$F$14,$M168,AU$13))))</f>
        <v>1000000000000</v>
      </c>
      <c r="AV168" s="215">
        <f ca="1">IF($D168&lt;&gt;"Serviço",0,IF(AND(AUTOEVENTO="Manual",$M168=1),0,IF(OFFSET(CRONOPLE!$F$14,$M168,AV$13)="",10^12,OFFSET(CRONOPLE!$F$14,$M168,AV$13))))</f>
        <v>1000000000000</v>
      </c>
      <c r="AX168" s="216">
        <f ca="1">IF($D168&lt;&gt;"Serviço",0,IF(OR(AND(AUTOEVENTO="Manual",$M168=1),$M168&gt;(ROW(PLE.lastrow)-ROW(PLE.firstrow))),0,IF(OFFSET(PLE!$G$14,$M168,AX$13)="",10^12,OFFSET(PLE!$G$14,$M168,AX$13))))</f>
        <v>1000000000000</v>
      </c>
      <c r="AY168" s="216">
        <f ca="1">IF($D168&lt;&gt;"Serviço",0,IF(OR(AND(AUTOEVENTO="Manual",$M168=1),$M168&gt;(ROW(PLE.lastrow)-ROW(PLE.firstrow))),0,IF(OFFSET(PLE!$G$14,$M168,AY$13)="",10^12,OFFSET(PLE!$G$14,$M168,AY$13))))</f>
        <v>1000000000000</v>
      </c>
      <c r="AZ168" s="216">
        <f ca="1">IF($D168&lt;&gt;"Serviço",0,IF(OR(AND(AUTOEVENTO="Manual",$M168=1),$M168&gt;(ROW(PLE.lastrow)-ROW(PLE.firstrow))),0,IF(OFFSET(PLE!$G$14,$M168,AZ$13)="",10^12,OFFSET(PLE!$G$14,$M168,AZ$13))))</f>
        <v>1000000000000</v>
      </c>
      <c r="BA168" s="216">
        <f ca="1">IF($D168&lt;&gt;"Serviço",0,IF(OR(AND(AUTOEVENTO="Manual",$M168=1),$M168&gt;(ROW(PLE.lastrow)-ROW(PLE.firstrow))),0,IF(OFFSET(PLE!$G$14,$M168,BA$13)="",10^12,OFFSET(PLE!$G$14,$M168,BA$13))))</f>
        <v>1000000000000</v>
      </c>
      <c r="BB168" s="216">
        <f ca="1">IF($D168&lt;&gt;"Serviço",0,IF(OR(AND(AUTOEVENTO="Manual",$M168=1),$M168&gt;(ROW(PLE.lastrow)-ROW(PLE.firstrow))),0,IF(OFFSET(PLE!$G$14,$M168,BB$13)="",10^12,OFFSET(PLE!$G$14,$M168,BB$13))))</f>
        <v>1000000000000</v>
      </c>
      <c r="BC168" s="216">
        <f ca="1">IF($D168&lt;&gt;"Serviço",0,IF(OR(AND(AUTOEVENTO="Manual",$M168=1),$M168&gt;(ROW(PLE.lastrow)-ROW(PLE.firstrow))),0,IF(OFFSET(PLE!$G$14,$M168,BC$13)="",10^12,OFFSET(PLE!$G$14,$M168,BC$13))))</f>
        <v>1000000000000</v>
      </c>
      <c r="BD168" s="216">
        <f ca="1">IF($D168&lt;&gt;"Serviço",0,IF(OR(AND(AUTOEVENTO="Manual",$M168=1),$M168&gt;(ROW(PLE.lastrow)-ROW(PLE.firstrow))),0,IF(OFFSET(PLE!$G$14,$M168,BD$13)="",10^12,OFFSET(PLE!$G$14,$M168,BD$13))))</f>
        <v>1000000000000</v>
      </c>
      <c r="BE168" s="216">
        <f ca="1">IF($D168&lt;&gt;"Serviço",0,IF(OR(AND(AUTOEVENTO="Manual",$M168=1),$M168&gt;(ROW(PLE.lastrow)-ROW(PLE.firstrow))),0,IF(OFFSET(PLE!$G$14,$M168,BE$13)="",10^12,OFFSET(PLE!$G$14,$M168,BE$13))))</f>
        <v>1000000000000</v>
      </c>
      <c r="BF168" s="216">
        <f ca="1">IF($D168&lt;&gt;"Serviço",0,IF(OR(AND(AUTOEVENTO="Manual",$M168=1),$M168&gt;(ROW(PLE.lastrow)-ROW(PLE.firstrow))),0,IF(OFFSET(PLE!$G$14,$M168,BF$13)="",10^12,OFFSET(PLE!$G$14,$M168,BF$13))))</f>
        <v>1000000000000</v>
      </c>
      <c r="BG168" s="216">
        <f ca="1">IF($D168&lt;&gt;"Serviço",0,IF(OR(AND(AUTOEVENTO="Manual",$M168=1),$M168&gt;(ROW(PLE.lastrow)-ROW(PLE.firstrow))),0,IF(OFFSET(PLE!$G$14,$M168,BG$13)="",10^12,OFFSET(PLE!$G$14,$M168,BG$13))))</f>
        <v>1000000000000</v>
      </c>
    </row>
    <row r="169" spans="1:59" ht="38.25" x14ac:dyDescent="0.2">
      <c r="A169" s="9" t="str">
        <f t="shared" ca="1" si="11"/>
        <v>144</v>
      </c>
      <c r="B169" s="9" t="str">
        <f ca="1">OFFSET(ORÇAMENTO!C$15,ROW(B169)-ROW(B$15),0)</f>
        <v>S</v>
      </c>
      <c r="C169" s="9" t="str">
        <f ca="1">OFFSET(ORÇAMENTO!L$15,ROW(C169)-ROW(C$15),0)</f>
        <v/>
      </c>
      <c r="D169" s="145" t="str">
        <f ca="1">OFFSET(ORÇAMENTO!N$15,ROW(D169)-ROW(D$15),0)</f>
        <v>Serviço</v>
      </c>
      <c r="E169" s="205" t="str">
        <f ca="1">OFFSET(ORÇAMENTO!O$15,ROW(E169)-ROW(E$15),0)</f>
        <v>-</v>
      </c>
      <c r="F169" s="206" t="str">
        <f ca="1">OFFSET(ORÇAMENTO!R$15,ROW(F169)-ROW(F$15),0)</f>
        <v>CURVA CURTA 90 GRAUS, PVC, SERIE NORMAL, ESGOTO PREDIAL, DN 50 MM, JUNTA ELÁSTICA, FORNECIDO E INSTALADO EM RAMAL DE DESCARGA OU RAMAL DE ESGOTO SANITÁRIO. AF_08/2022</v>
      </c>
      <c r="G169" s="207" t="str">
        <f ca="1">IF($D169&lt;&gt;"Serviço","",OFFSET(ORÇAMENTO!S$15,ROW(G169)-ROW(G$15),0))</f>
        <v>UN</v>
      </c>
      <c r="H169" s="151">
        <f ca="1">IF($D169&lt;&gt;"Serviço",0,IF(ACOMPANHAMENTO="BM",ROUND(OFFSET(ORÇAMENTO!AJ$15,ROW(H169)-ROW(H$15),0),15-13*ORÇAMENTO!$AF$7),SUMPRODUCT(($Q$12:$AA$12&lt;&gt;"")*ROUND($Q169:$AA169,15-13*ORÇAMENTO!$AF$7))))</f>
        <v>9</v>
      </c>
      <c r="I169" s="649"/>
      <c r="K169" s="208"/>
      <c r="L169" s="209" t="s">
        <v>255</v>
      </c>
      <c r="M169" s="210">
        <f ca="1">IF($D169&lt;&gt;"Serviço","",IF(AUTOEVENTO="manual",$A169,IF(ISERROR(MATCH($A169,$A$15:OFFSET($A169,-1,0),0)),MAX($M$15:OFFSET(M169,-1,0))+1,INDEX($M$15:OFFSET(M169,-1,0),MATCH($A169,$A$15:OFFSET($A169,-1,0),0)))))</f>
        <v>21</v>
      </c>
      <c r="N169" s="211" t="str">
        <f ca="1">IF($D169&lt;&gt;"Serviço","",IF(AUTOEVENTO="Manual",IF($A169=0,"&lt;-- defina o número do agrupador",OFFSET(EVENTOS!$D$14,$A169,0)),OFFSET($F$15,$A169,0)))</f>
        <v>SANITÁRIO</v>
      </c>
      <c r="O169" s="212"/>
      <c r="Q169" s="212"/>
      <c r="R169" s="213"/>
      <c r="S169" s="213"/>
      <c r="T169" s="213"/>
      <c r="U169" s="213"/>
      <c r="V169" s="213"/>
      <c r="W169" s="213"/>
      <c r="X169" s="213"/>
      <c r="Y169" s="213"/>
      <c r="Z169" s="214"/>
      <c r="AB169" s="630">
        <f ca="1">IF(AND($D169="Serviço",AB$12&lt;&gt;0,$H169&gt;0,OR(AUTOEVENTO&lt;&gt;"manual",$M169&lt;&gt;1)),
IF(Import.TipoArredondamento&lt;&gt;"TransfereGOV",
ROUND(OFFSET($P169,0,AB$13),15-13*ORÇAMENTO!$AF$7)/$H169*OFFSET(ORÇAMENTO!$X$15,ROW(AB169)-ROW(AB$15),0),
ROUND(ROUND(OFFSET($P169,0,AB$13),15-13*ORÇAMENTO!$AF$7)*OFFSET(ORÇAMENTO!$W$15,ROW(AB169)-ROW(AB$15),0),15-13*ORÇAMENTO!$AF$11)),0)</f>
        <v>0</v>
      </c>
      <c r="AC169" s="631">
        <f ca="1">IF(AND($D169="Serviço",AC$12&lt;&gt;0,$H169&gt;0,OR(AUTOEVENTO&lt;&gt;"manual",$M169&lt;&gt;1)),
IF(Import.TipoArredondamento&lt;&gt;"TransfereGOV",
ROUND(OFFSET($P169,0,AC$13),15-13*ORÇAMENTO!$AF$7)/$H169*OFFSET(ORÇAMENTO!$X$15,ROW(AC169)-ROW(AC$15),0),
ROUND(ROUND(OFFSET($P169,0,AC$13),15-13*ORÇAMENTO!$AF$7)*OFFSET(ORÇAMENTO!$W$15,ROW(AC169)-ROW(AC$15),0),15-13*ORÇAMENTO!$AF$11)),0)</f>
        <v>0</v>
      </c>
      <c r="AD169" s="631">
        <f ca="1">IF(AND($D169="Serviço",AD$12&lt;&gt;0,$H169&gt;0,OR(AUTOEVENTO&lt;&gt;"manual",$M169&lt;&gt;1)),
IF(Import.TipoArredondamento&lt;&gt;"TransfereGOV",
ROUND(OFFSET($P169,0,AD$13),15-13*ORÇAMENTO!$AF$7)/$H169*OFFSET(ORÇAMENTO!$X$15,ROW(AD169)-ROW(AD$15),0),
ROUND(ROUND(OFFSET($P169,0,AD$13),15-13*ORÇAMENTO!$AF$7)*OFFSET(ORÇAMENTO!$W$15,ROW(AD169)-ROW(AD$15),0),15-13*ORÇAMENTO!$AF$11)),0)</f>
        <v>0</v>
      </c>
      <c r="AE169" s="631">
        <f ca="1">IF(AND($D169="Serviço",AE$12&lt;&gt;0,$H169&gt;0,OR(AUTOEVENTO&lt;&gt;"manual",$M169&lt;&gt;1)),
IF(Import.TipoArredondamento&lt;&gt;"TransfereGOV",
ROUND(OFFSET($P169,0,AE$13),15-13*ORÇAMENTO!$AF$7)/$H169*OFFSET(ORÇAMENTO!$X$15,ROW(AE169)-ROW(AE$15),0),
ROUND(ROUND(OFFSET($P169,0,AE$13),15-13*ORÇAMENTO!$AF$7)*OFFSET(ORÇAMENTO!$W$15,ROW(AE169)-ROW(AE$15),0),15-13*ORÇAMENTO!$AF$11)),0)</f>
        <v>0</v>
      </c>
      <c r="AF169" s="631">
        <f ca="1">IF(AND($D169="Serviço",AF$12&lt;&gt;0,$H169&gt;0,OR(AUTOEVENTO&lt;&gt;"manual",$M169&lt;&gt;1)),
IF(Import.TipoArredondamento&lt;&gt;"TransfereGOV",
ROUND(OFFSET($P169,0,AF$13),15-13*ORÇAMENTO!$AF$7)/$H169*OFFSET(ORÇAMENTO!$X$15,ROW(AF169)-ROW(AF$15),0),
ROUND(ROUND(OFFSET($P169,0,AF$13),15-13*ORÇAMENTO!$AF$7)*OFFSET(ORÇAMENTO!$W$15,ROW(AF169)-ROW(AF$15),0),15-13*ORÇAMENTO!$AF$11)),0)</f>
        <v>0</v>
      </c>
      <c r="AG169" s="631">
        <f ca="1">IF(AND($D169="Serviço",AG$12&lt;&gt;0,$H169&gt;0,OR(AUTOEVENTO&lt;&gt;"manual",$M169&lt;&gt;1)),
IF(Import.TipoArredondamento&lt;&gt;"TransfereGOV",
ROUND(OFFSET($P169,0,AG$13),15-13*ORÇAMENTO!$AF$7)/$H169*OFFSET(ORÇAMENTO!$X$15,ROW(AG169)-ROW(AG$15),0),
ROUND(ROUND(OFFSET($P169,0,AG$13),15-13*ORÇAMENTO!$AF$7)*OFFSET(ORÇAMENTO!$W$15,ROW(AG169)-ROW(AG$15),0),15-13*ORÇAMENTO!$AF$11)),0)</f>
        <v>0</v>
      </c>
      <c r="AH169" s="631">
        <f ca="1">IF(AND($D169="Serviço",AH$12&lt;&gt;0,$H169&gt;0,OR(AUTOEVENTO&lt;&gt;"manual",$M169&lt;&gt;1)),
IF(Import.TipoArredondamento&lt;&gt;"TransfereGOV",
ROUND(OFFSET($P169,0,AH$13),15-13*ORÇAMENTO!$AF$7)/$H169*OFFSET(ORÇAMENTO!$X$15,ROW(AH169)-ROW(AH$15),0),
ROUND(ROUND(OFFSET($P169,0,AH$13),15-13*ORÇAMENTO!$AF$7)*OFFSET(ORÇAMENTO!$W$15,ROW(AH169)-ROW(AH$15),0),15-13*ORÇAMENTO!$AF$11)),0)</f>
        <v>0</v>
      </c>
      <c r="AI169" s="631">
        <f ca="1">IF(AND($D169="Serviço",AI$12&lt;&gt;0,$H169&gt;0,OR(AUTOEVENTO&lt;&gt;"manual",$M169&lt;&gt;1)),
IF(Import.TipoArredondamento&lt;&gt;"TransfereGOV",
ROUND(OFFSET($P169,0,AI$13),15-13*ORÇAMENTO!$AF$7)/$H169*OFFSET(ORÇAMENTO!$X$15,ROW(AI169)-ROW(AI$15),0),
ROUND(ROUND(OFFSET($P169,0,AI$13),15-13*ORÇAMENTO!$AF$7)*OFFSET(ORÇAMENTO!$W$15,ROW(AI169)-ROW(AI$15),0),15-13*ORÇAMENTO!$AF$11)),0)</f>
        <v>0</v>
      </c>
      <c r="AJ169" s="631">
        <f ca="1">IF(AND($D169="Serviço",AJ$12&lt;&gt;0,$H169&gt;0,OR(AUTOEVENTO&lt;&gt;"manual",$M169&lt;&gt;1)),
IF(Import.TipoArredondamento&lt;&gt;"TransfereGOV",
ROUND(OFFSET($P169,0,AJ$13),15-13*ORÇAMENTO!$AF$7)/$H169*OFFSET(ORÇAMENTO!$X$15,ROW(AJ169)-ROW(AJ$15),0),
ROUND(ROUND(OFFSET($P169,0,AJ$13),15-13*ORÇAMENTO!$AF$7)*OFFSET(ORÇAMENTO!$W$15,ROW(AJ169)-ROW(AJ$15),0),15-13*ORÇAMENTO!$AF$11)),0)</f>
        <v>0</v>
      </c>
      <c r="AK169" s="632">
        <f ca="1">IF(AND($D169="Serviço",AK$12&lt;&gt;0,$H169&gt;0,OR(AUTOEVENTO&lt;&gt;"manual",$M169&lt;&gt;1)),
IF(Import.TipoArredondamento&lt;&gt;"TransfereGOV",
ROUND(OFFSET($P169,0,AK$13),15-13*ORÇAMENTO!$AF$7)/$H169*OFFSET(ORÇAMENTO!$X$15,ROW(AK169)-ROW(AK$15),0),
ROUND(ROUND(OFFSET($P169,0,AK$13),15-13*ORÇAMENTO!$AF$7)*OFFSET(ORÇAMENTO!$W$15,ROW(AK169)-ROW(AK$15),0),15-13*ORÇAMENTO!$AF$11)),0)</f>
        <v>0</v>
      </c>
      <c r="AM169" s="215">
        <f ca="1">IF($D169&lt;&gt;"Serviço",0,IF(AND(AUTOEVENTO="Manual",$M169=1),0,IF(OFFSET(CRONOPLE!$F$14,$M169,AM$13)="",10^12,OFFSET(CRONOPLE!$F$14,$M169,AM$13))))</f>
        <v>1000000000000</v>
      </c>
      <c r="AN169" s="215">
        <f ca="1">IF($D169&lt;&gt;"Serviço",0,IF(AND(AUTOEVENTO="Manual",$M169=1),0,IF(OFFSET(CRONOPLE!$F$14,$M169,AN$13)="",10^12,OFFSET(CRONOPLE!$F$14,$M169,AN$13))))</f>
        <v>1000000000000</v>
      </c>
      <c r="AO169" s="215">
        <f ca="1">IF($D169&lt;&gt;"Serviço",0,IF(AND(AUTOEVENTO="Manual",$M169=1),0,IF(OFFSET(CRONOPLE!$F$14,$M169,AO$13)="",10^12,OFFSET(CRONOPLE!$F$14,$M169,AO$13))))</f>
        <v>1000000000000</v>
      </c>
      <c r="AP169" s="215">
        <f ca="1">IF($D169&lt;&gt;"Serviço",0,IF(AND(AUTOEVENTO="Manual",$M169=1),0,IF(OFFSET(CRONOPLE!$F$14,$M169,AP$13)="",10^12,OFFSET(CRONOPLE!$F$14,$M169,AP$13))))</f>
        <v>1000000000000</v>
      </c>
      <c r="AQ169" s="215">
        <f ca="1">IF($D169&lt;&gt;"Serviço",0,IF(AND(AUTOEVENTO="Manual",$M169=1),0,IF(OFFSET(CRONOPLE!$F$14,$M169,AQ$13)="",10^12,OFFSET(CRONOPLE!$F$14,$M169,AQ$13))))</f>
        <v>1000000000000</v>
      </c>
      <c r="AR169" s="215">
        <f ca="1">IF($D169&lt;&gt;"Serviço",0,IF(AND(AUTOEVENTO="Manual",$M169=1),0,IF(OFFSET(CRONOPLE!$F$14,$M169,AR$13)="",10^12,OFFSET(CRONOPLE!$F$14,$M169,AR$13))))</f>
        <v>1000000000000</v>
      </c>
      <c r="AS169" s="215">
        <f ca="1">IF($D169&lt;&gt;"Serviço",0,IF(AND(AUTOEVENTO="Manual",$M169=1),0,IF(OFFSET(CRONOPLE!$F$14,$M169,AS$13)="",10^12,OFFSET(CRONOPLE!$F$14,$M169,AS$13))))</f>
        <v>1000000000000</v>
      </c>
      <c r="AT169" s="215">
        <f ca="1">IF($D169&lt;&gt;"Serviço",0,IF(AND(AUTOEVENTO="Manual",$M169=1),0,IF(OFFSET(CRONOPLE!$F$14,$M169,AT$13)="",10^12,OFFSET(CRONOPLE!$F$14,$M169,AT$13))))</f>
        <v>1000000000000</v>
      </c>
      <c r="AU169" s="215">
        <f ca="1">IF($D169&lt;&gt;"Serviço",0,IF(AND(AUTOEVENTO="Manual",$M169=1),0,IF(OFFSET(CRONOPLE!$F$14,$M169,AU$13)="",10^12,OFFSET(CRONOPLE!$F$14,$M169,AU$13))))</f>
        <v>1000000000000</v>
      </c>
      <c r="AV169" s="215">
        <f ca="1">IF($D169&lt;&gt;"Serviço",0,IF(AND(AUTOEVENTO="Manual",$M169=1),0,IF(OFFSET(CRONOPLE!$F$14,$M169,AV$13)="",10^12,OFFSET(CRONOPLE!$F$14,$M169,AV$13))))</f>
        <v>1000000000000</v>
      </c>
      <c r="AX169" s="216">
        <f ca="1">IF($D169&lt;&gt;"Serviço",0,IF(OR(AND(AUTOEVENTO="Manual",$M169=1),$M169&gt;(ROW(PLE.lastrow)-ROW(PLE.firstrow))),0,IF(OFFSET(PLE!$G$14,$M169,AX$13)="",10^12,OFFSET(PLE!$G$14,$M169,AX$13))))</f>
        <v>1000000000000</v>
      </c>
      <c r="AY169" s="216">
        <f ca="1">IF($D169&lt;&gt;"Serviço",0,IF(OR(AND(AUTOEVENTO="Manual",$M169=1),$M169&gt;(ROW(PLE.lastrow)-ROW(PLE.firstrow))),0,IF(OFFSET(PLE!$G$14,$M169,AY$13)="",10^12,OFFSET(PLE!$G$14,$M169,AY$13))))</f>
        <v>1000000000000</v>
      </c>
      <c r="AZ169" s="216">
        <f ca="1">IF($D169&lt;&gt;"Serviço",0,IF(OR(AND(AUTOEVENTO="Manual",$M169=1),$M169&gt;(ROW(PLE.lastrow)-ROW(PLE.firstrow))),0,IF(OFFSET(PLE!$G$14,$M169,AZ$13)="",10^12,OFFSET(PLE!$G$14,$M169,AZ$13))))</f>
        <v>1000000000000</v>
      </c>
      <c r="BA169" s="216">
        <f ca="1">IF($D169&lt;&gt;"Serviço",0,IF(OR(AND(AUTOEVENTO="Manual",$M169=1),$M169&gt;(ROW(PLE.lastrow)-ROW(PLE.firstrow))),0,IF(OFFSET(PLE!$G$14,$M169,BA$13)="",10^12,OFFSET(PLE!$G$14,$M169,BA$13))))</f>
        <v>1000000000000</v>
      </c>
      <c r="BB169" s="216">
        <f ca="1">IF($D169&lt;&gt;"Serviço",0,IF(OR(AND(AUTOEVENTO="Manual",$M169=1),$M169&gt;(ROW(PLE.lastrow)-ROW(PLE.firstrow))),0,IF(OFFSET(PLE!$G$14,$M169,BB$13)="",10^12,OFFSET(PLE!$G$14,$M169,BB$13))))</f>
        <v>1000000000000</v>
      </c>
      <c r="BC169" s="216">
        <f ca="1">IF($D169&lt;&gt;"Serviço",0,IF(OR(AND(AUTOEVENTO="Manual",$M169=1),$M169&gt;(ROW(PLE.lastrow)-ROW(PLE.firstrow))),0,IF(OFFSET(PLE!$G$14,$M169,BC$13)="",10^12,OFFSET(PLE!$G$14,$M169,BC$13))))</f>
        <v>1000000000000</v>
      </c>
      <c r="BD169" s="216">
        <f ca="1">IF($D169&lt;&gt;"Serviço",0,IF(OR(AND(AUTOEVENTO="Manual",$M169=1),$M169&gt;(ROW(PLE.lastrow)-ROW(PLE.firstrow))),0,IF(OFFSET(PLE!$G$14,$M169,BD$13)="",10^12,OFFSET(PLE!$G$14,$M169,BD$13))))</f>
        <v>1000000000000</v>
      </c>
      <c r="BE169" s="216">
        <f ca="1">IF($D169&lt;&gt;"Serviço",0,IF(OR(AND(AUTOEVENTO="Manual",$M169=1),$M169&gt;(ROW(PLE.lastrow)-ROW(PLE.firstrow))),0,IF(OFFSET(PLE!$G$14,$M169,BE$13)="",10^12,OFFSET(PLE!$G$14,$M169,BE$13))))</f>
        <v>1000000000000</v>
      </c>
      <c r="BF169" s="216">
        <f ca="1">IF($D169&lt;&gt;"Serviço",0,IF(OR(AND(AUTOEVENTO="Manual",$M169=1),$M169&gt;(ROW(PLE.lastrow)-ROW(PLE.firstrow))),0,IF(OFFSET(PLE!$G$14,$M169,BF$13)="",10^12,OFFSET(PLE!$G$14,$M169,BF$13))))</f>
        <v>1000000000000</v>
      </c>
      <c r="BG169" s="216">
        <f ca="1">IF($D169&lt;&gt;"Serviço",0,IF(OR(AND(AUTOEVENTO="Manual",$M169=1),$M169&gt;(ROW(PLE.lastrow)-ROW(PLE.firstrow))),0,IF(OFFSET(PLE!$G$14,$M169,BG$13)="",10^12,OFFSET(PLE!$G$14,$M169,BG$13))))</f>
        <v>1000000000000</v>
      </c>
    </row>
    <row r="170" spans="1:59" ht="38.25" x14ac:dyDescent="0.2">
      <c r="A170" s="9" t="str">
        <f t="shared" ca="1" si="11"/>
        <v>144</v>
      </c>
      <c r="B170" s="9" t="str">
        <f ca="1">OFFSET(ORÇAMENTO!C$15,ROW(B170)-ROW(B$15),0)</f>
        <v>S</v>
      </c>
      <c r="C170" s="9" t="str">
        <f ca="1">OFFSET(ORÇAMENTO!L$15,ROW(C170)-ROW(C$15),0)</f>
        <v/>
      </c>
      <c r="D170" s="145" t="str">
        <f ca="1">OFFSET(ORÇAMENTO!N$15,ROW(D170)-ROW(D$15),0)</f>
        <v>Serviço</v>
      </c>
      <c r="E170" s="205" t="str">
        <f ca="1">OFFSET(ORÇAMENTO!O$15,ROW(E170)-ROW(E$15),0)</f>
        <v>-</v>
      </c>
      <c r="F170" s="206" t="str">
        <f ca="1">OFFSET(ORÇAMENTO!R$15,ROW(F170)-ROW(F$15),0)</f>
        <v>CAIXA SIFONADA, COM GRELHA REDONDA, PVC, DN 150 X 150 X 50 MM, JUNTA SOLDÁVEL, FORNECIDA E INSTALADA EM RAMAL DE DESCARGA OU EM RAMAL DE ESGOTO SANITÁRIO. AF_08/2022</v>
      </c>
      <c r="G170" s="207" t="str">
        <f ca="1">IF($D170&lt;&gt;"Serviço","",OFFSET(ORÇAMENTO!S$15,ROW(G170)-ROW(G$15),0))</f>
        <v>UN</v>
      </c>
      <c r="H170" s="151">
        <f ca="1">IF($D170&lt;&gt;"Serviço",0,IF(ACOMPANHAMENTO="BM",ROUND(OFFSET(ORÇAMENTO!AJ$15,ROW(H170)-ROW(H$15),0),15-13*ORÇAMENTO!$AF$7),SUMPRODUCT(($Q$12:$AA$12&lt;&gt;"")*ROUND($Q170:$AA170,15-13*ORÇAMENTO!$AF$7))))</f>
        <v>3</v>
      </c>
      <c r="I170" s="649"/>
      <c r="K170" s="208"/>
      <c r="L170" s="209" t="s">
        <v>255</v>
      </c>
      <c r="M170" s="210">
        <f ca="1">IF($D170&lt;&gt;"Serviço","",IF(AUTOEVENTO="manual",$A170,IF(ISERROR(MATCH($A170,$A$15:OFFSET($A170,-1,0),0)),MAX($M$15:OFFSET(M170,-1,0))+1,INDEX($M$15:OFFSET(M170,-1,0),MATCH($A170,$A$15:OFFSET($A170,-1,0),0)))))</f>
        <v>21</v>
      </c>
      <c r="N170" s="211" t="str">
        <f ca="1">IF($D170&lt;&gt;"Serviço","",IF(AUTOEVENTO="Manual",IF($A170=0,"&lt;-- defina o número do agrupador",OFFSET(EVENTOS!$D$14,$A170,0)),OFFSET($F$15,$A170,0)))</f>
        <v>SANITÁRIO</v>
      </c>
      <c r="O170" s="212"/>
      <c r="Q170" s="212"/>
      <c r="R170" s="213"/>
      <c r="S170" s="213"/>
      <c r="T170" s="213"/>
      <c r="U170" s="213"/>
      <c r="V170" s="213"/>
      <c r="W170" s="213"/>
      <c r="X170" s="213"/>
      <c r="Y170" s="213"/>
      <c r="Z170" s="214"/>
      <c r="AB170" s="630">
        <f ca="1">IF(AND($D170="Serviço",AB$12&lt;&gt;0,$H170&gt;0,OR(AUTOEVENTO&lt;&gt;"manual",$M170&lt;&gt;1)),
IF(Import.TipoArredondamento&lt;&gt;"TransfereGOV",
ROUND(OFFSET($P170,0,AB$13),15-13*ORÇAMENTO!$AF$7)/$H170*OFFSET(ORÇAMENTO!$X$15,ROW(AB170)-ROW(AB$15),0),
ROUND(ROUND(OFFSET($P170,0,AB$13),15-13*ORÇAMENTO!$AF$7)*OFFSET(ORÇAMENTO!$W$15,ROW(AB170)-ROW(AB$15),0),15-13*ORÇAMENTO!$AF$11)),0)</f>
        <v>0</v>
      </c>
      <c r="AC170" s="631">
        <f ca="1">IF(AND($D170="Serviço",AC$12&lt;&gt;0,$H170&gt;0,OR(AUTOEVENTO&lt;&gt;"manual",$M170&lt;&gt;1)),
IF(Import.TipoArredondamento&lt;&gt;"TransfereGOV",
ROUND(OFFSET($P170,0,AC$13),15-13*ORÇAMENTO!$AF$7)/$H170*OFFSET(ORÇAMENTO!$X$15,ROW(AC170)-ROW(AC$15),0),
ROUND(ROUND(OFFSET($P170,0,AC$13),15-13*ORÇAMENTO!$AF$7)*OFFSET(ORÇAMENTO!$W$15,ROW(AC170)-ROW(AC$15),0),15-13*ORÇAMENTO!$AF$11)),0)</f>
        <v>0</v>
      </c>
      <c r="AD170" s="631">
        <f ca="1">IF(AND($D170="Serviço",AD$12&lt;&gt;0,$H170&gt;0,OR(AUTOEVENTO&lt;&gt;"manual",$M170&lt;&gt;1)),
IF(Import.TipoArredondamento&lt;&gt;"TransfereGOV",
ROUND(OFFSET($P170,0,AD$13),15-13*ORÇAMENTO!$AF$7)/$H170*OFFSET(ORÇAMENTO!$X$15,ROW(AD170)-ROW(AD$15),0),
ROUND(ROUND(OFFSET($P170,0,AD$13),15-13*ORÇAMENTO!$AF$7)*OFFSET(ORÇAMENTO!$W$15,ROW(AD170)-ROW(AD$15),0),15-13*ORÇAMENTO!$AF$11)),0)</f>
        <v>0</v>
      </c>
      <c r="AE170" s="631">
        <f ca="1">IF(AND($D170="Serviço",AE$12&lt;&gt;0,$H170&gt;0,OR(AUTOEVENTO&lt;&gt;"manual",$M170&lt;&gt;1)),
IF(Import.TipoArredondamento&lt;&gt;"TransfereGOV",
ROUND(OFFSET($P170,0,AE$13),15-13*ORÇAMENTO!$AF$7)/$H170*OFFSET(ORÇAMENTO!$X$15,ROW(AE170)-ROW(AE$15),0),
ROUND(ROUND(OFFSET($P170,0,AE$13),15-13*ORÇAMENTO!$AF$7)*OFFSET(ORÇAMENTO!$W$15,ROW(AE170)-ROW(AE$15),0),15-13*ORÇAMENTO!$AF$11)),0)</f>
        <v>0</v>
      </c>
      <c r="AF170" s="631">
        <f ca="1">IF(AND($D170="Serviço",AF$12&lt;&gt;0,$H170&gt;0,OR(AUTOEVENTO&lt;&gt;"manual",$M170&lt;&gt;1)),
IF(Import.TipoArredondamento&lt;&gt;"TransfereGOV",
ROUND(OFFSET($P170,0,AF$13),15-13*ORÇAMENTO!$AF$7)/$H170*OFFSET(ORÇAMENTO!$X$15,ROW(AF170)-ROW(AF$15),0),
ROUND(ROUND(OFFSET($P170,0,AF$13),15-13*ORÇAMENTO!$AF$7)*OFFSET(ORÇAMENTO!$W$15,ROW(AF170)-ROW(AF$15),0),15-13*ORÇAMENTO!$AF$11)),0)</f>
        <v>0</v>
      </c>
      <c r="AG170" s="631">
        <f ca="1">IF(AND($D170="Serviço",AG$12&lt;&gt;0,$H170&gt;0,OR(AUTOEVENTO&lt;&gt;"manual",$M170&lt;&gt;1)),
IF(Import.TipoArredondamento&lt;&gt;"TransfereGOV",
ROUND(OFFSET($P170,0,AG$13),15-13*ORÇAMENTO!$AF$7)/$H170*OFFSET(ORÇAMENTO!$X$15,ROW(AG170)-ROW(AG$15),0),
ROUND(ROUND(OFFSET($P170,0,AG$13),15-13*ORÇAMENTO!$AF$7)*OFFSET(ORÇAMENTO!$W$15,ROW(AG170)-ROW(AG$15),0),15-13*ORÇAMENTO!$AF$11)),0)</f>
        <v>0</v>
      </c>
      <c r="AH170" s="631">
        <f ca="1">IF(AND($D170="Serviço",AH$12&lt;&gt;0,$H170&gt;0,OR(AUTOEVENTO&lt;&gt;"manual",$M170&lt;&gt;1)),
IF(Import.TipoArredondamento&lt;&gt;"TransfereGOV",
ROUND(OFFSET($P170,0,AH$13),15-13*ORÇAMENTO!$AF$7)/$H170*OFFSET(ORÇAMENTO!$X$15,ROW(AH170)-ROW(AH$15),0),
ROUND(ROUND(OFFSET($P170,0,AH$13),15-13*ORÇAMENTO!$AF$7)*OFFSET(ORÇAMENTO!$W$15,ROW(AH170)-ROW(AH$15),0),15-13*ORÇAMENTO!$AF$11)),0)</f>
        <v>0</v>
      </c>
      <c r="AI170" s="631">
        <f ca="1">IF(AND($D170="Serviço",AI$12&lt;&gt;0,$H170&gt;0,OR(AUTOEVENTO&lt;&gt;"manual",$M170&lt;&gt;1)),
IF(Import.TipoArredondamento&lt;&gt;"TransfereGOV",
ROUND(OFFSET($P170,0,AI$13),15-13*ORÇAMENTO!$AF$7)/$H170*OFFSET(ORÇAMENTO!$X$15,ROW(AI170)-ROW(AI$15),0),
ROUND(ROUND(OFFSET($P170,0,AI$13),15-13*ORÇAMENTO!$AF$7)*OFFSET(ORÇAMENTO!$W$15,ROW(AI170)-ROW(AI$15),0),15-13*ORÇAMENTO!$AF$11)),0)</f>
        <v>0</v>
      </c>
      <c r="AJ170" s="631">
        <f ca="1">IF(AND($D170="Serviço",AJ$12&lt;&gt;0,$H170&gt;0,OR(AUTOEVENTO&lt;&gt;"manual",$M170&lt;&gt;1)),
IF(Import.TipoArredondamento&lt;&gt;"TransfereGOV",
ROUND(OFFSET($P170,0,AJ$13),15-13*ORÇAMENTO!$AF$7)/$H170*OFFSET(ORÇAMENTO!$X$15,ROW(AJ170)-ROW(AJ$15),0),
ROUND(ROUND(OFFSET($P170,0,AJ$13),15-13*ORÇAMENTO!$AF$7)*OFFSET(ORÇAMENTO!$W$15,ROW(AJ170)-ROW(AJ$15),0),15-13*ORÇAMENTO!$AF$11)),0)</f>
        <v>0</v>
      </c>
      <c r="AK170" s="632">
        <f ca="1">IF(AND($D170="Serviço",AK$12&lt;&gt;0,$H170&gt;0,OR(AUTOEVENTO&lt;&gt;"manual",$M170&lt;&gt;1)),
IF(Import.TipoArredondamento&lt;&gt;"TransfereGOV",
ROUND(OFFSET($P170,0,AK$13),15-13*ORÇAMENTO!$AF$7)/$H170*OFFSET(ORÇAMENTO!$X$15,ROW(AK170)-ROW(AK$15),0),
ROUND(ROUND(OFFSET($P170,0,AK$13),15-13*ORÇAMENTO!$AF$7)*OFFSET(ORÇAMENTO!$W$15,ROW(AK170)-ROW(AK$15),0),15-13*ORÇAMENTO!$AF$11)),0)</f>
        <v>0</v>
      </c>
      <c r="AM170" s="215">
        <f ca="1">IF($D170&lt;&gt;"Serviço",0,IF(AND(AUTOEVENTO="Manual",$M170=1),0,IF(OFFSET(CRONOPLE!$F$14,$M170,AM$13)="",10^12,OFFSET(CRONOPLE!$F$14,$M170,AM$13))))</f>
        <v>1000000000000</v>
      </c>
      <c r="AN170" s="215">
        <f ca="1">IF($D170&lt;&gt;"Serviço",0,IF(AND(AUTOEVENTO="Manual",$M170=1),0,IF(OFFSET(CRONOPLE!$F$14,$M170,AN$13)="",10^12,OFFSET(CRONOPLE!$F$14,$M170,AN$13))))</f>
        <v>1000000000000</v>
      </c>
      <c r="AO170" s="215">
        <f ca="1">IF($D170&lt;&gt;"Serviço",0,IF(AND(AUTOEVENTO="Manual",$M170=1),0,IF(OFFSET(CRONOPLE!$F$14,$M170,AO$13)="",10^12,OFFSET(CRONOPLE!$F$14,$M170,AO$13))))</f>
        <v>1000000000000</v>
      </c>
      <c r="AP170" s="215">
        <f ca="1">IF($D170&lt;&gt;"Serviço",0,IF(AND(AUTOEVENTO="Manual",$M170=1),0,IF(OFFSET(CRONOPLE!$F$14,$M170,AP$13)="",10^12,OFFSET(CRONOPLE!$F$14,$M170,AP$13))))</f>
        <v>1000000000000</v>
      </c>
      <c r="AQ170" s="215">
        <f ca="1">IF($D170&lt;&gt;"Serviço",0,IF(AND(AUTOEVENTO="Manual",$M170=1),0,IF(OFFSET(CRONOPLE!$F$14,$M170,AQ$13)="",10^12,OFFSET(CRONOPLE!$F$14,$M170,AQ$13))))</f>
        <v>1000000000000</v>
      </c>
      <c r="AR170" s="215">
        <f ca="1">IF($D170&lt;&gt;"Serviço",0,IF(AND(AUTOEVENTO="Manual",$M170=1),0,IF(OFFSET(CRONOPLE!$F$14,$M170,AR$13)="",10^12,OFFSET(CRONOPLE!$F$14,$M170,AR$13))))</f>
        <v>1000000000000</v>
      </c>
      <c r="AS170" s="215">
        <f ca="1">IF($D170&lt;&gt;"Serviço",0,IF(AND(AUTOEVENTO="Manual",$M170=1),0,IF(OFFSET(CRONOPLE!$F$14,$M170,AS$13)="",10^12,OFFSET(CRONOPLE!$F$14,$M170,AS$13))))</f>
        <v>1000000000000</v>
      </c>
      <c r="AT170" s="215">
        <f ca="1">IF($D170&lt;&gt;"Serviço",0,IF(AND(AUTOEVENTO="Manual",$M170=1),0,IF(OFFSET(CRONOPLE!$F$14,$M170,AT$13)="",10^12,OFFSET(CRONOPLE!$F$14,$M170,AT$13))))</f>
        <v>1000000000000</v>
      </c>
      <c r="AU170" s="215">
        <f ca="1">IF($D170&lt;&gt;"Serviço",0,IF(AND(AUTOEVENTO="Manual",$M170=1),0,IF(OFFSET(CRONOPLE!$F$14,$M170,AU$13)="",10^12,OFFSET(CRONOPLE!$F$14,$M170,AU$13))))</f>
        <v>1000000000000</v>
      </c>
      <c r="AV170" s="215">
        <f ca="1">IF($D170&lt;&gt;"Serviço",0,IF(AND(AUTOEVENTO="Manual",$M170=1),0,IF(OFFSET(CRONOPLE!$F$14,$M170,AV$13)="",10^12,OFFSET(CRONOPLE!$F$14,$M170,AV$13))))</f>
        <v>1000000000000</v>
      </c>
      <c r="AX170" s="216">
        <f ca="1">IF($D170&lt;&gt;"Serviço",0,IF(OR(AND(AUTOEVENTO="Manual",$M170=1),$M170&gt;(ROW(PLE.lastrow)-ROW(PLE.firstrow))),0,IF(OFFSET(PLE!$G$14,$M170,AX$13)="",10^12,OFFSET(PLE!$G$14,$M170,AX$13))))</f>
        <v>1000000000000</v>
      </c>
      <c r="AY170" s="216">
        <f ca="1">IF($D170&lt;&gt;"Serviço",0,IF(OR(AND(AUTOEVENTO="Manual",$M170=1),$M170&gt;(ROW(PLE.lastrow)-ROW(PLE.firstrow))),0,IF(OFFSET(PLE!$G$14,$M170,AY$13)="",10^12,OFFSET(PLE!$G$14,$M170,AY$13))))</f>
        <v>1000000000000</v>
      </c>
      <c r="AZ170" s="216">
        <f ca="1">IF($D170&lt;&gt;"Serviço",0,IF(OR(AND(AUTOEVENTO="Manual",$M170=1),$M170&gt;(ROW(PLE.lastrow)-ROW(PLE.firstrow))),0,IF(OFFSET(PLE!$G$14,$M170,AZ$13)="",10^12,OFFSET(PLE!$G$14,$M170,AZ$13))))</f>
        <v>1000000000000</v>
      </c>
      <c r="BA170" s="216">
        <f ca="1">IF($D170&lt;&gt;"Serviço",0,IF(OR(AND(AUTOEVENTO="Manual",$M170=1),$M170&gt;(ROW(PLE.lastrow)-ROW(PLE.firstrow))),0,IF(OFFSET(PLE!$G$14,$M170,BA$13)="",10^12,OFFSET(PLE!$G$14,$M170,BA$13))))</f>
        <v>1000000000000</v>
      </c>
      <c r="BB170" s="216">
        <f ca="1">IF($D170&lt;&gt;"Serviço",0,IF(OR(AND(AUTOEVENTO="Manual",$M170=1),$M170&gt;(ROW(PLE.lastrow)-ROW(PLE.firstrow))),0,IF(OFFSET(PLE!$G$14,$M170,BB$13)="",10^12,OFFSET(PLE!$G$14,$M170,BB$13))))</f>
        <v>1000000000000</v>
      </c>
      <c r="BC170" s="216">
        <f ca="1">IF($D170&lt;&gt;"Serviço",0,IF(OR(AND(AUTOEVENTO="Manual",$M170=1),$M170&gt;(ROW(PLE.lastrow)-ROW(PLE.firstrow))),0,IF(OFFSET(PLE!$G$14,$M170,BC$13)="",10^12,OFFSET(PLE!$G$14,$M170,BC$13))))</f>
        <v>1000000000000</v>
      </c>
      <c r="BD170" s="216">
        <f ca="1">IF($D170&lt;&gt;"Serviço",0,IF(OR(AND(AUTOEVENTO="Manual",$M170=1),$M170&gt;(ROW(PLE.lastrow)-ROW(PLE.firstrow))),0,IF(OFFSET(PLE!$G$14,$M170,BD$13)="",10^12,OFFSET(PLE!$G$14,$M170,BD$13))))</f>
        <v>1000000000000</v>
      </c>
      <c r="BE170" s="216">
        <f ca="1">IF($D170&lt;&gt;"Serviço",0,IF(OR(AND(AUTOEVENTO="Manual",$M170=1),$M170&gt;(ROW(PLE.lastrow)-ROW(PLE.firstrow))),0,IF(OFFSET(PLE!$G$14,$M170,BE$13)="",10^12,OFFSET(PLE!$G$14,$M170,BE$13))))</f>
        <v>1000000000000</v>
      </c>
      <c r="BF170" s="216">
        <f ca="1">IF($D170&lt;&gt;"Serviço",0,IF(OR(AND(AUTOEVENTO="Manual",$M170=1),$M170&gt;(ROW(PLE.lastrow)-ROW(PLE.firstrow))),0,IF(OFFSET(PLE!$G$14,$M170,BF$13)="",10^12,OFFSET(PLE!$G$14,$M170,BF$13))))</f>
        <v>1000000000000</v>
      </c>
      <c r="BG170" s="216">
        <f ca="1">IF($D170&lt;&gt;"Serviço",0,IF(OR(AND(AUTOEVENTO="Manual",$M170=1),$M170&gt;(ROW(PLE.lastrow)-ROW(PLE.firstrow))),0,IF(OFFSET(PLE!$G$14,$M170,BG$13)="",10^12,OFFSET(PLE!$G$14,$M170,BG$13))))</f>
        <v>1000000000000</v>
      </c>
    </row>
    <row r="171" spans="1:59" ht="12.75" x14ac:dyDescent="0.2">
      <c r="A171" s="9" t="str">
        <f t="shared" ca="1" si="11"/>
        <v>156.</v>
      </c>
      <c r="B171" s="9">
        <f ca="1">OFFSET(ORÇAMENTO!C$15,ROW(B171)-ROW(B$15),0)</f>
        <v>2</v>
      </c>
      <c r="C171" s="9" t="str">
        <f ca="1">OFFSET(ORÇAMENTO!L$15,ROW(C171)-ROW(C$15),0)</f>
        <v>F</v>
      </c>
      <c r="D171" s="145" t="str">
        <f ca="1">OFFSET(ORÇAMENTO!N$15,ROW(D171)-ROW(D$15),0)</f>
        <v>Nível 2</v>
      </c>
      <c r="E171" s="205" t="str">
        <f ca="1">OFFSET(ORÇAMENTO!O$15,ROW(E171)-ROW(E$15),0)</f>
        <v>1.21.</v>
      </c>
      <c r="F171" s="206" t="str">
        <f ca="1">OFFSET(ORÇAMENTO!R$15,ROW(F171)-ROW(F$15),0)</f>
        <v>ACESSORIOS</v>
      </c>
      <c r="G171" s="207" t="str">
        <f ca="1">IF($D171&lt;&gt;"Serviço","",OFFSET(ORÇAMENTO!S$15,ROW(G171)-ROW(G$15),0))</f>
        <v/>
      </c>
      <c r="H171" s="151">
        <f ca="1">IF($D171&lt;&gt;"Serviço",0,IF(ACOMPANHAMENTO="BM",ROUND(OFFSET(ORÇAMENTO!AJ$15,ROW(H171)-ROW(H$15),0),15-13*ORÇAMENTO!$AF$7),SUMPRODUCT(($Q$12:$AA$12&lt;&gt;"")*ROUND($Q171:$AA171,15-13*ORÇAMENTO!$AF$7))))</f>
        <v>0</v>
      </c>
      <c r="I171" s="649"/>
      <c r="K171" s="208"/>
      <c r="L171" s="209" t="s">
        <v>255</v>
      </c>
      <c r="M171" s="210" t="str">
        <f ca="1">IF($D171&lt;&gt;"Serviço","",IF(AUTOEVENTO="manual",$A171,IF(ISERROR(MATCH($A171,$A$15:OFFSET($A171,-1,0),0)),MAX($M$15:OFFSET(M171,-1,0))+1,INDEX($M$15:OFFSET(M171,-1,0),MATCH($A171,$A$15:OFFSET($A171,-1,0),0)))))</f>
        <v/>
      </c>
      <c r="N171" s="211" t="str">
        <f ca="1">IF($D171&lt;&gt;"Serviço","",IF(AUTOEVENTO="Manual",IF($A171=0,"&lt;-- defina o número do agrupador",OFFSET(EVENTOS!$D$14,$A171,0)),OFFSET($F$15,$A171,0)))</f>
        <v/>
      </c>
      <c r="O171" s="212"/>
      <c r="Q171" s="212"/>
      <c r="R171" s="213"/>
      <c r="S171" s="213"/>
      <c r="T171" s="213"/>
      <c r="U171" s="213"/>
      <c r="V171" s="213"/>
      <c r="W171" s="213"/>
      <c r="X171" s="213"/>
      <c r="Y171" s="213"/>
      <c r="Z171" s="214"/>
      <c r="AB171" s="630">
        <f ca="1">IF(AND($D171="Serviço",AB$12&lt;&gt;0,$H171&gt;0,OR(AUTOEVENTO&lt;&gt;"manual",$M171&lt;&gt;1)),
IF(Import.TipoArredondamento&lt;&gt;"TransfereGOV",
ROUND(OFFSET($P171,0,AB$13),15-13*ORÇAMENTO!$AF$7)/$H171*OFFSET(ORÇAMENTO!$X$15,ROW(AB171)-ROW(AB$15),0),
ROUND(ROUND(OFFSET($P171,0,AB$13),15-13*ORÇAMENTO!$AF$7)*OFFSET(ORÇAMENTO!$W$15,ROW(AB171)-ROW(AB$15),0),15-13*ORÇAMENTO!$AF$11)),0)</f>
        <v>0</v>
      </c>
      <c r="AC171" s="631">
        <f ca="1">IF(AND($D171="Serviço",AC$12&lt;&gt;0,$H171&gt;0,OR(AUTOEVENTO&lt;&gt;"manual",$M171&lt;&gt;1)),
IF(Import.TipoArredondamento&lt;&gt;"TransfereGOV",
ROUND(OFFSET($P171,0,AC$13),15-13*ORÇAMENTO!$AF$7)/$H171*OFFSET(ORÇAMENTO!$X$15,ROW(AC171)-ROW(AC$15),0),
ROUND(ROUND(OFFSET($P171,0,AC$13),15-13*ORÇAMENTO!$AF$7)*OFFSET(ORÇAMENTO!$W$15,ROW(AC171)-ROW(AC$15),0),15-13*ORÇAMENTO!$AF$11)),0)</f>
        <v>0</v>
      </c>
      <c r="AD171" s="631">
        <f ca="1">IF(AND($D171="Serviço",AD$12&lt;&gt;0,$H171&gt;0,OR(AUTOEVENTO&lt;&gt;"manual",$M171&lt;&gt;1)),
IF(Import.TipoArredondamento&lt;&gt;"TransfereGOV",
ROUND(OFFSET($P171,0,AD$13),15-13*ORÇAMENTO!$AF$7)/$H171*OFFSET(ORÇAMENTO!$X$15,ROW(AD171)-ROW(AD$15),0),
ROUND(ROUND(OFFSET($P171,0,AD$13),15-13*ORÇAMENTO!$AF$7)*OFFSET(ORÇAMENTO!$W$15,ROW(AD171)-ROW(AD$15),0),15-13*ORÇAMENTO!$AF$11)),0)</f>
        <v>0</v>
      </c>
      <c r="AE171" s="631">
        <f ca="1">IF(AND($D171="Serviço",AE$12&lt;&gt;0,$H171&gt;0,OR(AUTOEVENTO&lt;&gt;"manual",$M171&lt;&gt;1)),
IF(Import.TipoArredondamento&lt;&gt;"TransfereGOV",
ROUND(OFFSET($P171,0,AE$13),15-13*ORÇAMENTO!$AF$7)/$H171*OFFSET(ORÇAMENTO!$X$15,ROW(AE171)-ROW(AE$15),0),
ROUND(ROUND(OFFSET($P171,0,AE$13),15-13*ORÇAMENTO!$AF$7)*OFFSET(ORÇAMENTO!$W$15,ROW(AE171)-ROW(AE$15),0),15-13*ORÇAMENTO!$AF$11)),0)</f>
        <v>0</v>
      </c>
      <c r="AF171" s="631">
        <f ca="1">IF(AND($D171="Serviço",AF$12&lt;&gt;0,$H171&gt;0,OR(AUTOEVENTO&lt;&gt;"manual",$M171&lt;&gt;1)),
IF(Import.TipoArredondamento&lt;&gt;"TransfereGOV",
ROUND(OFFSET($P171,0,AF$13),15-13*ORÇAMENTO!$AF$7)/$H171*OFFSET(ORÇAMENTO!$X$15,ROW(AF171)-ROW(AF$15),0),
ROUND(ROUND(OFFSET($P171,0,AF$13),15-13*ORÇAMENTO!$AF$7)*OFFSET(ORÇAMENTO!$W$15,ROW(AF171)-ROW(AF$15),0),15-13*ORÇAMENTO!$AF$11)),0)</f>
        <v>0</v>
      </c>
      <c r="AG171" s="631">
        <f ca="1">IF(AND($D171="Serviço",AG$12&lt;&gt;0,$H171&gt;0,OR(AUTOEVENTO&lt;&gt;"manual",$M171&lt;&gt;1)),
IF(Import.TipoArredondamento&lt;&gt;"TransfereGOV",
ROUND(OFFSET($P171,0,AG$13),15-13*ORÇAMENTO!$AF$7)/$H171*OFFSET(ORÇAMENTO!$X$15,ROW(AG171)-ROW(AG$15),0),
ROUND(ROUND(OFFSET($P171,0,AG$13),15-13*ORÇAMENTO!$AF$7)*OFFSET(ORÇAMENTO!$W$15,ROW(AG171)-ROW(AG$15),0),15-13*ORÇAMENTO!$AF$11)),0)</f>
        <v>0</v>
      </c>
      <c r="AH171" s="631">
        <f ca="1">IF(AND($D171="Serviço",AH$12&lt;&gt;0,$H171&gt;0,OR(AUTOEVENTO&lt;&gt;"manual",$M171&lt;&gt;1)),
IF(Import.TipoArredondamento&lt;&gt;"TransfereGOV",
ROUND(OFFSET($P171,0,AH$13),15-13*ORÇAMENTO!$AF$7)/$H171*OFFSET(ORÇAMENTO!$X$15,ROW(AH171)-ROW(AH$15),0),
ROUND(ROUND(OFFSET($P171,0,AH$13),15-13*ORÇAMENTO!$AF$7)*OFFSET(ORÇAMENTO!$W$15,ROW(AH171)-ROW(AH$15),0),15-13*ORÇAMENTO!$AF$11)),0)</f>
        <v>0</v>
      </c>
      <c r="AI171" s="631">
        <f ca="1">IF(AND($D171="Serviço",AI$12&lt;&gt;0,$H171&gt;0,OR(AUTOEVENTO&lt;&gt;"manual",$M171&lt;&gt;1)),
IF(Import.TipoArredondamento&lt;&gt;"TransfereGOV",
ROUND(OFFSET($P171,0,AI$13),15-13*ORÇAMENTO!$AF$7)/$H171*OFFSET(ORÇAMENTO!$X$15,ROW(AI171)-ROW(AI$15),0),
ROUND(ROUND(OFFSET($P171,0,AI$13),15-13*ORÇAMENTO!$AF$7)*OFFSET(ORÇAMENTO!$W$15,ROW(AI171)-ROW(AI$15),0),15-13*ORÇAMENTO!$AF$11)),0)</f>
        <v>0</v>
      </c>
      <c r="AJ171" s="631">
        <f ca="1">IF(AND($D171="Serviço",AJ$12&lt;&gt;0,$H171&gt;0,OR(AUTOEVENTO&lt;&gt;"manual",$M171&lt;&gt;1)),
IF(Import.TipoArredondamento&lt;&gt;"TransfereGOV",
ROUND(OFFSET($P171,0,AJ$13),15-13*ORÇAMENTO!$AF$7)/$H171*OFFSET(ORÇAMENTO!$X$15,ROW(AJ171)-ROW(AJ$15),0),
ROUND(ROUND(OFFSET($P171,0,AJ$13),15-13*ORÇAMENTO!$AF$7)*OFFSET(ORÇAMENTO!$W$15,ROW(AJ171)-ROW(AJ$15),0),15-13*ORÇAMENTO!$AF$11)),0)</f>
        <v>0</v>
      </c>
      <c r="AK171" s="632">
        <f ca="1">IF(AND($D171="Serviço",AK$12&lt;&gt;0,$H171&gt;0,OR(AUTOEVENTO&lt;&gt;"manual",$M171&lt;&gt;1)),
IF(Import.TipoArredondamento&lt;&gt;"TransfereGOV",
ROUND(OFFSET($P171,0,AK$13),15-13*ORÇAMENTO!$AF$7)/$H171*OFFSET(ORÇAMENTO!$X$15,ROW(AK171)-ROW(AK$15),0),
ROUND(ROUND(OFFSET($P171,0,AK$13),15-13*ORÇAMENTO!$AF$7)*OFFSET(ORÇAMENTO!$W$15,ROW(AK171)-ROW(AK$15),0),15-13*ORÇAMENTO!$AF$11)),0)</f>
        <v>0</v>
      </c>
      <c r="AM171" s="215">
        <f ca="1">IF($D171&lt;&gt;"Serviço",0,IF(AND(AUTOEVENTO="Manual",$M171=1),0,IF(OFFSET(CRONOPLE!$F$14,$M171,AM$13)="",10^12,OFFSET(CRONOPLE!$F$14,$M171,AM$13))))</f>
        <v>0</v>
      </c>
      <c r="AN171" s="215">
        <f ca="1">IF($D171&lt;&gt;"Serviço",0,IF(AND(AUTOEVENTO="Manual",$M171=1),0,IF(OFFSET(CRONOPLE!$F$14,$M171,AN$13)="",10^12,OFFSET(CRONOPLE!$F$14,$M171,AN$13))))</f>
        <v>0</v>
      </c>
      <c r="AO171" s="215">
        <f ca="1">IF($D171&lt;&gt;"Serviço",0,IF(AND(AUTOEVENTO="Manual",$M171=1),0,IF(OFFSET(CRONOPLE!$F$14,$M171,AO$13)="",10^12,OFFSET(CRONOPLE!$F$14,$M171,AO$13))))</f>
        <v>0</v>
      </c>
      <c r="AP171" s="215">
        <f ca="1">IF($D171&lt;&gt;"Serviço",0,IF(AND(AUTOEVENTO="Manual",$M171=1),0,IF(OFFSET(CRONOPLE!$F$14,$M171,AP$13)="",10^12,OFFSET(CRONOPLE!$F$14,$M171,AP$13))))</f>
        <v>0</v>
      </c>
      <c r="AQ171" s="215">
        <f ca="1">IF($D171&lt;&gt;"Serviço",0,IF(AND(AUTOEVENTO="Manual",$M171=1),0,IF(OFFSET(CRONOPLE!$F$14,$M171,AQ$13)="",10^12,OFFSET(CRONOPLE!$F$14,$M171,AQ$13))))</f>
        <v>0</v>
      </c>
      <c r="AR171" s="215">
        <f ca="1">IF($D171&lt;&gt;"Serviço",0,IF(AND(AUTOEVENTO="Manual",$M171=1),0,IF(OFFSET(CRONOPLE!$F$14,$M171,AR$13)="",10^12,OFFSET(CRONOPLE!$F$14,$M171,AR$13))))</f>
        <v>0</v>
      </c>
      <c r="AS171" s="215">
        <f ca="1">IF($D171&lt;&gt;"Serviço",0,IF(AND(AUTOEVENTO="Manual",$M171=1),0,IF(OFFSET(CRONOPLE!$F$14,$M171,AS$13)="",10^12,OFFSET(CRONOPLE!$F$14,$M171,AS$13))))</f>
        <v>0</v>
      </c>
      <c r="AT171" s="215">
        <f ca="1">IF($D171&lt;&gt;"Serviço",0,IF(AND(AUTOEVENTO="Manual",$M171=1),0,IF(OFFSET(CRONOPLE!$F$14,$M171,AT$13)="",10^12,OFFSET(CRONOPLE!$F$14,$M171,AT$13))))</f>
        <v>0</v>
      </c>
      <c r="AU171" s="215">
        <f ca="1">IF($D171&lt;&gt;"Serviço",0,IF(AND(AUTOEVENTO="Manual",$M171=1),0,IF(OFFSET(CRONOPLE!$F$14,$M171,AU$13)="",10^12,OFFSET(CRONOPLE!$F$14,$M171,AU$13))))</f>
        <v>0</v>
      </c>
      <c r="AV171" s="215">
        <f ca="1">IF($D171&lt;&gt;"Serviço",0,IF(AND(AUTOEVENTO="Manual",$M171=1),0,IF(OFFSET(CRONOPLE!$F$14,$M171,AV$13)="",10^12,OFFSET(CRONOPLE!$F$14,$M171,AV$13))))</f>
        <v>0</v>
      </c>
      <c r="AX171" s="216">
        <f ca="1">IF($D171&lt;&gt;"Serviço",0,IF(OR(AND(AUTOEVENTO="Manual",$M171=1),$M171&gt;(ROW(PLE.lastrow)-ROW(PLE.firstrow))),0,IF(OFFSET(PLE!$G$14,$M171,AX$13)="",10^12,OFFSET(PLE!$G$14,$M171,AX$13))))</f>
        <v>0</v>
      </c>
      <c r="AY171" s="216">
        <f ca="1">IF($D171&lt;&gt;"Serviço",0,IF(OR(AND(AUTOEVENTO="Manual",$M171=1),$M171&gt;(ROW(PLE.lastrow)-ROW(PLE.firstrow))),0,IF(OFFSET(PLE!$G$14,$M171,AY$13)="",10^12,OFFSET(PLE!$G$14,$M171,AY$13))))</f>
        <v>0</v>
      </c>
      <c r="AZ171" s="216">
        <f ca="1">IF($D171&lt;&gt;"Serviço",0,IF(OR(AND(AUTOEVENTO="Manual",$M171=1),$M171&gt;(ROW(PLE.lastrow)-ROW(PLE.firstrow))),0,IF(OFFSET(PLE!$G$14,$M171,AZ$13)="",10^12,OFFSET(PLE!$G$14,$M171,AZ$13))))</f>
        <v>0</v>
      </c>
      <c r="BA171" s="216">
        <f ca="1">IF($D171&lt;&gt;"Serviço",0,IF(OR(AND(AUTOEVENTO="Manual",$M171=1),$M171&gt;(ROW(PLE.lastrow)-ROW(PLE.firstrow))),0,IF(OFFSET(PLE!$G$14,$M171,BA$13)="",10^12,OFFSET(PLE!$G$14,$M171,BA$13))))</f>
        <v>0</v>
      </c>
      <c r="BB171" s="216">
        <f ca="1">IF($D171&lt;&gt;"Serviço",0,IF(OR(AND(AUTOEVENTO="Manual",$M171=1),$M171&gt;(ROW(PLE.lastrow)-ROW(PLE.firstrow))),0,IF(OFFSET(PLE!$G$14,$M171,BB$13)="",10^12,OFFSET(PLE!$G$14,$M171,BB$13))))</f>
        <v>0</v>
      </c>
      <c r="BC171" s="216">
        <f ca="1">IF($D171&lt;&gt;"Serviço",0,IF(OR(AND(AUTOEVENTO="Manual",$M171=1),$M171&gt;(ROW(PLE.lastrow)-ROW(PLE.firstrow))),0,IF(OFFSET(PLE!$G$14,$M171,BC$13)="",10^12,OFFSET(PLE!$G$14,$M171,BC$13))))</f>
        <v>0</v>
      </c>
      <c r="BD171" s="216">
        <f ca="1">IF($D171&lt;&gt;"Serviço",0,IF(OR(AND(AUTOEVENTO="Manual",$M171=1),$M171&gt;(ROW(PLE.lastrow)-ROW(PLE.firstrow))),0,IF(OFFSET(PLE!$G$14,$M171,BD$13)="",10^12,OFFSET(PLE!$G$14,$M171,BD$13))))</f>
        <v>0</v>
      </c>
      <c r="BE171" s="216">
        <f ca="1">IF($D171&lt;&gt;"Serviço",0,IF(OR(AND(AUTOEVENTO="Manual",$M171=1),$M171&gt;(ROW(PLE.lastrow)-ROW(PLE.firstrow))),0,IF(OFFSET(PLE!$G$14,$M171,BE$13)="",10^12,OFFSET(PLE!$G$14,$M171,BE$13))))</f>
        <v>0</v>
      </c>
      <c r="BF171" s="216">
        <f ca="1">IF($D171&lt;&gt;"Serviço",0,IF(OR(AND(AUTOEVENTO="Manual",$M171=1),$M171&gt;(ROW(PLE.lastrow)-ROW(PLE.firstrow))),0,IF(OFFSET(PLE!$G$14,$M171,BF$13)="",10^12,OFFSET(PLE!$G$14,$M171,BF$13))))</f>
        <v>0</v>
      </c>
      <c r="BG171" s="216">
        <f ca="1">IF($D171&lt;&gt;"Serviço",0,IF(OR(AND(AUTOEVENTO="Manual",$M171=1),$M171&gt;(ROW(PLE.lastrow)-ROW(PLE.firstrow))),0,IF(OFFSET(PLE!$G$14,$M171,BG$13)="",10^12,OFFSET(PLE!$G$14,$M171,BG$13))))</f>
        <v>0</v>
      </c>
    </row>
    <row r="172" spans="1:59" ht="38.25" x14ac:dyDescent="0.2">
      <c r="A172" s="9" t="str">
        <f t="shared" ca="1" si="11"/>
        <v>156</v>
      </c>
      <c r="B172" s="9" t="str">
        <f ca="1">OFFSET(ORÇAMENTO!C$15,ROW(B172)-ROW(B$15),0)</f>
        <v>S</v>
      </c>
      <c r="C172" s="9" t="str">
        <f ca="1">OFFSET(ORÇAMENTO!L$15,ROW(C172)-ROW(C$15),0)</f>
        <v/>
      </c>
      <c r="D172" s="145" t="str">
        <f ca="1">OFFSET(ORÇAMENTO!N$15,ROW(D172)-ROW(D$15),0)</f>
        <v>Serviço</v>
      </c>
      <c r="E172" s="205" t="str">
        <f ca="1">OFFSET(ORÇAMENTO!O$15,ROW(E172)-ROW(E$15),0)</f>
        <v>-</v>
      </c>
      <c r="F172" s="206" t="str">
        <f ca="1">OFFSET(ORÇAMENTO!R$15,ROW(F172)-ROW(F$15),0)</f>
        <v>VASO SANITÁRIO SIFONADO COM CAIXA ACOPLADA LOUÇA BRANCA - PADRÃO MÉDIO, INCLUSO ENGATE FLEXÍVEL EM METAL CROMADO, 1/2  X 40CM - FORNECIMENTO E INSTALAÇÃO. AF_01/2020</v>
      </c>
      <c r="G172" s="207" t="str">
        <f ca="1">IF($D172&lt;&gt;"Serviço","",OFFSET(ORÇAMENTO!S$15,ROW(G172)-ROW(G$15),0))</f>
        <v>UN</v>
      </c>
      <c r="H172" s="151">
        <f ca="1">IF($D172&lt;&gt;"Serviço",0,IF(ACOMPANHAMENTO="BM",ROUND(OFFSET(ORÇAMENTO!AJ$15,ROW(H172)-ROW(H$15),0),15-13*ORÇAMENTO!$AF$7),SUMPRODUCT(($Q$12:$AA$12&lt;&gt;"")*ROUND($Q172:$AA172,15-13*ORÇAMENTO!$AF$7))))</f>
        <v>3</v>
      </c>
      <c r="I172" s="649"/>
      <c r="K172" s="208"/>
      <c r="L172" s="209" t="s">
        <v>255</v>
      </c>
      <c r="M172" s="210">
        <f ca="1">IF($D172&lt;&gt;"Serviço","",IF(AUTOEVENTO="manual",$A172,IF(ISERROR(MATCH($A172,$A$15:OFFSET($A172,-1,0),0)),MAX($M$15:OFFSET(M172,-1,0))+1,INDEX($M$15:OFFSET(M172,-1,0),MATCH($A172,$A$15:OFFSET($A172,-1,0),0)))))</f>
        <v>22</v>
      </c>
      <c r="N172" s="211" t="str">
        <f ca="1">IF($D172&lt;&gt;"Serviço","",IF(AUTOEVENTO="Manual",IF($A172=0,"&lt;-- defina o número do agrupador",OFFSET(EVENTOS!$D$14,$A172,0)),OFFSET($F$15,$A172,0)))</f>
        <v>ACESSORIOS</v>
      </c>
      <c r="O172" s="212"/>
      <c r="Q172" s="212"/>
      <c r="R172" s="213"/>
      <c r="S172" s="213"/>
      <c r="T172" s="213"/>
      <c r="U172" s="213"/>
      <c r="V172" s="213"/>
      <c r="W172" s="213"/>
      <c r="X172" s="213"/>
      <c r="Y172" s="213"/>
      <c r="Z172" s="214"/>
      <c r="AB172" s="630">
        <f ca="1">IF(AND($D172="Serviço",AB$12&lt;&gt;0,$H172&gt;0,OR(AUTOEVENTO&lt;&gt;"manual",$M172&lt;&gt;1)),
IF(Import.TipoArredondamento&lt;&gt;"TransfereGOV",
ROUND(OFFSET($P172,0,AB$13),15-13*ORÇAMENTO!$AF$7)/$H172*OFFSET(ORÇAMENTO!$X$15,ROW(AB172)-ROW(AB$15),0),
ROUND(ROUND(OFFSET($P172,0,AB$13),15-13*ORÇAMENTO!$AF$7)*OFFSET(ORÇAMENTO!$W$15,ROW(AB172)-ROW(AB$15),0),15-13*ORÇAMENTO!$AF$11)),0)</f>
        <v>0</v>
      </c>
      <c r="AC172" s="631">
        <f ca="1">IF(AND($D172="Serviço",AC$12&lt;&gt;0,$H172&gt;0,OR(AUTOEVENTO&lt;&gt;"manual",$M172&lt;&gt;1)),
IF(Import.TipoArredondamento&lt;&gt;"TransfereGOV",
ROUND(OFFSET($P172,0,AC$13),15-13*ORÇAMENTO!$AF$7)/$H172*OFFSET(ORÇAMENTO!$X$15,ROW(AC172)-ROW(AC$15),0),
ROUND(ROUND(OFFSET($P172,0,AC$13),15-13*ORÇAMENTO!$AF$7)*OFFSET(ORÇAMENTO!$W$15,ROW(AC172)-ROW(AC$15),0),15-13*ORÇAMENTO!$AF$11)),0)</f>
        <v>0</v>
      </c>
      <c r="AD172" s="631">
        <f ca="1">IF(AND($D172="Serviço",AD$12&lt;&gt;0,$H172&gt;0,OR(AUTOEVENTO&lt;&gt;"manual",$M172&lt;&gt;1)),
IF(Import.TipoArredondamento&lt;&gt;"TransfereGOV",
ROUND(OFFSET($P172,0,AD$13),15-13*ORÇAMENTO!$AF$7)/$H172*OFFSET(ORÇAMENTO!$X$15,ROW(AD172)-ROW(AD$15),0),
ROUND(ROUND(OFFSET($P172,0,AD$13),15-13*ORÇAMENTO!$AF$7)*OFFSET(ORÇAMENTO!$W$15,ROW(AD172)-ROW(AD$15),0),15-13*ORÇAMENTO!$AF$11)),0)</f>
        <v>0</v>
      </c>
      <c r="AE172" s="631">
        <f ca="1">IF(AND($D172="Serviço",AE$12&lt;&gt;0,$H172&gt;0,OR(AUTOEVENTO&lt;&gt;"manual",$M172&lt;&gt;1)),
IF(Import.TipoArredondamento&lt;&gt;"TransfereGOV",
ROUND(OFFSET($P172,0,AE$13),15-13*ORÇAMENTO!$AF$7)/$H172*OFFSET(ORÇAMENTO!$X$15,ROW(AE172)-ROW(AE$15),0),
ROUND(ROUND(OFFSET($P172,0,AE$13),15-13*ORÇAMENTO!$AF$7)*OFFSET(ORÇAMENTO!$W$15,ROW(AE172)-ROW(AE$15),0),15-13*ORÇAMENTO!$AF$11)),0)</f>
        <v>0</v>
      </c>
      <c r="AF172" s="631">
        <f ca="1">IF(AND($D172="Serviço",AF$12&lt;&gt;0,$H172&gt;0,OR(AUTOEVENTO&lt;&gt;"manual",$M172&lt;&gt;1)),
IF(Import.TipoArredondamento&lt;&gt;"TransfereGOV",
ROUND(OFFSET($P172,0,AF$13),15-13*ORÇAMENTO!$AF$7)/$H172*OFFSET(ORÇAMENTO!$X$15,ROW(AF172)-ROW(AF$15),0),
ROUND(ROUND(OFFSET($P172,0,AF$13),15-13*ORÇAMENTO!$AF$7)*OFFSET(ORÇAMENTO!$W$15,ROW(AF172)-ROW(AF$15),0),15-13*ORÇAMENTO!$AF$11)),0)</f>
        <v>0</v>
      </c>
      <c r="AG172" s="631">
        <f ca="1">IF(AND($D172="Serviço",AG$12&lt;&gt;0,$H172&gt;0,OR(AUTOEVENTO&lt;&gt;"manual",$M172&lt;&gt;1)),
IF(Import.TipoArredondamento&lt;&gt;"TransfereGOV",
ROUND(OFFSET($P172,0,AG$13),15-13*ORÇAMENTO!$AF$7)/$H172*OFFSET(ORÇAMENTO!$X$15,ROW(AG172)-ROW(AG$15),0),
ROUND(ROUND(OFFSET($P172,0,AG$13),15-13*ORÇAMENTO!$AF$7)*OFFSET(ORÇAMENTO!$W$15,ROW(AG172)-ROW(AG$15),0),15-13*ORÇAMENTO!$AF$11)),0)</f>
        <v>0</v>
      </c>
      <c r="AH172" s="631">
        <f ca="1">IF(AND($D172="Serviço",AH$12&lt;&gt;0,$H172&gt;0,OR(AUTOEVENTO&lt;&gt;"manual",$M172&lt;&gt;1)),
IF(Import.TipoArredondamento&lt;&gt;"TransfereGOV",
ROUND(OFFSET($P172,0,AH$13),15-13*ORÇAMENTO!$AF$7)/$H172*OFFSET(ORÇAMENTO!$X$15,ROW(AH172)-ROW(AH$15),0),
ROUND(ROUND(OFFSET($P172,0,AH$13),15-13*ORÇAMENTO!$AF$7)*OFFSET(ORÇAMENTO!$W$15,ROW(AH172)-ROW(AH$15),0),15-13*ORÇAMENTO!$AF$11)),0)</f>
        <v>0</v>
      </c>
      <c r="AI172" s="631">
        <f ca="1">IF(AND($D172="Serviço",AI$12&lt;&gt;0,$H172&gt;0,OR(AUTOEVENTO&lt;&gt;"manual",$M172&lt;&gt;1)),
IF(Import.TipoArredondamento&lt;&gt;"TransfereGOV",
ROUND(OFFSET($P172,0,AI$13),15-13*ORÇAMENTO!$AF$7)/$H172*OFFSET(ORÇAMENTO!$X$15,ROW(AI172)-ROW(AI$15),0),
ROUND(ROUND(OFFSET($P172,0,AI$13),15-13*ORÇAMENTO!$AF$7)*OFFSET(ORÇAMENTO!$W$15,ROW(AI172)-ROW(AI$15),0),15-13*ORÇAMENTO!$AF$11)),0)</f>
        <v>0</v>
      </c>
      <c r="AJ172" s="631">
        <f ca="1">IF(AND($D172="Serviço",AJ$12&lt;&gt;0,$H172&gt;0,OR(AUTOEVENTO&lt;&gt;"manual",$M172&lt;&gt;1)),
IF(Import.TipoArredondamento&lt;&gt;"TransfereGOV",
ROUND(OFFSET($P172,0,AJ$13),15-13*ORÇAMENTO!$AF$7)/$H172*OFFSET(ORÇAMENTO!$X$15,ROW(AJ172)-ROW(AJ$15),0),
ROUND(ROUND(OFFSET($P172,0,AJ$13),15-13*ORÇAMENTO!$AF$7)*OFFSET(ORÇAMENTO!$W$15,ROW(AJ172)-ROW(AJ$15),0),15-13*ORÇAMENTO!$AF$11)),0)</f>
        <v>0</v>
      </c>
      <c r="AK172" s="632">
        <f ca="1">IF(AND($D172="Serviço",AK$12&lt;&gt;0,$H172&gt;0,OR(AUTOEVENTO&lt;&gt;"manual",$M172&lt;&gt;1)),
IF(Import.TipoArredondamento&lt;&gt;"TransfereGOV",
ROUND(OFFSET($P172,0,AK$13),15-13*ORÇAMENTO!$AF$7)/$H172*OFFSET(ORÇAMENTO!$X$15,ROW(AK172)-ROW(AK$15),0),
ROUND(ROUND(OFFSET($P172,0,AK$13),15-13*ORÇAMENTO!$AF$7)*OFFSET(ORÇAMENTO!$W$15,ROW(AK172)-ROW(AK$15),0),15-13*ORÇAMENTO!$AF$11)),0)</f>
        <v>0</v>
      </c>
      <c r="AM172" s="215">
        <f ca="1">IF($D172&lt;&gt;"Serviço",0,IF(AND(AUTOEVENTO="Manual",$M172=1),0,IF(OFFSET(CRONOPLE!$F$14,$M172,AM$13)="",10^12,OFFSET(CRONOPLE!$F$14,$M172,AM$13))))</f>
        <v>1000000000000</v>
      </c>
      <c r="AN172" s="215">
        <f ca="1">IF($D172&lt;&gt;"Serviço",0,IF(AND(AUTOEVENTO="Manual",$M172=1),0,IF(OFFSET(CRONOPLE!$F$14,$M172,AN$13)="",10^12,OFFSET(CRONOPLE!$F$14,$M172,AN$13))))</f>
        <v>1000000000000</v>
      </c>
      <c r="AO172" s="215">
        <f ca="1">IF($D172&lt;&gt;"Serviço",0,IF(AND(AUTOEVENTO="Manual",$M172=1),0,IF(OFFSET(CRONOPLE!$F$14,$M172,AO$13)="",10^12,OFFSET(CRONOPLE!$F$14,$M172,AO$13))))</f>
        <v>1000000000000</v>
      </c>
      <c r="AP172" s="215">
        <f ca="1">IF($D172&lt;&gt;"Serviço",0,IF(AND(AUTOEVENTO="Manual",$M172=1),0,IF(OFFSET(CRONOPLE!$F$14,$M172,AP$13)="",10^12,OFFSET(CRONOPLE!$F$14,$M172,AP$13))))</f>
        <v>1000000000000</v>
      </c>
      <c r="AQ172" s="215">
        <f ca="1">IF($D172&lt;&gt;"Serviço",0,IF(AND(AUTOEVENTO="Manual",$M172=1),0,IF(OFFSET(CRONOPLE!$F$14,$M172,AQ$13)="",10^12,OFFSET(CRONOPLE!$F$14,$M172,AQ$13))))</f>
        <v>1000000000000</v>
      </c>
      <c r="AR172" s="215">
        <f ca="1">IF($D172&lt;&gt;"Serviço",0,IF(AND(AUTOEVENTO="Manual",$M172=1),0,IF(OFFSET(CRONOPLE!$F$14,$M172,AR$13)="",10^12,OFFSET(CRONOPLE!$F$14,$M172,AR$13))))</f>
        <v>1000000000000</v>
      </c>
      <c r="AS172" s="215">
        <f ca="1">IF($D172&lt;&gt;"Serviço",0,IF(AND(AUTOEVENTO="Manual",$M172=1),0,IF(OFFSET(CRONOPLE!$F$14,$M172,AS$13)="",10^12,OFFSET(CRONOPLE!$F$14,$M172,AS$13))))</f>
        <v>1000000000000</v>
      </c>
      <c r="AT172" s="215">
        <f ca="1">IF($D172&lt;&gt;"Serviço",0,IF(AND(AUTOEVENTO="Manual",$M172=1),0,IF(OFFSET(CRONOPLE!$F$14,$M172,AT$13)="",10^12,OFFSET(CRONOPLE!$F$14,$M172,AT$13))))</f>
        <v>1000000000000</v>
      </c>
      <c r="AU172" s="215">
        <f ca="1">IF($D172&lt;&gt;"Serviço",0,IF(AND(AUTOEVENTO="Manual",$M172=1),0,IF(OFFSET(CRONOPLE!$F$14,$M172,AU$13)="",10^12,OFFSET(CRONOPLE!$F$14,$M172,AU$13))))</f>
        <v>1000000000000</v>
      </c>
      <c r="AV172" s="215">
        <f ca="1">IF($D172&lt;&gt;"Serviço",0,IF(AND(AUTOEVENTO="Manual",$M172=1),0,IF(OFFSET(CRONOPLE!$F$14,$M172,AV$13)="",10^12,OFFSET(CRONOPLE!$F$14,$M172,AV$13))))</f>
        <v>1000000000000</v>
      </c>
      <c r="AX172" s="216">
        <f ca="1">IF($D172&lt;&gt;"Serviço",0,IF(OR(AND(AUTOEVENTO="Manual",$M172=1),$M172&gt;(ROW(PLE.lastrow)-ROW(PLE.firstrow))),0,IF(OFFSET(PLE!$G$14,$M172,AX$13)="",10^12,OFFSET(PLE!$G$14,$M172,AX$13))))</f>
        <v>1000000000000</v>
      </c>
      <c r="AY172" s="216">
        <f ca="1">IF($D172&lt;&gt;"Serviço",0,IF(OR(AND(AUTOEVENTO="Manual",$M172=1),$M172&gt;(ROW(PLE.lastrow)-ROW(PLE.firstrow))),0,IF(OFFSET(PLE!$G$14,$M172,AY$13)="",10^12,OFFSET(PLE!$G$14,$M172,AY$13))))</f>
        <v>1000000000000</v>
      </c>
      <c r="AZ172" s="216">
        <f ca="1">IF($D172&lt;&gt;"Serviço",0,IF(OR(AND(AUTOEVENTO="Manual",$M172=1),$M172&gt;(ROW(PLE.lastrow)-ROW(PLE.firstrow))),0,IF(OFFSET(PLE!$G$14,$M172,AZ$13)="",10^12,OFFSET(PLE!$G$14,$M172,AZ$13))))</f>
        <v>1000000000000</v>
      </c>
      <c r="BA172" s="216">
        <f ca="1">IF($D172&lt;&gt;"Serviço",0,IF(OR(AND(AUTOEVENTO="Manual",$M172=1),$M172&gt;(ROW(PLE.lastrow)-ROW(PLE.firstrow))),0,IF(OFFSET(PLE!$G$14,$M172,BA$13)="",10^12,OFFSET(PLE!$G$14,$M172,BA$13))))</f>
        <v>1000000000000</v>
      </c>
      <c r="BB172" s="216">
        <f ca="1">IF($D172&lt;&gt;"Serviço",0,IF(OR(AND(AUTOEVENTO="Manual",$M172=1),$M172&gt;(ROW(PLE.lastrow)-ROW(PLE.firstrow))),0,IF(OFFSET(PLE!$G$14,$M172,BB$13)="",10^12,OFFSET(PLE!$G$14,$M172,BB$13))))</f>
        <v>1000000000000</v>
      </c>
      <c r="BC172" s="216">
        <f ca="1">IF($D172&lt;&gt;"Serviço",0,IF(OR(AND(AUTOEVENTO="Manual",$M172=1),$M172&gt;(ROW(PLE.lastrow)-ROW(PLE.firstrow))),0,IF(OFFSET(PLE!$G$14,$M172,BC$13)="",10^12,OFFSET(PLE!$G$14,$M172,BC$13))))</f>
        <v>1000000000000</v>
      </c>
      <c r="BD172" s="216">
        <f ca="1">IF($D172&lt;&gt;"Serviço",0,IF(OR(AND(AUTOEVENTO="Manual",$M172=1),$M172&gt;(ROW(PLE.lastrow)-ROW(PLE.firstrow))),0,IF(OFFSET(PLE!$G$14,$M172,BD$13)="",10^12,OFFSET(PLE!$G$14,$M172,BD$13))))</f>
        <v>1000000000000</v>
      </c>
      <c r="BE172" s="216">
        <f ca="1">IF($D172&lt;&gt;"Serviço",0,IF(OR(AND(AUTOEVENTO="Manual",$M172=1),$M172&gt;(ROW(PLE.lastrow)-ROW(PLE.firstrow))),0,IF(OFFSET(PLE!$G$14,$M172,BE$13)="",10^12,OFFSET(PLE!$G$14,$M172,BE$13))))</f>
        <v>1000000000000</v>
      </c>
      <c r="BF172" s="216">
        <f ca="1">IF($D172&lt;&gt;"Serviço",0,IF(OR(AND(AUTOEVENTO="Manual",$M172=1),$M172&gt;(ROW(PLE.lastrow)-ROW(PLE.firstrow))),0,IF(OFFSET(PLE!$G$14,$M172,BF$13)="",10^12,OFFSET(PLE!$G$14,$M172,BF$13))))</f>
        <v>1000000000000</v>
      </c>
      <c r="BG172" s="216">
        <f ca="1">IF($D172&lt;&gt;"Serviço",0,IF(OR(AND(AUTOEVENTO="Manual",$M172=1),$M172&gt;(ROW(PLE.lastrow)-ROW(PLE.firstrow))),0,IF(OFFSET(PLE!$G$14,$M172,BG$13)="",10^12,OFFSET(PLE!$G$14,$M172,BG$13))))</f>
        <v>1000000000000</v>
      </c>
    </row>
    <row r="173" spans="1:59" ht="63.75" x14ac:dyDescent="0.2">
      <c r="A173" s="9" t="str">
        <f t="shared" ca="1" si="11"/>
        <v>156</v>
      </c>
      <c r="B173" s="9" t="str">
        <f ca="1">OFFSET(ORÇAMENTO!C$15,ROW(B173)-ROW(B$15),0)</f>
        <v>S</v>
      </c>
      <c r="C173" s="9" t="str">
        <f ca="1">OFFSET(ORÇAMENTO!L$15,ROW(C173)-ROW(C$15),0)</f>
        <v/>
      </c>
      <c r="D173" s="145" t="str">
        <f ca="1">OFFSET(ORÇAMENTO!N$15,ROW(D173)-ROW(D$15),0)</f>
        <v>Serviço</v>
      </c>
      <c r="E173" s="205" t="str">
        <f ca="1">OFFSET(ORÇAMENTO!O$15,ROW(E173)-ROW(E$15),0)</f>
        <v>-</v>
      </c>
      <c r="F173" s="206" t="str">
        <f ca="1">OFFSET(ORÇAMENTO!R$15,ROW(F173)-ROW(F$15),0)</f>
        <v>BANCADA GRANITO CINZA  150 X 60 CM, COM CUBA DE EMBUTIR DE AÇO, VÁLVULA AMERICANA EM METAL, SIFÃO FLEXÍVEL EM PVC, ENGATE FLEXÍVEL 30 CM, TORNEIRA CROMADA LONGA, DE PAREDE, 1/2" OU 3/4", P/ COZINHA, PADRÃO POPULAR - FORNEC. E INSTALAÇÃO. AF_01/2020</v>
      </c>
      <c r="G173" s="207" t="str">
        <f ca="1">IF($D173&lt;&gt;"Serviço","",OFFSET(ORÇAMENTO!S$15,ROW(G173)-ROW(G$15),0))</f>
        <v>UN</v>
      </c>
      <c r="H173" s="151">
        <f ca="1">IF($D173&lt;&gt;"Serviço",0,IF(ACOMPANHAMENTO="BM",ROUND(OFFSET(ORÇAMENTO!AJ$15,ROW(H173)-ROW(H$15),0),15-13*ORÇAMENTO!$AF$7),SUMPRODUCT(($Q$12:$AA$12&lt;&gt;"")*ROUND($Q173:$AA173,15-13*ORÇAMENTO!$AF$7))))</f>
        <v>1</v>
      </c>
      <c r="I173" s="649"/>
      <c r="K173" s="208"/>
      <c r="L173" s="209" t="s">
        <v>255</v>
      </c>
      <c r="M173" s="210">
        <f ca="1">IF($D173&lt;&gt;"Serviço","",IF(AUTOEVENTO="manual",$A173,IF(ISERROR(MATCH($A173,$A$15:OFFSET($A173,-1,0),0)),MAX($M$15:OFFSET(M173,-1,0))+1,INDEX($M$15:OFFSET(M173,-1,0),MATCH($A173,$A$15:OFFSET($A173,-1,0),0)))))</f>
        <v>22</v>
      </c>
      <c r="N173" s="211" t="str">
        <f ca="1">IF($D173&lt;&gt;"Serviço","",IF(AUTOEVENTO="Manual",IF($A173=0,"&lt;-- defina o número do agrupador",OFFSET(EVENTOS!$D$14,$A173,0)),OFFSET($F$15,$A173,0)))</f>
        <v>ACESSORIOS</v>
      </c>
      <c r="O173" s="212"/>
      <c r="Q173" s="212"/>
      <c r="R173" s="213"/>
      <c r="S173" s="213"/>
      <c r="T173" s="213"/>
      <c r="U173" s="213"/>
      <c r="V173" s="213"/>
      <c r="W173" s="213"/>
      <c r="X173" s="213"/>
      <c r="Y173" s="213"/>
      <c r="Z173" s="214"/>
      <c r="AB173" s="630">
        <f ca="1">IF(AND($D173="Serviço",AB$12&lt;&gt;0,$H173&gt;0,OR(AUTOEVENTO&lt;&gt;"manual",$M173&lt;&gt;1)),
IF(Import.TipoArredondamento&lt;&gt;"TransfereGOV",
ROUND(OFFSET($P173,0,AB$13),15-13*ORÇAMENTO!$AF$7)/$H173*OFFSET(ORÇAMENTO!$X$15,ROW(AB173)-ROW(AB$15),0),
ROUND(ROUND(OFFSET($P173,0,AB$13),15-13*ORÇAMENTO!$AF$7)*OFFSET(ORÇAMENTO!$W$15,ROW(AB173)-ROW(AB$15),0),15-13*ORÇAMENTO!$AF$11)),0)</f>
        <v>0</v>
      </c>
      <c r="AC173" s="631">
        <f ca="1">IF(AND($D173="Serviço",AC$12&lt;&gt;0,$H173&gt;0,OR(AUTOEVENTO&lt;&gt;"manual",$M173&lt;&gt;1)),
IF(Import.TipoArredondamento&lt;&gt;"TransfereGOV",
ROUND(OFFSET($P173,0,AC$13),15-13*ORÇAMENTO!$AF$7)/$H173*OFFSET(ORÇAMENTO!$X$15,ROW(AC173)-ROW(AC$15),0),
ROUND(ROUND(OFFSET($P173,0,AC$13),15-13*ORÇAMENTO!$AF$7)*OFFSET(ORÇAMENTO!$W$15,ROW(AC173)-ROW(AC$15),0),15-13*ORÇAMENTO!$AF$11)),0)</f>
        <v>0</v>
      </c>
      <c r="AD173" s="631">
        <f ca="1">IF(AND($D173="Serviço",AD$12&lt;&gt;0,$H173&gt;0,OR(AUTOEVENTO&lt;&gt;"manual",$M173&lt;&gt;1)),
IF(Import.TipoArredondamento&lt;&gt;"TransfereGOV",
ROUND(OFFSET($P173,0,AD$13),15-13*ORÇAMENTO!$AF$7)/$H173*OFFSET(ORÇAMENTO!$X$15,ROW(AD173)-ROW(AD$15),0),
ROUND(ROUND(OFFSET($P173,0,AD$13),15-13*ORÇAMENTO!$AF$7)*OFFSET(ORÇAMENTO!$W$15,ROW(AD173)-ROW(AD$15),0),15-13*ORÇAMENTO!$AF$11)),0)</f>
        <v>0</v>
      </c>
      <c r="AE173" s="631">
        <f ca="1">IF(AND($D173="Serviço",AE$12&lt;&gt;0,$H173&gt;0,OR(AUTOEVENTO&lt;&gt;"manual",$M173&lt;&gt;1)),
IF(Import.TipoArredondamento&lt;&gt;"TransfereGOV",
ROUND(OFFSET($P173,0,AE$13),15-13*ORÇAMENTO!$AF$7)/$H173*OFFSET(ORÇAMENTO!$X$15,ROW(AE173)-ROW(AE$15),0),
ROUND(ROUND(OFFSET($P173,0,AE$13),15-13*ORÇAMENTO!$AF$7)*OFFSET(ORÇAMENTO!$W$15,ROW(AE173)-ROW(AE$15),0),15-13*ORÇAMENTO!$AF$11)),0)</f>
        <v>0</v>
      </c>
      <c r="AF173" s="631">
        <f ca="1">IF(AND($D173="Serviço",AF$12&lt;&gt;0,$H173&gt;0,OR(AUTOEVENTO&lt;&gt;"manual",$M173&lt;&gt;1)),
IF(Import.TipoArredondamento&lt;&gt;"TransfereGOV",
ROUND(OFFSET($P173,0,AF$13),15-13*ORÇAMENTO!$AF$7)/$H173*OFFSET(ORÇAMENTO!$X$15,ROW(AF173)-ROW(AF$15),0),
ROUND(ROUND(OFFSET($P173,0,AF$13),15-13*ORÇAMENTO!$AF$7)*OFFSET(ORÇAMENTO!$W$15,ROW(AF173)-ROW(AF$15),0),15-13*ORÇAMENTO!$AF$11)),0)</f>
        <v>0</v>
      </c>
      <c r="AG173" s="631">
        <f ca="1">IF(AND($D173="Serviço",AG$12&lt;&gt;0,$H173&gt;0,OR(AUTOEVENTO&lt;&gt;"manual",$M173&lt;&gt;1)),
IF(Import.TipoArredondamento&lt;&gt;"TransfereGOV",
ROUND(OFFSET($P173,0,AG$13),15-13*ORÇAMENTO!$AF$7)/$H173*OFFSET(ORÇAMENTO!$X$15,ROW(AG173)-ROW(AG$15),0),
ROUND(ROUND(OFFSET($P173,0,AG$13),15-13*ORÇAMENTO!$AF$7)*OFFSET(ORÇAMENTO!$W$15,ROW(AG173)-ROW(AG$15),0),15-13*ORÇAMENTO!$AF$11)),0)</f>
        <v>0</v>
      </c>
      <c r="AH173" s="631">
        <f ca="1">IF(AND($D173="Serviço",AH$12&lt;&gt;0,$H173&gt;0,OR(AUTOEVENTO&lt;&gt;"manual",$M173&lt;&gt;1)),
IF(Import.TipoArredondamento&lt;&gt;"TransfereGOV",
ROUND(OFFSET($P173,0,AH$13),15-13*ORÇAMENTO!$AF$7)/$H173*OFFSET(ORÇAMENTO!$X$15,ROW(AH173)-ROW(AH$15),0),
ROUND(ROUND(OFFSET($P173,0,AH$13),15-13*ORÇAMENTO!$AF$7)*OFFSET(ORÇAMENTO!$W$15,ROW(AH173)-ROW(AH$15),0),15-13*ORÇAMENTO!$AF$11)),0)</f>
        <v>0</v>
      </c>
      <c r="AI173" s="631">
        <f ca="1">IF(AND($D173="Serviço",AI$12&lt;&gt;0,$H173&gt;0,OR(AUTOEVENTO&lt;&gt;"manual",$M173&lt;&gt;1)),
IF(Import.TipoArredondamento&lt;&gt;"TransfereGOV",
ROUND(OFFSET($P173,0,AI$13),15-13*ORÇAMENTO!$AF$7)/$H173*OFFSET(ORÇAMENTO!$X$15,ROW(AI173)-ROW(AI$15),0),
ROUND(ROUND(OFFSET($P173,0,AI$13),15-13*ORÇAMENTO!$AF$7)*OFFSET(ORÇAMENTO!$W$15,ROW(AI173)-ROW(AI$15),0),15-13*ORÇAMENTO!$AF$11)),0)</f>
        <v>0</v>
      </c>
      <c r="AJ173" s="631">
        <f ca="1">IF(AND($D173="Serviço",AJ$12&lt;&gt;0,$H173&gt;0,OR(AUTOEVENTO&lt;&gt;"manual",$M173&lt;&gt;1)),
IF(Import.TipoArredondamento&lt;&gt;"TransfereGOV",
ROUND(OFFSET($P173,0,AJ$13),15-13*ORÇAMENTO!$AF$7)/$H173*OFFSET(ORÇAMENTO!$X$15,ROW(AJ173)-ROW(AJ$15),0),
ROUND(ROUND(OFFSET($P173,0,AJ$13),15-13*ORÇAMENTO!$AF$7)*OFFSET(ORÇAMENTO!$W$15,ROW(AJ173)-ROW(AJ$15),0),15-13*ORÇAMENTO!$AF$11)),0)</f>
        <v>0</v>
      </c>
      <c r="AK173" s="632">
        <f ca="1">IF(AND($D173="Serviço",AK$12&lt;&gt;0,$H173&gt;0,OR(AUTOEVENTO&lt;&gt;"manual",$M173&lt;&gt;1)),
IF(Import.TipoArredondamento&lt;&gt;"TransfereGOV",
ROUND(OFFSET($P173,0,AK$13),15-13*ORÇAMENTO!$AF$7)/$H173*OFFSET(ORÇAMENTO!$X$15,ROW(AK173)-ROW(AK$15),0),
ROUND(ROUND(OFFSET($P173,0,AK$13),15-13*ORÇAMENTO!$AF$7)*OFFSET(ORÇAMENTO!$W$15,ROW(AK173)-ROW(AK$15),0),15-13*ORÇAMENTO!$AF$11)),0)</f>
        <v>0</v>
      </c>
      <c r="AM173" s="215">
        <f ca="1">IF($D173&lt;&gt;"Serviço",0,IF(AND(AUTOEVENTO="Manual",$M173=1),0,IF(OFFSET(CRONOPLE!$F$14,$M173,AM$13)="",10^12,OFFSET(CRONOPLE!$F$14,$M173,AM$13))))</f>
        <v>1000000000000</v>
      </c>
      <c r="AN173" s="215">
        <f ca="1">IF($D173&lt;&gt;"Serviço",0,IF(AND(AUTOEVENTO="Manual",$M173=1),0,IF(OFFSET(CRONOPLE!$F$14,$M173,AN$13)="",10^12,OFFSET(CRONOPLE!$F$14,$M173,AN$13))))</f>
        <v>1000000000000</v>
      </c>
      <c r="AO173" s="215">
        <f ca="1">IF($D173&lt;&gt;"Serviço",0,IF(AND(AUTOEVENTO="Manual",$M173=1),0,IF(OFFSET(CRONOPLE!$F$14,$M173,AO$13)="",10^12,OFFSET(CRONOPLE!$F$14,$M173,AO$13))))</f>
        <v>1000000000000</v>
      </c>
      <c r="AP173" s="215">
        <f ca="1">IF($D173&lt;&gt;"Serviço",0,IF(AND(AUTOEVENTO="Manual",$M173=1),0,IF(OFFSET(CRONOPLE!$F$14,$M173,AP$13)="",10^12,OFFSET(CRONOPLE!$F$14,$M173,AP$13))))</f>
        <v>1000000000000</v>
      </c>
      <c r="AQ173" s="215">
        <f ca="1">IF($D173&lt;&gt;"Serviço",0,IF(AND(AUTOEVENTO="Manual",$M173=1),0,IF(OFFSET(CRONOPLE!$F$14,$M173,AQ$13)="",10^12,OFFSET(CRONOPLE!$F$14,$M173,AQ$13))))</f>
        <v>1000000000000</v>
      </c>
      <c r="AR173" s="215">
        <f ca="1">IF($D173&lt;&gt;"Serviço",0,IF(AND(AUTOEVENTO="Manual",$M173=1),0,IF(OFFSET(CRONOPLE!$F$14,$M173,AR$13)="",10^12,OFFSET(CRONOPLE!$F$14,$M173,AR$13))))</f>
        <v>1000000000000</v>
      </c>
      <c r="AS173" s="215">
        <f ca="1">IF($D173&lt;&gt;"Serviço",0,IF(AND(AUTOEVENTO="Manual",$M173=1),0,IF(OFFSET(CRONOPLE!$F$14,$M173,AS$13)="",10^12,OFFSET(CRONOPLE!$F$14,$M173,AS$13))))</f>
        <v>1000000000000</v>
      </c>
      <c r="AT173" s="215">
        <f ca="1">IF($D173&lt;&gt;"Serviço",0,IF(AND(AUTOEVENTO="Manual",$M173=1),0,IF(OFFSET(CRONOPLE!$F$14,$M173,AT$13)="",10^12,OFFSET(CRONOPLE!$F$14,$M173,AT$13))))</f>
        <v>1000000000000</v>
      </c>
      <c r="AU173" s="215">
        <f ca="1">IF($D173&lt;&gt;"Serviço",0,IF(AND(AUTOEVENTO="Manual",$M173=1),0,IF(OFFSET(CRONOPLE!$F$14,$M173,AU$13)="",10^12,OFFSET(CRONOPLE!$F$14,$M173,AU$13))))</f>
        <v>1000000000000</v>
      </c>
      <c r="AV173" s="215">
        <f ca="1">IF($D173&lt;&gt;"Serviço",0,IF(AND(AUTOEVENTO="Manual",$M173=1),0,IF(OFFSET(CRONOPLE!$F$14,$M173,AV$13)="",10^12,OFFSET(CRONOPLE!$F$14,$M173,AV$13))))</f>
        <v>1000000000000</v>
      </c>
      <c r="AX173" s="216">
        <f ca="1">IF($D173&lt;&gt;"Serviço",0,IF(OR(AND(AUTOEVENTO="Manual",$M173=1),$M173&gt;(ROW(PLE.lastrow)-ROW(PLE.firstrow))),0,IF(OFFSET(PLE!$G$14,$M173,AX$13)="",10^12,OFFSET(PLE!$G$14,$M173,AX$13))))</f>
        <v>1000000000000</v>
      </c>
      <c r="AY173" s="216">
        <f ca="1">IF($D173&lt;&gt;"Serviço",0,IF(OR(AND(AUTOEVENTO="Manual",$M173=1),$M173&gt;(ROW(PLE.lastrow)-ROW(PLE.firstrow))),0,IF(OFFSET(PLE!$G$14,$M173,AY$13)="",10^12,OFFSET(PLE!$G$14,$M173,AY$13))))</f>
        <v>1000000000000</v>
      </c>
      <c r="AZ173" s="216">
        <f ca="1">IF($D173&lt;&gt;"Serviço",0,IF(OR(AND(AUTOEVENTO="Manual",$M173=1),$M173&gt;(ROW(PLE.lastrow)-ROW(PLE.firstrow))),0,IF(OFFSET(PLE!$G$14,$M173,AZ$13)="",10^12,OFFSET(PLE!$G$14,$M173,AZ$13))))</f>
        <v>1000000000000</v>
      </c>
      <c r="BA173" s="216">
        <f ca="1">IF($D173&lt;&gt;"Serviço",0,IF(OR(AND(AUTOEVENTO="Manual",$M173=1),$M173&gt;(ROW(PLE.lastrow)-ROW(PLE.firstrow))),0,IF(OFFSET(PLE!$G$14,$M173,BA$13)="",10^12,OFFSET(PLE!$G$14,$M173,BA$13))))</f>
        <v>1000000000000</v>
      </c>
      <c r="BB173" s="216">
        <f ca="1">IF($D173&lt;&gt;"Serviço",0,IF(OR(AND(AUTOEVENTO="Manual",$M173=1),$M173&gt;(ROW(PLE.lastrow)-ROW(PLE.firstrow))),0,IF(OFFSET(PLE!$G$14,$M173,BB$13)="",10^12,OFFSET(PLE!$G$14,$M173,BB$13))))</f>
        <v>1000000000000</v>
      </c>
      <c r="BC173" s="216">
        <f ca="1">IF($D173&lt;&gt;"Serviço",0,IF(OR(AND(AUTOEVENTO="Manual",$M173=1),$M173&gt;(ROW(PLE.lastrow)-ROW(PLE.firstrow))),0,IF(OFFSET(PLE!$G$14,$M173,BC$13)="",10^12,OFFSET(PLE!$G$14,$M173,BC$13))))</f>
        <v>1000000000000</v>
      </c>
      <c r="BD173" s="216">
        <f ca="1">IF($D173&lt;&gt;"Serviço",0,IF(OR(AND(AUTOEVENTO="Manual",$M173=1),$M173&gt;(ROW(PLE.lastrow)-ROW(PLE.firstrow))),0,IF(OFFSET(PLE!$G$14,$M173,BD$13)="",10^12,OFFSET(PLE!$G$14,$M173,BD$13))))</f>
        <v>1000000000000</v>
      </c>
      <c r="BE173" s="216">
        <f ca="1">IF($D173&lt;&gt;"Serviço",0,IF(OR(AND(AUTOEVENTO="Manual",$M173=1),$M173&gt;(ROW(PLE.lastrow)-ROW(PLE.firstrow))),0,IF(OFFSET(PLE!$G$14,$M173,BE$13)="",10^12,OFFSET(PLE!$G$14,$M173,BE$13))))</f>
        <v>1000000000000</v>
      </c>
      <c r="BF173" s="216">
        <f ca="1">IF($D173&lt;&gt;"Serviço",0,IF(OR(AND(AUTOEVENTO="Manual",$M173=1),$M173&gt;(ROW(PLE.lastrow)-ROW(PLE.firstrow))),0,IF(OFFSET(PLE!$G$14,$M173,BF$13)="",10^12,OFFSET(PLE!$G$14,$M173,BF$13))))</f>
        <v>1000000000000</v>
      </c>
      <c r="BG173" s="216">
        <f ca="1">IF($D173&lt;&gt;"Serviço",0,IF(OR(AND(AUTOEVENTO="Manual",$M173=1),$M173&gt;(ROW(PLE.lastrow)-ROW(PLE.firstrow))),0,IF(OFFSET(PLE!$G$14,$M173,BG$13)="",10^12,OFFSET(PLE!$G$14,$M173,BG$13))))</f>
        <v>1000000000000</v>
      </c>
    </row>
    <row r="174" spans="1:59" ht="63.75" x14ac:dyDescent="0.2">
      <c r="A174" s="9" t="str">
        <f t="shared" ca="1" si="11"/>
        <v>156</v>
      </c>
      <c r="B174" s="9" t="str">
        <f ca="1">OFFSET(ORÇAMENTO!C$15,ROW(B174)-ROW(B$15),0)</f>
        <v>S</v>
      </c>
      <c r="C174" s="9" t="str">
        <f ca="1">OFFSET(ORÇAMENTO!L$15,ROW(C174)-ROW(C$15),0)</f>
        <v/>
      </c>
      <c r="D174" s="145" t="str">
        <f ca="1">OFFSET(ORÇAMENTO!N$15,ROW(D174)-ROW(D$15),0)</f>
        <v>Serviço</v>
      </c>
      <c r="E174" s="205" t="str">
        <f ca="1">OFFSET(ORÇAMENTO!O$15,ROW(E174)-ROW(E$15),0)</f>
        <v>-</v>
      </c>
      <c r="F174" s="206" t="str">
        <f ca="1">OFFSET(ORÇAMENTO!R$15,ROW(F174)-ROW(F$15),0)</f>
        <v>LAVATÓRIO LOUÇA BRANCA SUSPENSO, 29,5 X 39CM OU EQUIVALENTE, PADRÃO POPULAR, INCLUSO SIFÃO TIPO GARRAFA EM PVC, VÁLVULA E ENGATE FLEXÍVEL 30CM EM PLÁSTICO E TORNEIRA CROMADA DE MESA, PADRÃO POPULAR - FORNECIMENTO E INSTALAÇÃO. AF_01/2020</v>
      </c>
      <c r="G174" s="207" t="str">
        <f ca="1">IF($D174&lt;&gt;"Serviço","",OFFSET(ORÇAMENTO!S$15,ROW(G174)-ROW(G$15),0))</f>
        <v>UN</v>
      </c>
      <c r="H174" s="151">
        <f ca="1">IF($D174&lt;&gt;"Serviço",0,IF(ACOMPANHAMENTO="BM",ROUND(OFFSET(ORÇAMENTO!AJ$15,ROW(H174)-ROW(H$15),0),15-13*ORÇAMENTO!$AF$7),SUMPRODUCT(($Q$12:$AA$12&lt;&gt;"")*ROUND($Q174:$AA174,15-13*ORÇAMENTO!$AF$7))))</f>
        <v>3</v>
      </c>
      <c r="I174" s="649"/>
      <c r="K174" s="208"/>
      <c r="L174" s="209" t="s">
        <v>255</v>
      </c>
      <c r="M174" s="210">
        <f ca="1">IF($D174&lt;&gt;"Serviço","",IF(AUTOEVENTO="manual",$A174,IF(ISERROR(MATCH($A174,$A$15:OFFSET($A174,-1,0),0)),MAX($M$15:OFFSET(M174,-1,0))+1,INDEX($M$15:OFFSET(M174,-1,0),MATCH($A174,$A$15:OFFSET($A174,-1,0),0)))))</f>
        <v>22</v>
      </c>
      <c r="N174" s="211" t="str">
        <f ca="1">IF($D174&lt;&gt;"Serviço","",IF(AUTOEVENTO="Manual",IF($A174=0,"&lt;-- defina o número do agrupador",OFFSET(EVENTOS!$D$14,$A174,0)),OFFSET($F$15,$A174,0)))</f>
        <v>ACESSORIOS</v>
      </c>
      <c r="O174" s="212"/>
      <c r="Q174" s="212"/>
      <c r="R174" s="213"/>
      <c r="S174" s="213"/>
      <c r="T174" s="213"/>
      <c r="U174" s="213"/>
      <c r="V174" s="213"/>
      <c r="W174" s="213"/>
      <c r="X174" s="213"/>
      <c r="Y174" s="213"/>
      <c r="Z174" s="214"/>
      <c r="AB174" s="630">
        <f ca="1">IF(AND($D174="Serviço",AB$12&lt;&gt;0,$H174&gt;0,OR(AUTOEVENTO&lt;&gt;"manual",$M174&lt;&gt;1)),
IF(Import.TipoArredondamento&lt;&gt;"TransfereGOV",
ROUND(OFFSET($P174,0,AB$13),15-13*ORÇAMENTO!$AF$7)/$H174*OFFSET(ORÇAMENTO!$X$15,ROW(AB174)-ROW(AB$15),0),
ROUND(ROUND(OFFSET($P174,0,AB$13),15-13*ORÇAMENTO!$AF$7)*OFFSET(ORÇAMENTO!$W$15,ROW(AB174)-ROW(AB$15),0),15-13*ORÇAMENTO!$AF$11)),0)</f>
        <v>0</v>
      </c>
      <c r="AC174" s="631">
        <f ca="1">IF(AND($D174="Serviço",AC$12&lt;&gt;0,$H174&gt;0,OR(AUTOEVENTO&lt;&gt;"manual",$M174&lt;&gt;1)),
IF(Import.TipoArredondamento&lt;&gt;"TransfereGOV",
ROUND(OFFSET($P174,0,AC$13),15-13*ORÇAMENTO!$AF$7)/$H174*OFFSET(ORÇAMENTO!$X$15,ROW(AC174)-ROW(AC$15),0),
ROUND(ROUND(OFFSET($P174,0,AC$13),15-13*ORÇAMENTO!$AF$7)*OFFSET(ORÇAMENTO!$W$15,ROW(AC174)-ROW(AC$15),0),15-13*ORÇAMENTO!$AF$11)),0)</f>
        <v>0</v>
      </c>
      <c r="AD174" s="631">
        <f ca="1">IF(AND($D174="Serviço",AD$12&lt;&gt;0,$H174&gt;0,OR(AUTOEVENTO&lt;&gt;"manual",$M174&lt;&gt;1)),
IF(Import.TipoArredondamento&lt;&gt;"TransfereGOV",
ROUND(OFFSET($P174,0,AD$13),15-13*ORÇAMENTO!$AF$7)/$H174*OFFSET(ORÇAMENTO!$X$15,ROW(AD174)-ROW(AD$15),0),
ROUND(ROUND(OFFSET($P174,0,AD$13),15-13*ORÇAMENTO!$AF$7)*OFFSET(ORÇAMENTO!$W$15,ROW(AD174)-ROW(AD$15),0),15-13*ORÇAMENTO!$AF$11)),0)</f>
        <v>0</v>
      </c>
      <c r="AE174" s="631">
        <f ca="1">IF(AND($D174="Serviço",AE$12&lt;&gt;0,$H174&gt;0,OR(AUTOEVENTO&lt;&gt;"manual",$M174&lt;&gt;1)),
IF(Import.TipoArredondamento&lt;&gt;"TransfereGOV",
ROUND(OFFSET($P174,0,AE$13),15-13*ORÇAMENTO!$AF$7)/$H174*OFFSET(ORÇAMENTO!$X$15,ROW(AE174)-ROW(AE$15),0),
ROUND(ROUND(OFFSET($P174,0,AE$13),15-13*ORÇAMENTO!$AF$7)*OFFSET(ORÇAMENTO!$W$15,ROW(AE174)-ROW(AE$15),0),15-13*ORÇAMENTO!$AF$11)),0)</f>
        <v>0</v>
      </c>
      <c r="AF174" s="631">
        <f ca="1">IF(AND($D174="Serviço",AF$12&lt;&gt;0,$H174&gt;0,OR(AUTOEVENTO&lt;&gt;"manual",$M174&lt;&gt;1)),
IF(Import.TipoArredondamento&lt;&gt;"TransfereGOV",
ROUND(OFFSET($P174,0,AF$13),15-13*ORÇAMENTO!$AF$7)/$H174*OFFSET(ORÇAMENTO!$X$15,ROW(AF174)-ROW(AF$15),0),
ROUND(ROUND(OFFSET($P174,0,AF$13),15-13*ORÇAMENTO!$AF$7)*OFFSET(ORÇAMENTO!$W$15,ROW(AF174)-ROW(AF$15),0),15-13*ORÇAMENTO!$AF$11)),0)</f>
        <v>0</v>
      </c>
      <c r="AG174" s="631">
        <f ca="1">IF(AND($D174="Serviço",AG$12&lt;&gt;0,$H174&gt;0,OR(AUTOEVENTO&lt;&gt;"manual",$M174&lt;&gt;1)),
IF(Import.TipoArredondamento&lt;&gt;"TransfereGOV",
ROUND(OFFSET($P174,0,AG$13),15-13*ORÇAMENTO!$AF$7)/$H174*OFFSET(ORÇAMENTO!$X$15,ROW(AG174)-ROW(AG$15),0),
ROUND(ROUND(OFFSET($P174,0,AG$13),15-13*ORÇAMENTO!$AF$7)*OFFSET(ORÇAMENTO!$W$15,ROW(AG174)-ROW(AG$15),0),15-13*ORÇAMENTO!$AF$11)),0)</f>
        <v>0</v>
      </c>
      <c r="AH174" s="631">
        <f ca="1">IF(AND($D174="Serviço",AH$12&lt;&gt;0,$H174&gt;0,OR(AUTOEVENTO&lt;&gt;"manual",$M174&lt;&gt;1)),
IF(Import.TipoArredondamento&lt;&gt;"TransfereGOV",
ROUND(OFFSET($P174,0,AH$13),15-13*ORÇAMENTO!$AF$7)/$H174*OFFSET(ORÇAMENTO!$X$15,ROW(AH174)-ROW(AH$15),0),
ROUND(ROUND(OFFSET($P174,0,AH$13),15-13*ORÇAMENTO!$AF$7)*OFFSET(ORÇAMENTO!$W$15,ROW(AH174)-ROW(AH$15),0),15-13*ORÇAMENTO!$AF$11)),0)</f>
        <v>0</v>
      </c>
      <c r="AI174" s="631">
        <f ca="1">IF(AND($D174="Serviço",AI$12&lt;&gt;0,$H174&gt;0,OR(AUTOEVENTO&lt;&gt;"manual",$M174&lt;&gt;1)),
IF(Import.TipoArredondamento&lt;&gt;"TransfereGOV",
ROUND(OFFSET($P174,0,AI$13),15-13*ORÇAMENTO!$AF$7)/$H174*OFFSET(ORÇAMENTO!$X$15,ROW(AI174)-ROW(AI$15),0),
ROUND(ROUND(OFFSET($P174,0,AI$13),15-13*ORÇAMENTO!$AF$7)*OFFSET(ORÇAMENTO!$W$15,ROW(AI174)-ROW(AI$15),0),15-13*ORÇAMENTO!$AF$11)),0)</f>
        <v>0</v>
      </c>
      <c r="AJ174" s="631">
        <f ca="1">IF(AND($D174="Serviço",AJ$12&lt;&gt;0,$H174&gt;0,OR(AUTOEVENTO&lt;&gt;"manual",$M174&lt;&gt;1)),
IF(Import.TipoArredondamento&lt;&gt;"TransfereGOV",
ROUND(OFFSET($P174,0,AJ$13),15-13*ORÇAMENTO!$AF$7)/$H174*OFFSET(ORÇAMENTO!$X$15,ROW(AJ174)-ROW(AJ$15),0),
ROUND(ROUND(OFFSET($P174,0,AJ$13),15-13*ORÇAMENTO!$AF$7)*OFFSET(ORÇAMENTO!$W$15,ROW(AJ174)-ROW(AJ$15),0),15-13*ORÇAMENTO!$AF$11)),0)</f>
        <v>0</v>
      </c>
      <c r="AK174" s="632">
        <f ca="1">IF(AND($D174="Serviço",AK$12&lt;&gt;0,$H174&gt;0,OR(AUTOEVENTO&lt;&gt;"manual",$M174&lt;&gt;1)),
IF(Import.TipoArredondamento&lt;&gt;"TransfereGOV",
ROUND(OFFSET($P174,0,AK$13),15-13*ORÇAMENTO!$AF$7)/$H174*OFFSET(ORÇAMENTO!$X$15,ROW(AK174)-ROW(AK$15),0),
ROUND(ROUND(OFFSET($P174,0,AK$13),15-13*ORÇAMENTO!$AF$7)*OFFSET(ORÇAMENTO!$W$15,ROW(AK174)-ROW(AK$15),0),15-13*ORÇAMENTO!$AF$11)),0)</f>
        <v>0</v>
      </c>
      <c r="AM174" s="215">
        <f ca="1">IF($D174&lt;&gt;"Serviço",0,IF(AND(AUTOEVENTO="Manual",$M174=1),0,IF(OFFSET(CRONOPLE!$F$14,$M174,AM$13)="",10^12,OFFSET(CRONOPLE!$F$14,$M174,AM$13))))</f>
        <v>1000000000000</v>
      </c>
      <c r="AN174" s="215">
        <f ca="1">IF($D174&lt;&gt;"Serviço",0,IF(AND(AUTOEVENTO="Manual",$M174=1),0,IF(OFFSET(CRONOPLE!$F$14,$M174,AN$13)="",10^12,OFFSET(CRONOPLE!$F$14,$M174,AN$13))))</f>
        <v>1000000000000</v>
      </c>
      <c r="AO174" s="215">
        <f ca="1">IF($D174&lt;&gt;"Serviço",0,IF(AND(AUTOEVENTO="Manual",$M174=1),0,IF(OFFSET(CRONOPLE!$F$14,$M174,AO$13)="",10^12,OFFSET(CRONOPLE!$F$14,$M174,AO$13))))</f>
        <v>1000000000000</v>
      </c>
      <c r="AP174" s="215">
        <f ca="1">IF($D174&lt;&gt;"Serviço",0,IF(AND(AUTOEVENTO="Manual",$M174=1),0,IF(OFFSET(CRONOPLE!$F$14,$M174,AP$13)="",10^12,OFFSET(CRONOPLE!$F$14,$M174,AP$13))))</f>
        <v>1000000000000</v>
      </c>
      <c r="AQ174" s="215">
        <f ca="1">IF($D174&lt;&gt;"Serviço",0,IF(AND(AUTOEVENTO="Manual",$M174=1),0,IF(OFFSET(CRONOPLE!$F$14,$M174,AQ$13)="",10^12,OFFSET(CRONOPLE!$F$14,$M174,AQ$13))))</f>
        <v>1000000000000</v>
      </c>
      <c r="AR174" s="215">
        <f ca="1">IF($D174&lt;&gt;"Serviço",0,IF(AND(AUTOEVENTO="Manual",$M174=1),0,IF(OFFSET(CRONOPLE!$F$14,$M174,AR$13)="",10^12,OFFSET(CRONOPLE!$F$14,$M174,AR$13))))</f>
        <v>1000000000000</v>
      </c>
      <c r="AS174" s="215">
        <f ca="1">IF($D174&lt;&gt;"Serviço",0,IF(AND(AUTOEVENTO="Manual",$M174=1),0,IF(OFFSET(CRONOPLE!$F$14,$M174,AS$13)="",10^12,OFFSET(CRONOPLE!$F$14,$M174,AS$13))))</f>
        <v>1000000000000</v>
      </c>
      <c r="AT174" s="215">
        <f ca="1">IF($D174&lt;&gt;"Serviço",0,IF(AND(AUTOEVENTO="Manual",$M174=1),0,IF(OFFSET(CRONOPLE!$F$14,$M174,AT$13)="",10^12,OFFSET(CRONOPLE!$F$14,$M174,AT$13))))</f>
        <v>1000000000000</v>
      </c>
      <c r="AU174" s="215">
        <f ca="1">IF($D174&lt;&gt;"Serviço",0,IF(AND(AUTOEVENTO="Manual",$M174=1),0,IF(OFFSET(CRONOPLE!$F$14,$M174,AU$13)="",10^12,OFFSET(CRONOPLE!$F$14,$M174,AU$13))))</f>
        <v>1000000000000</v>
      </c>
      <c r="AV174" s="215">
        <f ca="1">IF($D174&lt;&gt;"Serviço",0,IF(AND(AUTOEVENTO="Manual",$M174=1),0,IF(OFFSET(CRONOPLE!$F$14,$M174,AV$13)="",10^12,OFFSET(CRONOPLE!$F$14,$M174,AV$13))))</f>
        <v>1000000000000</v>
      </c>
      <c r="AX174" s="216">
        <f ca="1">IF($D174&lt;&gt;"Serviço",0,IF(OR(AND(AUTOEVENTO="Manual",$M174=1),$M174&gt;(ROW(PLE.lastrow)-ROW(PLE.firstrow))),0,IF(OFFSET(PLE!$G$14,$M174,AX$13)="",10^12,OFFSET(PLE!$G$14,$M174,AX$13))))</f>
        <v>1000000000000</v>
      </c>
      <c r="AY174" s="216">
        <f ca="1">IF($D174&lt;&gt;"Serviço",0,IF(OR(AND(AUTOEVENTO="Manual",$M174=1),$M174&gt;(ROW(PLE.lastrow)-ROW(PLE.firstrow))),0,IF(OFFSET(PLE!$G$14,$M174,AY$13)="",10^12,OFFSET(PLE!$G$14,$M174,AY$13))))</f>
        <v>1000000000000</v>
      </c>
      <c r="AZ174" s="216">
        <f ca="1">IF($D174&lt;&gt;"Serviço",0,IF(OR(AND(AUTOEVENTO="Manual",$M174=1),$M174&gt;(ROW(PLE.lastrow)-ROW(PLE.firstrow))),0,IF(OFFSET(PLE!$G$14,$M174,AZ$13)="",10^12,OFFSET(PLE!$G$14,$M174,AZ$13))))</f>
        <v>1000000000000</v>
      </c>
      <c r="BA174" s="216">
        <f ca="1">IF($D174&lt;&gt;"Serviço",0,IF(OR(AND(AUTOEVENTO="Manual",$M174=1),$M174&gt;(ROW(PLE.lastrow)-ROW(PLE.firstrow))),0,IF(OFFSET(PLE!$G$14,$M174,BA$13)="",10^12,OFFSET(PLE!$G$14,$M174,BA$13))))</f>
        <v>1000000000000</v>
      </c>
      <c r="BB174" s="216">
        <f ca="1">IF($D174&lt;&gt;"Serviço",0,IF(OR(AND(AUTOEVENTO="Manual",$M174=1),$M174&gt;(ROW(PLE.lastrow)-ROW(PLE.firstrow))),0,IF(OFFSET(PLE!$G$14,$M174,BB$13)="",10^12,OFFSET(PLE!$G$14,$M174,BB$13))))</f>
        <v>1000000000000</v>
      </c>
      <c r="BC174" s="216">
        <f ca="1">IF($D174&lt;&gt;"Serviço",0,IF(OR(AND(AUTOEVENTO="Manual",$M174=1),$M174&gt;(ROW(PLE.lastrow)-ROW(PLE.firstrow))),0,IF(OFFSET(PLE!$G$14,$M174,BC$13)="",10^12,OFFSET(PLE!$G$14,$M174,BC$13))))</f>
        <v>1000000000000</v>
      </c>
      <c r="BD174" s="216">
        <f ca="1">IF($D174&lt;&gt;"Serviço",0,IF(OR(AND(AUTOEVENTO="Manual",$M174=1),$M174&gt;(ROW(PLE.lastrow)-ROW(PLE.firstrow))),0,IF(OFFSET(PLE!$G$14,$M174,BD$13)="",10^12,OFFSET(PLE!$G$14,$M174,BD$13))))</f>
        <v>1000000000000</v>
      </c>
      <c r="BE174" s="216">
        <f ca="1">IF($D174&lt;&gt;"Serviço",0,IF(OR(AND(AUTOEVENTO="Manual",$M174=1),$M174&gt;(ROW(PLE.lastrow)-ROW(PLE.firstrow))),0,IF(OFFSET(PLE!$G$14,$M174,BE$13)="",10^12,OFFSET(PLE!$G$14,$M174,BE$13))))</f>
        <v>1000000000000</v>
      </c>
      <c r="BF174" s="216">
        <f ca="1">IF($D174&lt;&gt;"Serviço",0,IF(OR(AND(AUTOEVENTO="Manual",$M174=1),$M174&gt;(ROW(PLE.lastrow)-ROW(PLE.firstrow))),0,IF(OFFSET(PLE!$G$14,$M174,BF$13)="",10^12,OFFSET(PLE!$G$14,$M174,BF$13))))</f>
        <v>1000000000000</v>
      </c>
      <c r="BG174" s="216">
        <f ca="1">IF($D174&lt;&gt;"Serviço",0,IF(OR(AND(AUTOEVENTO="Manual",$M174=1),$M174&gt;(ROW(PLE.lastrow)-ROW(PLE.firstrow))),0,IF(OFFSET(PLE!$G$14,$M174,BG$13)="",10^12,OFFSET(PLE!$G$14,$M174,BG$13))))</f>
        <v>1000000000000</v>
      </c>
    </row>
    <row r="175" spans="1:59" ht="12.75" x14ac:dyDescent="0.2">
      <c r="A175" s="9" t="str">
        <f t="shared" ca="1" si="11"/>
        <v>160.</v>
      </c>
      <c r="B175" s="9">
        <f ca="1">OFFSET(ORÇAMENTO!C$15,ROW(B175)-ROW(B$15),0)</f>
        <v>2</v>
      </c>
      <c r="C175" s="9" t="str">
        <f ca="1">OFFSET(ORÇAMENTO!L$15,ROW(C175)-ROW(C$15),0)</f>
        <v>F</v>
      </c>
      <c r="D175" s="145" t="str">
        <f ca="1">OFFSET(ORÇAMENTO!N$15,ROW(D175)-ROW(D$15),0)</f>
        <v>Nível 2</v>
      </c>
      <c r="E175" s="205" t="str">
        <f ca="1">OFFSET(ORÇAMENTO!O$15,ROW(E175)-ROW(E$15),0)</f>
        <v>1.22.</v>
      </c>
      <c r="F175" s="206" t="str">
        <f ca="1">OFFSET(ORÇAMENTO!R$15,ROW(F175)-ROW(F$15),0)</f>
        <v>CLIMATIZADORES</v>
      </c>
      <c r="G175" s="207" t="str">
        <f ca="1">IF($D175&lt;&gt;"Serviço","",OFFSET(ORÇAMENTO!S$15,ROW(G175)-ROW(G$15),0))</f>
        <v/>
      </c>
      <c r="H175" s="151">
        <f ca="1">IF($D175&lt;&gt;"Serviço",0,IF(ACOMPANHAMENTO="BM",ROUND(OFFSET(ORÇAMENTO!AJ$15,ROW(H175)-ROW(H$15),0),15-13*ORÇAMENTO!$AF$7),SUMPRODUCT(($Q$12:$AA$12&lt;&gt;"")*ROUND($Q175:$AA175,15-13*ORÇAMENTO!$AF$7))))</f>
        <v>0</v>
      </c>
      <c r="I175" s="649"/>
      <c r="K175" s="208"/>
      <c r="L175" s="209" t="s">
        <v>255</v>
      </c>
      <c r="M175" s="210" t="str">
        <f ca="1">IF($D175&lt;&gt;"Serviço","",IF(AUTOEVENTO="manual",$A175,IF(ISERROR(MATCH($A175,$A$15:OFFSET($A175,-1,0),0)),MAX($M$15:OFFSET(M175,-1,0))+1,INDEX($M$15:OFFSET(M175,-1,0),MATCH($A175,$A$15:OFFSET($A175,-1,0),0)))))</f>
        <v/>
      </c>
      <c r="N175" s="211" t="str">
        <f ca="1">IF($D175&lt;&gt;"Serviço","",IF(AUTOEVENTO="Manual",IF($A175=0,"&lt;-- defina o número do agrupador",OFFSET(EVENTOS!$D$14,$A175,0)),OFFSET($F$15,$A175,0)))</f>
        <v/>
      </c>
      <c r="O175" s="212"/>
      <c r="Q175" s="212"/>
      <c r="R175" s="213"/>
      <c r="S175" s="213"/>
      <c r="T175" s="213"/>
      <c r="U175" s="213"/>
      <c r="V175" s="213"/>
      <c r="W175" s="213"/>
      <c r="X175" s="213"/>
      <c r="Y175" s="213"/>
      <c r="Z175" s="214"/>
      <c r="AB175" s="630">
        <f ca="1">IF(AND($D175="Serviço",AB$12&lt;&gt;0,$H175&gt;0,OR(AUTOEVENTO&lt;&gt;"manual",$M175&lt;&gt;1)),
IF(Import.TipoArredondamento&lt;&gt;"TransfereGOV",
ROUND(OFFSET($P175,0,AB$13),15-13*ORÇAMENTO!$AF$7)/$H175*OFFSET(ORÇAMENTO!$X$15,ROW(AB175)-ROW(AB$15),0),
ROUND(ROUND(OFFSET($P175,0,AB$13),15-13*ORÇAMENTO!$AF$7)*OFFSET(ORÇAMENTO!$W$15,ROW(AB175)-ROW(AB$15),0),15-13*ORÇAMENTO!$AF$11)),0)</f>
        <v>0</v>
      </c>
      <c r="AC175" s="631">
        <f ca="1">IF(AND($D175="Serviço",AC$12&lt;&gt;0,$H175&gt;0,OR(AUTOEVENTO&lt;&gt;"manual",$M175&lt;&gt;1)),
IF(Import.TipoArredondamento&lt;&gt;"TransfereGOV",
ROUND(OFFSET($P175,0,AC$13),15-13*ORÇAMENTO!$AF$7)/$H175*OFFSET(ORÇAMENTO!$X$15,ROW(AC175)-ROW(AC$15),0),
ROUND(ROUND(OFFSET($P175,0,AC$13),15-13*ORÇAMENTO!$AF$7)*OFFSET(ORÇAMENTO!$W$15,ROW(AC175)-ROW(AC$15),0),15-13*ORÇAMENTO!$AF$11)),0)</f>
        <v>0</v>
      </c>
      <c r="AD175" s="631">
        <f ca="1">IF(AND($D175="Serviço",AD$12&lt;&gt;0,$H175&gt;0,OR(AUTOEVENTO&lt;&gt;"manual",$M175&lt;&gt;1)),
IF(Import.TipoArredondamento&lt;&gt;"TransfereGOV",
ROUND(OFFSET($P175,0,AD$13),15-13*ORÇAMENTO!$AF$7)/$H175*OFFSET(ORÇAMENTO!$X$15,ROW(AD175)-ROW(AD$15),0),
ROUND(ROUND(OFFSET($P175,0,AD$13),15-13*ORÇAMENTO!$AF$7)*OFFSET(ORÇAMENTO!$W$15,ROW(AD175)-ROW(AD$15),0),15-13*ORÇAMENTO!$AF$11)),0)</f>
        <v>0</v>
      </c>
      <c r="AE175" s="631">
        <f ca="1">IF(AND($D175="Serviço",AE$12&lt;&gt;0,$H175&gt;0,OR(AUTOEVENTO&lt;&gt;"manual",$M175&lt;&gt;1)),
IF(Import.TipoArredondamento&lt;&gt;"TransfereGOV",
ROUND(OFFSET($P175,0,AE$13),15-13*ORÇAMENTO!$AF$7)/$H175*OFFSET(ORÇAMENTO!$X$15,ROW(AE175)-ROW(AE$15),0),
ROUND(ROUND(OFFSET($P175,0,AE$13),15-13*ORÇAMENTO!$AF$7)*OFFSET(ORÇAMENTO!$W$15,ROW(AE175)-ROW(AE$15),0),15-13*ORÇAMENTO!$AF$11)),0)</f>
        <v>0</v>
      </c>
      <c r="AF175" s="631">
        <f ca="1">IF(AND($D175="Serviço",AF$12&lt;&gt;0,$H175&gt;0,OR(AUTOEVENTO&lt;&gt;"manual",$M175&lt;&gt;1)),
IF(Import.TipoArredondamento&lt;&gt;"TransfereGOV",
ROUND(OFFSET($P175,0,AF$13),15-13*ORÇAMENTO!$AF$7)/$H175*OFFSET(ORÇAMENTO!$X$15,ROW(AF175)-ROW(AF$15),0),
ROUND(ROUND(OFFSET($P175,0,AF$13),15-13*ORÇAMENTO!$AF$7)*OFFSET(ORÇAMENTO!$W$15,ROW(AF175)-ROW(AF$15),0),15-13*ORÇAMENTO!$AF$11)),0)</f>
        <v>0</v>
      </c>
      <c r="AG175" s="631">
        <f ca="1">IF(AND($D175="Serviço",AG$12&lt;&gt;0,$H175&gt;0,OR(AUTOEVENTO&lt;&gt;"manual",$M175&lt;&gt;1)),
IF(Import.TipoArredondamento&lt;&gt;"TransfereGOV",
ROUND(OFFSET($P175,0,AG$13),15-13*ORÇAMENTO!$AF$7)/$H175*OFFSET(ORÇAMENTO!$X$15,ROW(AG175)-ROW(AG$15),0),
ROUND(ROUND(OFFSET($P175,0,AG$13),15-13*ORÇAMENTO!$AF$7)*OFFSET(ORÇAMENTO!$W$15,ROW(AG175)-ROW(AG$15),0),15-13*ORÇAMENTO!$AF$11)),0)</f>
        <v>0</v>
      </c>
      <c r="AH175" s="631">
        <f ca="1">IF(AND($D175="Serviço",AH$12&lt;&gt;0,$H175&gt;0,OR(AUTOEVENTO&lt;&gt;"manual",$M175&lt;&gt;1)),
IF(Import.TipoArredondamento&lt;&gt;"TransfereGOV",
ROUND(OFFSET($P175,0,AH$13),15-13*ORÇAMENTO!$AF$7)/$H175*OFFSET(ORÇAMENTO!$X$15,ROW(AH175)-ROW(AH$15),0),
ROUND(ROUND(OFFSET($P175,0,AH$13),15-13*ORÇAMENTO!$AF$7)*OFFSET(ORÇAMENTO!$W$15,ROW(AH175)-ROW(AH$15),0),15-13*ORÇAMENTO!$AF$11)),0)</f>
        <v>0</v>
      </c>
      <c r="AI175" s="631">
        <f ca="1">IF(AND($D175="Serviço",AI$12&lt;&gt;0,$H175&gt;0,OR(AUTOEVENTO&lt;&gt;"manual",$M175&lt;&gt;1)),
IF(Import.TipoArredondamento&lt;&gt;"TransfereGOV",
ROUND(OFFSET($P175,0,AI$13),15-13*ORÇAMENTO!$AF$7)/$H175*OFFSET(ORÇAMENTO!$X$15,ROW(AI175)-ROW(AI$15),0),
ROUND(ROUND(OFFSET($P175,0,AI$13),15-13*ORÇAMENTO!$AF$7)*OFFSET(ORÇAMENTO!$W$15,ROW(AI175)-ROW(AI$15),0),15-13*ORÇAMENTO!$AF$11)),0)</f>
        <v>0</v>
      </c>
      <c r="AJ175" s="631">
        <f ca="1">IF(AND($D175="Serviço",AJ$12&lt;&gt;0,$H175&gt;0,OR(AUTOEVENTO&lt;&gt;"manual",$M175&lt;&gt;1)),
IF(Import.TipoArredondamento&lt;&gt;"TransfereGOV",
ROUND(OFFSET($P175,0,AJ$13),15-13*ORÇAMENTO!$AF$7)/$H175*OFFSET(ORÇAMENTO!$X$15,ROW(AJ175)-ROW(AJ$15),0),
ROUND(ROUND(OFFSET($P175,0,AJ$13),15-13*ORÇAMENTO!$AF$7)*OFFSET(ORÇAMENTO!$W$15,ROW(AJ175)-ROW(AJ$15),0),15-13*ORÇAMENTO!$AF$11)),0)</f>
        <v>0</v>
      </c>
      <c r="AK175" s="632">
        <f ca="1">IF(AND($D175="Serviço",AK$12&lt;&gt;0,$H175&gt;0,OR(AUTOEVENTO&lt;&gt;"manual",$M175&lt;&gt;1)),
IF(Import.TipoArredondamento&lt;&gt;"TransfereGOV",
ROUND(OFFSET($P175,0,AK$13),15-13*ORÇAMENTO!$AF$7)/$H175*OFFSET(ORÇAMENTO!$X$15,ROW(AK175)-ROW(AK$15),0),
ROUND(ROUND(OFFSET($P175,0,AK$13),15-13*ORÇAMENTO!$AF$7)*OFFSET(ORÇAMENTO!$W$15,ROW(AK175)-ROW(AK$15),0),15-13*ORÇAMENTO!$AF$11)),0)</f>
        <v>0</v>
      </c>
      <c r="AM175" s="215">
        <f ca="1">IF($D175&lt;&gt;"Serviço",0,IF(AND(AUTOEVENTO="Manual",$M175=1),0,IF(OFFSET(CRONOPLE!$F$14,$M175,AM$13)="",10^12,OFFSET(CRONOPLE!$F$14,$M175,AM$13))))</f>
        <v>0</v>
      </c>
      <c r="AN175" s="215">
        <f ca="1">IF($D175&lt;&gt;"Serviço",0,IF(AND(AUTOEVENTO="Manual",$M175=1),0,IF(OFFSET(CRONOPLE!$F$14,$M175,AN$13)="",10^12,OFFSET(CRONOPLE!$F$14,$M175,AN$13))))</f>
        <v>0</v>
      </c>
      <c r="AO175" s="215">
        <f ca="1">IF($D175&lt;&gt;"Serviço",0,IF(AND(AUTOEVENTO="Manual",$M175=1),0,IF(OFFSET(CRONOPLE!$F$14,$M175,AO$13)="",10^12,OFFSET(CRONOPLE!$F$14,$M175,AO$13))))</f>
        <v>0</v>
      </c>
      <c r="AP175" s="215">
        <f ca="1">IF($D175&lt;&gt;"Serviço",0,IF(AND(AUTOEVENTO="Manual",$M175=1),0,IF(OFFSET(CRONOPLE!$F$14,$M175,AP$13)="",10^12,OFFSET(CRONOPLE!$F$14,$M175,AP$13))))</f>
        <v>0</v>
      </c>
      <c r="AQ175" s="215">
        <f ca="1">IF($D175&lt;&gt;"Serviço",0,IF(AND(AUTOEVENTO="Manual",$M175=1),0,IF(OFFSET(CRONOPLE!$F$14,$M175,AQ$13)="",10^12,OFFSET(CRONOPLE!$F$14,$M175,AQ$13))))</f>
        <v>0</v>
      </c>
      <c r="AR175" s="215">
        <f ca="1">IF($D175&lt;&gt;"Serviço",0,IF(AND(AUTOEVENTO="Manual",$M175=1),0,IF(OFFSET(CRONOPLE!$F$14,$M175,AR$13)="",10^12,OFFSET(CRONOPLE!$F$14,$M175,AR$13))))</f>
        <v>0</v>
      </c>
      <c r="AS175" s="215">
        <f ca="1">IF($D175&lt;&gt;"Serviço",0,IF(AND(AUTOEVENTO="Manual",$M175=1),0,IF(OFFSET(CRONOPLE!$F$14,$M175,AS$13)="",10^12,OFFSET(CRONOPLE!$F$14,$M175,AS$13))))</f>
        <v>0</v>
      </c>
      <c r="AT175" s="215">
        <f ca="1">IF($D175&lt;&gt;"Serviço",0,IF(AND(AUTOEVENTO="Manual",$M175=1),0,IF(OFFSET(CRONOPLE!$F$14,$M175,AT$13)="",10^12,OFFSET(CRONOPLE!$F$14,$M175,AT$13))))</f>
        <v>0</v>
      </c>
      <c r="AU175" s="215">
        <f ca="1">IF($D175&lt;&gt;"Serviço",0,IF(AND(AUTOEVENTO="Manual",$M175=1),0,IF(OFFSET(CRONOPLE!$F$14,$M175,AU$13)="",10^12,OFFSET(CRONOPLE!$F$14,$M175,AU$13))))</f>
        <v>0</v>
      </c>
      <c r="AV175" s="215">
        <f ca="1">IF($D175&lt;&gt;"Serviço",0,IF(AND(AUTOEVENTO="Manual",$M175=1),0,IF(OFFSET(CRONOPLE!$F$14,$M175,AV$13)="",10^12,OFFSET(CRONOPLE!$F$14,$M175,AV$13))))</f>
        <v>0</v>
      </c>
      <c r="AX175" s="216">
        <f ca="1">IF($D175&lt;&gt;"Serviço",0,IF(OR(AND(AUTOEVENTO="Manual",$M175=1),$M175&gt;(ROW(PLE.lastrow)-ROW(PLE.firstrow))),0,IF(OFFSET(PLE!$G$14,$M175,AX$13)="",10^12,OFFSET(PLE!$G$14,$M175,AX$13))))</f>
        <v>0</v>
      </c>
      <c r="AY175" s="216">
        <f ca="1">IF($D175&lt;&gt;"Serviço",0,IF(OR(AND(AUTOEVENTO="Manual",$M175=1),$M175&gt;(ROW(PLE.lastrow)-ROW(PLE.firstrow))),0,IF(OFFSET(PLE!$G$14,$M175,AY$13)="",10^12,OFFSET(PLE!$G$14,$M175,AY$13))))</f>
        <v>0</v>
      </c>
      <c r="AZ175" s="216">
        <f ca="1">IF($D175&lt;&gt;"Serviço",0,IF(OR(AND(AUTOEVENTO="Manual",$M175=1),$M175&gt;(ROW(PLE.lastrow)-ROW(PLE.firstrow))),0,IF(OFFSET(PLE!$G$14,$M175,AZ$13)="",10^12,OFFSET(PLE!$G$14,$M175,AZ$13))))</f>
        <v>0</v>
      </c>
      <c r="BA175" s="216">
        <f ca="1">IF($D175&lt;&gt;"Serviço",0,IF(OR(AND(AUTOEVENTO="Manual",$M175=1),$M175&gt;(ROW(PLE.lastrow)-ROW(PLE.firstrow))),0,IF(OFFSET(PLE!$G$14,$M175,BA$13)="",10^12,OFFSET(PLE!$G$14,$M175,BA$13))))</f>
        <v>0</v>
      </c>
      <c r="BB175" s="216">
        <f ca="1">IF($D175&lt;&gt;"Serviço",0,IF(OR(AND(AUTOEVENTO="Manual",$M175=1),$M175&gt;(ROW(PLE.lastrow)-ROW(PLE.firstrow))),0,IF(OFFSET(PLE!$G$14,$M175,BB$13)="",10^12,OFFSET(PLE!$G$14,$M175,BB$13))))</f>
        <v>0</v>
      </c>
      <c r="BC175" s="216">
        <f ca="1">IF($D175&lt;&gt;"Serviço",0,IF(OR(AND(AUTOEVENTO="Manual",$M175=1),$M175&gt;(ROW(PLE.lastrow)-ROW(PLE.firstrow))),0,IF(OFFSET(PLE!$G$14,$M175,BC$13)="",10^12,OFFSET(PLE!$G$14,$M175,BC$13))))</f>
        <v>0</v>
      </c>
      <c r="BD175" s="216">
        <f ca="1">IF($D175&lt;&gt;"Serviço",0,IF(OR(AND(AUTOEVENTO="Manual",$M175=1),$M175&gt;(ROW(PLE.lastrow)-ROW(PLE.firstrow))),0,IF(OFFSET(PLE!$G$14,$M175,BD$13)="",10^12,OFFSET(PLE!$G$14,$M175,BD$13))))</f>
        <v>0</v>
      </c>
      <c r="BE175" s="216">
        <f ca="1">IF($D175&lt;&gt;"Serviço",0,IF(OR(AND(AUTOEVENTO="Manual",$M175=1),$M175&gt;(ROW(PLE.lastrow)-ROW(PLE.firstrow))),0,IF(OFFSET(PLE!$G$14,$M175,BE$13)="",10^12,OFFSET(PLE!$G$14,$M175,BE$13))))</f>
        <v>0</v>
      </c>
      <c r="BF175" s="216">
        <f ca="1">IF($D175&lt;&gt;"Serviço",0,IF(OR(AND(AUTOEVENTO="Manual",$M175=1),$M175&gt;(ROW(PLE.lastrow)-ROW(PLE.firstrow))),0,IF(OFFSET(PLE!$G$14,$M175,BF$13)="",10^12,OFFSET(PLE!$G$14,$M175,BF$13))))</f>
        <v>0</v>
      </c>
      <c r="BG175" s="216">
        <f ca="1">IF($D175&lt;&gt;"Serviço",0,IF(OR(AND(AUTOEVENTO="Manual",$M175=1),$M175&gt;(ROW(PLE.lastrow)-ROW(PLE.firstrow))),0,IF(OFFSET(PLE!$G$14,$M175,BG$13)="",10^12,OFFSET(PLE!$G$14,$M175,BG$13))))</f>
        <v>0</v>
      </c>
    </row>
    <row r="176" spans="1:59" ht="38.25" x14ac:dyDescent="0.2">
      <c r="A176" s="9" t="str">
        <f t="shared" ca="1" si="11"/>
        <v>160</v>
      </c>
      <c r="B176" s="9" t="str">
        <f ca="1">OFFSET(ORÇAMENTO!C$15,ROW(B176)-ROW(B$15),0)</f>
        <v>S</v>
      </c>
      <c r="C176" s="9" t="str">
        <f ca="1">OFFSET(ORÇAMENTO!L$15,ROW(C176)-ROW(C$15),0)</f>
        <v/>
      </c>
      <c r="D176" s="145" t="str">
        <f ca="1">OFFSET(ORÇAMENTO!N$15,ROW(D176)-ROW(D$15),0)</f>
        <v>Serviço</v>
      </c>
      <c r="E176" s="205" t="str">
        <f ca="1">OFFSET(ORÇAMENTO!O$15,ROW(E176)-ROW(E$15),0)</f>
        <v>-</v>
      </c>
      <c r="F176" s="206" t="str">
        <f ca="1">OFFSET(ORÇAMENTO!R$15,ROW(F176)-ROW(F$15),0)</f>
        <v>AR CONDICIONADO SPLIT ON/OFF, HI-WALL (PAREDE), 24000 BTUS/H, CICLO QUENTE/FRIO - FORNECIMENTO E INSTALAÇÃO. AF_11/2021_PE</v>
      </c>
      <c r="G176" s="207" t="str">
        <f ca="1">IF($D176&lt;&gt;"Serviço","",OFFSET(ORÇAMENTO!S$15,ROW(G176)-ROW(G$15),0))</f>
        <v>UN</v>
      </c>
      <c r="H176" s="151">
        <f ca="1">IF($D176&lt;&gt;"Serviço",0,IF(ACOMPANHAMENTO="BM",ROUND(OFFSET(ORÇAMENTO!AJ$15,ROW(H176)-ROW(H$15),0),15-13*ORÇAMENTO!$AF$7),SUMPRODUCT(($Q$12:$AA$12&lt;&gt;"")*ROUND($Q176:$AA176,15-13*ORÇAMENTO!$AF$7))))</f>
        <v>7</v>
      </c>
      <c r="I176" s="649"/>
      <c r="K176" s="208"/>
      <c r="L176" s="209" t="s">
        <v>255</v>
      </c>
      <c r="M176" s="210">
        <f ca="1">IF($D176&lt;&gt;"Serviço","",IF(AUTOEVENTO="manual",$A176,IF(ISERROR(MATCH($A176,$A$15:OFFSET($A176,-1,0),0)),MAX($M$15:OFFSET(M176,-1,0))+1,INDEX($M$15:OFFSET(M176,-1,0),MATCH($A176,$A$15:OFFSET($A176,-1,0),0)))))</f>
        <v>23</v>
      </c>
      <c r="N176" s="211" t="str">
        <f ca="1">IF($D176&lt;&gt;"Serviço","",IF(AUTOEVENTO="Manual",IF($A176=0,"&lt;-- defina o número do agrupador",OFFSET(EVENTOS!$D$14,$A176,0)),OFFSET($F$15,$A176,0)))</f>
        <v>CLIMATIZADORES</v>
      </c>
      <c r="O176" s="212"/>
      <c r="Q176" s="212"/>
      <c r="R176" s="213"/>
      <c r="S176" s="213"/>
      <c r="T176" s="213"/>
      <c r="U176" s="213"/>
      <c r="V176" s="213"/>
      <c r="W176" s="213"/>
      <c r="X176" s="213"/>
      <c r="Y176" s="213"/>
      <c r="Z176" s="214"/>
      <c r="AB176" s="630">
        <f ca="1">IF(AND($D176="Serviço",AB$12&lt;&gt;0,$H176&gt;0,OR(AUTOEVENTO&lt;&gt;"manual",$M176&lt;&gt;1)),
IF(Import.TipoArredondamento&lt;&gt;"TransfereGOV",
ROUND(OFFSET($P176,0,AB$13),15-13*ORÇAMENTO!$AF$7)/$H176*OFFSET(ORÇAMENTO!$X$15,ROW(AB176)-ROW(AB$15),0),
ROUND(ROUND(OFFSET($P176,0,AB$13),15-13*ORÇAMENTO!$AF$7)*OFFSET(ORÇAMENTO!$W$15,ROW(AB176)-ROW(AB$15),0),15-13*ORÇAMENTO!$AF$11)),0)</f>
        <v>0</v>
      </c>
      <c r="AC176" s="631">
        <f ca="1">IF(AND($D176="Serviço",AC$12&lt;&gt;0,$H176&gt;0,OR(AUTOEVENTO&lt;&gt;"manual",$M176&lt;&gt;1)),
IF(Import.TipoArredondamento&lt;&gt;"TransfereGOV",
ROUND(OFFSET($P176,0,AC$13),15-13*ORÇAMENTO!$AF$7)/$H176*OFFSET(ORÇAMENTO!$X$15,ROW(AC176)-ROW(AC$15),0),
ROUND(ROUND(OFFSET($P176,0,AC$13),15-13*ORÇAMENTO!$AF$7)*OFFSET(ORÇAMENTO!$W$15,ROW(AC176)-ROW(AC$15),0),15-13*ORÇAMENTO!$AF$11)),0)</f>
        <v>0</v>
      </c>
      <c r="AD176" s="631">
        <f ca="1">IF(AND($D176="Serviço",AD$12&lt;&gt;0,$H176&gt;0,OR(AUTOEVENTO&lt;&gt;"manual",$M176&lt;&gt;1)),
IF(Import.TipoArredondamento&lt;&gt;"TransfereGOV",
ROUND(OFFSET($P176,0,AD$13),15-13*ORÇAMENTO!$AF$7)/$H176*OFFSET(ORÇAMENTO!$X$15,ROW(AD176)-ROW(AD$15),0),
ROUND(ROUND(OFFSET($P176,0,AD$13),15-13*ORÇAMENTO!$AF$7)*OFFSET(ORÇAMENTO!$W$15,ROW(AD176)-ROW(AD$15),0),15-13*ORÇAMENTO!$AF$11)),0)</f>
        <v>0</v>
      </c>
      <c r="AE176" s="631">
        <f ca="1">IF(AND($D176="Serviço",AE$12&lt;&gt;0,$H176&gt;0,OR(AUTOEVENTO&lt;&gt;"manual",$M176&lt;&gt;1)),
IF(Import.TipoArredondamento&lt;&gt;"TransfereGOV",
ROUND(OFFSET($P176,0,AE$13),15-13*ORÇAMENTO!$AF$7)/$H176*OFFSET(ORÇAMENTO!$X$15,ROW(AE176)-ROW(AE$15),0),
ROUND(ROUND(OFFSET($P176,0,AE$13),15-13*ORÇAMENTO!$AF$7)*OFFSET(ORÇAMENTO!$W$15,ROW(AE176)-ROW(AE$15),0),15-13*ORÇAMENTO!$AF$11)),0)</f>
        <v>0</v>
      </c>
      <c r="AF176" s="631">
        <f ca="1">IF(AND($D176="Serviço",AF$12&lt;&gt;0,$H176&gt;0,OR(AUTOEVENTO&lt;&gt;"manual",$M176&lt;&gt;1)),
IF(Import.TipoArredondamento&lt;&gt;"TransfereGOV",
ROUND(OFFSET($P176,0,AF$13),15-13*ORÇAMENTO!$AF$7)/$H176*OFFSET(ORÇAMENTO!$X$15,ROW(AF176)-ROW(AF$15),0),
ROUND(ROUND(OFFSET($P176,0,AF$13),15-13*ORÇAMENTO!$AF$7)*OFFSET(ORÇAMENTO!$W$15,ROW(AF176)-ROW(AF$15),0),15-13*ORÇAMENTO!$AF$11)),0)</f>
        <v>0</v>
      </c>
      <c r="AG176" s="631">
        <f ca="1">IF(AND($D176="Serviço",AG$12&lt;&gt;0,$H176&gt;0,OR(AUTOEVENTO&lt;&gt;"manual",$M176&lt;&gt;1)),
IF(Import.TipoArredondamento&lt;&gt;"TransfereGOV",
ROUND(OFFSET($P176,0,AG$13),15-13*ORÇAMENTO!$AF$7)/$H176*OFFSET(ORÇAMENTO!$X$15,ROW(AG176)-ROW(AG$15),0),
ROUND(ROUND(OFFSET($P176,0,AG$13),15-13*ORÇAMENTO!$AF$7)*OFFSET(ORÇAMENTO!$W$15,ROW(AG176)-ROW(AG$15),0),15-13*ORÇAMENTO!$AF$11)),0)</f>
        <v>0</v>
      </c>
      <c r="AH176" s="631">
        <f ca="1">IF(AND($D176="Serviço",AH$12&lt;&gt;0,$H176&gt;0,OR(AUTOEVENTO&lt;&gt;"manual",$M176&lt;&gt;1)),
IF(Import.TipoArredondamento&lt;&gt;"TransfereGOV",
ROUND(OFFSET($P176,0,AH$13),15-13*ORÇAMENTO!$AF$7)/$H176*OFFSET(ORÇAMENTO!$X$15,ROW(AH176)-ROW(AH$15),0),
ROUND(ROUND(OFFSET($P176,0,AH$13),15-13*ORÇAMENTO!$AF$7)*OFFSET(ORÇAMENTO!$W$15,ROW(AH176)-ROW(AH$15),0),15-13*ORÇAMENTO!$AF$11)),0)</f>
        <v>0</v>
      </c>
      <c r="AI176" s="631">
        <f ca="1">IF(AND($D176="Serviço",AI$12&lt;&gt;0,$H176&gt;0,OR(AUTOEVENTO&lt;&gt;"manual",$M176&lt;&gt;1)),
IF(Import.TipoArredondamento&lt;&gt;"TransfereGOV",
ROUND(OFFSET($P176,0,AI$13),15-13*ORÇAMENTO!$AF$7)/$H176*OFFSET(ORÇAMENTO!$X$15,ROW(AI176)-ROW(AI$15),0),
ROUND(ROUND(OFFSET($P176,0,AI$13),15-13*ORÇAMENTO!$AF$7)*OFFSET(ORÇAMENTO!$W$15,ROW(AI176)-ROW(AI$15),0),15-13*ORÇAMENTO!$AF$11)),0)</f>
        <v>0</v>
      </c>
      <c r="AJ176" s="631">
        <f ca="1">IF(AND($D176="Serviço",AJ$12&lt;&gt;0,$H176&gt;0,OR(AUTOEVENTO&lt;&gt;"manual",$M176&lt;&gt;1)),
IF(Import.TipoArredondamento&lt;&gt;"TransfereGOV",
ROUND(OFFSET($P176,0,AJ$13),15-13*ORÇAMENTO!$AF$7)/$H176*OFFSET(ORÇAMENTO!$X$15,ROW(AJ176)-ROW(AJ$15),0),
ROUND(ROUND(OFFSET($P176,0,AJ$13),15-13*ORÇAMENTO!$AF$7)*OFFSET(ORÇAMENTO!$W$15,ROW(AJ176)-ROW(AJ$15),0),15-13*ORÇAMENTO!$AF$11)),0)</f>
        <v>0</v>
      </c>
      <c r="AK176" s="632">
        <f ca="1">IF(AND($D176="Serviço",AK$12&lt;&gt;0,$H176&gt;0,OR(AUTOEVENTO&lt;&gt;"manual",$M176&lt;&gt;1)),
IF(Import.TipoArredondamento&lt;&gt;"TransfereGOV",
ROUND(OFFSET($P176,0,AK$13),15-13*ORÇAMENTO!$AF$7)/$H176*OFFSET(ORÇAMENTO!$X$15,ROW(AK176)-ROW(AK$15),0),
ROUND(ROUND(OFFSET($P176,0,AK$13),15-13*ORÇAMENTO!$AF$7)*OFFSET(ORÇAMENTO!$W$15,ROW(AK176)-ROW(AK$15),0),15-13*ORÇAMENTO!$AF$11)),0)</f>
        <v>0</v>
      </c>
      <c r="AM176" s="215">
        <f ca="1">IF($D176&lt;&gt;"Serviço",0,IF(AND(AUTOEVENTO="Manual",$M176=1),0,IF(OFFSET(CRONOPLE!$F$14,$M176,AM$13)="",10^12,OFFSET(CRONOPLE!$F$14,$M176,AM$13))))</f>
        <v>1000000000000</v>
      </c>
      <c r="AN176" s="215">
        <f ca="1">IF($D176&lt;&gt;"Serviço",0,IF(AND(AUTOEVENTO="Manual",$M176=1),0,IF(OFFSET(CRONOPLE!$F$14,$M176,AN$13)="",10^12,OFFSET(CRONOPLE!$F$14,$M176,AN$13))))</f>
        <v>1000000000000</v>
      </c>
      <c r="AO176" s="215">
        <f ca="1">IF($D176&lt;&gt;"Serviço",0,IF(AND(AUTOEVENTO="Manual",$M176=1),0,IF(OFFSET(CRONOPLE!$F$14,$M176,AO$13)="",10^12,OFFSET(CRONOPLE!$F$14,$M176,AO$13))))</f>
        <v>1000000000000</v>
      </c>
      <c r="AP176" s="215">
        <f ca="1">IF($D176&lt;&gt;"Serviço",0,IF(AND(AUTOEVENTO="Manual",$M176=1),0,IF(OFFSET(CRONOPLE!$F$14,$M176,AP$13)="",10^12,OFFSET(CRONOPLE!$F$14,$M176,AP$13))))</f>
        <v>1000000000000</v>
      </c>
      <c r="AQ176" s="215">
        <f ca="1">IF($D176&lt;&gt;"Serviço",0,IF(AND(AUTOEVENTO="Manual",$M176=1),0,IF(OFFSET(CRONOPLE!$F$14,$M176,AQ$13)="",10^12,OFFSET(CRONOPLE!$F$14,$M176,AQ$13))))</f>
        <v>1000000000000</v>
      </c>
      <c r="AR176" s="215">
        <f ca="1">IF($D176&lt;&gt;"Serviço",0,IF(AND(AUTOEVENTO="Manual",$M176=1),0,IF(OFFSET(CRONOPLE!$F$14,$M176,AR$13)="",10^12,OFFSET(CRONOPLE!$F$14,$M176,AR$13))))</f>
        <v>1000000000000</v>
      </c>
      <c r="AS176" s="215">
        <f ca="1">IF($D176&lt;&gt;"Serviço",0,IF(AND(AUTOEVENTO="Manual",$M176=1),0,IF(OFFSET(CRONOPLE!$F$14,$M176,AS$13)="",10^12,OFFSET(CRONOPLE!$F$14,$M176,AS$13))))</f>
        <v>1000000000000</v>
      </c>
      <c r="AT176" s="215">
        <f ca="1">IF($D176&lt;&gt;"Serviço",0,IF(AND(AUTOEVENTO="Manual",$M176=1),0,IF(OFFSET(CRONOPLE!$F$14,$M176,AT$13)="",10^12,OFFSET(CRONOPLE!$F$14,$M176,AT$13))))</f>
        <v>1000000000000</v>
      </c>
      <c r="AU176" s="215">
        <f ca="1">IF($D176&lt;&gt;"Serviço",0,IF(AND(AUTOEVENTO="Manual",$M176=1),0,IF(OFFSET(CRONOPLE!$F$14,$M176,AU$13)="",10^12,OFFSET(CRONOPLE!$F$14,$M176,AU$13))))</f>
        <v>1000000000000</v>
      </c>
      <c r="AV176" s="215">
        <f ca="1">IF($D176&lt;&gt;"Serviço",0,IF(AND(AUTOEVENTO="Manual",$M176=1),0,IF(OFFSET(CRONOPLE!$F$14,$M176,AV$13)="",10^12,OFFSET(CRONOPLE!$F$14,$M176,AV$13))))</f>
        <v>1000000000000</v>
      </c>
      <c r="AX176" s="216">
        <f ca="1">IF($D176&lt;&gt;"Serviço",0,IF(OR(AND(AUTOEVENTO="Manual",$M176=1),$M176&gt;(ROW(PLE.lastrow)-ROW(PLE.firstrow))),0,IF(OFFSET(PLE!$G$14,$M176,AX$13)="",10^12,OFFSET(PLE!$G$14,$M176,AX$13))))</f>
        <v>1000000000000</v>
      </c>
      <c r="AY176" s="216">
        <f ca="1">IF($D176&lt;&gt;"Serviço",0,IF(OR(AND(AUTOEVENTO="Manual",$M176=1),$M176&gt;(ROW(PLE.lastrow)-ROW(PLE.firstrow))),0,IF(OFFSET(PLE!$G$14,$M176,AY$13)="",10^12,OFFSET(PLE!$G$14,$M176,AY$13))))</f>
        <v>1000000000000</v>
      </c>
      <c r="AZ176" s="216">
        <f ca="1">IF($D176&lt;&gt;"Serviço",0,IF(OR(AND(AUTOEVENTO="Manual",$M176=1),$M176&gt;(ROW(PLE.lastrow)-ROW(PLE.firstrow))),0,IF(OFFSET(PLE!$G$14,$M176,AZ$13)="",10^12,OFFSET(PLE!$G$14,$M176,AZ$13))))</f>
        <v>1000000000000</v>
      </c>
      <c r="BA176" s="216">
        <f ca="1">IF($D176&lt;&gt;"Serviço",0,IF(OR(AND(AUTOEVENTO="Manual",$M176=1),$M176&gt;(ROW(PLE.lastrow)-ROW(PLE.firstrow))),0,IF(OFFSET(PLE!$G$14,$M176,BA$13)="",10^12,OFFSET(PLE!$G$14,$M176,BA$13))))</f>
        <v>1000000000000</v>
      </c>
      <c r="BB176" s="216">
        <f ca="1">IF($D176&lt;&gt;"Serviço",0,IF(OR(AND(AUTOEVENTO="Manual",$M176=1),$M176&gt;(ROW(PLE.lastrow)-ROW(PLE.firstrow))),0,IF(OFFSET(PLE!$G$14,$M176,BB$13)="",10^12,OFFSET(PLE!$G$14,$M176,BB$13))))</f>
        <v>1000000000000</v>
      </c>
      <c r="BC176" s="216">
        <f ca="1">IF($D176&lt;&gt;"Serviço",0,IF(OR(AND(AUTOEVENTO="Manual",$M176=1),$M176&gt;(ROW(PLE.lastrow)-ROW(PLE.firstrow))),0,IF(OFFSET(PLE!$G$14,$M176,BC$13)="",10^12,OFFSET(PLE!$G$14,$M176,BC$13))))</f>
        <v>1000000000000</v>
      </c>
      <c r="BD176" s="216">
        <f ca="1">IF($D176&lt;&gt;"Serviço",0,IF(OR(AND(AUTOEVENTO="Manual",$M176=1),$M176&gt;(ROW(PLE.lastrow)-ROW(PLE.firstrow))),0,IF(OFFSET(PLE!$G$14,$M176,BD$13)="",10^12,OFFSET(PLE!$G$14,$M176,BD$13))))</f>
        <v>1000000000000</v>
      </c>
      <c r="BE176" s="216">
        <f ca="1">IF($D176&lt;&gt;"Serviço",0,IF(OR(AND(AUTOEVENTO="Manual",$M176=1),$M176&gt;(ROW(PLE.lastrow)-ROW(PLE.firstrow))),0,IF(OFFSET(PLE!$G$14,$M176,BE$13)="",10^12,OFFSET(PLE!$G$14,$M176,BE$13))))</f>
        <v>1000000000000</v>
      </c>
      <c r="BF176" s="216">
        <f ca="1">IF($D176&lt;&gt;"Serviço",0,IF(OR(AND(AUTOEVENTO="Manual",$M176=1),$M176&gt;(ROW(PLE.lastrow)-ROW(PLE.firstrow))),0,IF(OFFSET(PLE!$G$14,$M176,BF$13)="",10^12,OFFSET(PLE!$G$14,$M176,BF$13))))</f>
        <v>1000000000000</v>
      </c>
      <c r="BG176" s="216">
        <f ca="1">IF($D176&lt;&gt;"Serviço",0,IF(OR(AND(AUTOEVENTO="Manual",$M176=1),$M176&gt;(ROW(PLE.lastrow)-ROW(PLE.firstrow))),0,IF(OFFSET(PLE!$G$14,$M176,BG$13)="",10^12,OFFSET(PLE!$G$14,$M176,BG$13))))</f>
        <v>1000000000000</v>
      </c>
    </row>
    <row r="177" spans="1:59" ht="51" x14ac:dyDescent="0.2">
      <c r="A177" s="9" t="str">
        <f t="shared" ca="1" si="11"/>
        <v>160</v>
      </c>
      <c r="B177" s="9" t="str">
        <f ca="1">OFFSET(ORÇAMENTO!C$15,ROW(B177)-ROW(B$15),0)</f>
        <v>S</v>
      </c>
      <c r="C177" s="9" t="str">
        <f ca="1">OFFSET(ORÇAMENTO!L$15,ROW(C177)-ROW(C$15),0)</f>
        <v/>
      </c>
      <c r="D177" s="145" t="str">
        <f ca="1">OFFSET(ORÇAMENTO!N$15,ROW(D177)-ROW(D$15),0)</f>
        <v>Serviço</v>
      </c>
      <c r="E177" s="205" t="str">
        <f ca="1">OFFSET(ORÇAMENTO!O$15,ROW(E177)-ROW(E$15),0)</f>
        <v>-</v>
      </c>
      <c r="F177" s="206" t="str">
        <f ca="1">OFFSET(ORÇAMENTO!R$15,ROW(F177)-ROW(F$15),0)</f>
        <v>TUBO EM COBRE FLEXÍVEL, DN 3/8", COM ISOLAMENTO, INSTALADO EM RAMAL DE ALIMENTAÇÃO DE AR CONDICIONADO COM CONDENSADORA INDIVIDUAL - FORNECIMENTO E INSTALAÇÃO. AF_12/2015</v>
      </c>
      <c r="G177" s="207" t="str">
        <f ca="1">IF($D177&lt;&gt;"Serviço","",OFFSET(ORÇAMENTO!S$15,ROW(G177)-ROW(G$15),0))</f>
        <v>M</v>
      </c>
      <c r="H177" s="151">
        <f ca="1">IF($D177&lt;&gt;"Serviço",0,IF(ACOMPANHAMENTO="BM",ROUND(OFFSET(ORÇAMENTO!AJ$15,ROW(H177)-ROW(H$15),0),15-13*ORÇAMENTO!$AF$7),SUMPRODUCT(($Q$12:$AA$12&lt;&gt;"")*ROUND($Q177:$AA177,15-13*ORÇAMENTO!$AF$7))))</f>
        <v>28</v>
      </c>
      <c r="I177" s="649"/>
      <c r="K177" s="208"/>
      <c r="L177" s="209" t="s">
        <v>255</v>
      </c>
      <c r="M177" s="210">
        <f ca="1">IF($D177&lt;&gt;"Serviço","",IF(AUTOEVENTO="manual",$A177,IF(ISERROR(MATCH($A177,$A$15:OFFSET($A177,-1,0),0)),MAX($M$15:OFFSET(M177,-1,0))+1,INDEX($M$15:OFFSET(M177,-1,0),MATCH($A177,$A$15:OFFSET($A177,-1,0),0)))))</f>
        <v>23</v>
      </c>
      <c r="N177" s="211" t="str">
        <f ca="1">IF($D177&lt;&gt;"Serviço","",IF(AUTOEVENTO="Manual",IF($A177=0,"&lt;-- defina o número do agrupador",OFFSET(EVENTOS!$D$14,$A177,0)),OFFSET($F$15,$A177,0)))</f>
        <v>CLIMATIZADORES</v>
      </c>
      <c r="O177" s="212"/>
      <c r="Q177" s="212"/>
      <c r="R177" s="213"/>
      <c r="S177" s="213"/>
      <c r="T177" s="213"/>
      <c r="U177" s="213"/>
      <c r="V177" s="213"/>
      <c r="W177" s="213"/>
      <c r="X177" s="213"/>
      <c r="Y177" s="213"/>
      <c r="Z177" s="214"/>
      <c r="AB177" s="630">
        <f ca="1">IF(AND($D177="Serviço",AB$12&lt;&gt;0,$H177&gt;0,OR(AUTOEVENTO&lt;&gt;"manual",$M177&lt;&gt;1)),
IF(Import.TipoArredondamento&lt;&gt;"TransfereGOV",
ROUND(OFFSET($P177,0,AB$13),15-13*ORÇAMENTO!$AF$7)/$H177*OFFSET(ORÇAMENTO!$X$15,ROW(AB177)-ROW(AB$15),0),
ROUND(ROUND(OFFSET($P177,0,AB$13),15-13*ORÇAMENTO!$AF$7)*OFFSET(ORÇAMENTO!$W$15,ROW(AB177)-ROW(AB$15),0),15-13*ORÇAMENTO!$AF$11)),0)</f>
        <v>0</v>
      </c>
      <c r="AC177" s="631">
        <f ca="1">IF(AND($D177="Serviço",AC$12&lt;&gt;0,$H177&gt;0,OR(AUTOEVENTO&lt;&gt;"manual",$M177&lt;&gt;1)),
IF(Import.TipoArredondamento&lt;&gt;"TransfereGOV",
ROUND(OFFSET($P177,0,AC$13),15-13*ORÇAMENTO!$AF$7)/$H177*OFFSET(ORÇAMENTO!$X$15,ROW(AC177)-ROW(AC$15),0),
ROUND(ROUND(OFFSET($P177,0,AC$13),15-13*ORÇAMENTO!$AF$7)*OFFSET(ORÇAMENTO!$W$15,ROW(AC177)-ROW(AC$15),0),15-13*ORÇAMENTO!$AF$11)),0)</f>
        <v>0</v>
      </c>
      <c r="AD177" s="631">
        <f ca="1">IF(AND($D177="Serviço",AD$12&lt;&gt;0,$H177&gt;0,OR(AUTOEVENTO&lt;&gt;"manual",$M177&lt;&gt;1)),
IF(Import.TipoArredondamento&lt;&gt;"TransfereGOV",
ROUND(OFFSET($P177,0,AD$13),15-13*ORÇAMENTO!$AF$7)/$H177*OFFSET(ORÇAMENTO!$X$15,ROW(AD177)-ROW(AD$15),0),
ROUND(ROUND(OFFSET($P177,0,AD$13),15-13*ORÇAMENTO!$AF$7)*OFFSET(ORÇAMENTO!$W$15,ROW(AD177)-ROW(AD$15),0),15-13*ORÇAMENTO!$AF$11)),0)</f>
        <v>0</v>
      </c>
      <c r="AE177" s="631">
        <f ca="1">IF(AND($D177="Serviço",AE$12&lt;&gt;0,$H177&gt;0,OR(AUTOEVENTO&lt;&gt;"manual",$M177&lt;&gt;1)),
IF(Import.TipoArredondamento&lt;&gt;"TransfereGOV",
ROUND(OFFSET($P177,0,AE$13),15-13*ORÇAMENTO!$AF$7)/$H177*OFFSET(ORÇAMENTO!$X$15,ROW(AE177)-ROW(AE$15),0),
ROUND(ROUND(OFFSET($P177,0,AE$13),15-13*ORÇAMENTO!$AF$7)*OFFSET(ORÇAMENTO!$W$15,ROW(AE177)-ROW(AE$15),0),15-13*ORÇAMENTO!$AF$11)),0)</f>
        <v>0</v>
      </c>
      <c r="AF177" s="631">
        <f ca="1">IF(AND($D177="Serviço",AF$12&lt;&gt;0,$H177&gt;0,OR(AUTOEVENTO&lt;&gt;"manual",$M177&lt;&gt;1)),
IF(Import.TipoArredondamento&lt;&gt;"TransfereGOV",
ROUND(OFFSET($P177,0,AF$13),15-13*ORÇAMENTO!$AF$7)/$H177*OFFSET(ORÇAMENTO!$X$15,ROW(AF177)-ROW(AF$15),0),
ROUND(ROUND(OFFSET($P177,0,AF$13),15-13*ORÇAMENTO!$AF$7)*OFFSET(ORÇAMENTO!$W$15,ROW(AF177)-ROW(AF$15),0),15-13*ORÇAMENTO!$AF$11)),0)</f>
        <v>0</v>
      </c>
      <c r="AG177" s="631">
        <f ca="1">IF(AND($D177="Serviço",AG$12&lt;&gt;0,$H177&gt;0,OR(AUTOEVENTO&lt;&gt;"manual",$M177&lt;&gt;1)),
IF(Import.TipoArredondamento&lt;&gt;"TransfereGOV",
ROUND(OFFSET($P177,0,AG$13),15-13*ORÇAMENTO!$AF$7)/$H177*OFFSET(ORÇAMENTO!$X$15,ROW(AG177)-ROW(AG$15),0),
ROUND(ROUND(OFFSET($P177,0,AG$13),15-13*ORÇAMENTO!$AF$7)*OFFSET(ORÇAMENTO!$W$15,ROW(AG177)-ROW(AG$15),0),15-13*ORÇAMENTO!$AF$11)),0)</f>
        <v>0</v>
      </c>
      <c r="AH177" s="631">
        <f ca="1">IF(AND($D177="Serviço",AH$12&lt;&gt;0,$H177&gt;0,OR(AUTOEVENTO&lt;&gt;"manual",$M177&lt;&gt;1)),
IF(Import.TipoArredondamento&lt;&gt;"TransfereGOV",
ROUND(OFFSET($P177,0,AH$13),15-13*ORÇAMENTO!$AF$7)/$H177*OFFSET(ORÇAMENTO!$X$15,ROW(AH177)-ROW(AH$15),0),
ROUND(ROUND(OFFSET($P177,0,AH$13),15-13*ORÇAMENTO!$AF$7)*OFFSET(ORÇAMENTO!$W$15,ROW(AH177)-ROW(AH$15),0),15-13*ORÇAMENTO!$AF$11)),0)</f>
        <v>0</v>
      </c>
      <c r="AI177" s="631">
        <f ca="1">IF(AND($D177="Serviço",AI$12&lt;&gt;0,$H177&gt;0,OR(AUTOEVENTO&lt;&gt;"manual",$M177&lt;&gt;1)),
IF(Import.TipoArredondamento&lt;&gt;"TransfereGOV",
ROUND(OFFSET($P177,0,AI$13),15-13*ORÇAMENTO!$AF$7)/$H177*OFFSET(ORÇAMENTO!$X$15,ROW(AI177)-ROW(AI$15),0),
ROUND(ROUND(OFFSET($P177,0,AI$13),15-13*ORÇAMENTO!$AF$7)*OFFSET(ORÇAMENTO!$W$15,ROW(AI177)-ROW(AI$15),0),15-13*ORÇAMENTO!$AF$11)),0)</f>
        <v>0</v>
      </c>
      <c r="AJ177" s="631">
        <f ca="1">IF(AND($D177="Serviço",AJ$12&lt;&gt;0,$H177&gt;0,OR(AUTOEVENTO&lt;&gt;"manual",$M177&lt;&gt;1)),
IF(Import.TipoArredondamento&lt;&gt;"TransfereGOV",
ROUND(OFFSET($P177,0,AJ$13),15-13*ORÇAMENTO!$AF$7)/$H177*OFFSET(ORÇAMENTO!$X$15,ROW(AJ177)-ROW(AJ$15),0),
ROUND(ROUND(OFFSET($P177,0,AJ$13),15-13*ORÇAMENTO!$AF$7)*OFFSET(ORÇAMENTO!$W$15,ROW(AJ177)-ROW(AJ$15),0),15-13*ORÇAMENTO!$AF$11)),0)</f>
        <v>0</v>
      </c>
      <c r="AK177" s="632">
        <f ca="1">IF(AND($D177="Serviço",AK$12&lt;&gt;0,$H177&gt;0,OR(AUTOEVENTO&lt;&gt;"manual",$M177&lt;&gt;1)),
IF(Import.TipoArredondamento&lt;&gt;"TransfereGOV",
ROUND(OFFSET($P177,0,AK$13),15-13*ORÇAMENTO!$AF$7)/$H177*OFFSET(ORÇAMENTO!$X$15,ROW(AK177)-ROW(AK$15),0),
ROUND(ROUND(OFFSET($P177,0,AK$13),15-13*ORÇAMENTO!$AF$7)*OFFSET(ORÇAMENTO!$W$15,ROW(AK177)-ROW(AK$15),0),15-13*ORÇAMENTO!$AF$11)),0)</f>
        <v>0</v>
      </c>
      <c r="AM177" s="215">
        <f ca="1">IF($D177&lt;&gt;"Serviço",0,IF(AND(AUTOEVENTO="Manual",$M177=1),0,IF(OFFSET(CRONOPLE!$F$14,$M177,AM$13)="",10^12,OFFSET(CRONOPLE!$F$14,$M177,AM$13))))</f>
        <v>1000000000000</v>
      </c>
      <c r="AN177" s="215">
        <f ca="1">IF($D177&lt;&gt;"Serviço",0,IF(AND(AUTOEVENTO="Manual",$M177=1),0,IF(OFFSET(CRONOPLE!$F$14,$M177,AN$13)="",10^12,OFFSET(CRONOPLE!$F$14,$M177,AN$13))))</f>
        <v>1000000000000</v>
      </c>
      <c r="AO177" s="215">
        <f ca="1">IF($D177&lt;&gt;"Serviço",0,IF(AND(AUTOEVENTO="Manual",$M177=1),0,IF(OFFSET(CRONOPLE!$F$14,$M177,AO$13)="",10^12,OFFSET(CRONOPLE!$F$14,$M177,AO$13))))</f>
        <v>1000000000000</v>
      </c>
      <c r="AP177" s="215">
        <f ca="1">IF($D177&lt;&gt;"Serviço",0,IF(AND(AUTOEVENTO="Manual",$M177=1),0,IF(OFFSET(CRONOPLE!$F$14,$M177,AP$13)="",10^12,OFFSET(CRONOPLE!$F$14,$M177,AP$13))))</f>
        <v>1000000000000</v>
      </c>
      <c r="AQ177" s="215">
        <f ca="1">IF($D177&lt;&gt;"Serviço",0,IF(AND(AUTOEVENTO="Manual",$M177=1),0,IF(OFFSET(CRONOPLE!$F$14,$M177,AQ$13)="",10^12,OFFSET(CRONOPLE!$F$14,$M177,AQ$13))))</f>
        <v>1000000000000</v>
      </c>
      <c r="AR177" s="215">
        <f ca="1">IF($D177&lt;&gt;"Serviço",0,IF(AND(AUTOEVENTO="Manual",$M177=1),0,IF(OFFSET(CRONOPLE!$F$14,$M177,AR$13)="",10^12,OFFSET(CRONOPLE!$F$14,$M177,AR$13))))</f>
        <v>1000000000000</v>
      </c>
      <c r="AS177" s="215">
        <f ca="1">IF($D177&lt;&gt;"Serviço",0,IF(AND(AUTOEVENTO="Manual",$M177=1),0,IF(OFFSET(CRONOPLE!$F$14,$M177,AS$13)="",10^12,OFFSET(CRONOPLE!$F$14,$M177,AS$13))))</f>
        <v>1000000000000</v>
      </c>
      <c r="AT177" s="215">
        <f ca="1">IF($D177&lt;&gt;"Serviço",0,IF(AND(AUTOEVENTO="Manual",$M177=1),0,IF(OFFSET(CRONOPLE!$F$14,$M177,AT$13)="",10^12,OFFSET(CRONOPLE!$F$14,$M177,AT$13))))</f>
        <v>1000000000000</v>
      </c>
      <c r="AU177" s="215">
        <f ca="1">IF($D177&lt;&gt;"Serviço",0,IF(AND(AUTOEVENTO="Manual",$M177=1),0,IF(OFFSET(CRONOPLE!$F$14,$M177,AU$13)="",10^12,OFFSET(CRONOPLE!$F$14,$M177,AU$13))))</f>
        <v>1000000000000</v>
      </c>
      <c r="AV177" s="215">
        <f ca="1">IF($D177&lt;&gt;"Serviço",0,IF(AND(AUTOEVENTO="Manual",$M177=1),0,IF(OFFSET(CRONOPLE!$F$14,$M177,AV$13)="",10^12,OFFSET(CRONOPLE!$F$14,$M177,AV$13))))</f>
        <v>1000000000000</v>
      </c>
      <c r="AX177" s="216">
        <f ca="1">IF($D177&lt;&gt;"Serviço",0,IF(OR(AND(AUTOEVENTO="Manual",$M177=1),$M177&gt;(ROW(PLE.lastrow)-ROW(PLE.firstrow))),0,IF(OFFSET(PLE!$G$14,$M177,AX$13)="",10^12,OFFSET(PLE!$G$14,$M177,AX$13))))</f>
        <v>1000000000000</v>
      </c>
      <c r="AY177" s="216">
        <f ca="1">IF($D177&lt;&gt;"Serviço",0,IF(OR(AND(AUTOEVENTO="Manual",$M177=1),$M177&gt;(ROW(PLE.lastrow)-ROW(PLE.firstrow))),0,IF(OFFSET(PLE!$G$14,$M177,AY$13)="",10^12,OFFSET(PLE!$G$14,$M177,AY$13))))</f>
        <v>1000000000000</v>
      </c>
      <c r="AZ177" s="216">
        <f ca="1">IF($D177&lt;&gt;"Serviço",0,IF(OR(AND(AUTOEVENTO="Manual",$M177=1),$M177&gt;(ROW(PLE.lastrow)-ROW(PLE.firstrow))),0,IF(OFFSET(PLE!$G$14,$M177,AZ$13)="",10^12,OFFSET(PLE!$G$14,$M177,AZ$13))))</f>
        <v>1000000000000</v>
      </c>
      <c r="BA177" s="216">
        <f ca="1">IF($D177&lt;&gt;"Serviço",0,IF(OR(AND(AUTOEVENTO="Manual",$M177=1),$M177&gt;(ROW(PLE.lastrow)-ROW(PLE.firstrow))),0,IF(OFFSET(PLE!$G$14,$M177,BA$13)="",10^12,OFFSET(PLE!$G$14,$M177,BA$13))))</f>
        <v>1000000000000</v>
      </c>
      <c r="BB177" s="216">
        <f ca="1">IF($D177&lt;&gt;"Serviço",0,IF(OR(AND(AUTOEVENTO="Manual",$M177=1),$M177&gt;(ROW(PLE.lastrow)-ROW(PLE.firstrow))),0,IF(OFFSET(PLE!$G$14,$M177,BB$13)="",10^12,OFFSET(PLE!$G$14,$M177,BB$13))))</f>
        <v>1000000000000</v>
      </c>
      <c r="BC177" s="216">
        <f ca="1">IF($D177&lt;&gt;"Serviço",0,IF(OR(AND(AUTOEVENTO="Manual",$M177=1),$M177&gt;(ROW(PLE.lastrow)-ROW(PLE.firstrow))),0,IF(OFFSET(PLE!$G$14,$M177,BC$13)="",10^12,OFFSET(PLE!$G$14,$M177,BC$13))))</f>
        <v>1000000000000</v>
      </c>
      <c r="BD177" s="216">
        <f ca="1">IF($D177&lt;&gt;"Serviço",0,IF(OR(AND(AUTOEVENTO="Manual",$M177=1),$M177&gt;(ROW(PLE.lastrow)-ROW(PLE.firstrow))),0,IF(OFFSET(PLE!$G$14,$M177,BD$13)="",10^12,OFFSET(PLE!$G$14,$M177,BD$13))))</f>
        <v>1000000000000</v>
      </c>
      <c r="BE177" s="216">
        <f ca="1">IF($D177&lt;&gt;"Serviço",0,IF(OR(AND(AUTOEVENTO="Manual",$M177=1),$M177&gt;(ROW(PLE.lastrow)-ROW(PLE.firstrow))),0,IF(OFFSET(PLE!$G$14,$M177,BE$13)="",10^12,OFFSET(PLE!$G$14,$M177,BE$13))))</f>
        <v>1000000000000</v>
      </c>
      <c r="BF177" s="216">
        <f ca="1">IF($D177&lt;&gt;"Serviço",0,IF(OR(AND(AUTOEVENTO="Manual",$M177=1),$M177&gt;(ROW(PLE.lastrow)-ROW(PLE.firstrow))),0,IF(OFFSET(PLE!$G$14,$M177,BF$13)="",10^12,OFFSET(PLE!$G$14,$M177,BF$13))))</f>
        <v>1000000000000</v>
      </c>
      <c r="BG177" s="216">
        <f ca="1">IF($D177&lt;&gt;"Serviço",0,IF(OR(AND(AUTOEVENTO="Manual",$M177=1),$M177&gt;(ROW(PLE.lastrow)-ROW(PLE.firstrow))),0,IF(OFFSET(PLE!$G$14,$M177,BG$13)="",10^12,OFFSET(PLE!$G$14,$M177,BG$13))))</f>
        <v>1000000000000</v>
      </c>
    </row>
    <row r="178" spans="1:59" ht="25.5" x14ac:dyDescent="0.2">
      <c r="A178" s="9" t="str">
        <f t="shared" ca="1" si="11"/>
        <v>160</v>
      </c>
      <c r="B178" s="9" t="str">
        <f ca="1">OFFSET(ORÇAMENTO!C$15,ROW(B178)-ROW(B$15),0)</f>
        <v>S</v>
      </c>
      <c r="C178" s="9" t="str">
        <f ca="1">OFFSET(ORÇAMENTO!L$15,ROW(C178)-ROW(C$15),0)</f>
        <v/>
      </c>
      <c r="D178" s="145" t="str">
        <f ca="1">OFFSET(ORÇAMENTO!N$15,ROW(D178)-ROW(D$15),0)</f>
        <v>Serviço</v>
      </c>
      <c r="E178" s="205" t="str">
        <f ca="1">OFFSET(ORÇAMENTO!O$15,ROW(E178)-ROW(E$15),0)</f>
        <v>-</v>
      </c>
      <c r="F178" s="206" t="str">
        <f ca="1">OFFSET(ORÇAMENTO!R$15,ROW(F178)-ROW(F$15),0)</f>
        <v>TUBO, PVC, SOLDÁVEL, DE 25MM, INSTALADO EM DRENO DE AR-CONDICIONADO - FORNECIMENTO E INSTALAÇÃO. AF_08/2022</v>
      </c>
      <c r="G178" s="207" t="str">
        <f ca="1">IF($D178&lt;&gt;"Serviço","",OFFSET(ORÇAMENTO!S$15,ROW(G178)-ROW(G$15),0))</f>
        <v>M</v>
      </c>
      <c r="H178" s="151">
        <f ca="1">IF($D178&lt;&gt;"Serviço",0,IF(ACOMPANHAMENTO="BM",ROUND(OFFSET(ORÇAMENTO!AJ$15,ROW(H178)-ROW(H$15),0),15-13*ORÇAMENTO!$AF$7),SUMPRODUCT(($Q$12:$AA$12&lt;&gt;"")*ROUND($Q178:$AA178,15-13*ORÇAMENTO!$AF$7))))</f>
        <v>21</v>
      </c>
      <c r="I178" s="649"/>
      <c r="K178" s="208"/>
      <c r="L178" s="209" t="s">
        <v>255</v>
      </c>
      <c r="M178" s="210">
        <f ca="1">IF($D178&lt;&gt;"Serviço","",IF(AUTOEVENTO="manual",$A178,IF(ISERROR(MATCH($A178,$A$15:OFFSET($A178,-1,0),0)),MAX($M$15:OFFSET(M178,-1,0))+1,INDEX($M$15:OFFSET(M178,-1,0),MATCH($A178,$A$15:OFFSET($A178,-1,0),0)))))</f>
        <v>23</v>
      </c>
      <c r="N178" s="211" t="str">
        <f ca="1">IF($D178&lt;&gt;"Serviço","",IF(AUTOEVENTO="Manual",IF($A178=0,"&lt;-- defina o número do agrupador",OFFSET(EVENTOS!$D$14,$A178,0)),OFFSET($F$15,$A178,0)))</f>
        <v>CLIMATIZADORES</v>
      </c>
      <c r="O178" s="212"/>
      <c r="Q178" s="212"/>
      <c r="R178" s="213"/>
      <c r="S178" s="213"/>
      <c r="T178" s="213"/>
      <c r="U178" s="213"/>
      <c r="V178" s="213"/>
      <c r="W178" s="213"/>
      <c r="X178" s="213"/>
      <c r="Y178" s="213"/>
      <c r="Z178" s="214"/>
      <c r="AB178" s="630">
        <f ca="1">IF(AND($D178="Serviço",AB$12&lt;&gt;0,$H178&gt;0,OR(AUTOEVENTO&lt;&gt;"manual",$M178&lt;&gt;1)),
IF(Import.TipoArredondamento&lt;&gt;"TransfereGOV",
ROUND(OFFSET($P178,0,AB$13),15-13*ORÇAMENTO!$AF$7)/$H178*OFFSET(ORÇAMENTO!$X$15,ROW(AB178)-ROW(AB$15),0),
ROUND(ROUND(OFFSET($P178,0,AB$13),15-13*ORÇAMENTO!$AF$7)*OFFSET(ORÇAMENTO!$W$15,ROW(AB178)-ROW(AB$15),0),15-13*ORÇAMENTO!$AF$11)),0)</f>
        <v>0</v>
      </c>
      <c r="AC178" s="631">
        <f ca="1">IF(AND($D178="Serviço",AC$12&lt;&gt;0,$H178&gt;0,OR(AUTOEVENTO&lt;&gt;"manual",$M178&lt;&gt;1)),
IF(Import.TipoArredondamento&lt;&gt;"TransfereGOV",
ROUND(OFFSET($P178,0,AC$13),15-13*ORÇAMENTO!$AF$7)/$H178*OFFSET(ORÇAMENTO!$X$15,ROW(AC178)-ROW(AC$15),0),
ROUND(ROUND(OFFSET($P178,0,AC$13),15-13*ORÇAMENTO!$AF$7)*OFFSET(ORÇAMENTO!$W$15,ROW(AC178)-ROW(AC$15),0),15-13*ORÇAMENTO!$AF$11)),0)</f>
        <v>0</v>
      </c>
      <c r="AD178" s="631">
        <f ca="1">IF(AND($D178="Serviço",AD$12&lt;&gt;0,$H178&gt;0,OR(AUTOEVENTO&lt;&gt;"manual",$M178&lt;&gt;1)),
IF(Import.TipoArredondamento&lt;&gt;"TransfereGOV",
ROUND(OFFSET($P178,0,AD$13),15-13*ORÇAMENTO!$AF$7)/$H178*OFFSET(ORÇAMENTO!$X$15,ROW(AD178)-ROW(AD$15),0),
ROUND(ROUND(OFFSET($P178,0,AD$13),15-13*ORÇAMENTO!$AF$7)*OFFSET(ORÇAMENTO!$W$15,ROW(AD178)-ROW(AD$15),0),15-13*ORÇAMENTO!$AF$11)),0)</f>
        <v>0</v>
      </c>
      <c r="AE178" s="631">
        <f ca="1">IF(AND($D178="Serviço",AE$12&lt;&gt;0,$H178&gt;0,OR(AUTOEVENTO&lt;&gt;"manual",$M178&lt;&gt;1)),
IF(Import.TipoArredondamento&lt;&gt;"TransfereGOV",
ROUND(OFFSET($P178,0,AE$13),15-13*ORÇAMENTO!$AF$7)/$H178*OFFSET(ORÇAMENTO!$X$15,ROW(AE178)-ROW(AE$15),0),
ROUND(ROUND(OFFSET($P178,0,AE$13),15-13*ORÇAMENTO!$AF$7)*OFFSET(ORÇAMENTO!$W$15,ROW(AE178)-ROW(AE$15),0),15-13*ORÇAMENTO!$AF$11)),0)</f>
        <v>0</v>
      </c>
      <c r="AF178" s="631">
        <f ca="1">IF(AND($D178="Serviço",AF$12&lt;&gt;0,$H178&gt;0,OR(AUTOEVENTO&lt;&gt;"manual",$M178&lt;&gt;1)),
IF(Import.TipoArredondamento&lt;&gt;"TransfereGOV",
ROUND(OFFSET($P178,0,AF$13),15-13*ORÇAMENTO!$AF$7)/$H178*OFFSET(ORÇAMENTO!$X$15,ROW(AF178)-ROW(AF$15),0),
ROUND(ROUND(OFFSET($P178,0,AF$13),15-13*ORÇAMENTO!$AF$7)*OFFSET(ORÇAMENTO!$W$15,ROW(AF178)-ROW(AF$15),0),15-13*ORÇAMENTO!$AF$11)),0)</f>
        <v>0</v>
      </c>
      <c r="AG178" s="631">
        <f ca="1">IF(AND($D178="Serviço",AG$12&lt;&gt;0,$H178&gt;0,OR(AUTOEVENTO&lt;&gt;"manual",$M178&lt;&gt;1)),
IF(Import.TipoArredondamento&lt;&gt;"TransfereGOV",
ROUND(OFFSET($P178,0,AG$13),15-13*ORÇAMENTO!$AF$7)/$H178*OFFSET(ORÇAMENTO!$X$15,ROW(AG178)-ROW(AG$15),0),
ROUND(ROUND(OFFSET($P178,0,AG$13),15-13*ORÇAMENTO!$AF$7)*OFFSET(ORÇAMENTO!$W$15,ROW(AG178)-ROW(AG$15),0),15-13*ORÇAMENTO!$AF$11)),0)</f>
        <v>0</v>
      </c>
      <c r="AH178" s="631">
        <f ca="1">IF(AND($D178="Serviço",AH$12&lt;&gt;0,$H178&gt;0,OR(AUTOEVENTO&lt;&gt;"manual",$M178&lt;&gt;1)),
IF(Import.TipoArredondamento&lt;&gt;"TransfereGOV",
ROUND(OFFSET($P178,0,AH$13),15-13*ORÇAMENTO!$AF$7)/$H178*OFFSET(ORÇAMENTO!$X$15,ROW(AH178)-ROW(AH$15),0),
ROUND(ROUND(OFFSET($P178,0,AH$13),15-13*ORÇAMENTO!$AF$7)*OFFSET(ORÇAMENTO!$W$15,ROW(AH178)-ROW(AH$15),0),15-13*ORÇAMENTO!$AF$11)),0)</f>
        <v>0</v>
      </c>
      <c r="AI178" s="631">
        <f ca="1">IF(AND($D178="Serviço",AI$12&lt;&gt;0,$H178&gt;0,OR(AUTOEVENTO&lt;&gt;"manual",$M178&lt;&gt;1)),
IF(Import.TipoArredondamento&lt;&gt;"TransfereGOV",
ROUND(OFFSET($P178,0,AI$13),15-13*ORÇAMENTO!$AF$7)/$H178*OFFSET(ORÇAMENTO!$X$15,ROW(AI178)-ROW(AI$15),0),
ROUND(ROUND(OFFSET($P178,0,AI$13),15-13*ORÇAMENTO!$AF$7)*OFFSET(ORÇAMENTO!$W$15,ROW(AI178)-ROW(AI$15),0),15-13*ORÇAMENTO!$AF$11)),0)</f>
        <v>0</v>
      </c>
      <c r="AJ178" s="631">
        <f ca="1">IF(AND($D178="Serviço",AJ$12&lt;&gt;0,$H178&gt;0,OR(AUTOEVENTO&lt;&gt;"manual",$M178&lt;&gt;1)),
IF(Import.TipoArredondamento&lt;&gt;"TransfereGOV",
ROUND(OFFSET($P178,0,AJ$13),15-13*ORÇAMENTO!$AF$7)/$H178*OFFSET(ORÇAMENTO!$X$15,ROW(AJ178)-ROW(AJ$15),0),
ROUND(ROUND(OFFSET($P178,0,AJ$13),15-13*ORÇAMENTO!$AF$7)*OFFSET(ORÇAMENTO!$W$15,ROW(AJ178)-ROW(AJ$15),0),15-13*ORÇAMENTO!$AF$11)),0)</f>
        <v>0</v>
      </c>
      <c r="AK178" s="632">
        <f ca="1">IF(AND($D178="Serviço",AK$12&lt;&gt;0,$H178&gt;0,OR(AUTOEVENTO&lt;&gt;"manual",$M178&lt;&gt;1)),
IF(Import.TipoArredondamento&lt;&gt;"TransfereGOV",
ROUND(OFFSET($P178,0,AK$13),15-13*ORÇAMENTO!$AF$7)/$H178*OFFSET(ORÇAMENTO!$X$15,ROW(AK178)-ROW(AK$15),0),
ROUND(ROUND(OFFSET($P178,0,AK$13),15-13*ORÇAMENTO!$AF$7)*OFFSET(ORÇAMENTO!$W$15,ROW(AK178)-ROW(AK$15),0),15-13*ORÇAMENTO!$AF$11)),0)</f>
        <v>0</v>
      </c>
      <c r="AM178" s="215">
        <f ca="1">IF($D178&lt;&gt;"Serviço",0,IF(AND(AUTOEVENTO="Manual",$M178=1),0,IF(OFFSET(CRONOPLE!$F$14,$M178,AM$13)="",10^12,OFFSET(CRONOPLE!$F$14,$M178,AM$13))))</f>
        <v>1000000000000</v>
      </c>
      <c r="AN178" s="215">
        <f ca="1">IF($D178&lt;&gt;"Serviço",0,IF(AND(AUTOEVENTO="Manual",$M178=1),0,IF(OFFSET(CRONOPLE!$F$14,$M178,AN$13)="",10^12,OFFSET(CRONOPLE!$F$14,$M178,AN$13))))</f>
        <v>1000000000000</v>
      </c>
      <c r="AO178" s="215">
        <f ca="1">IF($D178&lt;&gt;"Serviço",0,IF(AND(AUTOEVENTO="Manual",$M178=1),0,IF(OFFSET(CRONOPLE!$F$14,$M178,AO$13)="",10^12,OFFSET(CRONOPLE!$F$14,$M178,AO$13))))</f>
        <v>1000000000000</v>
      </c>
      <c r="AP178" s="215">
        <f ca="1">IF($D178&lt;&gt;"Serviço",0,IF(AND(AUTOEVENTO="Manual",$M178=1),0,IF(OFFSET(CRONOPLE!$F$14,$M178,AP$13)="",10^12,OFFSET(CRONOPLE!$F$14,$M178,AP$13))))</f>
        <v>1000000000000</v>
      </c>
      <c r="AQ178" s="215">
        <f ca="1">IF($D178&lt;&gt;"Serviço",0,IF(AND(AUTOEVENTO="Manual",$M178=1),0,IF(OFFSET(CRONOPLE!$F$14,$M178,AQ$13)="",10^12,OFFSET(CRONOPLE!$F$14,$M178,AQ$13))))</f>
        <v>1000000000000</v>
      </c>
      <c r="AR178" s="215">
        <f ca="1">IF($D178&lt;&gt;"Serviço",0,IF(AND(AUTOEVENTO="Manual",$M178=1),0,IF(OFFSET(CRONOPLE!$F$14,$M178,AR$13)="",10^12,OFFSET(CRONOPLE!$F$14,$M178,AR$13))))</f>
        <v>1000000000000</v>
      </c>
      <c r="AS178" s="215">
        <f ca="1">IF($D178&lt;&gt;"Serviço",0,IF(AND(AUTOEVENTO="Manual",$M178=1),0,IF(OFFSET(CRONOPLE!$F$14,$M178,AS$13)="",10^12,OFFSET(CRONOPLE!$F$14,$M178,AS$13))))</f>
        <v>1000000000000</v>
      </c>
      <c r="AT178" s="215">
        <f ca="1">IF($D178&lt;&gt;"Serviço",0,IF(AND(AUTOEVENTO="Manual",$M178=1),0,IF(OFFSET(CRONOPLE!$F$14,$M178,AT$13)="",10^12,OFFSET(CRONOPLE!$F$14,$M178,AT$13))))</f>
        <v>1000000000000</v>
      </c>
      <c r="AU178" s="215">
        <f ca="1">IF($D178&lt;&gt;"Serviço",0,IF(AND(AUTOEVENTO="Manual",$M178=1),0,IF(OFFSET(CRONOPLE!$F$14,$M178,AU$13)="",10^12,OFFSET(CRONOPLE!$F$14,$M178,AU$13))))</f>
        <v>1000000000000</v>
      </c>
      <c r="AV178" s="215">
        <f ca="1">IF($D178&lt;&gt;"Serviço",0,IF(AND(AUTOEVENTO="Manual",$M178=1),0,IF(OFFSET(CRONOPLE!$F$14,$M178,AV$13)="",10^12,OFFSET(CRONOPLE!$F$14,$M178,AV$13))))</f>
        <v>1000000000000</v>
      </c>
      <c r="AX178" s="216">
        <f ca="1">IF($D178&lt;&gt;"Serviço",0,IF(OR(AND(AUTOEVENTO="Manual",$M178=1),$M178&gt;(ROW(PLE.lastrow)-ROW(PLE.firstrow))),0,IF(OFFSET(PLE!$G$14,$M178,AX$13)="",10^12,OFFSET(PLE!$G$14,$M178,AX$13))))</f>
        <v>1000000000000</v>
      </c>
      <c r="AY178" s="216">
        <f ca="1">IF($D178&lt;&gt;"Serviço",0,IF(OR(AND(AUTOEVENTO="Manual",$M178=1),$M178&gt;(ROW(PLE.lastrow)-ROW(PLE.firstrow))),0,IF(OFFSET(PLE!$G$14,$M178,AY$13)="",10^12,OFFSET(PLE!$G$14,$M178,AY$13))))</f>
        <v>1000000000000</v>
      </c>
      <c r="AZ178" s="216">
        <f ca="1">IF($D178&lt;&gt;"Serviço",0,IF(OR(AND(AUTOEVENTO="Manual",$M178=1),$M178&gt;(ROW(PLE.lastrow)-ROW(PLE.firstrow))),0,IF(OFFSET(PLE!$G$14,$M178,AZ$13)="",10^12,OFFSET(PLE!$G$14,$M178,AZ$13))))</f>
        <v>1000000000000</v>
      </c>
      <c r="BA178" s="216">
        <f ca="1">IF($D178&lt;&gt;"Serviço",0,IF(OR(AND(AUTOEVENTO="Manual",$M178=1),$M178&gt;(ROW(PLE.lastrow)-ROW(PLE.firstrow))),0,IF(OFFSET(PLE!$G$14,$M178,BA$13)="",10^12,OFFSET(PLE!$G$14,$M178,BA$13))))</f>
        <v>1000000000000</v>
      </c>
      <c r="BB178" s="216">
        <f ca="1">IF($D178&lt;&gt;"Serviço",0,IF(OR(AND(AUTOEVENTO="Manual",$M178=1),$M178&gt;(ROW(PLE.lastrow)-ROW(PLE.firstrow))),0,IF(OFFSET(PLE!$G$14,$M178,BB$13)="",10^12,OFFSET(PLE!$G$14,$M178,BB$13))))</f>
        <v>1000000000000</v>
      </c>
      <c r="BC178" s="216">
        <f ca="1">IF($D178&lt;&gt;"Serviço",0,IF(OR(AND(AUTOEVENTO="Manual",$M178=1),$M178&gt;(ROW(PLE.lastrow)-ROW(PLE.firstrow))),0,IF(OFFSET(PLE!$G$14,$M178,BC$13)="",10^12,OFFSET(PLE!$G$14,$M178,BC$13))))</f>
        <v>1000000000000</v>
      </c>
      <c r="BD178" s="216">
        <f ca="1">IF($D178&lt;&gt;"Serviço",0,IF(OR(AND(AUTOEVENTO="Manual",$M178=1),$M178&gt;(ROW(PLE.lastrow)-ROW(PLE.firstrow))),0,IF(OFFSET(PLE!$G$14,$M178,BD$13)="",10^12,OFFSET(PLE!$G$14,$M178,BD$13))))</f>
        <v>1000000000000</v>
      </c>
      <c r="BE178" s="216">
        <f ca="1">IF($D178&lt;&gt;"Serviço",0,IF(OR(AND(AUTOEVENTO="Manual",$M178=1),$M178&gt;(ROW(PLE.lastrow)-ROW(PLE.firstrow))),0,IF(OFFSET(PLE!$G$14,$M178,BE$13)="",10^12,OFFSET(PLE!$G$14,$M178,BE$13))))</f>
        <v>1000000000000</v>
      </c>
      <c r="BF178" s="216">
        <f ca="1">IF($D178&lt;&gt;"Serviço",0,IF(OR(AND(AUTOEVENTO="Manual",$M178=1),$M178&gt;(ROW(PLE.lastrow)-ROW(PLE.firstrow))),0,IF(OFFSET(PLE!$G$14,$M178,BF$13)="",10^12,OFFSET(PLE!$G$14,$M178,BF$13))))</f>
        <v>1000000000000</v>
      </c>
      <c r="BG178" s="216">
        <f ca="1">IF($D178&lt;&gt;"Serviço",0,IF(OR(AND(AUTOEVENTO="Manual",$M178=1),$M178&gt;(ROW(PLE.lastrow)-ROW(PLE.firstrow))),0,IF(OFFSET(PLE!$G$14,$M178,BG$13)="",10^12,OFFSET(PLE!$G$14,$M178,BG$13))))</f>
        <v>1000000000000</v>
      </c>
    </row>
    <row r="179" spans="1:59" ht="12.75" x14ac:dyDescent="0.2">
      <c r="A179" s="9" t="str">
        <f t="shared" ca="1" si="11"/>
        <v>164.</v>
      </c>
      <c r="B179" s="9">
        <f ca="1">OFFSET(ORÇAMENTO!C$15,ROW(B179)-ROW(B$15),0)</f>
        <v>2</v>
      </c>
      <c r="C179" s="9" t="str">
        <f ca="1">OFFSET(ORÇAMENTO!L$15,ROW(C179)-ROW(C$15),0)</f>
        <v>F</v>
      </c>
      <c r="D179" s="145" t="str">
        <f ca="1">OFFSET(ORÇAMENTO!N$15,ROW(D179)-ROW(D$15),0)</f>
        <v>Nível 2</v>
      </c>
      <c r="E179" s="205" t="str">
        <f ca="1">OFFSET(ORÇAMENTO!O$15,ROW(E179)-ROW(E$15),0)</f>
        <v>1.23.</v>
      </c>
      <c r="F179" s="206" t="str">
        <f ca="1">OFFSET(ORÇAMENTO!R$15,ROW(F179)-ROW(F$15),0)</f>
        <v>ACESSIBILIDADE</v>
      </c>
      <c r="G179" s="207" t="str">
        <f ca="1">IF($D179&lt;&gt;"Serviço","",OFFSET(ORÇAMENTO!S$15,ROW(G179)-ROW(G$15),0))</f>
        <v/>
      </c>
      <c r="H179" s="151">
        <f ca="1">IF($D179&lt;&gt;"Serviço",0,IF(ACOMPANHAMENTO="BM",ROUND(OFFSET(ORÇAMENTO!AJ$15,ROW(H179)-ROW(H$15),0),15-13*ORÇAMENTO!$AF$7),SUMPRODUCT(($Q$12:$AA$12&lt;&gt;"")*ROUND($Q179:$AA179,15-13*ORÇAMENTO!$AF$7))))</f>
        <v>0</v>
      </c>
      <c r="I179" s="649"/>
      <c r="K179" s="208"/>
      <c r="L179" s="209" t="s">
        <v>255</v>
      </c>
      <c r="M179" s="210" t="str">
        <f ca="1">IF($D179&lt;&gt;"Serviço","",IF(AUTOEVENTO="manual",$A179,IF(ISERROR(MATCH($A179,$A$15:OFFSET($A179,-1,0),0)),MAX($M$15:OFFSET(M179,-1,0))+1,INDEX($M$15:OFFSET(M179,-1,0),MATCH($A179,$A$15:OFFSET($A179,-1,0),0)))))</f>
        <v/>
      </c>
      <c r="N179" s="211" t="str">
        <f ca="1">IF($D179&lt;&gt;"Serviço","",IF(AUTOEVENTO="Manual",IF($A179=0,"&lt;-- defina o número do agrupador",OFFSET(EVENTOS!$D$14,$A179,0)),OFFSET($F$15,$A179,0)))</f>
        <v/>
      </c>
      <c r="O179" s="212"/>
      <c r="Q179" s="212"/>
      <c r="R179" s="213"/>
      <c r="S179" s="213"/>
      <c r="T179" s="213"/>
      <c r="U179" s="213"/>
      <c r="V179" s="213"/>
      <c r="W179" s="213"/>
      <c r="X179" s="213"/>
      <c r="Y179" s="213"/>
      <c r="Z179" s="214"/>
      <c r="AB179" s="630">
        <f ca="1">IF(AND($D179="Serviço",AB$12&lt;&gt;0,$H179&gt;0,OR(AUTOEVENTO&lt;&gt;"manual",$M179&lt;&gt;1)),
IF(Import.TipoArredondamento&lt;&gt;"TransfereGOV",
ROUND(OFFSET($P179,0,AB$13),15-13*ORÇAMENTO!$AF$7)/$H179*OFFSET(ORÇAMENTO!$X$15,ROW(AB179)-ROW(AB$15),0),
ROUND(ROUND(OFFSET($P179,0,AB$13),15-13*ORÇAMENTO!$AF$7)*OFFSET(ORÇAMENTO!$W$15,ROW(AB179)-ROW(AB$15),0),15-13*ORÇAMENTO!$AF$11)),0)</f>
        <v>0</v>
      </c>
      <c r="AC179" s="631">
        <f ca="1">IF(AND($D179="Serviço",AC$12&lt;&gt;0,$H179&gt;0,OR(AUTOEVENTO&lt;&gt;"manual",$M179&lt;&gt;1)),
IF(Import.TipoArredondamento&lt;&gt;"TransfereGOV",
ROUND(OFFSET($P179,0,AC$13),15-13*ORÇAMENTO!$AF$7)/$H179*OFFSET(ORÇAMENTO!$X$15,ROW(AC179)-ROW(AC$15),0),
ROUND(ROUND(OFFSET($P179,0,AC$13),15-13*ORÇAMENTO!$AF$7)*OFFSET(ORÇAMENTO!$W$15,ROW(AC179)-ROW(AC$15),0),15-13*ORÇAMENTO!$AF$11)),0)</f>
        <v>0</v>
      </c>
      <c r="AD179" s="631">
        <f ca="1">IF(AND($D179="Serviço",AD$12&lt;&gt;0,$H179&gt;0,OR(AUTOEVENTO&lt;&gt;"manual",$M179&lt;&gt;1)),
IF(Import.TipoArredondamento&lt;&gt;"TransfereGOV",
ROUND(OFFSET($P179,0,AD$13),15-13*ORÇAMENTO!$AF$7)/$H179*OFFSET(ORÇAMENTO!$X$15,ROW(AD179)-ROW(AD$15),0),
ROUND(ROUND(OFFSET($P179,0,AD$13),15-13*ORÇAMENTO!$AF$7)*OFFSET(ORÇAMENTO!$W$15,ROW(AD179)-ROW(AD$15),0),15-13*ORÇAMENTO!$AF$11)),0)</f>
        <v>0</v>
      </c>
      <c r="AE179" s="631">
        <f ca="1">IF(AND($D179="Serviço",AE$12&lt;&gt;0,$H179&gt;0,OR(AUTOEVENTO&lt;&gt;"manual",$M179&lt;&gt;1)),
IF(Import.TipoArredondamento&lt;&gt;"TransfereGOV",
ROUND(OFFSET($P179,0,AE$13),15-13*ORÇAMENTO!$AF$7)/$H179*OFFSET(ORÇAMENTO!$X$15,ROW(AE179)-ROW(AE$15),0),
ROUND(ROUND(OFFSET($P179,0,AE$13),15-13*ORÇAMENTO!$AF$7)*OFFSET(ORÇAMENTO!$W$15,ROW(AE179)-ROW(AE$15),0),15-13*ORÇAMENTO!$AF$11)),0)</f>
        <v>0</v>
      </c>
      <c r="AF179" s="631">
        <f ca="1">IF(AND($D179="Serviço",AF$12&lt;&gt;0,$H179&gt;0,OR(AUTOEVENTO&lt;&gt;"manual",$M179&lt;&gt;1)),
IF(Import.TipoArredondamento&lt;&gt;"TransfereGOV",
ROUND(OFFSET($P179,0,AF$13),15-13*ORÇAMENTO!$AF$7)/$H179*OFFSET(ORÇAMENTO!$X$15,ROW(AF179)-ROW(AF$15),0),
ROUND(ROUND(OFFSET($P179,0,AF$13),15-13*ORÇAMENTO!$AF$7)*OFFSET(ORÇAMENTO!$W$15,ROW(AF179)-ROW(AF$15),0),15-13*ORÇAMENTO!$AF$11)),0)</f>
        <v>0</v>
      </c>
      <c r="AG179" s="631">
        <f ca="1">IF(AND($D179="Serviço",AG$12&lt;&gt;0,$H179&gt;0,OR(AUTOEVENTO&lt;&gt;"manual",$M179&lt;&gt;1)),
IF(Import.TipoArredondamento&lt;&gt;"TransfereGOV",
ROUND(OFFSET($P179,0,AG$13),15-13*ORÇAMENTO!$AF$7)/$H179*OFFSET(ORÇAMENTO!$X$15,ROW(AG179)-ROW(AG$15),0),
ROUND(ROUND(OFFSET($P179,0,AG$13),15-13*ORÇAMENTO!$AF$7)*OFFSET(ORÇAMENTO!$W$15,ROW(AG179)-ROW(AG$15),0),15-13*ORÇAMENTO!$AF$11)),0)</f>
        <v>0</v>
      </c>
      <c r="AH179" s="631">
        <f ca="1">IF(AND($D179="Serviço",AH$12&lt;&gt;0,$H179&gt;0,OR(AUTOEVENTO&lt;&gt;"manual",$M179&lt;&gt;1)),
IF(Import.TipoArredondamento&lt;&gt;"TransfereGOV",
ROUND(OFFSET($P179,0,AH$13),15-13*ORÇAMENTO!$AF$7)/$H179*OFFSET(ORÇAMENTO!$X$15,ROW(AH179)-ROW(AH$15),0),
ROUND(ROUND(OFFSET($P179,0,AH$13),15-13*ORÇAMENTO!$AF$7)*OFFSET(ORÇAMENTO!$W$15,ROW(AH179)-ROW(AH$15),0),15-13*ORÇAMENTO!$AF$11)),0)</f>
        <v>0</v>
      </c>
      <c r="AI179" s="631">
        <f ca="1">IF(AND($D179="Serviço",AI$12&lt;&gt;0,$H179&gt;0,OR(AUTOEVENTO&lt;&gt;"manual",$M179&lt;&gt;1)),
IF(Import.TipoArredondamento&lt;&gt;"TransfereGOV",
ROUND(OFFSET($P179,0,AI$13),15-13*ORÇAMENTO!$AF$7)/$H179*OFFSET(ORÇAMENTO!$X$15,ROW(AI179)-ROW(AI$15),0),
ROUND(ROUND(OFFSET($P179,0,AI$13),15-13*ORÇAMENTO!$AF$7)*OFFSET(ORÇAMENTO!$W$15,ROW(AI179)-ROW(AI$15),0),15-13*ORÇAMENTO!$AF$11)),0)</f>
        <v>0</v>
      </c>
      <c r="AJ179" s="631">
        <f ca="1">IF(AND($D179="Serviço",AJ$12&lt;&gt;0,$H179&gt;0,OR(AUTOEVENTO&lt;&gt;"manual",$M179&lt;&gt;1)),
IF(Import.TipoArredondamento&lt;&gt;"TransfereGOV",
ROUND(OFFSET($P179,0,AJ$13),15-13*ORÇAMENTO!$AF$7)/$H179*OFFSET(ORÇAMENTO!$X$15,ROW(AJ179)-ROW(AJ$15),0),
ROUND(ROUND(OFFSET($P179,0,AJ$13),15-13*ORÇAMENTO!$AF$7)*OFFSET(ORÇAMENTO!$W$15,ROW(AJ179)-ROW(AJ$15),0),15-13*ORÇAMENTO!$AF$11)),0)</f>
        <v>0</v>
      </c>
      <c r="AK179" s="632">
        <f ca="1">IF(AND($D179="Serviço",AK$12&lt;&gt;0,$H179&gt;0,OR(AUTOEVENTO&lt;&gt;"manual",$M179&lt;&gt;1)),
IF(Import.TipoArredondamento&lt;&gt;"TransfereGOV",
ROUND(OFFSET($P179,0,AK$13),15-13*ORÇAMENTO!$AF$7)/$H179*OFFSET(ORÇAMENTO!$X$15,ROW(AK179)-ROW(AK$15),0),
ROUND(ROUND(OFFSET($P179,0,AK$13),15-13*ORÇAMENTO!$AF$7)*OFFSET(ORÇAMENTO!$W$15,ROW(AK179)-ROW(AK$15),0),15-13*ORÇAMENTO!$AF$11)),0)</f>
        <v>0</v>
      </c>
      <c r="AM179" s="215">
        <f ca="1">IF($D179&lt;&gt;"Serviço",0,IF(AND(AUTOEVENTO="Manual",$M179=1),0,IF(OFFSET(CRONOPLE!$F$14,$M179,AM$13)="",10^12,OFFSET(CRONOPLE!$F$14,$M179,AM$13))))</f>
        <v>0</v>
      </c>
      <c r="AN179" s="215">
        <f ca="1">IF($D179&lt;&gt;"Serviço",0,IF(AND(AUTOEVENTO="Manual",$M179=1),0,IF(OFFSET(CRONOPLE!$F$14,$M179,AN$13)="",10^12,OFFSET(CRONOPLE!$F$14,$M179,AN$13))))</f>
        <v>0</v>
      </c>
      <c r="AO179" s="215">
        <f ca="1">IF($D179&lt;&gt;"Serviço",0,IF(AND(AUTOEVENTO="Manual",$M179=1),0,IF(OFFSET(CRONOPLE!$F$14,$M179,AO$13)="",10^12,OFFSET(CRONOPLE!$F$14,$M179,AO$13))))</f>
        <v>0</v>
      </c>
      <c r="AP179" s="215">
        <f ca="1">IF($D179&lt;&gt;"Serviço",0,IF(AND(AUTOEVENTO="Manual",$M179=1),0,IF(OFFSET(CRONOPLE!$F$14,$M179,AP$13)="",10^12,OFFSET(CRONOPLE!$F$14,$M179,AP$13))))</f>
        <v>0</v>
      </c>
      <c r="AQ179" s="215">
        <f ca="1">IF($D179&lt;&gt;"Serviço",0,IF(AND(AUTOEVENTO="Manual",$M179=1),0,IF(OFFSET(CRONOPLE!$F$14,$M179,AQ$13)="",10^12,OFFSET(CRONOPLE!$F$14,$M179,AQ$13))))</f>
        <v>0</v>
      </c>
      <c r="AR179" s="215">
        <f ca="1">IF($D179&lt;&gt;"Serviço",0,IF(AND(AUTOEVENTO="Manual",$M179=1),0,IF(OFFSET(CRONOPLE!$F$14,$M179,AR$13)="",10^12,OFFSET(CRONOPLE!$F$14,$M179,AR$13))))</f>
        <v>0</v>
      </c>
      <c r="AS179" s="215">
        <f ca="1">IF($D179&lt;&gt;"Serviço",0,IF(AND(AUTOEVENTO="Manual",$M179=1),0,IF(OFFSET(CRONOPLE!$F$14,$M179,AS$13)="",10^12,OFFSET(CRONOPLE!$F$14,$M179,AS$13))))</f>
        <v>0</v>
      </c>
      <c r="AT179" s="215">
        <f ca="1">IF($D179&lt;&gt;"Serviço",0,IF(AND(AUTOEVENTO="Manual",$M179=1),0,IF(OFFSET(CRONOPLE!$F$14,$M179,AT$13)="",10^12,OFFSET(CRONOPLE!$F$14,$M179,AT$13))))</f>
        <v>0</v>
      </c>
      <c r="AU179" s="215">
        <f ca="1">IF($D179&lt;&gt;"Serviço",0,IF(AND(AUTOEVENTO="Manual",$M179=1),0,IF(OFFSET(CRONOPLE!$F$14,$M179,AU$13)="",10^12,OFFSET(CRONOPLE!$F$14,$M179,AU$13))))</f>
        <v>0</v>
      </c>
      <c r="AV179" s="215">
        <f ca="1">IF($D179&lt;&gt;"Serviço",0,IF(AND(AUTOEVENTO="Manual",$M179=1),0,IF(OFFSET(CRONOPLE!$F$14,$M179,AV$13)="",10^12,OFFSET(CRONOPLE!$F$14,$M179,AV$13))))</f>
        <v>0</v>
      </c>
      <c r="AX179" s="216">
        <f ca="1">IF($D179&lt;&gt;"Serviço",0,IF(OR(AND(AUTOEVENTO="Manual",$M179=1),$M179&gt;(ROW(PLE.lastrow)-ROW(PLE.firstrow))),0,IF(OFFSET(PLE!$G$14,$M179,AX$13)="",10^12,OFFSET(PLE!$G$14,$M179,AX$13))))</f>
        <v>0</v>
      </c>
      <c r="AY179" s="216">
        <f ca="1">IF($D179&lt;&gt;"Serviço",0,IF(OR(AND(AUTOEVENTO="Manual",$M179=1),$M179&gt;(ROW(PLE.lastrow)-ROW(PLE.firstrow))),0,IF(OFFSET(PLE!$G$14,$M179,AY$13)="",10^12,OFFSET(PLE!$G$14,$M179,AY$13))))</f>
        <v>0</v>
      </c>
      <c r="AZ179" s="216">
        <f ca="1">IF($D179&lt;&gt;"Serviço",0,IF(OR(AND(AUTOEVENTO="Manual",$M179=1),$M179&gt;(ROW(PLE.lastrow)-ROW(PLE.firstrow))),0,IF(OFFSET(PLE!$G$14,$M179,AZ$13)="",10^12,OFFSET(PLE!$G$14,$M179,AZ$13))))</f>
        <v>0</v>
      </c>
      <c r="BA179" s="216">
        <f ca="1">IF($D179&lt;&gt;"Serviço",0,IF(OR(AND(AUTOEVENTO="Manual",$M179=1),$M179&gt;(ROW(PLE.lastrow)-ROW(PLE.firstrow))),0,IF(OFFSET(PLE!$G$14,$M179,BA$13)="",10^12,OFFSET(PLE!$G$14,$M179,BA$13))))</f>
        <v>0</v>
      </c>
      <c r="BB179" s="216">
        <f ca="1">IF($D179&lt;&gt;"Serviço",0,IF(OR(AND(AUTOEVENTO="Manual",$M179=1),$M179&gt;(ROW(PLE.lastrow)-ROW(PLE.firstrow))),0,IF(OFFSET(PLE!$G$14,$M179,BB$13)="",10^12,OFFSET(PLE!$G$14,$M179,BB$13))))</f>
        <v>0</v>
      </c>
      <c r="BC179" s="216">
        <f ca="1">IF($D179&lt;&gt;"Serviço",0,IF(OR(AND(AUTOEVENTO="Manual",$M179=1),$M179&gt;(ROW(PLE.lastrow)-ROW(PLE.firstrow))),0,IF(OFFSET(PLE!$G$14,$M179,BC$13)="",10^12,OFFSET(PLE!$G$14,$M179,BC$13))))</f>
        <v>0</v>
      </c>
      <c r="BD179" s="216">
        <f ca="1">IF($D179&lt;&gt;"Serviço",0,IF(OR(AND(AUTOEVENTO="Manual",$M179=1),$M179&gt;(ROW(PLE.lastrow)-ROW(PLE.firstrow))),0,IF(OFFSET(PLE!$G$14,$M179,BD$13)="",10^12,OFFSET(PLE!$G$14,$M179,BD$13))))</f>
        <v>0</v>
      </c>
      <c r="BE179" s="216">
        <f ca="1">IF($D179&lt;&gt;"Serviço",0,IF(OR(AND(AUTOEVENTO="Manual",$M179=1),$M179&gt;(ROW(PLE.lastrow)-ROW(PLE.firstrow))),0,IF(OFFSET(PLE!$G$14,$M179,BE$13)="",10^12,OFFSET(PLE!$G$14,$M179,BE$13))))</f>
        <v>0</v>
      </c>
      <c r="BF179" s="216">
        <f ca="1">IF($D179&lt;&gt;"Serviço",0,IF(OR(AND(AUTOEVENTO="Manual",$M179=1),$M179&gt;(ROW(PLE.lastrow)-ROW(PLE.firstrow))),0,IF(OFFSET(PLE!$G$14,$M179,BF$13)="",10^12,OFFSET(PLE!$G$14,$M179,BF$13))))</f>
        <v>0</v>
      </c>
      <c r="BG179" s="216">
        <f ca="1">IF($D179&lt;&gt;"Serviço",0,IF(OR(AND(AUTOEVENTO="Manual",$M179=1),$M179&gt;(ROW(PLE.lastrow)-ROW(PLE.firstrow))),0,IF(OFFSET(PLE!$G$14,$M179,BG$13)="",10^12,OFFSET(PLE!$G$14,$M179,BG$13))))</f>
        <v>0</v>
      </c>
    </row>
    <row r="180" spans="1:59" ht="25.5" x14ac:dyDescent="0.2">
      <c r="A180" s="9" t="str">
        <f t="shared" ca="1" si="11"/>
        <v>164</v>
      </c>
      <c r="B180" s="9" t="str">
        <f ca="1">OFFSET(ORÇAMENTO!C$15,ROW(B180)-ROW(B$15),0)</f>
        <v>S</v>
      </c>
      <c r="C180" s="9" t="str">
        <f ca="1">OFFSET(ORÇAMENTO!L$15,ROW(C180)-ROW(C$15),0)</f>
        <v/>
      </c>
      <c r="D180" s="145" t="str">
        <f ca="1">OFFSET(ORÇAMENTO!N$15,ROW(D180)-ROW(D$15),0)</f>
        <v>Serviço</v>
      </c>
      <c r="E180" s="205" t="str">
        <f ca="1">OFFSET(ORÇAMENTO!O$15,ROW(E180)-ROW(E$15),0)</f>
        <v>-</v>
      </c>
      <c r="F180" s="206" t="str">
        <f ca="1">OFFSET(ORÇAMENTO!R$15,ROW(F180)-ROW(F$15),0)</f>
        <v>PISO PODOTÁTIL DE ALERTA OU DIRECIONAL, DE BORRACHA, ASSENTADO SOBRE ARGAMASSA. AF_05/2020</v>
      </c>
      <c r="G180" s="207" t="str">
        <f ca="1">IF($D180&lt;&gt;"Serviço","",OFFSET(ORÇAMENTO!S$15,ROW(G180)-ROW(G$15),0))</f>
        <v>M</v>
      </c>
      <c r="H180" s="151">
        <f ca="1">IF($D180&lt;&gt;"Serviço",0,IF(ACOMPANHAMENTO="BM",ROUND(OFFSET(ORÇAMENTO!AJ$15,ROW(H180)-ROW(H$15),0),15-13*ORÇAMENTO!$AF$7),SUMPRODUCT(($Q$12:$AA$12&lt;&gt;"")*ROUND($Q180:$AA180,15-13*ORÇAMENTO!$AF$7))))</f>
        <v>75</v>
      </c>
      <c r="I180" s="649"/>
      <c r="K180" s="208"/>
      <c r="L180" s="209" t="s">
        <v>255</v>
      </c>
      <c r="M180" s="210">
        <f ca="1">IF($D180&lt;&gt;"Serviço","",IF(AUTOEVENTO="manual",$A180,IF(ISERROR(MATCH($A180,$A$15:OFFSET($A180,-1,0),0)),MAX($M$15:OFFSET(M180,-1,0))+1,INDEX($M$15:OFFSET(M180,-1,0),MATCH($A180,$A$15:OFFSET($A180,-1,0),0)))))</f>
        <v>24</v>
      </c>
      <c r="N180" s="211" t="str">
        <f ca="1">IF($D180&lt;&gt;"Serviço","",IF(AUTOEVENTO="Manual",IF($A180=0,"&lt;-- defina o número do agrupador",OFFSET(EVENTOS!$D$14,$A180,0)),OFFSET($F$15,$A180,0)))</f>
        <v>ACESSIBILIDADE</v>
      </c>
      <c r="O180" s="212"/>
      <c r="Q180" s="212"/>
      <c r="R180" s="213"/>
      <c r="S180" s="213"/>
      <c r="T180" s="213"/>
      <c r="U180" s="213"/>
      <c r="V180" s="213"/>
      <c r="W180" s="213"/>
      <c r="X180" s="213"/>
      <c r="Y180" s="213"/>
      <c r="Z180" s="214"/>
      <c r="AB180" s="630">
        <f ca="1">IF(AND($D180="Serviço",AB$12&lt;&gt;0,$H180&gt;0,OR(AUTOEVENTO&lt;&gt;"manual",$M180&lt;&gt;1)),
IF(Import.TipoArredondamento&lt;&gt;"TransfereGOV",
ROUND(OFFSET($P180,0,AB$13),15-13*ORÇAMENTO!$AF$7)/$H180*OFFSET(ORÇAMENTO!$X$15,ROW(AB180)-ROW(AB$15),0),
ROUND(ROUND(OFFSET($P180,0,AB$13),15-13*ORÇAMENTO!$AF$7)*OFFSET(ORÇAMENTO!$W$15,ROW(AB180)-ROW(AB$15),0),15-13*ORÇAMENTO!$AF$11)),0)</f>
        <v>0</v>
      </c>
      <c r="AC180" s="631">
        <f ca="1">IF(AND($D180="Serviço",AC$12&lt;&gt;0,$H180&gt;0,OR(AUTOEVENTO&lt;&gt;"manual",$M180&lt;&gt;1)),
IF(Import.TipoArredondamento&lt;&gt;"TransfereGOV",
ROUND(OFFSET($P180,0,AC$13),15-13*ORÇAMENTO!$AF$7)/$H180*OFFSET(ORÇAMENTO!$X$15,ROW(AC180)-ROW(AC$15),0),
ROUND(ROUND(OFFSET($P180,0,AC$13),15-13*ORÇAMENTO!$AF$7)*OFFSET(ORÇAMENTO!$W$15,ROW(AC180)-ROW(AC$15),0),15-13*ORÇAMENTO!$AF$11)),0)</f>
        <v>0</v>
      </c>
      <c r="AD180" s="631">
        <f ca="1">IF(AND($D180="Serviço",AD$12&lt;&gt;0,$H180&gt;0,OR(AUTOEVENTO&lt;&gt;"manual",$M180&lt;&gt;1)),
IF(Import.TipoArredondamento&lt;&gt;"TransfereGOV",
ROUND(OFFSET($P180,0,AD$13),15-13*ORÇAMENTO!$AF$7)/$H180*OFFSET(ORÇAMENTO!$X$15,ROW(AD180)-ROW(AD$15),0),
ROUND(ROUND(OFFSET($P180,0,AD$13),15-13*ORÇAMENTO!$AF$7)*OFFSET(ORÇAMENTO!$W$15,ROW(AD180)-ROW(AD$15),0),15-13*ORÇAMENTO!$AF$11)),0)</f>
        <v>0</v>
      </c>
      <c r="AE180" s="631">
        <f ca="1">IF(AND($D180="Serviço",AE$12&lt;&gt;0,$H180&gt;0,OR(AUTOEVENTO&lt;&gt;"manual",$M180&lt;&gt;1)),
IF(Import.TipoArredondamento&lt;&gt;"TransfereGOV",
ROUND(OFFSET($P180,0,AE$13),15-13*ORÇAMENTO!$AF$7)/$H180*OFFSET(ORÇAMENTO!$X$15,ROW(AE180)-ROW(AE$15),0),
ROUND(ROUND(OFFSET($P180,0,AE$13),15-13*ORÇAMENTO!$AF$7)*OFFSET(ORÇAMENTO!$W$15,ROW(AE180)-ROW(AE$15),0),15-13*ORÇAMENTO!$AF$11)),0)</f>
        <v>0</v>
      </c>
      <c r="AF180" s="631">
        <f ca="1">IF(AND($D180="Serviço",AF$12&lt;&gt;0,$H180&gt;0,OR(AUTOEVENTO&lt;&gt;"manual",$M180&lt;&gt;1)),
IF(Import.TipoArredondamento&lt;&gt;"TransfereGOV",
ROUND(OFFSET($P180,0,AF$13),15-13*ORÇAMENTO!$AF$7)/$H180*OFFSET(ORÇAMENTO!$X$15,ROW(AF180)-ROW(AF$15),0),
ROUND(ROUND(OFFSET($P180,0,AF$13),15-13*ORÇAMENTO!$AF$7)*OFFSET(ORÇAMENTO!$W$15,ROW(AF180)-ROW(AF$15),0),15-13*ORÇAMENTO!$AF$11)),0)</f>
        <v>0</v>
      </c>
      <c r="AG180" s="631">
        <f ca="1">IF(AND($D180="Serviço",AG$12&lt;&gt;0,$H180&gt;0,OR(AUTOEVENTO&lt;&gt;"manual",$M180&lt;&gt;1)),
IF(Import.TipoArredondamento&lt;&gt;"TransfereGOV",
ROUND(OFFSET($P180,0,AG$13),15-13*ORÇAMENTO!$AF$7)/$H180*OFFSET(ORÇAMENTO!$X$15,ROW(AG180)-ROW(AG$15),0),
ROUND(ROUND(OFFSET($P180,0,AG$13),15-13*ORÇAMENTO!$AF$7)*OFFSET(ORÇAMENTO!$W$15,ROW(AG180)-ROW(AG$15),0),15-13*ORÇAMENTO!$AF$11)),0)</f>
        <v>0</v>
      </c>
      <c r="AH180" s="631">
        <f ca="1">IF(AND($D180="Serviço",AH$12&lt;&gt;0,$H180&gt;0,OR(AUTOEVENTO&lt;&gt;"manual",$M180&lt;&gt;1)),
IF(Import.TipoArredondamento&lt;&gt;"TransfereGOV",
ROUND(OFFSET($P180,0,AH$13),15-13*ORÇAMENTO!$AF$7)/$H180*OFFSET(ORÇAMENTO!$X$15,ROW(AH180)-ROW(AH$15),0),
ROUND(ROUND(OFFSET($P180,0,AH$13),15-13*ORÇAMENTO!$AF$7)*OFFSET(ORÇAMENTO!$W$15,ROW(AH180)-ROW(AH$15),0),15-13*ORÇAMENTO!$AF$11)),0)</f>
        <v>0</v>
      </c>
      <c r="AI180" s="631">
        <f ca="1">IF(AND($D180="Serviço",AI$12&lt;&gt;0,$H180&gt;0,OR(AUTOEVENTO&lt;&gt;"manual",$M180&lt;&gt;1)),
IF(Import.TipoArredondamento&lt;&gt;"TransfereGOV",
ROUND(OFFSET($P180,0,AI$13),15-13*ORÇAMENTO!$AF$7)/$H180*OFFSET(ORÇAMENTO!$X$15,ROW(AI180)-ROW(AI$15),0),
ROUND(ROUND(OFFSET($P180,0,AI$13),15-13*ORÇAMENTO!$AF$7)*OFFSET(ORÇAMENTO!$W$15,ROW(AI180)-ROW(AI$15),0),15-13*ORÇAMENTO!$AF$11)),0)</f>
        <v>0</v>
      </c>
      <c r="AJ180" s="631">
        <f ca="1">IF(AND($D180="Serviço",AJ$12&lt;&gt;0,$H180&gt;0,OR(AUTOEVENTO&lt;&gt;"manual",$M180&lt;&gt;1)),
IF(Import.TipoArredondamento&lt;&gt;"TransfereGOV",
ROUND(OFFSET($P180,0,AJ$13),15-13*ORÇAMENTO!$AF$7)/$H180*OFFSET(ORÇAMENTO!$X$15,ROW(AJ180)-ROW(AJ$15),0),
ROUND(ROUND(OFFSET($P180,0,AJ$13),15-13*ORÇAMENTO!$AF$7)*OFFSET(ORÇAMENTO!$W$15,ROW(AJ180)-ROW(AJ$15),0),15-13*ORÇAMENTO!$AF$11)),0)</f>
        <v>0</v>
      </c>
      <c r="AK180" s="632">
        <f ca="1">IF(AND($D180="Serviço",AK$12&lt;&gt;0,$H180&gt;0,OR(AUTOEVENTO&lt;&gt;"manual",$M180&lt;&gt;1)),
IF(Import.TipoArredondamento&lt;&gt;"TransfereGOV",
ROUND(OFFSET($P180,0,AK$13),15-13*ORÇAMENTO!$AF$7)/$H180*OFFSET(ORÇAMENTO!$X$15,ROW(AK180)-ROW(AK$15),0),
ROUND(ROUND(OFFSET($P180,0,AK$13),15-13*ORÇAMENTO!$AF$7)*OFFSET(ORÇAMENTO!$W$15,ROW(AK180)-ROW(AK$15),0),15-13*ORÇAMENTO!$AF$11)),0)</f>
        <v>0</v>
      </c>
      <c r="AM180" s="215">
        <f ca="1">IF($D180&lt;&gt;"Serviço",0,IF(AND(AUTOEVENTO="Manual",$M180=1),0,IF(OFFSET(CRONOPLE!$F$14,$M180,AM$13)="",10^12,OFFSET(CRONOPLE!$F$14,$M180,AM$13))))</f>
        <v>1000000000000</v>
      </c>
      <c r="AN180" s="215">
        <f ca="1">IF($D180&lt;&gt;"Serviço",0,IF(AND(AUTOEVENTO="Manual",$M180=1),0,IF(OFFSET(CRONOPLE!$F$14,$M180,AN$13)="",10^12,OFFSET(CRONOPLE!$F$14,$M180,AN$13))))</f>
        <v>1000000000000</v>
      </c>
      <c r="AO180" s="215">
        <f ca="1">IF($D180&lt;&gt;"Serviço",0,IF(AND(AUTOEVENTO="Manual",$M180=1),0,IF(OFFSET(CRONOPLE!$F$14,$M180,AO$13)="",10^12,OFFSET(CRONOPLE!$F$14,$M180,AO$13))))</f>
        <v>1000000000000</v>
      </c>
      <c r="AP180" s="215">
        <f ca="1">IF($D180&lt;&gt;"Serviço",0,IF(AND(AUTOEVENTO="Manual",$M180=1),0,IF(OFFSET(CRONOPLE!$F$14,$M180,AP$13)="",10^12,OFFSET(CRONOPLE!$F$14,$M180,AP$13))))</f>
        <v>1000000000000</v>
      </c>
      <c r="AQ180" s="215">
        <f ca="1">IF($D180&lt;&gt;"Serviço",0,IF(AND(AUTOEVENTO="Manual",$M180=1),0,IF(OFFSET(CRONOPLE!$F$14,$M180,AQ$13)="",10^12,OFFSET(CRONOPLE!$F$14,$M180,AQ$13))))</f>
        <v>1000000000000</v>
      </c>
      <c r="AR180" s="215">
        <f ca="1">IF($D180&lt;&gt;"Serviço",0,IF(AND(AUTOEVENTO="Manual",$M180=1),0,IF(OFFSET(CRONOPLE!$F$14,$M180,AR$13)="",10^12,OFFSET(CRONOPLE!$F$14,$M180,AR$13))))</f>
        <v>1000000000000</v>
      </c>
      <c r="AS180" s="215">
        <f ca="1">IF($D180&lt;&gt;"Serviço",0,IF(AND(AUTOEVENTO="Manual",$M180=1),0,IF(OFFSET(CRONOPLE!$F$14,$M180,AS$13)="",10^12,OFFSET(CRONOPLE!$F$14,$M180,AS$13))))</f>
        <v>1000000000000</v>
      </c>
      <c r="AT180" s="215">
        <f ca="1">IF($D180&lt;&gt;"Serviço",0,IF(AND(AUTOEVENTO="Manual",$M180=1),0,IF(OFFSET(CRONOPLE!$F$14,$M180,AT$13)="",10^12,OFFSET(CRONOPLE!$F$14,$M180,AT$13))))</f>
        <v>1000000000000</v>
      </c>
      <c r="AU180" s="215">
        <f ca="1">IF($D180&lt;&gt;"Serviço",0,IF(AND(AUTOEVENTO="Manual",$M180=1),0,IF(OFFSET(CRONOPLE!$F$14,$M180,AU$13)="",10^12,OFFSET(CRONOPLE!$F$14,$M180,AU$13))))</f>
        <v>1000000000000</v>
      </c>
      <c r="AV180" s="215">
        <f ca="1">IF($D180&lt;&gt;"Serviço",0,IF(AND(AUTOEVENTO="Manual",$M180=1),0,IF(OFFSET(CRONOPLE!$F$14,$M180,AV$13)="",10^12,OFFSET(CRONOPLE!$F$14,$M180,AV$13))))</f>
        <v>1000000000000</v>
      </c>
      <c r="AX180" s="216">
        <f ca="1">IF($D180&lt;&gt;"Serviço",0,IF(OR(AND(AUTOEVENTO="Manual",$M180=1),$M180&gt;(ROW(PLE.lastrow)-ROW(PLE.firstrow))),0,IF(OFFSET(PLE!$G$14,$M180,AX$13)="",10^12,OFFSET(PLE!$G$14,$M180,AX$13))))</f>
        <v>1000000000000</v>
      </c>
      <c r="AY180" s="216">
        <f ca="1">IF($D180&lt;&gt;"Serviço",0,IF(OR(AND(AUTOEVENTO="Manual",$M180=1),$M180&gt;(ROW(PLE.lastrow)-ROW(PLE.firstrow))),0,IF(OFFSET(PLE!$G$14,$M180,AY$13)="",10^12,OFFSET(PLE!$G$14,$M180,AY$13))))</f>
        <v>1000000000000</v>
      </c>
      <c r="AZ180" s="216">
        <f ca="1">IF($D180&lt;&gt;"Serviço",0,IF(OR(AND(AUTOEVENTO="Manual",$M180=1),$M180&gt;(ROW(PLE.lastrow)-ROW(PLE.firstrow))),0,IF(OFFSET(PLE!$G$14,$M180,AZ$13)="",10^12,OFFSET(PLE!$G$14,$M180,AZ$13))))</f>
        <v>1000000000000</v>
      </c>
      <c r="BA180" s="216">
        <f ca="1">IF($D180&lt;&gt;"Serviço",0,IF(OR(AND(AUTOEVENTO="Manual",$M180=1),$M180&gt;(ROW(PLE.lastrow)-ROW(PLE.firstrow))),0,IF(OFFSET(PLE!$G$14,$M180,BA$13)="",10^12,OFFSET(PLE!$G$14,$M180,BA$13))))</f>
        <v>1000000000000</v>
      </c>
      <c r="BB180" s="216">
        <f ca="1">IF($D180&lt;&gt;"Serviço",0,IF(OR(AND(AUTOEVENTO="Manual",$M180=1),$M180&gt;(ROW(PLE.lastrow)-ROW(PLE.firstrow))),0,IF(OFFSET(PLE!$G$14,$M180,BB$13)="",10^12,OFFSET(PLE!$G$14,$M180,BB$13))))</f>
        <v>1000000000000</v>
      </c>
      <c r="BC180" s="216">
        <f ca="1">IF($D180&lt;&gt;"Serviço",0,IF(OR(AND(AUTOEVENTO="Manual",$M180=1),$M180&gt;(ROW(PLE.lastrow)-ROW(PLE.firstrow))),0,IF(OFFSET(PLE!$G$14,$M180,BC$13)="",10^12,OFFSET(PLE!$G$14,$M180,BC$13))))</f>
        <v>1000000000000</v>
      </c>
      <c r="BD180" s="216">
        <f ca="1">IF($D180&lt;&gt;"Serviço",0,IF(OR(AND(AUTOEVENTO="Manual",$M180=1),$M180&gt;(ROW(PLE.lastrow)-ROW(PLE.firstrow))),0,IF(OFFSET(PLE!$G$14,$M180,BD$13)="",10^12,OFFSET(PLE!$G$14,$M180,BD$13))))</f>
        <v>1000000000000</v>
      </c>
      <c r="BE180" s="216">
        <f ca="1">IF($D180&lt;&gt;"Serviço",0,IF(OR(AND(AUTOEVENTO="Manual",$M180=1),$M180&gt;(ROW(PLE.lastrow)-ROW(PLE.firstrow))),0,IF(OFFSET(PLE!$G$14,$M180,BE$13)="",10^12,OFFSET(PLE!$G$14,$M180,BE$13))))</f>
        <v>1000000000000</v>
      </c>
      <c r="BF180" s="216">
        <f ca="1">IF($D180&lt;&gt;"Serviço",0,IF(OR(AND(AUTOEVENTO="Manual",$M180=1),$M180&gt;(ROW(PLE.lastrow)-ROW(PLE.firstrow))),0,IF(OFFSET(PLE!$G$14,$M180,BF$13)="",10^12,OFFSET(PLE!$G$14,$M180,BF$13))))</f>
        <v>1000000000000</v>
      </c>
      <c r="BG180" s="216">
        <f ca="1">IF($D180&lt;&gt;"Serviço",0,IF(OR(AND(AUTOEVENTO="Manual",$M180=1),$M180&gt;(ROW(PLE.lastrow)-ROW(PLE.firstrow))),0,IF(OFFSET(PLE!$G$14,$M180,BG$13)="",10^12,OFFSET(PLE!$G$14,$M180,BG$13))))</f>
        <v>1000000000000</v>
      </c>
    </row>
    <row r="181" spans="1:59" ht="38.25" x14ac:dyDescent="0.2">
      <c r="A181" s="9" t="str">
        <f t="shared" ca="1" si="11"/>
        <v>164</v>
      </c>
      <c r="B181" s="9" t="str">
        <f ca="1">OFFSET(ORÇAMENTO!C$15,ROW(B181)-ROW(B$15),0)</f>
        <v>S</v>
      </c>
      <c r="C181" s="9" t="str">
        <f ca="1">OFFSET(ORÇAMENTO!L$15,ROW(C181)-ROW(C$15),0)</f>
        <v/>
      </c>
      <c r="D181" s="145" t="str">
        <f ca="1">OFFSET(ORÇAMENTO!N$15,ROW(D181)-ROW(D$15),0)</f>
        <v>Serviço</v>
      </c>
      <c r="E181" s="205" t="str">
        <f ca="1">OFFSET(ORÇAMENTO!O$15,ROW(E181)-ROW(E$15),0)</f>
        <v>-</v>
      </c>
      <c r="F181" s="206" t="str">
        <f ca="1">OFFSET(ORÇAMENTO!R$15,ROW(F181)-ROW(F$15),0)</f>
        <v>BARRA DE APOIO RETA, EM ACO INOX POLIDO, COMPRIMENTO 70 CM,  FIXADA NA PAREDE - FORNECIMENTO E INSTALAÇÃO. AF_01/2020</v>
      </c>
      <c r="G181" s="207" t="str">
        <f ca="1">IF($D181&lt;&gt;"Serviço","",OFFSET(ORÇAMENTO!S$15,ROW(G181)-ROW(G$15),0))</f>
        <v>UN</v>
      </c>
      <c r="H181" s="151">
        <f ca="1">IF($D181&lt;&gt;"Serviço",0,IF(ACOMPANHAMENTO="BM",ROUND(OFFSET(ORÇAMENTO!AJ$15,ROW(H181)-ROW(H$15),0),15-13*ORÇAMENTO!$AF$7),SUMPRODUCT(($Q$12:$AA$12&lt;&gt;"")*ROUND($Q181:$AA181,15-13*ORÇAMENTO!$AF$7))))</f>
        <v>6</v>
      </c>
      <c r="I181" s="649"/>
      <c r="K181" s="208"/>
      <c r="L181" s="209" t="s">
        <v>255</v>
      </c>
      <c r="M181" s="210">
        <f ca="1">IF($D181&lt;&gt;"Serviço","",IF(AUTOEVENTO="manual",$A181,IF(ISERROR(MATCH($A181,$A$15:OFFSET($A181,-1,0),0)),MAX($M$15:OFFSET(M181,-1,0))+1,INDEX($M$15:OFFSET(M181,-1,0),MATCH($A181,$A$15:OFFSET($A181,-1,0),0)))))</f>
        <v>24</v>
      </c>
      <c r="N181" s="211" t="str">
        <f ca="1">IF($D181&lt;&gt;"Serviço","",IF(AUTOEVENTO="Manual",IF($A181=0,"&lt;-- defina o número do agrupador",OFFSET(EVENTOS!$D$14,$A181,0)),OFFSET($F$15,$A181,0)))</f>
        <v>ACESSIBILIDADE</v>
      </c>
      <c r="O181" s="212"/>
      <c r="Q181" s="212"/>
      <c r="R181" s="213"/>
      <c r="S181" s="213"/>
      <c r="T181" s="213"/>
      <c r="U181" s="213"/>
      <c r="V181" s="213"/>
      <c r="W181" s="213"/>
      <c r="X181" s="213"/>
      <c r="Y181" s="213"/>
      <c r="Z181" s="214"/>
      <c r="AB181" s="630">
        <f ca="1">IF(AND($D181="Serviço",AB$12&lt;&gt;0,$H181&gt;0,OR(AUTOEVENTO&lt;&gt;"manual",$M181&lt;&gt;1)),
IF(Import.TipoArredondamento&lt;&gt;"TransfereGOV",
ROUND(OFFSET($P181,0,AB$13),15-13*ORÇAMENTO!$AF$7)/$H181*OFFSET(ORÇAMENTO!$X$15,ROW(AB181)-ROW(AB$15),0),
ROUND(ROUND(OFFSET($P181,0,AB$13),15-13*ORÇAMENTO!$AF$7)*OFFSET(ORÇAMENTO!$W$15,ROW(AB181)-ROW(AB$15),0),15-13*ORÇAMENTO!$AF$11)),0)</f>
        <v>0</v>
      </c>
      <c r="AC181" s="631">
        <f ca="1">IF(AND($D181="Serviço",AC$12&lt;&gt;0,$H181&gt;0,OR(AUTOEVENTO&lt;&gt;"manual",$M181&lt;&gt;1)),
IF(Import.TipoArredondamento&lt;&gt;"TransfereGOV",
ROUND(OFFSET($P181,0,AC$13),15-13*ORÇAMENTO!$AF$7)/$H181*OFFSET(ORÇAMENTO!$X$15,ROW(AC181)-ROW(AC$15),0),
ROUND(ROUND(OFFSET($P181,0,AC$13),15-13*ORÇAMENTO!$AF$7)*OFFSET(ORÇAMENTO!$W$15,ROW(AC181)-ROW(AC$15),0),15-13*ORÇAMENTO!$AF$11)),0)</f>
        <v>0</v>
      </c>
      <c r="AD181" s="631">
        <f ca="1">IF(AND($D181="Serviço",AD$12&lt;&gt;0,$H181&gt;0,OR(AUTOEVENTO&lt;&gt;"manual",$M181&lt;&gt;1)),
IF(Import.TipoArredondamento&lt;&gt;"TransfereGOV",
ROUND(OFFSET($P181,0,AD$13),15-13*ORÇAMENTO!$AF$7)/$H181*OFFSET(ORÇAMENTO!$X$15,ROW(AD181)-ROW(AD$15),0),
ROUND(ROUND(OFFSET($P181,0,AD$13),15-13*ORÇAMENTO!$AF$7)*OFFSET(ORÇAMENTO!$W$15,ROW(AD181)-ROW(AD$15),0),15-13*ORÇAMENTO!$AF$11)),0)</f>
        <v>0</v>
      </c>
      <c r="AE181" s="631">
        <f ca="1">IF(AND($D181="Serviço",AE$12&lt;&gt;0,$H181&gt;0,OR(AUTOEVENTO&lt;&gt;"manual",$M181&lt;&gt;1)),
IF(Import.TipoArredondamento&lt;&gt;"TransfereGOV",
ROUND(OFFSET($P181,0,AE$13),15-13*ORÇAMENTO!$AF$7)/$H181*OFFSET(ORÇAMENTO!$X$15,ROW(AE181)-ROW(AE$15),0),
ROUND(ROUND(OFFSET($P181,0,AE$13),15-13*ORÇAMENTO!$AF$7)*OFFSET(ORÇAMENTO!$W$15,ROW(AE181)-ROW(AE$15),0),15-13*ORÇAMENTO!$AF$11)),0)</f>
        <v>0</v>
      </c>
      <c r="AF181" s="631">
        <f ca="1">IF(AND($D181="Serviço",AF$12&lt;&gt;0,$H181&gt;0,OR(AUTOEVENTO&lt;&gt;"manual",$M181&lt;&gt;1)),
IF(Import.TipoArredondamento&lt;&gt;"TransfereGOV",
ROUND(OFFSET($P181,0,AF$13),15-13*ORÇAMENTO!$AF$7)/$H181*OFFSET(ORÇAMENTO!$X$15,ROW(AF181)-ROW(AF$15),0),
ROUND(ROUND(OFFSET($P181,0,AF$13),15-13*ORÇAMENTO!$AF$7)*OFFSET(ORÇAMENTO!$W$15,ROW(AF181)-ROW(AF$15),0),15-13*ORÇAMENTO!$AF$11)),0)</f>
        <v>0</v>
      </c>
      <c r="AG181" s="631">
        <f ca="1">IF(AND($D181="Serviço",AG$12&lt;&gt;0,$H181&gt;0,OR(AUTOEVENTO&lt;&gt;"manual",$M181&lt;&gt;1)),
IF(Import.TipoArredondamento&lt;&gt;"TransfereGOV",
ROUND(OFFSET($P181,0,AG$13),15-13*ORÇAMENTO!$AF$7)/$H181*OFFSET(ORÇAMENTO!$X$15,ROW(AG181)-ROW(AG$15),0),
ROUND(ROUND(OFFSET($P181,0,AG$13),15-13*ORÇAMENTO!$AF$7)*OFFSET(ORÇAMENTO!$W$15,ROW(AG181)-ROW(AG$15),0),15-13*ORÇAMENTO!$AF$11)),0)</f>
        <v>0</v>
      </c>
      <c r="AH181" s="631">
        <f ca="1">IF(AND($D181="Serviço",AH$12&lt;&gt;0,$H181&gt;0,OR(AUTOEVENTO&lt;&gt;"manual",$M181&lt;&gt;1)),
IF(Import.TipoArredondamento&lt;&gt;"TransfereGOV",
ROUND(OFFSET($P181,0,AH$13),15-13*ORÇAMENTO!$AF$7)/$H181*OFFSET(ORÇAMENTO!$X$15,ROW(AH181)-ROW(AH$15),0),
ROUND(ROUND(OFFSET($P181,0,AH$13),15-13*ORÇAMENTO!$AF$7)*OFFSET(ORÇAMENTO!$W$15,ROW(AH181)-ROW(AH$15),0),15-13*ORÇAMENTO!$AF$11)),0)</f>
        <v>0</v>
      </c>
      <c r="AI181" s="631">
        <f ca="1">IF(AND($D181="Serviço",AI$12&lt;&gt;0,$H181&gt;0,OR(AUTOEVENTO&lt;&gt;"manual",$M181&lt;&gt;1)),
IF(Import.TipoArredondamento&lt;&gt;"TransfereGOV",
ROUND(OFFSET($P181,0,AI$13),15-13*ORÇAMENTO!$AF$7)/$H181*OFFSET(ORÇAMENTO!$X$15,ROW(AI181)-ROW(AI$15),0),
ROUND(ROUND(OFFSET($P181,0,AI$13),15-13*ORÇAMENTO!$AF$7)*OFFSET(ORÇAMENTO!$W$15,ROW(AI181)-ROW(AI$15),0),15-13*ORÇAMENTO!$AF$11)),0)</f>
        <v>0</v>
      </c>
      <c r="AJ181" s="631">
        <f ca="1">IF(AND($D181="Serviço",AJ$12&lt;&gt;0,$H181&gt;0,OR(AUTOEVENTO&lt;&gt;"manual",$M181&lt;&gt;1)),
IF(Import.TipoArredondamento&lt;&gt;"TransfereGOV",
ROUND(OFFSET($P181,0,AJ$13),15-13*ORÇAMENTO!$AF$7)/$H181*OFFSET(ORÇAMENTO!$X$15,ROW(AJ181)-ROW(AJ$15),0),
ROUND(ROUND(OFFSET($P181,0,AJ$13),15-13*ORÇAMENTO!$AF$7)*OFFSET(ORÇAMENTO!$W$15,ROW(AJ181)-ROW(AJ$15),0),15-13*ORÇAMENTO!$AF$11)),0)</f>
        <v>0</v>
      </c>
      <c r="AK181" s="632">
        <f ca="1">IF(AND($D181="Serviço",AK$12&lt;&gt;0,$H181&gt;0,OR(AUTOEVENTO&lt;&gt;"manual",$M181&lt;&gt;1)),
IF(Import.TipoArredondamento&lt;&gt;"TransfereGOV",
ROUND(OFFSET($P181,0,AK$13),15-13*ORÇAMENTO!$AF$7)/$H181*OFFSET(ORÇAMENTO!$X$15,ROW(AK181)-ROW(AK$15),0),
ROUND(ROUND(OFFSET($P181,0,AK$13),15-13*ORÇAMENTO!$AF$7)*OFFSET(ORÇAMENTO!$W$15,ROW(AK181)-ROW(AK$15),0),15-13*ORÇAMENTO!$AF$11)),0)</f>
        <v>0</v>
      </c>
      <c r="AM181" s="215">
        <f ca="1">IF($D181&lt;&gt;"Serviço",0,IF(AND(AUTOEVENTO="Manual",$M181=1),0,IF(OFFSET(CRONOPLE!$F$14,$M181,AM$13)="",10^12,OFFSET(CRONOPLE!$F$14,$M181,AM$13))))</f>
        <v>1000000000000</v>
      </c>
      <c r="AN181" s="215">
        <f ca="1">IF($D181&lt;&gt;"Serviço",0,IF(AND(AUTOEVENTO="Manual",$M181=1),0,IF(OFFSET(CRONOPLE!$F$14,$M181,AN$13)="",10^12,OFFSET(CRONOPLE!$F$14,$M181,AN$13))))</f>
        <v>1000000000000</v>
      </c>
      <c r="AO181" s="215">
        <f ca="1">IF($D181&lt;&gt;"Serviço",0,IF(AND(AUTOEVENTO="Manual",$M181=1),0,IF(OFFSET(CRONOPLE!$F$14,$M181,AO$13)="",10^12,OFFSET(CRONOPLE!$F$14,$M181,AO$13))))</f>
        <v>1000000000000</v>
      </c>
      <c r="AP181" s="215">
        <f ca="1">IF($D181&lt;&gt;"Serviço",0,IF(AND(AUTOEVENTO="Manual",$M181=1),0,IF(OFFSET(CRONOPLE!$F$14,$M181,AP$13)="",10^12,OFFSET(CRONOPLE!$F$14,$M181,AP$13))))</f>
        <v>1000000000000</v>
      </c>
      <c r="AQ181" s="215">
        <f ca="1">IF($D181&lt;&gt;"Serviço",0,IF(AND(AUTOEVENTO="Manual",$M181=1),0,IF(OFFSET(CRONOPLE!$F$14,$M181,AQ$13)="",10^12,OFFSET(CRONOPLE!$F$14,$M181,AQ$13))))</f>
        <v>1000000000000</v>
      </c>
      <c r="AR181" s="215">
        <f ca="1">IF($D181&lt;&gt;"Serviço",0,IF(AND(AUTOEVENTO="Manual",$M181=1),0,IF(OFFSET(CRONOPLE!$F$14,$M181,AR$13)="",10^12,OFFSET(CRONOPLE!$F$14,$M181,AR$13))))</f>
        <v>1000000000000</v>
      </c>
      <c r="AS181" s="215">
        <f ca="1">IF($D181&lt;&gt;"Serviço",0,IF(AND(AUTOEVENTO="Manual",$M181=1),0,IF(OFFSET(CRONOPLE!$F$14,$M181,AS$13)="",10^12,OFFSET(CRONOPLE!$F$14,$M181,AS$13))))</f>
        <v>1000000000000</v>
      </c>
      <c r="AT181" s="215">
        <f ca="1">IF($D181&lt;&gt;"Serviço",0,IF(AND(AUTOEVENTO="Manual",$M181=1),0,IF(OFFSET(CRONOPLE!$F$14,$M181,AT$13)="",10^12,OFFSET(CRONOPLE!$F$14,$M181,AT$13))))</f>
        <v>1000000000000</v>
      </c>
      <c r="AU181" s="215">
        <f ca="1">IF($D181&lt;&gt;"Serviço",0,IF(AND(AUTOEVENTO="Manual",$M181=1),0,IF(OFFSET(CRONOPLE!$F$14,$M181,AU$13)="",10^12,OFFSET(CRONOPLE!$F$14,$M181,AU$13))))</f>
        <v>1000000000000</v>
      </c>
      <c r="AV181" s="215">
        <f ca="1">IF($D181&lt;&gt;"Serviço",0,IF(AND(AUTOEVENTO="Manual",$M181=1),0,IF(OFFSET(CRONOPLE!$F$14,$M181,AV$13)="",10^12,OFFSET(CRONOPLE!$F$14,$M181,AV$13))))</f>
        <v>1000000000000</v>
      </c>
      <c r="AX181" s="216">
        <f ca="1">IF($D181&lt;&gt;"Serviço",0,IF(OR(AND(AUTOEVENTO="Manual",$M181=1),$M181&gt;(ROW(PLE.lastrow)-ROW(PLE.firstrow))),0,IF(OFFSET(PLE!$G$14,$M181,AX$13)="",10^12,OFFSET(PLE!$G$14,$M181,AX$13))))</f>
        <v>1000000000000</v>
      </c>
      <c r="AY181" s="216">
        <f ca="1">IF($D181&lt;&gt;"Serviço",0,IF(OR(AND(AUTOEVENTO="Manual",$M181=1),$M181&gt;(ROW(PLE.lastrow)-ROW(PLE.firstrow))),0,IF(OFFSET(PLE!$G$14,$M181,AY$13)="",10^12,OFFSET(PLE!$G$14,$M181,AY$13))))</f>
        <v>1000000000000</v>
      </c>
      <c r="AZ181" s="216">
        <f ca="1">IF($D181&lt;&gt;"Serviço",0,IF(OR(AND(AUTOEVENTO="Manual",$M181=1),$M181&gt;(ROW(PLE.lastrow)-ROW(PLE.firstrow))),0,IF(OFFSET(PLE!$G$14,$M181,AZ$13)="",10^12,OFFSET(PLE!$G$14,$M181,AZ$13))))</f>
        <v>1000000000000</v>
      </c>
      <c r="BA181" s="216">
        <f ca="1">IF($D181&lt;&gt;"Serviço",0,IF(OR(AND(AUTOEVENTO="Manual",$M181=1),$M181&gt;(ROW(PLE.lastrow)-ROW(PLE.firstrow))),0,IF(OFFSET(PLE!$G$14,$M181,BA$13)="",10^12,OFFSET(PLE!$G$14,$M181,BA$13))))</f>
        <v>1000000000000</v>
      </c>
      <c r="BB181" s="216">
        <f ca="1">IF($D181&lt;&gt;"Serviço",0,IF(OR(AND(AUTOEVENTO="Manual",$M181=1),$M181&gt;(ROW(PLE.lastrow)-ROW(PLE.firstrow))),0,IF(OFFSET(PLE!$G$14,$M181,BB$13)="",10^12,OFFSET(PLE!$G$14,$M181,BB$13))))</f>
        <v>1000000000000</v>
      </c>
      <c r="BC181" s="216">
        <f ca="1">IF($D181&lt;&gt;"Serviço",0,IF(OR(AND(AUTOEVENTO="Manual",$M181=1),$M181&gt;(ROW(PLE.lastrow)-ROW(PLE.firstrow))),0,IF(OFFSET(PLE!$G$14,$M181,BC$13)="",10^12,OFFSET(PLE!$G$14,$M181,BC$13))))</f>
        <v>1000000000000</v>
      </c>
      <c r="BD181" s="216">
        <f ca="1">IF($D181&lt;&gt;"Serviço",0,IF(OR(AND(AUTOEVENTO="Manual",$M181=1),$M181&gt;(ROW(PLE.lastrow)-ROW(PLE.firstrow))),0,IF(OFFSET(PLE!$G$14,$M181,BD$13)="",10^12,OFFSET(PLE!$G$14,$M181,BD$13))))</f>
        <v>1000000000000</v>
      </c>
      <c r="BE181" s="216">
        <f ca="1">IF($D181&lt;&gt;"Serviço",0,IF(OR(AND(AUTOEVENTO="Manual",$M181=1),$M181&gt;(ROW(PLE.lastrow)-ROW(PLE.firstrow))),0,IF(OFFSET(PLE!$G$14,$M181,BE$13)="",10^12,OFFSET(PLE!$G$14,$M181,BE$13))))</f>
        <v>1000000000000</v>
      </c>
      <c r="BF181" s="216">
        <f ca="1">IF($D181&lt;&gt;"Serviço",0,IF(OR(AND(AUTOEVENTO="Manual",$M181=1),$M181&gt;(ROW(PLE.lastrow)-ROW(PLE.firstrow))),0,IF(OFFSET(PLE!$G$14,$M181,BF$13)="",10^12,OFFSET(PLE!$G$14,$M181,BF$13))))</f>
        <v>1000000000000</v>
      </c>
      <c r="BG181" s="216">
        <f ca="1">IF($D181&lt;&gt;"Serviço",0,IF(OR(AND(AUTOEVENTO="Manual",$M181=1),$M181&gt;(ROW(PLE.lastrow)-ROW(PLE.firstrow))),0,IF(OFFSET(PLE!$G$14,$M181,BG$13)="",10^12,OFFSET(PLE!$G$14,$M181,BG$13))))</f>
        <v>1000000000000</v>
      </c>
    </row>
    <row r="182" spans="1:59" ht="25.5" x14ac:dyDescent="0.2">
      <c r="A182" s="9" t="str">
        <f t="shared" ca="1" si="11"/>
        <v>164</v>
      </c>
      <c r="B182" s="9" t="str">
        <f ca="1">OFFSET(ORÇAMENTO!C$15,ROW(B182)-ROW(B$15),0)</f>
        <v>S</v>
      </c>
      <c r="C182" s="9" t="str">
        <f ca="1">OFFSET(ORÇAMENTO!L$15,ROW(C182)-ROW(C$15),0)</f>
        <v/>
      </c>
      <c r="D182" s="145" t="str">
        <f ca="1">OFFSET(ORÇAMENTO!N$15,ROW(D182)-ROW(D$15),0)</f>
        <v>Serviço</v>
      </c>
      <c r="E182" s="205" t="str">
        <f ca="1">OFFSET(ORÇAMENTO!O$15,ROW(E182)-ROW(E$15),0)</f>
        <v>-</v>
      </c>
      <c r="F182" s="206" t="str">
        <f ca="1">OFFSET(ORÇAMENTO!R$15,ROW(F182)-ROW(F$15),0)</f>
        <v>TORNEIRA CROMADA DE MESA PARA LAVATORIO, TIPO MONOCOMANDO. AF_01/2020</v>
      </c>
      <c r="G182" s="207" t="str">
        <f ca="1">IF($D182&lt;&gt;"Serviço","",OFFSET(ORÇAMENTO!S$15,ROW(G182)-ROW(G$15),0))</f>
        <v>UN</v>
      </c>
      <c r="H182" s="151">
        <f ca="1">IF($D182&lt;&gt;"Serviço",0,IF(ACOMPANHAMENTO="BM",ROUND(OFFSET(ORÇAMENTO!AJ$15,ROW(H182)-ROW(H$15),0),15-13*ORÇAMENTO!$AF$7),SUMPRODUCT(($Q$12:$AA$12&lt;&gt;"")*ROUND($Q182:$AA182,15-13*ORÇAMENTO!$AF$7))))</f>
        <v>2</v>
      </c>
      <c r="I182" s="649"/>
      <c r="K182" s="208"/>
      <c r="L182" s="209" t="s">
        <v>255</v>
      </c>
      <c r="M182" s="210">
        <f ca="1">IF($D182&lt;&gt;"Serviço","",IF(AUTOEVENTO="manual",$A182,IF(ISERROR(MATCH($A182,$A$15:OFFSET($A182,-1,0),0)),MAX($M$15:OFFSET(M182,-1,0))+1,INDEX($M$15:OFFSET(M182,-1,0),MATCH($A182,$A$15:OFFSET($A182,-1,0),0)))))</f>
        <v>24</v>
      </c>
      <c r="N182" s="211" t="str">
        <f ca="1">IF($D182&lt;&gt;"Serviço","",IF(AUTOEVENTO="Manual",IF($A182=0,"&lt;-- defina o número do agrupador",OFFSET(EVENTOS!$D$14,$A182,0)),OFFSET($F$15,$A182,0)))</f>
        <v>ACESSIBILIDADE</v>
      </c>
      <c r="O182" s="212"/>
      <c r="Q182" s="212"/>
      <c r="R182" s="213"/>
      <c r="S182" s="213"/>
      <c r="T182" s="213"/>
      <c r="U182" s="213"/>
      <c r="V182" s="213"/>
      <c r="W182" s="213"/>
      <c r="X182" s="213"/>
      <c r="Y182" s="213"/>
      <c r="Z182" s="214"/>
      <c r="AB182" s="630">
        <f ca="1">IF(AND($D182="Serviço",AB$12&lt;&gt;0,$H182&gt;0,OR(AUTOEVENTO&lt;&gt;"manual",$M182&lt;&gt;1)),
IF(Import.TipoArredondamento&lt;&gt;"TransfereGOV",
ROUND(OFFSET($P182,0,AB$13),15-13*ORÇAMENTO!$AF$7)/$H182*OFFSET(ORÇAMENTO!$X$15,ROW(AB182)-ROW(AB$15),0),
ROUND(ROUND(OFFSET($P182,0,AB$13),15-13*ORÇAMENTO!$AF$7)*OFFSET(ORÇAMENTO!$W$15,ROW(AB182)-ROW(AB$15),0),15-13*ORÇAMENTO!$AF$11)),0)</f>
        <v>0</v>
      </c>
      <c r="AC182" s="631">
        <f ca="1">IF(AND($D182="Serviço",AC$12&lt;&gt;0,$H182&gt;0,OR(AUTOEVENTO&lt;&gt;"manual",$M182&lt;&gt;1)),
IF(Import.TipoArredondamento&lt;&gt;"TransfereGOV",
ROUND(OFFSET($P182,0,AC$13),15-13*ORÇAMENTO!$AF$7)/$H182*OFFSET(ORÇAMENTO!$X$15,ROW(AC182)-ROW(AC$15),0),
ROUND(ROUND(OFFSET($P182,0,AC$13),15-13*ORÇAMENTO!$AF$7)*OFFSET(ORÇAMENTO!$W$15,ROW(AC182)-ROW(AC$15),0),15-13*ORÇAMENTO!$AF$11)),0)</f>
        <v>0</v>
      </c>
      <c r="AD182" s="631">
        <f ca="1">IF(AND($D182="Serviço",AD$12&lt;&gt;0,$H182&gt;0,OR(AUTOEVENTO&lt;&gt;"manual",$M182&lt;&gt;1)),
IF(Import.TipoArredondamento&lt;&gt;"TransfereGOV",
ROUND(OFFSET($P182,0,AD$13),15-13*ORÇAMENTO!$AF$7)/$H182*OFFSET(ORÇAMENTO!$X$15,ROW(AD182)-ROW(AD$15),0),
ROUND(ROUND(OFFSET($P182,0,AD$13),15-13*ORÇAMENTO!$AF$7)*OFFSET(ORÇAMENTO!$W$15,ROW(AD182)-ROW(AD$15),0),15-13*ORÇAMENTO!$AF$11)),0)</f>
        <v>0</v>
      </c>
      <c r="AE182" s="631">
        <f ca="1">IF(AND($D182="Serviço",AE$12&lt;&gt;0,$H182&gt;0,OR(AUTOEVENTO&lt;&gt;"manual",$M182&lt;&gt;1)),
IF(Import.TipoArredondamento&lt;&gt;"TransfereGOV",
ROUND(OFFSET($P182,0,AE$13),15-13*ORÇAMENTO!$AF$7)/$H182*OFFSET(ORÇAMENTO!$X$15,ROW(AE182)-ROW(AE$15),0),
ROUND(ROUND(OFFSET($P182,0,AE$13),15-13*ORÇAMENTO!$AF$7)*OFFSET(ORÇAMENTO!$W$15,ROW(AE182)-ROW(AE$15),0),15-13*ORÇAMENTO!$AF$11)),0)</f>
        <v>0</v>
      </c>
      <c r="AF182" s="631">
        <f ca="1">IF(AND($D182="Serviço",AF$12&lt;&gt;0,$H182&gt;0,OR(AUTOEVENTO&lt;&gt;"manual",$M182&lt;&gt;1)),
IF(Import.TipoArredondamento&lt;&gt;"TransfereGOV",
ROUND(OFFSET($P182,0,AF$13),15-13*ORÇAMENTO!$AF$7)/$H182*OFFSET(ORÇAMENTO!$X$15,ROW(AF182)-ROW(AF$15),0),
ROUND(ROUND(OFFSET($P182,0,AF$13),15-13*ORÇAMENTO!$AF$7)*OFFSET(ORÇAMENTO!$W$15,ROW(AF182)-ROW(AF$15),0),15-13*ORÇAMENTO!$AF$11)),0)</f>
        <v>0</v>
      </c>
      <c r="AG182" s="631">
        <f ca="1">IF(AND($D182="Serviço",AG$12&lt;&gt;0,$H182&gt;0,OR(AUTOEVENTO&lt;&gt;"manual",$M182&lt;&gt;1)),
IF(Import.TipoArredondamento&lt;&gt;"TransfereGOV",
ROUND(OFFSET($P182,0,AG$13),15-13*ORÇAMENTO!$AF$7)/$H182*OFFSET(ORÇAMENTO!$X$15,ROW(AG182)-ROW(AG$15),0),
ROUND(ROUND(OFFSET($P182,0,AG$13),15-13*ORÇAMENTO!$AF$7)*OFFSET(ORÇAMENTO!$W$15,ROW(AG182)-ROW(AG$15),0),15-13*ORÇAMENTO!$AF$11)),0)</f>
        <v>0</v>
      </c>
      <c r="AH182" s="631">
        <f ca="1">IF(AND($D182="Serviço",AH$12&lt;&gt;0,$H182&gt;0,OR(AUTOEVENTO&lt;&gt;"manual",$M182&lt;&gt;1)),
IF(Import.TipoArredondamento&lt;&gt;"TransfereGOV",
ROUND(OFFSET($P182,0,AH$13),15-13*ORÇAMENTO!$AF$7)/$H182*OFFSET(ORÇAMENTO!$X$15,ROW(AH182)-ROW(AH$15),0),
ROUND(ROUND(OFFSET($P182,0,AH$13),15-13*ORÇAMENTO!$AF$7)*OFFSET(ORÇAMENTO!$W$15,ROW(AH182)-ROW(AH$15),0),15-13*ORÇAMENTO!$AF$11)),0)</f>
        <v>0</v>
      </c>
      <c r="AI182" s="631">
        <f ca="1">IF(AND($D182="Serviço",AI$12&lt;&gt;0,$H182&gt;0,OR(AUTOEVENTO&lt;&gt;"manual",$M182&lt;&gt;1)),
IF(Import.TipoArredondamento&lt;&gt;"TransfereGOV",
ROUND(OFFSET($P182,0,AI$13),15-13*ORÇAMENTO!$AF$7)/$H182*OFFSET(ORÇAMENTO!$X$15,ROW(AI182)-ROW(AI$15),0),
ROUND(ROUND(OFFSET($P182,0,AI$13),15-13*ORÇAMENTO!$AF$7)*OFFSET(ORÇAMENTO!$W$15,ROW(AI182)-ROW(AI$15),0),15-13*ORÇAMENTO!$AF$11)),0)</f>
        <v>0</v>
      </c>
      <c r="AJ182" s="631">
        <f ca="1">IF(AND($D182="Serviço",AJ$12&lt;&gt;0,$H182&gt;0,OR(AUTOEVENTO&lt;&gt;"manual",$M182&lt;&gt;1)),
IF(Import.TipoArredondamento&lt;&gt;"TransfereGOV",
ROUND(OFFSET($P182,0,AJ$13),15-13*ORÇAMENTO!$AF$7)/$H182*OFFSET(ORÇAMENTO!$X$15,ROW(AJ182)-ROW(AJ$15),0),
ROUND(ROUND(OFFSET($P182,0,AJ$13),15-13*ORÇAMENTO!$AF$7)*OFFSET(ORÇAMENTO!$W$15,ROW(AJ182)-ROW(AJ$15),0),15-13*ORÇAMENTO!$AF$11)),0)</f>
        <v>0</v>
      </c>
      <c r="AK182" s="632">
        <f ca="1">IF(AND($D182="Serviço",AK$12&lt;&gt;0,$H182&gt;0,OR(AUTOEVENTO&lt;&gt;"manual",$M182&lt;&gt;1)),
IF(Import.TipoArredondamento&lt;&gt;"TransfereGOV",
ROUND(OFFSET($P182,0,AK$13),15-13*ORÇAMENTO!$AF$7)/$H182*OFFSET(ORÇAMENTO!$X$15,ROW(AK182)-ROW(AK$15),0),
ROUND(ROUND(OFFSET($P182,0,AK$13),15-13*ORÇAMENTO!$AF$7)*OFFSET(ORÇAMENTO!$W$15,ROW(AK182)-ROW(AK$15),0),15-13*ORÇAMENTO!$AF$11)),0)</f>
        <v>0</v>
      </c>
      <c r="AM182" s="215">
        <f ca="1">IF($D182&lt;&gt;"Serviço",0,IF(AND(AUTOEVENTO="Manual",$M182=1),0,IF(OFFSET(CRONOPLE!$F$14,$M182,AM$13)="",10^12,OFFSET(CRONOPLE!$F$14,$M182,AM$13))))</f>
        <v>1000000000000</v>
      </c>
      <c r="AN182" s="215">
        <f ca="1">IF($D182&lt;&gt;"Serviço",0,IF(AND(AUTOEVENTO="Manual",$M182=1),0,IF(OFFSET(CRONOPLE!$F$14,$M182,AN$13)="",10^12,OFFSET(CRONOPLE!$F$14,$M182,AN$13))))</f>
        <v>1000000000000</v>
      </c>
      <c r="AO182" s="215">
        <f ca="1">IF($D182&lt;&gt;"Serviço",0,IF(AND(AUTOEVENTO="Manual",$M182=1),0,IF(OFFSET(CRONOPLE!$F$14,$M182,AO$13)="",10^12,OFFSET(CRONOPLE!$F$14,$M182,AO$13))))</f>
        <v>1000000000000</v>
      </c>
      <c r="AP182" s="215">
        <f ca="1">IF($D182&lt;&gt;"Serviço",0,IF(AND(AUTOEVENTO="Manual",$M182=1),0,IF(OFFSET(CRONOPLE!$F$14,$M182,AP$13)="",10^12,OFFSET(CRONOPLE!$F$14,$M182,AP$13))))</f>
        <v>1000000000000</v>
      </c>
      <c r="AQ182" s="215">
        <f ca="1">IF($D182&lt;&gt;"Serviço",0,IF(AND(AUTOEVENTO="Manual",$M182=1),0,IF(OFFSET(CRONOPLE!$F$14,$M182,AQ$13)="",10^12,OFFSET(CRONOPLE!$F$14,$M182,AQ$13))))</f>
        <v>1000000000000</v>
      </c>
      <c r="AR182" s="215">
        <f ca="1">IF($D182&lt;&gt;"Serviço",0,IF(AND(AUTOEVENTO="Manual",$M182=1),0,IF(OFFSET(CRONOPLE!$F$14,$M182,AR$13)="",10^12,OFFSET(CRONOPLE!$F$14,$M182,AR$13))))</f>
        <v>1000000000000</v>
      </c>
      <c r="AS182" s="215">
        <f ca="1">IF($D182&lt;&gt;"Serviço",0,IF(AND(AUTOEVENTO="Manual",$M182=1),0,IF(OFFSET(CRONOPLE!$F$14,$M182,AS$13)="",10^12,OFFSET(CRONOPLE!$F$14,$M182,AS$13))))</f>
        <v>1000000000000</v>
      </c>
      <c r="AT182" s="215">
        <f ca="1">IF($D182&lt;&gt;"Serviço",0,IF(AND(AUTOEVENTO="Manual",$M182=1),0,IF(OFFSET(CRONOPLE!$F$14,$M182,AT$13)="",10^12,OFFSET(CRONOPLE!$F$14,$M182,AT$13))))</f>
        <v>1000000000000</v>
      </c>
      <c r="AU182" s="215">
        <f ca="1">IF($D182&lt;&gt;"Serviço",0,IF(AND(AUTOEVENTO="Manual",$M182=1),0,IF(OFFSET(CRONOPLE!$F$14,$M182,AU$13)="",10^12,OFFSET(CRONOPLE!$F$14,$M182,AU$13))))</f>
        <v>1000000000000</v>
      </c>
      <c r="AV182" s="215">
        <f ca="1">IF($D182&lt;&gt;"Serviço",0,IF(AND(AUTOEVENTO="Manual",$M182=1),0,IF(OFFSET(CRONOPLE!$F$14,$M182,AV$13)="",10^12,OFFSET(CRONOPLE!$F$14,$M182,AV$13))))</f>
        <v>1000000000000</v>
      </c>
      <c r="AX182" s="216">
        <f ca="1">IF($D182&lt;&gt;"Serviço",0,IF(OR(AND(AUTOEVENTO="Manual",$M182=1),$M182&gt;(ROW(PLE.lastrow)-ROW(PLE.firstrow))),0,IF(OFFSET(PLE!$G$14,$M182,AX$13)="",10^12,OFFSET(PLE!$G$14,$M182,AX$13))))</f>
        <v>1000000000000</v>
      </c>
      <c r="AY182" s="216">
        <f ca="1">IF($D182&lt;&gt;"Serviço",0,IF(OR(AND(AUTOEVENTO="Manual",$M182=1),$M182&gt;(ROW(PLE.lastrow)-ROW(PLE.firstrow))),0,IF(OFFSET(PLE!$G$14,$M182,AY$13)="",10^12,OFFSET(PLE!$G$14,$M182,AY$13))))</f>
        <v>1000000000000</v>
      </c>
      <c r="AZ182" s="216">
        <f ca="1">IF($D182&lt;&gt;"Serviço",0,IF(OR(AND(AUTOEVENTO="Manual",$M182=1),$M182&gt;(ROW(PLE.lastrow)-ROW(PLE.firstrow))),0,IF(OFFSET(PLE!$G$14,$M182,AZ$13)="",10^12,OFFSET(PLE!$G$14,$M182,AZ$13))))</f>
        <v>1000000000000</v>
      </c>
      <c r="BA182" s="216">
        <f ca="1">IF($D182&lt;&gt;"Serviço",0,IF(OR(AND(AUTOEVENTO="Manual",$M182=1),$M182&gt;(ROW(PLE.lastrow)-ROW(PLE.firstrow))),0,IF(OFFSET(PLE!$G$14,$M182,BA$13)="",10^12,OFFSET(PLE!$G$14,$M182,BA$13))))</f>
        <v>1000000000000</v>
      </c>
      <c r="BB182" s="216">
        <f ca="1">IF($D182&lt;&gt;"Serviço",0,IF(OR(AND(AUTOEVENTO="Manual",$M182=1),$M182&gt;(ROW(PLE.lastrow)-ROW(PLE.firstrow))),0,IF(OFFSET(PLE!$G$14,$M182,BB$13)="",10^12,OFFSET(PLE!$G$14,$M182,BB$13))))</f>
        <v>1000000000000</v>
      </c>
      <c r="BC182" s="216">
        <f ca="1">IF($D182&lt;&gt;"Serviço",0,IF(OR(AND(AUTOEVENTO="Manual",$M182=1),$M182&gt;(ROW(PLE.lastrow)-ROW(PLE.firstrow))),0,IF(OFFSET(PLE!$G$14,$M182,BC$13)="",10^12,OFFSET(PLE!$G$14,$M182,BC$13))))</f>
        <v>1000000000000</v>
      </c>
      <c r="BD182" s="216">
        <f ca="1">IF($D182&lt;&gt;"Serviço",0,IF(OR(AND(AUTOEVENTO="Manual",$M182=1),$M182&gt;(ROW(PLE.lastrow)-ROW(PLE.firstrow))),0,IF(OFFSET(PLE!$G$14,$M182,BD$13)="",10^12,OFFSET(PLE!$G$14,$M182,BD$13))))</f>
        <v>1000000000000</v>
      </c>
      <c r="BE182" s="216">
        <f ca="1">IF($D182&lt;&gt;"Serviço",0,IF(OR(AND(AUTOEVENTO="Manual",$M182=1),$M182&gt;(ROW(PLE.lastrow)-ROW(PLE.firstrow))),0,IF(OFFSET(PLE!$G$14,$M182,BE$13)="",10^12,OFFSET(PLE!$G$14,$M182,BE$13))))</f>
        <v>1000000000000</v>
      </c>
      <c r="BF182" s="216">
        <f ca="1">IF($D182&lt;&gt;"Serviço",0,IF(OR(AND(AUTOEVENTO="Manual",$M182=1),$M182&gt;(ROW(PLE.lastrow)-ROW(PLE.firstrow))),0,IF(OFFSET(PLE!$G$14,$M182,BF$13)="",10^12,OFFSET(PLE!$G$14,$M182,BF$13))))</f>
        <v>1000000000000</v>
      </c>
      <c r="BG182" s="216">
        <f ca="1">IF($D182&lt;&gt;"Serviço",0,IF(OR(AND(AUTOEVENTO="Manual",$M182=1),$M182&gt;(ROW(PLE.lastrow)-ROW(PLE.firstrow))),0,IF(OFFSET(PLE!$G$14,$M182,BG$13)="",10^12,OFFSET(PLE!$G$14,$M182,BG$13))))</f>
        <v>1000000000000</v>
      </c>
    </row>
    <row r="183" spans="1:59" ht="12.75" x14ac:dyDescent="0.2">
      <c r="A183" s="9" t="str">
        <f ca="1">IF(AUTOEVENTO="Manual",IF(K183&lt;&gt;"",MIN(VALUE(LEFT(K183,FIND(".",K183)-1)),COUNTA(EVENTOS.Lista)),0),IF(OR($B183&gt;AUTOEVENTO,$B183="S",$B183=0),SUBSTITUTE(OFFSET($A183,-1,0),IF($D183="Serviço",".",""),""),ROW(A183)-ROW($A$15)&amp;"."))</f>
        <v>164</v>
      </c>
      <c r="B183" s="9" t="str">
        <f ca="1">OFFSET(ORÇAMENTO!C$15,ROW(B183)-ROW(B$15),0)</f>
        <v>S</v>
      </c>
      <c r="C183" s="9" t="str">
        <f ca="1">OFFSET(ORÇAMENTO!L$15,ROW(C183)-ROW(C$15),0)</f>
        <v/>
      </c>
      <c r="D183" s="145" t="str">
        <f ca="1">OFFSET(ORÇAMENTO!N$15,ROW(D183)-ROW(D$15),0)</f>
        <v>Serviço</v>
      </c>
      <c r="E183" s="205" t="str">
        <f ca="1">OFFSET(ORÇAMENTO!O$15,ROW(E183)-ROW(E$15),0)</f>
        <v>-</v>
      </c>
      <c r="F183" s="206" t="str">
        <f ca="1">OFFSET(ORÇAMENTO!R$15,ROW(F183)-ROW(F$15),0)</f>
        <v>Alarme Banheiro Pne Deficiente Físico Conforme Nbr 9050 com acionador</v>
      </c>
      <c r="G183" s="207" t="str">
        <f ca="1">IF($D183&lt;&gt;"Serviço","",OFFSET(ORÇAMENTO!S$15,ROW(G183)-ROW(G$15),0))</f>
        <v xml:space="preserve">UNIDADE </v>
      </c>
      <c r="H183" s="151">
        <f ca="1">IF($D183&lt;&gt;"Serviço",0,IF(ACOMPANHAMENTO="BM",ROUND(OFFSET(ORÇAMENTO!AJ$15,ROW(H183)-ROW(H$15),0),15-13*ORÇAMENTO!$AF$7),SUMPRODUCT(($Q$12:$AA$12&lt;&gt;"")*ROUND($Q183:$AA183,15-13*ORÇAMENTO!$AF$7))))</f>
        <v>2</v>
      </c>
      <c r="I183" s="649"/>
      <c r="K183" s="208"/>
      <c r="L183" s="209" t="s">
        <v>255</v>
      </c>
      <c r="M183" s="210">
        <f ca="1">IF($D183&lt;&gt;"Serviço","",IF(AUTOEVENTO="manual",$A183,IF(ISERROR(MATCH($A183,$A$15:OFFSET($A183,-1,0),0)),MAX($M$15:OFFSET(M183,-1,0))+1,INDEX($M$15:OFFSET(M183,-1,0),MATCH($A183,$A$15:OFFSET($A183,-1,0),0)))))</f>
        <v>24</v>
      </c>
      <c r="N183" s="211" t="str">
        <f ca="1">IF($D183&lt;&gt;"Serviço","",IF(AUTOEVENTO="Manual",IF($A183=0,"&lt;-- defina o número do agrupador",OFFSET(EVENTOS!$D$14,$A183,0)),OFFSET($F$15,$A183,0)))</f>
        <v>ACESSIBILIDADE</v>
      </c>
      <c r="O183" s="212"/>
      <c r="Q183" s="212"/>
      <c r="R183" s="213"/>
      <c r="S183" s="213"/>
      <c r="T183" s="213"/>
      <c r="U183" s="213"/>
      <c r="V183" s="213"/>
      <c r="W183" s="213"/>
      <c r="X183" s="213"/>
      <c r="Y183" s="213"/>
      <c r="Z183" s="214"/>
      <c r="AB183" s="630">
        <f ca="1">IF(AND($D183="Serviço",AB$12&lt;&gt;0,$H183&gt;0,OR(AUTOEVENTO&lt;&gt;"manual",$M183&lt;&gt;1)),
IF(Import.TipoArredondamento&lt;&gt;"TransfereGOV",
ROUND(OFFSET($P183,0,AB$13),15-13*ORÇAMENTO!$AF$7)/$H183*OFFSET(ORÇAMENTO!$X$15,ROW(AB183)-ROW(AB$15),0),
ROUND(ROUND(OFFSET($P183,0,AB$13),15-13*ORÇAMENTO!$AF$7)*OFFSET(ORÇAMENTO!$W$15,ROW(AB183)-ROW(AB$15),0),15-13*ORÇAMENTO!$AF$11)),0)</f>
        <v>0</v>
      </c>
      <c r="AC183" s="631">
        <f ca="1">IF(AND($D183="Serviço",AC$12&lt;&gt;0,$H183&gt;0,OR(AUTOEVENTO&lt;&gt;"manual",$M183&lt;&gt;1)),
IF(Import.TipoArredondamento&lt;&gt;"TransfereGOV",
ROUND(OFFSET($P183,0,AC$13),15-13*ORÇAMENTO!$AF$7)/$H183*OFFSET(ORÇAMENTO!$X$15,ROW(AC183)-ROW(AC$15),0),
ROUND(ROUND(OFFSET($P183,0,AC$13),15-13*ORÇAMENTO!$AF$7)*OFFSET(ORÇAMENTO!$W$15,ROW(AC183)-ROW(AC$15),0),15-13*ORÇAMENTO!$AF$11)),0)</f>
        <v>0</v>
      </c>
      <c r="AD183" s="631">
        <f ca="1">IF(AND($D183="Serviço",AD$12&lt;&gt;0,$H183&gt;0,OR(AUTOEVENTO&lt;&gt;"manual",$M183&lt;&gt;1)),
IF(Import.TipoArredondamento&lt;&gt;"TransfereGOV",
ROUND(OFFSET($P183,0,AD$13),15-13*ORÇAMENTO!$AF$7)/$H183*OFFSET(ORÇAMENTO!$X$15,ROW(AD183)-ROW(AD$15),0),
ROUND(ROUND(OFFSET($P183,0,AD$13),15-13*ORÇAMENTO!$AF$7)*OFFSET(ORÇAMENTO!$W$15,ROW(AD183)-ROW(AD$15),0),15-13*ORÇAMENTO!$AF$11)),0)</f>
        <v>0</v>
      </c>
      <c r="AE183" s="631">
        <f ca="1">IF(AND($D183="Serviço",AE$12&lt;&gt;0,$H183&gt;0,OR(AUTOEVENTO&lt;&gt;"manual",$M183&lt;&gt;1)),
IF(Import.TipoArredondamento&lt;&gt;"TransfereGOV",
ROUND(OFFSET($P183,0,AE$13),15-13*ORÇAMENTO!$AF$7)/$H183*OFFSET(ORÇAMENTO!$X$15,ROW(AE183)-ROW(AE$15),0),
ROUND(ROUND(OFFSET($P183,0,AE$13),15-13*ORÇAMENTO!$AF$7)*OFFSET(ORÇAMENTO!$W$15,ROW(AE183)-ROW(AE$15),0),15-13*ORÇAMENTO!$AF$11)),0)</f>
        <v>0</v>
      </c>
      <c r="AF183" s="631">
        <f ca="1">IF(AND($D183="Serviço",AF$12&lt;&gt;0,$H183&gt;0,OR(AUTOEVENTO&lt;&gt;"manual",$M183&lt;&gt;1)),
IF(Import.TipoArredondamento&lt;&gt;"TransfereGOV",
ROUND(OFFSET($P183,0,AF$13),15-13*ORÇAMENTO!$AF$7)/$H183*OFFSET(ORÇAMENTO!$X$15,ROW(AF183)-ROW(AF$15),0),
ROUND(ROUND(OFFSET($P183,0,AF$13),15-13*ORÇAMENTO!$AF$7)*OFFSET(ORÇAMENTO!$W$15,ROW(AF183)-ROW(AF$15),0),15-13*ORÇAMENTO!$AF$11)),0)</f>
        <v>0</v>
      </c>
      <c r="AG183" s="631">
        <f ca="1">IF(AND($D183="Serviço",AG$12&lt;&gt;0,$H183&gt;0,OR(AUTOEVENTO&lt;&gt;"manual",$M183&lt;&gt;1)),
IF(Import.TipoArredondamento&lt;&gt;"TransfereGOV",
ROUND(OFFSET($P183,0,AG$13),15-13*ORÇAMENTO!$AF$7)/$H183*OFFSET(ORÇAMENTO!$X$15,ROW(AG183)-ROW(AG$15),0),
ROUND(ROUND(OFFSET($P183,0,AG$13),15-13*ORÇAMENTO!$AF$7)*OFFSET(ORÇAMENTO!$W$15,ROW(AG183)-ROW(AG$15),0),15-13*ORÇAMENTO!$AF$11)),0)</f>
        <v>0</v>
      </c>
      <c r="AH183" s="631">
        <f ca="1">IF(AND($D183="Serviço",AH$12&lt;&gt;0,$H183&gt;0,OR(AUTOEVENTO&lt;&gt;"manual",$M183&lt;&gt;1)),
IF(Import.TipoArredondamento&lt;&gt;"TransfereGOV",
ROUND(OFFSET($P183,0,AH$13),15-13*ORÇAMENTO!$AF$7)/$H183*OFFSET(ORÇAMENTO!$X$15,ROW(AH183)-ROW(AH$15),0),
ROUND(ROUND(OFFSET($P183,0,AH$13),15-13*ORÇAMENTO!$AF$7)*OFFSET(ORÇAMENTO!$W$15,ROW(AH183)-ROW(AH$15),0),15-13*ORÇAMENTO!$AF$11)),0)</f>
        <v>0</v>
      </c>
      <c r="AI183" s="631">
        <f ca="1">IF(AND($D183="Serviço",AI$12&lt;&gt;0,$H183&gt;0,OR(AUTOEVENTO&lt;&gt;"manual",$M183&lt;&gt;1)),
IF(Import.TipoArredondamento&lt;&gt;"TransfereGOV",
ROUND(OFFSET($P183,0,AI$13),15-13*ORÇAMENTO!$AF$7)/$H183*OFFSET(ORÇAMENTO!$X$15,ROW(AI183)-ROW(AI$15),0),
ROUND(ROUND(OFFSET($P183,0,AI$13),15-13*ORÇAMENTO!$AF$7)*OFFSET(ORÇAMENTO!$W$15,ROW(AI183)-ROW(AI$15),0),15-13*ORÇAMENTO!$AF$11)),0)</f>
        <v>0</v>
      </c>
      <c r="AJ183" s="631">
        <f ca="1">IF(AND($D183="Serviço",AJ$12&lt;&gt;0,$H183&gt;0,OR(AUTOEVENTO&lt;&gt;"manual",$M183&lt;&gt;1)),
IF(Import.TipoArredondamento&lt;&gt;"TransfereGOV",
ROUND(OFFSET($P183,0,AJ$13),15-13*ORÇAMENTO!$AF$7)/$H183*OFFSET(ORÇAMENTO!$X$15,ROW(AJ183)-ROW(AJ$15),0),
ROUND(ROUND(OFFSET($P183,0,AJ$13),15-13*ORÇAMENTO!$AF$7)*OFFSET(ORÇAMENTO!$W$15,ROW(AJ183)-ROW(AJ$15),0),15-13*ORÇAMENTO!$AF$11)),0)</f>
        <v>0</v>
      </c>
      <c r="AK183" s="632">
        <f ca="1">IF(AND($D183="Serviço",AK$12&lt;&gt;0,$H183&gt;0,OR(AUTOEVENTO&lt;&gt;"manual",$M183&lt;&gt;1)),
IF(Import.TipoArredondamento&lt;&gt;"TransfereGOV",
ROUND(OFFSET($P183,0,AK$13),15-13*ORÇAMENTO!$AF$7)/$H183*OFFSET(ORÇAMENTO!$X$15,ROW(AK183)-ROW(AK$15),0),
ROUND(ROUND(OFFSET($P183,0,AK$13),15-13*ORÇAMENTO!$AF$7)*OFFSET(ORÇAMENTO!$W$15,ROW(AK183)-ROW(AK$15),0),15-13*ORÇAMENTO!$AF$11)),0)</f>
        <v>0</v>
      </c>
      <c r="AM183" s="215">
        <f ca="1">IF($D183&lt;&gt;"Serviço",0,IF(AND(AUTOEVENTO="Manual",$M183=1),0,IF(OFFSET(CRONOPLE!$F$14,$M183,AM$13)="",10^12,OFFSET(CRONOPLE!$F$14,$M183,AM$13))))</f>
        <v>1000000000000</v>
      </c>
      <c r="AN183" s="215">
        <f ca="1">IF($D183&lt;&gt;"Serviço",0,IF(AND(AUTOEVENTO="Manual",$M183=1),0,IF(OFFSET(CRONOPLE!$F$14,$M183,AN$13)="",10^12,OFFSET(CRONOPLE!$F$14,$M183,AN$13))))</f>
        <v>1000000000000</v>
      </c>
      <c r="AO183" s="215">
        <f ca="1">IF($D183&lt;&gt;"Serviço",0,IF(AND(AUTOEVENTO="Manual",$M183=1),0,IF(OFFSET(CRONOPLE!$F$14,$M183,AO$13)="",10^12,OFFSET(CRONOPLE!$F$14,$M183,AO$13))))</f>
        <v>1000000000000</v>
      </c>
      <c r="AP183" s="215">
        <f ca="1">IF($D183&lt;&gt;"Serviço",0,IF(AND(AUTOEVENTO="Manual",$M183=1),0,IF(OFFSET(CRONOPLE!$F$14,$M183,AP$13)="",10^12,OFFSET(CRONOPLE!$F$14,$M183,AP$13))))</f>
        <v>1000000000000</v>
      </c>
      <c r="AQ183" s="215">
        <f ca="1">IF($D183&lt;&gt;"Serviço",0,IF(AND(AUTOEVENTO="Manual",$M183=1),0,IF(OFFSET(CRONOPLE!$F$14,$M183,AQ$13)="",10^12,OFFSET(CRONOPLE!$F$14,$M183,AQ$13))))</f>
        <v>1000000000000</v>
      </c>
      <c r="AR183" s="215">
        <f ca="1">IF($D183&lt;&gt;"Serviço",0,IF(AND(AUTOEVENTO="Manual",$M183=1),0,IF(OFFSET(CRONOPLE!$F$14,$M183,AR$13)="",10^12,OFFSET(CRONOPLE!$F$14,$M183,AR$13))))</f>
        <v>1000000000000</v>
      </c>
      <c r="AS183" s="215">
        <f ca="1">IF($D183&lt;&gt;"Serviço",0,IF(AND(AUTOEVENTO="Manual",$M183=1),0,IF(OFFSET(CRONOPLE!$F$14,$M183,AS$13)="",10^12,OFFSET(CRONOPLE!$F$14,$M183,AS$13))))</f>
        <v>1000000000000</v>
      </c>
      <c r="AT183" s="215">
        <f ca="1">IF($D183&lt;&gt;"Serviço",0,IF(AND(AUTOEVENTO="Manual",$M183=1),0,IF(OFFSET(CRONOPLE!$F$14,$M183,AT$13)="",10^12,OFFSET(CRONOPLE!$F$14,$M183,AT$13))))</f>
        <v>1000000000000</v>
      </c>
      <c r="AU183" s="215">
        <f ca="1">IF($D183&lt;&gt;"Serviço",0,IF(AND(AUTOEVENTO="Manual",$M183=1),0,IF(OFFSET(CRONOPLE!$F$14,$M183,AU$13)="",10^12,OFFSET(CRONOPLE!$F$14,$M183,AU$13))))</f>
        <v>1000000000000</v>
      </c>
      <c r="AV183" s="215">
        <f ca="1">IF($D183&lt;&gt;"Serviço",0,IF(AND(AUTOEVENTO="Manual",$M183=1),0,IF(OFFSET(CRONOPLE!$F$14,$M183,AV$13)="",10^12,OFFSET(CRONOPLE!$F$14,$M183,AV$13))))</f>
        <v>1000000000000</v>
      </c>
      <c r="AX183" s="216">
        <f ca="1">IF($D183&lt;&gt;"Serviço",0,IF(OR(AND(AUTOEVENTO="Manual",$M183=1),$M183&gt;(ROW(PLE.lastrow)-ROW(PLE.firstrow))),0,IF(OFFSET(PLE!$G$14,$M183,AX$13)="",10^12,OFFSET(PLE!$G$14,$M183,AX$13))))</f>
        <v>1000000000000</v>
      </c>
      <c r="AY183" s="216">
        <f ca="1">IF($D183&lt;&gt;"Serviço",0,IF(OR(AND(AUTOEVENTO="Manual",$M183=1),$M183&gt;(ROW(PLE.lastrow)-ROW(PLE.firstrow))),0,IF(OFFSET(PLE!$G$14,$M183,AY$13)="",10^12,OFFSET(PLE!$G$14,$M183,AY$13))))</f>
        <v>1000000000000</v>
      </c>
      <c r="AZ183" s="216">
        <f ca="1">IF($D183&lt;&gt;"Serviço",0,IF(OR(AND(AUTOEVENTO="Manual",$M183=1),$M183&gt;(ROW(PLE.lastrow)-ROW(PLE.firstrow))),0,IF(OFFSET(PLE!$G$14,$M183,AZ$13)="",10^12,OFFSET(PLE!$G$14,$M183,AZ$13))))</f>
        <v>1000000000000</v>
      </c>
      <c r="BA183" s="216">
        <f ca="1">IF($D183&lt;&gt;"Serviço",0,IF(OR(AND(AUTOEVENTO="Manual",$M183=1),$M183&gt;(ROW(PLE.lastrow)-ROW(PLE.firstrow))),0,IF(OFFSET(PLE!$G$14,$M183,BA$13)="",10^12,OFFSET(PLE!$G$14,$M183,BA$13))))</f>
        <v>1000000000000</v>
      </c>
      <c r="BB183" s="216">
        <f ca="1">IF($D183&lt;&gt;"Serviço",0,IF(OR(AND(AUTOEVENTO="Manual",$M183=1),$M183&gt;(ROW(PLE.lastrow)-ROW(PLE.firstrow))),0,IF(OFFSET(PLE!$G$14,$M183,BB$13)="",10^12,OFFSET(PLE!$G$14,$M183,BB$13))))</f>
        <v>1000000000000</v>
      </c>
      <c r="BC183" s="216">
        <f ca="1">IF($D183&lt;&gt;"Serviço",0,IF(OR(AND(AUTOEVENTO="Manual",$M183=1),$M183&gt;(ROW(PLE.lastrow)-ROW(PLE.firstrow))),0,IF(OFFSET(PLE!$G$14,$M183,BC$13)="",10^12,OFFSET(PLE!$G$14,$M183,BC$13))))</f>
        <v>1000000000000</v>
      </c>
      <c r="BD183" s="216">
        <f ca="1">IF($D183&lt;&gt;"Serviço",0,IF(OR(AND(AUTOEVENTO="Manual",$M183=1),$M183&gt;(ROW(PLE.lastrow)-ROW(PLE.firstrow))),0,IF(OFFSET(PLE!$G$14,$M183,BD$13)="",10^12,OFFSET(PLE!$G$14,$M183,BD$13))))</f>
        <v>1000000000000</v>
      </c>
      <c r="BE183" s="216">
        <f ca="1">IF($D183&lt;&gt;"Serviço",0,IF(OR(AND(AUTOEVENTO="Manual",$M183=1),$M183&gt;(ROW(PLE.lastrow)-ROW(PLE.firstrow))),0,IF(OFFSET(PLE!$G$14,$M183,BE$13)="",10^12,OFFSET(PLE!$G$14,$M183,BE$13))))</f>
        <v>1000000000000</v>
      </c>
      <c r="BF183" s="216">
        <f ca="1">IF($D183&lt;&gt;"Serviço",0,IF(OR(AND(AUTOEVENTO="Manual",$M183=1),$M183&gt;(ROW(PLE.lastrow)-ROW(PLE.firstrow))),0,IF(OFFSET(PLE!$G$14,$M183,BF$13)="",10^12,OFFSET(PLE!$G$14,$M183,BF$13))))</f>
        <v>1000000000000</v>
      </c>
      <c r="BG183" s="216">
        <f ca="1">IF($D183&lt;&gt;"Serviço",0,IF(OR(AND(AUTOEVENTO="Manual",$M183=1),$M183&gt;(ROW(PLE.lastrow)-ROW(PLE.firstrow))),0,IF(OFFSET(PLE!$G$14,$M183,BG$13)="",10^12,OFFSET(PLE!$G$14,$M183,BG$13))))</f>
        <v>1000000000000</v>
      </c>
    </row>
    <row r="184" spans="1:59" ht="12.75" x14ac:dyDescent="0.2">
      <c r="A184" s="9" t="str">
        <f t="shared" ca="1" si="11"/>
        <v>169.</v>
      </c>
      <c r="B184" s="9">
        <f ca="1">OFFSET(ORÇAMENTO!C$15,ROW(B184)-ROW(B$15),0)</f>
        <v>2</v>
      </c>
      <c r="C184" s="9" t="str">
        <f ca="1">OFFSET(ORÇAMENTO!L$15,ROW(C184)-ROW(C$15),0)</f>
        <v>F</v>
      </c>
      <c r="D184" s="145" t="str">
        <f ca="1">OFFSET(ORÇAMENTO!N$15,ROW(D184)-ROW(D$15),0)</f>
        <v>Nível 2</v>
      </c>
      <c r="E184" s="205" t="str">
        <f ca="1">OFFSET(ORÇAMENTO!O$15,ROW(E184)-ROW(E$15),0)</f>
        <v>1.24.</v>
      </c>
      <c r="F184" s="206" t="str">
        <f ca="1">OFFSET(ORÇAMENTO!R$15,ROW(F184)-ROW(F$15),0)</f>
        <v xml:space="preserve">CALÇADA EXTERNA </v>
      </c>
      <c r="G184" s="207" t="str">
        <f ca="1">IF($D184&lt;&gt;"Serviço","",OFFSET(ORÇAMENTO!S$15,ROW(G184)-ROW(G$15),0))</f>
        <v/>
      </c>
      <c r="H184" s="151">
        <f ca="1">IF($D184&lt;&gt;"Serviço",0,IF(ACOMPANHAMENTO="BM",ROUND(OFFSET(ORÇAMENTO!AJ$15,ROW(H184)-ROW(H$15),0),15-13*ORÇAMENTO!$AF$7),SUMPRODUCT(($Q$12:$AA$12&lt;&gt;"")*ROUND($Q184:$AA184,15-13*ORÇAMENTO!$AF$7))))</f>
        <v>0</v>
      </c>
      <c r="I184" s="649"/>
      <c r="K184" s="208"/>
      <c r="L184" s="209" t="s">
        <v>255</v>
      </c>
      <c r="M184" s="210" t="str">
        <f ca="1">IF($D184&lt;&gt;"Serviço","",IF(AUTOEVENTO="manual",$A184,IF(ISERROR(MATCH($A184,$A$15:OFFSET($A184,-1,0),0)),MAX($M$15:OFFSET(M184,-1,0))+1,INDEX($M$15:OFFSET(M184,-1,0),MATCH($A184,$A$15:OFFSET($A184,-1,0),0)))))</f>
        <v/>
      </c>
      <c r="N184" s="211" t="str">
        <f ca="1">IF($D184&lt;&gt;"Serviço","",IF(AUTOEVENTO="Manual",IF($A184=0,"&lt;-- defina o número do agrupador",OFFSET(EVENTOS!$D$14,$A184,0)),OFFSET($F$15,$A184,0)))</f>
        <v/>
      </c>
      <c r="O184" s="212"/>
      <c r="Q184" s="212"/>
      <c r="R184" s="213"/>
      <c r="S184" s="213"/>
      <c r="T184" s="213"/>
      <c r="U184" s="213"/>
      <c r="V184" s="213"/>
      <c r="W184" s="213"/>
      <c r="X184" s="213"/>
      <c r="Y184" s="213"/>
      <c r="Z184" s="214"/>
      <c r="AB184" s="630">
        <f ca="1">IF(AND($D184="Serviço",AB$12&lt;&gt;0,$H184&gt;0,OR(AUTOEVENTO&lt;&gt;"manual",$M184&lt;&gt;1)),
IF(Import.TipoArredondamento&lt;&gt;"TransfereGOV",
ROUND(OFFSET($P184,0,AB$13),15-13*ORÇAMENTO!$AF$7)/$H184*OFFSET(ORÇAMENTO!$X$15,ROW(AB184)-ROW(AB$15),0),
ROUND(ROUND(OFFSET($P184,0,AB$13),15-13*ORÇAMENTO!$AF$7)*OFFSET(ORÇAMENTO!$W$15,ROW(AB184)-ROW(AB$15),0),15-13*ORÇAMENTO!$AF$11)),0)</f>
        <v>0</v>
      </c>
      <c r="AC184" s="631">
        <f ca="1">IF(AND($D184="Serviço",AC$12&lt;&gt;0,$H184&gt;0,OR(AUTOEVENTO&lt;&gt;"manual",$M184&lt;&gt;1)),
IF(Import.TipoArredondamento&lt;&gt;"TransfereGOV",
ROUND(OFFSET($P184,0,AC$13),15-13*ORÇAMENTO!$AF$7)/$H184*OFFSET(ORÇAMENTO!$X$15,ROW(AC184)-ROW(AC$15),0),
ROUND(ROUND(OFFSET($P184,0,AC$13),15-13*ORÇAMENTO!$AF$7)*OFFSET(ORÇAMENTO!$W$15,ROW(AC184)-ROW(AC$15),0),15-13*ORÇAMENTO!$AF$11)),0)</f>
        <v>0</v>
      </c>
      <c r="AD184" s="631">
        <f ca="1">IF(AND($D184="Serviço",AD$12&lt;&gt;0,$H184&gt;0,OR(AUTOEVENTO&lt;&gt;"manual",$M184&lt;&gt;1)),
IF(Import.TipoArredondamento&lt;&gt;"TransfereGOV",
ROUND(OFFSET($P184,0,AD$13),15-13*ORÇAMENTO!$AF$7)/$H184*OFFSET(ORÇAMENTO!$X$15,ROW(AD184)-ROW(AD$15),0),
ROUND(ROUND(OFFSET($P184,0,AD$13),15-13*ORÇAMENTO!$AF$7)*OFFSET(ORÇAMENTO!$W$15,ROW(AD184)-ROW(AD$15),0),15-13*ORÇAMENTO!$AF$11)),0)</f>
        <v>0</v>
      </c>
      <c r="AE184" s="631">
        <f ca="1">IF(AND($D184="Serviço",AE$12&lt;&gt;0,$H184&gt;0,OR(AUTOEVENTO&lt;&gt;"manual",$M184&lt;&gt;1)),
IF(Import.TipoArredondamento&lt;&gt;"TransfereGOV",
ROUND(OFFSET($P184,0,AE$13),15-13*ORÇAMENTO!$AF$7)/$H184*OFFSET(ORÇAMENTO!$X$15,ROW(AE184)-ROW(AE$15),0),
ROUND(ROUND(OFFSET($P184,0,AE$13),15-13*ORÇAMENTO!$AF$7)*OFFSET(ORÇAMENTO!$W$15,ROW(AE184)-ROW(AE$15),0),15-13*ORÇAMENTO!$AF$11)),0)</f>
        <v>0</v>
      </c>
      <c r="AF184" s="631">
        <f ca="1">IF(AND($D184="Serviço",AF$12&lt;&gt;0,$H184&gt;0,OR(AUTOEVENTO&lt;&gt;"manual",$M184&lt;&gt;1)),
IF(Import.TipoArredondamento&lt;&gt;"TransfereGOV",
ROUND(OFFSET($P184,0,AF$13),15-13*ORÇAMENTO!$AF$7)/$H184*OFFSET(ORÇAMENTO!$X$15,ROW(AF184)-ROW(AF$15),0),
ROUND(ROUND(OFFSET($P184,0,AF$13),15-13*ORÇAMENTO!$AF$7)*OFFSET(ORÇAMENTO!$W$15,ROW(AF184)-ROW(AF$15),0),15-13*ORÇAMENTO!$AF$11)),0)</f>
        <v>0</v>
      </c>
      <c r="AG184" s="631">
        <f ca="1">IF(AND($D184="Serviço",AG$12&lt;&gt;0,$H184&gt;0,OR(AUTOEVENTO&lt;&gt;"manual",$M184&lt;&gt;1)),
IF(Import.TipoArredondamento&lt;&gt;"TransfereGOV",
ROUND(OFFSET($P184,0,AG$13),15-13*ORÇAMENTO!$AF$7)/$H184*OFFSET(ORÇAMENTO!$X$15,ROW(AG184)-ROW(AG$15),0),
ROUND(ROUND(OFFSET($P184,0,AG$13),15-13*ORÇAMENTO!$AF$7)*OFFSET(ORÇAMENTO!$W$15,ROW(AG184)-ROW(AG$15),0),15-13*ORÇAMENTO!$AF$11)),0)</f>
        <v>0</v>
      </c>
      <c r="AH184" s="631">
        <f ca="1">IF(AND($D184="Serviço",AH$12&lt;&gt;0,$H184&gt;0,OR(AUTOEVENTO&lt;&gt;"manual",$M184&lt;&gt;1)),
IF(Import.TipoArredondamento&lt;&gt;"TransfereGOV",
ROUND(OFFSET($P184,0,AH$13),15-13*ORÇAMENTO!$AF$7)/$H184*OFFSET(ORÇAMENTO!$X$15,ROW(AH184)-ROW(AH$15),0),
ROUND(ROUND(OFFSET($P184,0,AH$13),15-13*ORÇAMENTO!$AF$7)*OFFSET(ORÇAMENTO!$W$15,ROW(AH184)-ROW(AH$15),0),15-13*ORÇAMENTO!$AF$11)),0)</f>
        <v>0</v>
      </c>
      <c r="AI184" s="631">
        <f ca="1">IF(AND($D184="Serviço",AI$12&lt;&gt;0,$H184&gt;0,OR(AUTOEVENTO&lt;&gt;"manual",$M184&lt;&gt;1)),
IF(Import.TipoArredondamento&lt;&gt;"TransfereGOV",
ROUND(OFFSET($P184,0,AI$13),15-13*ORÇAMENTO!$AF$7)/$H184*OFFSET(ORÇAMENTO!$X$15,ROW(AI184)-ROW(AI$15),0),
ROUND(ROUND(OFFSET($P184,0,AI$13),15-13*ORÇAMENTO!$AF$7)*OFFSET(ORÇAMENTO!$W$15,ROW(AI184)-ROW(AI$15),0),15-13*ORÇAMENTO!$AF$11)),0)</f>
        <v>0</v>
      </c>
      <c r="AJ184" s="631">
        <f ca="1">IF(AND($D184="Serviço",AJ$12&lt;&gt;0,$H184&gt;0,OR(AUTOEVENTO&lt;&gt;"manual",$M184&lt;&gt;1)),
IF(Import.TipoArredondamento&lt;&gt;"TransfereGOV",
ROUND(OFFSET($P184,0,AJ$13),15-13*ORÇAMENTO!$AF$7)/$H184*OFFSET(ORÇAMENTO!$X$15,ROW(AJ184)-ROW(AJ$15),0),
ROUND(ROUND(OFFSET($P184,0,AJ$13),15-13*ORÇAMENTO!$AF$7)*OFFSET(ORÇAMENTO!$W$15,ROW(AJ184)-ROW(AJ$15),0),15-13*ORÇAMENTO!$AF$11)),0)</f>
        <v>0</v>
      </c>
      <c r="AK184" s="632">
        <f ca="1">IF(AND($D184="Serviço",AK$12&lt;&gt;0,$H184&gt;0,OR(AUTOEVENTO&lt;&gt;"manual",$M184&lt;&gt;1)),
IF(Import.TipoArredondamento&lt;&gt;"TransfereGOV",
ROUND(OFFSET($P184,0,AK$13),15-13*ORÇAMENTO!$AF$7)/$H184*OFFSET(ORÇAMENTO!$X$15,ROW(AK184)-ROW(AK$15),0),
ROUND(ROUND(OFFSET($P184,0,AK$13),15-13*ORÇAMENTO!$AF$7)*OFFSET(ORÇAMENTO!$W$15,ROW(AK184)-ROW(AK$15),0),15-13*ORÇAMENTO!$AF$11)),0)</f>
        <v>0</v>
      </c>
      <c r="AM184" s="215">
        <f ca="1">IF($D184&lt;&gt;"Serviço",0,IF(AND(AUTOEVENTO="Manual",$M184=1),0,IF(OFFSET(CRONOPLE!$F$14,$M184,AM$13)="",10^12,OFFSET(CRONOPLE!$F$14,$M184,AM$13))))</f>
        <v>0</v>
      </c>
      <c r="AN184" s="215">
        <f ca="1">IF($D184&lt;&gt;"Serviço",0,IF(AND(AUTOEVENTO="Manual",$M184=1),0,IF(OFFSET(CRONOPLE!$F$14,$M184,AN$13)="",10^12,OFFSET(CRONOPLE!$F$14,$M184,AN$13))))</f>
        <v>0</v>
      </c>
      <c r="AO184" s="215">
        <f ca="1">IF($D184&lt;&gt;"Serviço",0,IF(AND(AUTOEVENTO="Manual",$M184=1),0,IF(OFFSET(CRONOPLE!$F$14,$M184,AO$13)="",10^12,OFFSET(CRONOPLE!$F$14,$M184,AO$13))))</f>
        <v>0</v>
      </c>
      <c r="AP184" s="215">
        <f ca="1">IF($D184&lt;&gt;"Serviço",0,IF(AND(AUTOEVENTO="Manual",$M184=1),0,IF(OFFSET(CRONOPLE!$F$14,$M184,AP$13)="",10^12,OFFSET(CRONOPLE!$F$14,$M184,AP$13))))</f>
        <v>0</v>
      </c>
      <c r="AQ184" s="215">
        <f ca="1">IF($D184&lt;&gt;"Serviço",0,IF(AND(AUTOEVENTO="Manual",$M184=1),0,IF(OFFSET(CRONOPLE!$F$14,$M184,AQ$13)="",10^12,OFFSET(CRONOPLE!$F$14,$M184,AQ$13))))</f>
        <v>0</v>
      </c>
      <c r="AR184" s="215">
        <f ca="1">IF($D184&lt;&gt;"Serviço",0,IF(AND(AUTOEVENTO="Manual",$M184=1),0,IF(OFFSET(CRONOPLE!$F$14,$M184,AR$13)="",10^12,OFFSET(CRONOPLE!$F$14,$M184,AR$13))))</f>
        <v>0</v>
      </c>
      <c r="AS184" s="215">
        <f ca="1">IF($D184&lt;&gt;"Serviço",0,IF(AND(AUTOEVENTO="Manual",$M184=1),0,IF(OFFSET(CRONOPLE!$F$14,$M184,AS$13)="",10^12,OFFSET(CRONOPLE!$F$14,$M184,AS$13))))</f>
        <v>0</v>
      </c>
      <c r="AT184" s="215">
        <f ca="1">IF($D184&lt;&gt;"Serviço",0,IF(AND(AUTOEVENTO="Manual",$M184=1),0,IF(OFFSET(CRONOPLE!$F$14,$M184,AT$13)="",10^12,OFFSET(CRONOPLE!$F$14,$M184,AT$13))))</f>
        <v>0</v>
      </c>
      <c r="AU184" s="215">
        <f ca="1">IF($D184&lt;&gt;"Serviço",0,IF(AND(AUTOEVENTO="Manual",$M184=1),0,IF(OFFSET(CRONOPLE!$F$14,$M184,AU$13)="",10^12,OFFSET(CRONOPLE!$F$14,$M184,AU$13))))</f>
        <v>0</v>
      </c>
      <c r="AV184" s="215">
        <f ca="1">IF($D184&lt;&gt;"Serviço",0,IF(AND(AUTOEVENTO="Manual",$M184=1),0,IF(OFFSET(CRONOPLE!$F$14,$M184,AV$13)="",10^12,OFFSET(CRONOPLE!$F$14,$M184,AV$13))))</f>
        <v>0</v>
      </c>
      <c r="AX184" s="216">
        <f ca="1">IF($D184&lt;&gt;"Serviço",0,IF(OR(AND(AUTOEVENTO="Manual",$M184=1),$M184&gt;(ROW(PLE.lastrow)-ROW(PLE.firstrow))),0,IF(OFFSET(PLE!$G$14,$M184,AX$13)="",10^12,OFFSET(PLE!$G$14,$M184,AX$13))))</f>
        <v>0</v>
      </c>
      <c r="AY184" s="216">
        <f ca="1">IF($D184&lt;&gt;"Serviço",0,IF(OR(AND(AUTOEVENTO="Manual",$M184=1),$M184&gt;(ROW(PLE.lastrow)-ROW(PLE.firstrow))),0,IF(OFFSET(PLE!$G$14,$M184,AY$13)="",10^12,OFFSET(PLE!$G$14,$M184,AY$13))))</f>
        <v>0</v>
      </c>
      <c r="AZ184" s="216">
        <f ca="1">IF($D184&lt;&gt;"Serviço",0,IF(OR(AND(AUTOEVENTO="Manual",$M184=1),$M184&gt;(ROW(PLE.lastrow)-ROW(PLE.firstrow))),0,IF(OFFSET(PLE!$G$14,$M184,AZ$13)="",10^12,OFFSET(PLE!$G$14,$M184,AZ$13))))</f>
        <v>0</v>
      </c>
      <c r="BA184" s="216">
        <f ca="1">IF($D184&lt;&gt;"Serviço",0,IF(OR(AND(AUTOEVENTO="Manual",$M184=1),$M184&gt;(ROW(PLE.lastrow)-ROW(PLE.firstrow))),0,IF(OFFSET(PLE!$G$14,$M184,BA$13)="",10^12,OFFSET(PLE!$G$14,$M184,BA$13))))</f>
        <v>0</v>
      </c>
      <c r="BB184" s="216">
        <f ca="1">IF($D184&lt;&gt;"Serviço",0,IF(OR(AND(AUTOEVENTO="Manual",$M184=1),$M184&gt;(ROW(PLE.lastrow)-ROW(PLE.firstrow))),0,IF(OFFSET(PLE!$G$14,$M184,BB$13)="",10^12,OFFSET(PLE!$G$14,$M184,BB$13))))</f>
        <v>0</v>
      </c>
      <c r="BC184" s="216">
        <f ca="1">IF($D184&lt;&gt;"Serviço",0,IF(OR(AND(AUTOEVENTO="Manual",$M184=1),$M184&gt;(ROW(PLE.lastrow)-ROW(PLE.firstrow))),0,IF(OFFSET(PLE!$G$14,$M184,BC$13)="",10^12,OFFSET(PLE!$G$14,$M184,BC$13))))</f>
        <v>0</v>
      </c>
      <c r="BD184" s="216">
        <f ca="1">IF($D184&lt;&gt;"Serviço",0,IF(OR(AND(AUTOEVENTO="Manual",$M184=1),$M184&gt;(ROW(PLE.lastrow)-ROW(PLE.firstrow))),0,IF(OFFSET(PLE!$G$14,$M184,BD$13)="",10^12,OFFSET(PLE!$G$14,$M184,BD$13))))</f>
        <v>0</v>
      </c>
      <c r="BE184" s="216">
        <f ca="1">IF($D184&lt;&gt;"Serviço",0,IF(OR(AND(AUTOEVENTO="Manual",$M184=1),$M184&gt;(ROW(PLE.lastrow)-ROW(PLE.firstrow))),0,IF(OFFSET(PLE!$G$14,$M184,BE$13)="",10^12,OFFSET(PLE!$G$14,$M184,BE$13))))</f>
        <v>0</v>
      </c>
      <c r="BF184" s="216">
        <f ca="1">IF($D184&lt;&gt;"Serviço",0,IF(OR(AND(AUTOEVENTO="Manual",$M184=1),$M184&gt;(ROW(PLE.lastrow)-ROW(PLE.firstrow))),0,IF(OFFSET(PLE!$G$14,$M184,BF$13)="",10^12,OFFSET(PLE!$G$14,$M184,BF$13))))</f>
        <v>0</v>
      </c>
      <c r="BG184" s="216">
        <f ca="1">IF($D184&lt;&gt;"Serviço",0,IF(OR(AND(AUTOEVENTO="Manual",$M184=1),$M184&gt;(ROW(PLE.lastrow)-ROW(PLE.firstrow))),0,IF(OFFSET(PLE!$G$14,$M184,BG$13)="",10^12,OFFSET(PLE!$G$14,$M184,BG$13))))</f>
        <v>0</v>
      </c>
    </row>
    <row r="185" spans="1:59" ht="38.25" x14ac:dyDescent="0.2">
      <c r="A185" s="9" t="str">
        <f t="shared" ca="1" si="11"/>
        <v>169</v>
      </c>
      <c r="B185" s="9" t="str">
        <f ca="1">OFFSET(ORÇAMENTO!C$15,ROW(B185)-ROW(B$15),0)</f>
        <v>S</v>
      </c>
      <c r="C185" s="9" t="str">
        <f ca="1">OFFSET(ORÇAMENTO!L$15,ROW(C185)-ROW(C$15),0)</f>
        <v/>
      </c>
      <c r="D185" s="145" t="str">
        <f ca="1">OFFSET(ORÇAMENTO!N$15,ROW(D185)-ROW(D$15),0)</f>
        <v>Serviço</v>
      </c>
      <c r="E185" s="205" t="str">
        <f ca="1">OFFSET(ORÇAMENTO!O$15,ROW(E185)-ROW(E$15),0)</f>
        <v>-</v>
      </c>
      <c r="F185" s="206" t="str">
        <f ca="1">OFFSET(ORÇAMENTO!R$15,ROW(F185)-ROW(F$15),0)</f>
        <v>COMPACTAÇÃO MECÂNICA DE SOLO PARA EXECUÇÃO DE RADIER, PISO DE CONCRETO OU LAJE SOBRE SOLO, COM COMPACTADOR DE SOLOS TIPO PLACA VIBRATÓRIA. AF_09/2021</v>
      </c>
      <c r="G185" s="207" t="str">
        <f ca="1">IF($D185&lt;&gt;"Serviço","",OFFSET(ORÇAMENTO!S$15,ROW(G185)-ROW(G$15),0))</f>
        <v>M2</v>
      </c>
      <c r="H185" s="151">
        <f ca="1">IF($D185&lt;&gt;"Serviço",0,IF(ACOMPANHAMENTO="BM",ROUND(OFFSET(ORÇAMENTO!AJ$15,ROW(H185)-ROW(H$15),0),15-13*ORÇAMENTO!$AF$7),SUMPRODUCT(($Q$12:$AA$12&lt;&gt;"")*ROUND($Q185:$AA185,15-13*ORÇAMENTO!$AF$7))))</f>
        <v>112.2</v>
      </c>
      <c r="I185" s="649"/>
      <c r="K185" s="208"/>
      <c r="L185" s="209" t="s">
        <v>255</v>
      </c>
      <c r="M185" s="210">
        <f ca="1">IF($D185&lt;&gt;"Serviço","",IF(AUTOEVENTO="manual",$A185,IF(ISERROR(MATCH($A185,$A$15:OFFSET($A185,-1,0),0)),MAX($M$15:OFFSET(M185,-1,0))+1,INDEX($M$15:OFFSET(M185,-1,0),MATCH($A185,$A$15:OFFSET($A185,-1,0),0)))))</f>
        <v>25</v>
      </c>
      <c r="N185" s="211" t="str">
        <f ca="1">IF($D185&lt;&gt;"Serviço","",IF(AUTOEVENTO="Manual",IF($A185=0,"&lt;-- defina o número do agrupador",OFFSET(EVENTOS!$D$14,$A185,0)),OFFSET($F$15,$A185,0)))</f>
        <v xml:space="preserve">CALÇADA EXTERNA </v>
      </c>
      <c r="O185" s="212"/>
      <c r="Q185" s="212"/>
      <c r="R185" s="213"/>
      <c r="S185" s="213"/>
      <c r="T185" s="213"/>
      <c r="U185" s="213"/>
      <c r="V185" s="213"/>
      <c r="W185" s="213"/>
      <c r="X185" s="213"/>
      <c r="Y185" s="213"/>
      <c r="Z185" s="214"/>
      <c r="AB185" s="630">
        <f ca="1">IF(AND($D185="Serviço",AB$12&lt;&gt;0,$H185&gt;0,OR(AUTOEVENTO&lt;&gt;"manual",$M185&lt;&gt;1)),
IF(Import.TipoArredondamento&lt;&gt;"TransfereGOV",
ROUND(OFFSET($P185,0,AB$13),15-13*ORÇAMENTO!$AF$7)/$H185*OFFSET(ORÇAMENTO!$X$15,ROW(AB185)-ROW(AB$15),0),
ROUND(ROUND(OFFSET($P185,0,AB$13),15-13*ORÇAMENTO!$AF$7)*OFFSET(ORÇAMENTO!$W$15,ROW(AB185)-ROW(AB$15),0),15-13*ORÇAMENTO!$AF$11)),0)</f>
        <v>0</v>
      </c>
      <c r="AC185" s="631">
        <f ca="1">IF(AND($D185="Serviço",AC$12&lt;&gt;0,$H185&gt;0,OR(AUTOEVENTO&lt;&gt;"manual",$M185&lt;&gt;1)),
IF(Import.TipoArredondamento&lt;&gt;"TransfereGOV",
ROUND(OFFSET($P185,0,AC$13),15-13*ORÇAMENTO!$AF$7)/$H185*OFFSET(ORÇAMENTO!$X$15,ROW(AC185)-ROW(AC$15),0),
ROUND(ROUND(OFFSET($P185,0,AC$13),15-13*ORÇAMENTO!$AF$7)*OFFSET(ORÇAMENTO!$W$15,ROW(AC185)-ROW(AC$15),0),15-13*ORÇAMENTO!$AF$11)),0)</f>
        <v>0</v>
      </c>
      <c r="AD185" s="631">
        <f ca="1">IF(AND($D185="Serviço",AD$12&lt;&gt;0,$H185&gt;0,OR(AUTOEVENTO&lt;&gt;"manual",$M185&lt;&gt;1)),
IF(Import.TipoArredondamento&lt;&gt;"TransfereGOV",
ROUND(OFFSET($P185,0,AD$13),15-13*ORÇAMENTO!$AF$7)/$H185*OFFSET(ORÇAMENTO!$X$15,ROW(AD185)-ROW(AD$15),0),
ROUND(ROUND(OFFSET($P185,0,AD$13),15-13*ORÇAMENTO!$AF$7)*OFFSET(ORÇAMENTO!$W$15,ROW(AD185)-ROW(AD$15),0),15-13*ORÇAMENTO!$AF$11)),0)</f>
        <v>0</v>
      </c>
      <c r="AE185" s="631">
        <f ca="1">IF(AND($D185="Serviço",AE$12&lt;&gt;0,$H185&gt;0,OR(AUTOEVENTO&lt;&gt;"manual",$M185&lt;&gt;1)),
IF(Import.TipoArredondamento&lt;&gt;"TransfereGOV",
ROUND(OFFSET($P185,0,AE$13),15-13*ORÇAMENTO!$AF$7)/$H185*OFFSET(ORÇAMENTO!$X$15,ROW(AE185)-ROW(AE$15),0),
ROUND(ROUND(OFFSET($P185,0,AE$13),15-13*ORÇAMENTO!$AF$7)*OFFSET(ORÇAMENTO!$W$15,ROW(AE185)-ROW(AE$15),0),15-13*ORÇAMENTO!$AF$11)),0)</f>
        <v>0</v>
      </c>
      <c r="AF185" s="631">
        <f ca="1">IF(AND($D185="Serviço",AF$12&lt;&gt;0,$H185&gt;0,OR(AUTOEVENTO&lt;&gt;"manual",$M185&lt;&gt;1)),
IF(Import.TipoArredondamento&lt;&gt;"TransfereGOV",
ROUND(OFFSET($P185,0,AF$13),15-13*ORÇAMENTO!$AF$7)/$H185*OFFSET(ORÇAMENTO!$X$15,ROW(AF185)-ROW(AF$15),0),
ROUND(ROUND(OFFSET($P185,0,AF$13),15-13*ORÇAMENTO!$AF$7)*OFFSET(ORÇAMENTO!$W$15,ROW(AF185)-ROW(AF$15),0),15-13*ORÇAMENTO!$AF$11)),0)</f>
        <v>0</v>
      </c>
      <c r="AG185" s="631">
        <f ca="1">IF(AND($D185="Serviço",AG$12&lt;&gt;0,$H185&gt;0,OR(AUTOEVENTO&lt;&gt;"manual",$M185&lt;&gt;1)),
IF(Import.TipoArredondamento&lt;&gt;"TransfereGOV",
ROUND(OFFSET($P185,0,AG$13),15-13*ORÇAMENTO!$AF$7)/$H185*OFFSET(ORÇAMENTO!$X$15,ROW(AG185)-ROW(AG$15),0),
ROUND(ROUND(OFFSET($P185,0,AG$13),15-13*ORÇAMENTO!$AF$7)*OFFSET(ORÇAMENTO!$W$15,ROW(AG185)-ROW(AG$15),0),15-13*ORÇAMENTO!$AF$11)),0)</f>
        <v>0</v>
      </c>
      <c r="AH185" s="631">
        <f ca="1">IF(AND($D185="Serviço",AH$12&lt;&gt;0,$H185&gt;0,OR(AUTOEVENTO&lt;&gt;"manual",$M185&lt;&gt;1)),
IF(Import.TipoArredondamento&lt;&gt;"TransfereGOV",
ROUND(OFFSET($P185,0,AH$13),15-13*ORÇAMENTO!$AF$7)/$H185*OFFSET(ORÇAMENTO!$X$15,ROW(AH185)-ROW(AH$15),0),
ROUND(ROUND(OFFSET($P185,0,AH$13),15-13*ORÇAMENTO!$AF$7)*OFFSET(ORÇAMENTO!$W$15,ROW(AH185)-ROW(AH$15),0),15-13*ORÇAMENTO!$AF$11)),0)</f>
        <v>0</v>
      </c>
      <c r="AI185" s="631">
        <f ca="1">IF(AND($D185="Serviço",AI$12&lt;&gt;0,$H185&gt;0,OR(AUTOEVENTO&lt;&gt;"manual",$M185&lt;&gt;1)),
IF(Import.TipoArredondamento&lt;&gt;"TransfereGOV",
ROUND(OFFSET($P185,0,AI$13),15-13*ORÇAMENTO!$AF$7)/$H185*OFFSET(ORÇAMENTO!$X$15,ROW(AI185)-ROW(AI$15),0),
ROUND(ROUND(OFFSET($P185,0,AI$13),15-13*ORÇAMENTO!$AF$7)*OFFSET(ORÇAMENTO!$W$15,ROW(AI185)-ROW(AI$15),0),15-13*ORÇAMENTO!$AF$11)),0)</f>
        <v>0</v>
      </c>
      <c r="AJ185" s="631">
        <f ca="1">IF(AND($D185="Serviço",AJ$12&lt;&gt;0,$H185&gt;0,OR(AUTOEVENTO&lt;&gt;"manual",$M185&lt;&gt;1)),
IF(Import.TipoArredondamento&lt;&gt;"TransfereGOV",
ROUND(OFFSET($P185,0,AJ$13),15-13*ORÇAMENTO!$AF$7)/$H185*OFFSET(ORÇAMENTO!$X$15,ROW(AJ185)-ROW(AJ$15),0),
ROUND(ROUND(OFFSET($P185,0,AJ$13),15-13*ORÇAMENTO!$AF$7)*OFFSET(ORÇAMENTO!$W$15,ROW(AJ185)-ROW(AJ$15),0),15-13*ORÇAMENTO!$AF$11)),0)</f>
        <v>0</v>
      </c>
      <c r="AK185" s="632">
        <f ca="1">IF(AND($D185="Serviço",AK$12&lt;&gt;0,$H185&gt;0,OR(AUTOEVENTO&lt;&gt;"manual",$M185&lt;&gt;1)),
IF(Import.TipoArredondamento&lt;&gt;"TransfereGOV",
ROUND(OFFSET($P185,0,AK$13),15-13*ORÇAMENTO!$AF$7)/$H185*OFFSET(ORÇAMENTO!$X$15,ROW(AK185)-ROW(AK$15),0),
ROUND(ROUND(OFFSET($P185,0,AK$13),15-13*ORÇAMENTO!$AF$7)*OFFSET(ORÇAMENTO!$W$15,ROW(AK185)-ROW(AK$15),0),15-13*ORÇAMENTO!$AF$11)),0)</f>
        <v>0</v>
      </c>
      <c r="AM185" s="215">
        <f ca="1">IF($D185&lt;&gt;"Serviço",0,IF(AND(AUTOEVENTO="Manual",$M185=1),0,IF(OFFSET(CRONOPLE!$F$14,$M185,AM$13)="",10^12,OFFSET(CRONOPLE!$F$14,$M185,AM$13))))</f>
        <v>1000000000000</v>
      </c>
      <c r="AN185" s="215">
        <f ca="1">IF($D185&lt;&gt;"Serviço",0,IF(AND(AUTOEVENTO="Manual",$M185=1),0,IF(OFFSET(CRONOPLE!$F$14,$M185,AN$13)="",10^12,OFFSET(CRONOPLE!$F$14,$M185,AN$13))))</f>
        <v>1000000000000</v>
      </c>
      <c r="AO185" s="215">
        <f ca="1">IF($D185&lt;&gt;"Serviço",0,IF(AND(AUTOEVENTO="Manual",$M185=1),0,IF(OFFSET(CRONOPLE!$F$14,$M185,AO$13)="",10^12,OFFSET(CRONOPLE!$F$14,$M185,AO$13))))</f>
        <v>1000000000000</v>
      </c>
      <c r="AP185" s="215">
        <f ca="1">IF($D185&lt;&gt;"Serviço",0,IF(AND(AUTOEVENTO="Manual",$M185=1),0,IF(OFFSET(CRONOPLE!$F$14,$M185,AP$13)="",10^12,OFFSET(CRONOPLE!$F$14,$M185,AP$13))))</f>
        <v>1000000000000</v>
      </c>
      <c r="AQ185" s="215">
        <f ca="1">IF($D185&lt;&gt;"Serviço",0,IF(AND(AUTOEVENTO="Manual",$M185=1),0,IF(OFFSET(CRONOPLE!$F$14,$M185,AQ$13)="",10^12,OFFSET(CRONOPLE!$F$14,$M185,AQ$13))))</f>
        <v>1000000000000</v>
      </c>
      <c r="AR185" s="215">
        <f ca="1">IF($D185&lt;&gt;"Serviço",0,IF(AND(AUTOEVENTO="Manual",$M185=1),0,IF(OFFSET(CRONOPLE!$F$14,$M185,AR$13)="",10^12,OFFSET(CRONOPLE!$F$14,$M185,AR$13))))</f>
        <v>1000000000000</v>
      </c>
      <c r="AS185" s="215">
        <f ca="1">IF($D185&lt;&gt;"Serviço",0,IF(AND(AUTOEVENTO="Manual",$M185=1),0,IF(OFFSET(CRONOPLE!$F$14,$M185,AS$13)="",10^12,OFFSET(CRONOPLE!$F$14,$M185,AS$13))))</f>
        <v>1000000000000</v>
      </c>
      <c r="AT185" s="215">
        <f ca="1">IF($D185&lt;&gt;"Serviço",0,IF(AND(AUTOEVENTO="Manual",$M185=1),0,IF(OFFSET(CRONOPLE!$F$14,$M185,AT$13)="",10^12,OFFSET(CRONOPLE!$F$14,$M185,AT$13))))</f>
        <v>1000000000000</v>
      </c>
      <c r="AU185" s="215">
        <f ca="1">IF($D185&lt;&gt;"Serviço",0,IF(AND(AUTOEVENTO="Manual",$M185=1),0,IF(OFFSET(CRONOPLE!$F$14,$M185,AU$13)="",10^12,OFFSET(CRONOPLE!$F$14,$M185,AU$13))))</f>
        <v>1000000000000</v>
      </c>
      <c r="AV185" s="215">
        <f ca="1">IF($D185&lt;&gt;"Serviço",0,IF(AND(AUTOEVENTO="Manual",$M185=1),0,IF(OFFSET(CRONOPLE!$F$14,$M185,AV$13)="",10^12,OFFSET(CRONOPLE!$F$14,$M185,AV$13))))</f>
        <v>1000000000000</v>
      </c>
      <c r="AX185" s="216">
        <f ca="1">IF($D185&lt;&gt;"Serviço",0,IF(OR(AND(AUTOEVENTO="Manual",$M185=1),$M185&gt;(ROW(PLE.lastrow)-ROW(PLE.firstrow))),0,IF(OFFSET(PLE!$G$14,$M185,AX$13)="",10^12,OFFSET(PLE!$G$14,$M185,AX$13))))</f>
        <v>1000000000000</v>
      </c>
      <c r="AY185" s="216">
        <f ca="1">IF($D185&lt;&gt;"Serviço",0,IF(OR(AND(AUTOEVENTO="Manual",$M185=1),$M185&gt;(ROW(PLE.lastrow)-ROW(PLE.firstrow))),0,IF(OFFSET(PLE!$G$14,$M185,AY$13)="",10^12,OFFSET(PLE!$G$14,$M185,AY$13))))</f>
        <v>1000000000000</v>
      </c>
      <c r="AZ185" s="216">
        <f ca="1">IF($D185&lt;&gt;"Serviço",0,IF(OR(AND(AUTOEVENTO="Manual",$M185=1),$M185&gt;(ROW(PLE.lastrow)-ROW(PLE.firstrow))),0,IF(OFFSET(PLE!$G$14,$M185,AZ$13)="",10^12,OFFSET(PLE!$G$14,$M185,AZ$13))))</f>
        <v>1000000000000</v>
      </c>
      <c r="BA185" s="216">
        <f ca="1">IF($D185&lt;&gt;"Serviço",0,IF(OR(AND(AUTOEVENTO="Manual",$M185=1),$M185&gt;(ROW(PLE.lastrow)-ROW(PLE.firstrow))),0,IF(OFFSET(PLE!$G$14,$M185,BA$13)="",10^12,OFFSET(PLE!$G$14,$M185,BA$13))))</f>
        <v>1000000000000</v>
      </c>
      <c r="BB185" s="216">
        <f ca="1">IF($D185&lt;&gt;"Serviço",0,IF(OR(AND(AUTOEVENTO="Manual",$M185=1),$M185&gt;(ROW(PLE.lastrow)-ROW(PLE.firstrow))),0,IF(OFFSET(PLE!$G$14,$M185,BB$13)="",10^12,OFFSET(PLE!$G$14,$M185,BB$13))))</f>
        <v>1000000000000</v>
      </c>
      <c r="BC185" s="216">
        <f ca="1">IF($D185&lt;&gt;"Serviço",0,IF(OR(AND(AUTOEVENTO="Manual",$M185=1),$M185&gt;(ROW(PLE.lastrow)-ROW(PLE.firstrow))),0,IF(OFFSET(PLE!$G$14,$M185,BC$13)="",10^12,OFFSET(PLE!$G$14,$M185,BC$13))))</f>
        <v>1000000000000</v>
      </c>
      <c r="BD185" s="216">
        <f ca="1">IF($D185&lt;&gt;"Serviço",0,IF(OR(AND(AUTOEVENTO="Manual",$M185=1),$M185&gt;(ROW(PLE.lastrow)-ROW(PLE.firstrow))),0,IF(OFFSET(PLE!$G$14,$M185,BD$13)="",10^12,OFFSET(PLE!$G$14,$M185,BD$13))))</f>
        <v>1000000000000</v>
      </c>
      <c r="BE185" s="216">
        <f ca="1">IF($D185&lt;&gt;"Serviço",0,IF(OR(AND(AUTOEVENTO="Manual",$M185=1),$M185&gt;(ROW(PLE.lastrow)-ROW(PLE.firstrow))),0,IF(OFFSET(PLE!$G$14,$M185,BE$13)="",10^12,OFFSET(PLE!$G$14,$M185,BE$13))))</f>
        <v>1000000000000</v>
      </c>
      <c r="BF185" s="216">
        <f ca="1">IF($D185&lt;&gt;"Serviço",0,IF(OR(AND(AUTOEVENTO="Manual",$M185=1),$M185&gt;(ROW(PLE.lastrow)-ROW(PLE.firstrow))),0,IF(OFFSET(PLE!$G$14,$M185,BF$13)="",10^12,OFFSET(PLE!$G$14,$M185,BF$13))))</f>
        <v>1000000000000</v>
      </c>
      <c r="BG185" s="216">
        <f ca="1">IF($D185&lt;&gt;"Serviço",0,IF(OR(AND(AUTOEVENTO="Manual",$M185=1),$M185&gt;(ROW(PLE.lastrow)-ROW(PLE.firstrow))),0,IF(OFFSET(PLE!$G$14,$M185,BG$13)="",10^12,OFFSET(PLE!$G$14,$M185,BG$13))))</f>
        <v>1000000000000</v>
      </c>
    </row>
    <row r="186" spans="1:59" ht="25.5" x14ac:dyDescent="0.2">
      <c r="A186" s="9" t="str">
        <f t="shared" ca="1" si="11"/>
        <v>169</v>
      </c>
      <c r="B186" s="9" t="str">
        <f ca="1">OFFSET(ORÇAMENTO!C$15,ROW(B186)-ROW(B$15),0)</f>
        <v>S</v>
      </c>
      <c r="C186" s="9" t="str">
        <f ca="1">OFFSET(ORÇAMENTO!L$15,ROW(C186)-ROW(C$15),0)</f>
        <v/>
      </c>
      <c r="D186" s="145" t="str">
        <f ca="1">OFFSET(ORÇAMENTO!N$15,ROW(D186)-ROW(D$15),0)</f>
        <v>Serviço</v>
      </c>
      <c r="E186" s="205" t="str">
        <f ca="1">OFFSET(ORÇAMENTO!O$15,ROW(E186)-ROW(E$15),0)</f>
        <v>-</v>
      </c>
      <c r="F186" s="206" t="str">
        <f ca="1">OFFSET(ORÇAMENTO!R$15,ROW(F186)-ROW(F$15),0)</f>
        <v>LASTRO COM MATERIAL GRANULAR, APLICADO EM PISOS OU LAJES SOBRE SOLO, ESPESSURA DE *5 CM*. AF_01/2024</v>
      </c>
      <c r="G186" s="207" t="str">
        <f ca="1">IF($D186&lt;&gt;"Serviço","",OFFSET(ORÇAMENTO!S$15,ROW(G186)-ROW(G$15),0))</f>
        <v>M3</v>
      </c>
      <c r="H186" s="151">
        <f ca="1">IF($D186&lt;&gt;"Serviço",0,IF(ACOMPANHAMENTO="BM",ROUND(OFFSET(ORÇAMENTO!AJ$15,ROW(H186)-ROW(H$15),0),15-13*ORÇAMENTO!$AF$7),SUMPRODUCT(($Q$12:$AA$12&lt;&gt;"")*ROUND($Q186:$AA186,15-13*ORÇAMENTO!$AF$7))))</f>
        <v>5.61</v>
      </c>
      <c r="I186" s="649"/>
      <c r="K186" s="208"/>
      <c r="L186" s="209" t="s">
        <v>255</v>
      </c>
      <c r="M186" s="210">
        <f ca="1">IF($D186&lt;&gt;"Serviço","",IF(AUTOEVENTO="manual",$A186,IF(ISERROR(MATCH($A186,$A$15:OFFSET($A186,-1,0),0)),MAX($M$15:OFFSET(M186,-1,0))+1,INDEX($M$15:OFFSET(M186,-1,0),MATCH($A186,$A$15:OFFSET($A186,-1,0),0)))))</f>
        <v>25</v>
      </c>
      <c r="N186" s="211" t="str">
        <f ca="1">IF($D186&lt;&gt;"Serviço","",IF(AUTOEVENTO="Manual",IF($A186=0,"&lt;-- defina o número do agrupador",OFFSET(EVENTOS!$D$14,$A186,0)),OFFSET($F$15,$A186,0)))</f>
        <v xml:space="preserve">CALÇADA EXTERNA </v>
      </c>
      <c r="O186" s="212"/>
      <c r="Q186" s="212"/>
      <c r="R186" s="213"/>
      <c r="S186" s="213"/>
      <c r="T186" s="213"/>
      <c r="U186" s="213"/>
      <c r="V186" s="213"/>
      <c r="W186" s="213"/>
      <c r="X186" s="213"/>
      <c r="Y186" s="213"/>
      <c r="Z186" s="214"/>
      <c r="AB186" s="630">
        <f ca="1">IF(AND($D186="Serviço",AB$12&lt;&gt;0,$H186&gt;0,OR(AUTOEVENTO&lt;&gt;"manual",$M186&lt;&gt;1)),
IF(Import.TipoArredondamento&lt;&gt;"TransfereGOV",
ROUND(OFFSET($P186,0,AB$13),15-13*ORÇAMENTO!$AF$7)/$H186*OFFSET(ORÇAMENTO!$X$15,ROW(AB186)-ROW(AB$15),0),
ROUND(ROUND(OFFSET($P186,0,AB$13),15-13*ORÇAMENTO!$AF$7)*OFFSET(ORÇAMENTO!$W$15,ROW(AB186)-ROW(AB$15),0),15-13*ORÇAMENTO!$AF$11)),0)</f>
        <v>0</v>
      </c>
      <c r="AC186" s="631">
        <f ca="1">IF(AND($D186="Serviço",AC$12&lt;&gt;0,$H186&gt;0,OR(AUTOEVENTO&lt;&gt;"manual",$M186&lt;&gt;1)),
IF(Import.TipoArredondamento&lt;&gt;"TransfereGOV",
ROUND(OFFSET($P186,0,AC$13),15-13*ORÇAMENTO!$AF$7)/$H186*OFFSET(ORÇAMENTO!$X$15,ROW(AC186)-ROW(AC$15),0),
ROUND(ROUND(OFFSET($P186,0,AC$13),15-13*ORÇAMENTO!$AF$7)*OFFSET(ORÇAMENTO!$W$15,ROW(AC186)-ROW(AC$15),0),15-13*ORÇAMENTO!$AF$11)),0)</f>
        <v>0</v>
      </c>
      <c r="AD186" s="631">
        <f ca="1">IF(AND($D186="Serviço",AD$12&lt;&gt;0,$H186&gt;0,OR(AUTOEVENTO&lt;&gt;"manual",$M186&lt;&gt;1)),
IF(Import.TipoArredondamento&lt;&gt;"TransfereGOV",
ROUND(OFFSET($P186,0,AD$13),15-13*ORÇAMENTO!$AF$7)/$H186*OFFSET(ORÇAMENTO!$X$15,ROW(AD186)-ROW(AD$15),0),
ROUND(ROUND(OFFSET($P186,0,AD$13),15-13*ORÇAMENTO!$AF$7)*OFFSET(ORÇAMENTO!$W$15,ROW(AD186)-ROW(AD$15),0),15-13*ORÇAMENTO!$AF$11)),0)</f>
        <v>0</v>
      </c>
      <c r="AE186" s="631">
        <f ca="1">IF(AND($D186="Serviço",AE$12&lt;&gt;0,$H186&gt;0,OR(AUTOEVENTO&lt;&gt;"manual",$M186&lt;&gt;1)),
IF(Import.TipoArredondamento&lt;&gt;"TransfereGOV",
ROUND(OFFSET($P186,0,AE$13),15-13*ORÇAMENTO!$AF$7)/$H186*OFFSET(ORÇAMENTO!$X$15,ROW(AE186)-ROW(AE$15),0),
ROUND(ROUND(OFFSET($P186,0,AE$13),15-13*ORÇAMENTO!$AF$7)*OFFSET(ORÇAMENTO!$W$15,ROW(AE186)-ROW(AE$15),0),15-13*ORÇAMENTO!$AF$11)),0)</f>
        <v>0</v>
      </c>
      <c r="AF186" s="631">
        <f ca="1">IF(AND($D186="Serviço",AF$12&lt;&gt;0,$H186&gt;0,OR(AUTOEVENTO&lt;&gt;"manual",$M186&lt;&gt;1)),
IF(Import.TipoArredondamento&lt;&gt;"TransfereGOV",
ROUND(OFFSET($P186,0,AF$13),15-13*ORÇAMENTO!$AF$7)/$H186*OFFSET(ORÇAMENTO!$X$15,ROW(AF186)-ROW(AF$15),0),
ROUND(ROUND(OFFSET($P186,0,AF$13),15-13*ORÇAMENTO!$AF$7)*OFFSET(ORÇAMENTO!$W$15,ROW(AF186)-ROW(AF$15),0),15-13*ORÇAMENTO!$AF$11)),0)</f>
        <v>0</v>
      </c>
      <c r="AG186" s="631">
        <f ca="1">IF(AND($D186="Serviço",AG$12&lt;&gt;0,$H186&gt;0,OR(AUTOEVENTO&lt;&gt;"manual",$M186&lt;&gt;1)),
IF(Import.TipoArredondamento&lt;&gt;"TransfereGOV",
ROUND(OFFSET($P186,0,AG$13),15-13*ORÇAMENTO!$AF$7)/$H186*OFFSET(ORÇAMENTO!$X$15,ROW(AG186)-ROW(AG$15),0),
ROUND(ROUND(OFFSET($P186,0,AG$13),15-13*ORÇAMENTO!$AF$7)*OFFSET(ORÇAMENTO!$W$15,ROW(AG186)-ROW(AG$15),0),15-13*ORÇAMENTO!$AF$11)),0)</f>
        <v>0</v>
      </c>
      <c r="AH186" s="631">
        <f ca="1">IF(AND($D186="Serviço",AH$12&lt;&gt;0,$H186&gt;0,OR(AUTOEVENTO&lt;&gt;"manual",$M186&lt;&gt;1)),
IF(Import.TipoArredondamento&lt;&gt;"TransfereGOV",
ROUND(OFFSET($P186,0,AH$13),15-13*ORÇAMENTO!$AF$7)/$H186*OFFSET(ORÇAMENTO!$X$15,ROW(AH186)-ROW(AH$15),0),
ROUND(ROUND(OFFSET($P186,0,AH$13),15-13*ORÇAMENTO!$AF$7)*OFFSET(ORÇAMENTO!$W$15,ROW(AH186)-ROW(AH$15),0),15-13*ORÇAMENTO!$AF$11)),0)</f>
        <v>0</v>
      </c>
      <c r="AI186" s="631">
        <f ca="1">IF(AND($D186="Serviço",AI$12&lt;&gt;0,$H186&gt;0,OR(AUTOEVENTO&lt;&gt;"manual",$M186&lt;&gt;1)),
IF(Import.TipoArredondamento&lt;&gt;"TransfereGOV",
ROUND(OFFSET($P186,0,AI$13),15-13*ORÇAMENTO!$AF$7)/$H186*OFFSET(ORÇAMENTO!$X$15,ROW(AI186)-ROW(AI$15),0),
ROUND(ROUND(OFFSET($P186,0,AI$13),15-13*ORÇAMENTO!$AF$7)*OFFSET(ORÇAMENTO!$W$15,ROW(AI186)-ROW(AI$15),0),15-13*ORÇAMENTO!$AF$11)),0)</f>
        <v>0</v>
      </c>
      <c r="AJ186" s="631">
        <f ca="1">IF(AND($D186="Serviço",AJ$12&lt;&gt;0,$H186&gt;0,OR(AUTOEVENTO&lt;&gt;"manual",$M186&lt;&gt;1)),
IF(Import.TipoArredondamento&lt;&gt;"TransfereGOV",
ROUND(OFFSET($P186,0,AJ$13),15-13*ORÇAMENTO!$AF$7)/$H186*OFFSET(ORÇAMENTO!$X$15,ROW(AJ186)-ROW(AJ$15),0),
ROUND(ROUND(OFFSET($P186,0,AJ$13),15-13*ORÇAMENTO!$AF$7)*OFFSET(ORÇAMENTO!$W$15,ROW(AJ186)-ROW(AJ$15),0),15-13*ORÇAMENTO!$AF$11)),0)</f>
        <v>0</v>
      </c>
      <c r="AK186" s="632">
        <f ca="1">IF(AND($D186="Serviço",AK$12&lt;&gt;0,$H186&gt;0,OR(AUTOEVENTO&lt;&gt;"manual",$M186&lt;&gt;1)),
IF(Import.TipoArredondamento&lt;&gt;"TransfereGOV",
ROUND(OFFSET($P186,0,AK$13),15-13*ORÇAMENTO!$AF$7)/$H186*OFFSET(ORÇAMENTO!$X$15,ROW(AK186)-ROW(AK$15),0),
ROUND(ROUND(OFFSET($P186,0,AK$13),15-13*ORÇAMENTO!$AF$7)*OFFSET(ORÇAMENTO!$W$15,ROW(AK186)-ROW(AK$15),0),15-13*ORÇAMENTO!$AF$11)),0)</f>
        <v>0</v>
      </c>
      <c r="AM186" s="215">
        <f ca="1">IF($D186&lt;&gt;"Serviço",0,IF(AND(AUTOEVENTO="Manual",$M186=1),0,IF(OFFSET(CRONOPLE!$F$14,$M186,AM$13)="",10^12,OFFSET(CRONOPLE!$F$14,$M186,AM$13))))</f>
        <v>1000000000000</v>
      </c>
      <c r="AN186" s="215">
        <f ca="1">IF($D186&lt;&gt;"Serviço",0,IF(AND(AUTOEVENTO="Manual",$M186=1),0,IF(OFFSET(CRONOPLE!$F$14,$M186,AN$13)="",10^12,OFFSET(CRONOPLE!$F$14,$M186,AN$13))))</f>
        <v>1000000000000</v>
      </c>
      <c r="AO186" s="215">
        <f ca="1">IF($D186&lt;&gt;"Serviço",0,IF(AND(AUTOEVENTO="Manual",$M186=1),0,IF(OFFSET(CRONOPLE!$F$14,$M186,AO$13)="",10^12,OFFSET(CRONOPLE!$F$14,$M186,AO$13))))</f>
        <v>1000000000000</v>
      </c>
      <c r="AP186" s="215">
        <f ca="1">IF($D186&lt;&gt;"Serviço",0,IF(AND(AUTOEVENTO="Manual",$M186=1),0,IF(OFFSET(CRONOPLE!$F$14,$M186,AP$13)="",10^12,OFFSET(CRONOPLE!$F$14,$M186,AP$13))))</f>
        <v>1000000000000</v>
      </c>
      <c r="AQ186" s="215">
        <f ca="1">IF($D186&lt;&gt;"Serviço",0,IF(AND(AUTOEVENTO="Manual",$M186=1),0,IF(OFFSET(CRONOPLE!$F$14,$M186,AQ$13)="",10^12,OFFSET(CRONOPLE!$F$14,$M186,AQ$13))))</f>
        <v>1000000000000</v>
      </c>
      <c r="AR186" s="215">
        <f ca="1">IF($D186&lt;&gt;"Serviço",0,IF(AND(AUTOEVENTO="Manual",$M186=1),0,IF(OFFSET(CRONOPLE!$F$14,$M186,AR$13)="",10^12,OFFSET(CRONOPLE!$F$14,$M186,AR$13))))</f>
        <v>1000000000000</v>
      </c>
      <c r="AS186" s="215">
        <f ca="1">IF($D186&lt;&gt;"Serviço",0,IF(AND(AUTOEVENTO="Manual",$M186=1),0,IF(OFFSET(CRONOPLE!$F$14,$M186,AS$13)="",10^12,OFFSET(CRONOPLE!$F$14,$M186,AS$13))))</f>
        <v>1000000000000</v>
      </c>
      <c r="AT186" s="215">
        <f ca="1">IF($D186&lt;&gt;"Serviço",0,IF(AND(AUTOEVENTO="Manual",$M186=1),0,IF(OFFSET(CRONOPLE!$F$14,$M186,AT$13)="",10^12,OFFSET(CRONOPLE!$F$14,$M186,AT$13))))</f>
        <v>1000000000000</v>
      </c>
      <c r="AU186" s="215">
        <f ca="1">IF($D186&lt;&gt;"Serviço",0,IF(AND(AUTOEVENTO="Manual",$M186=1),0,IF(OFFSET(CRONOPLE!$F$14,$M186,AU$13)="",10^12,OFFSET(CRONOPLE!$F$14,$M186,AU$13))))</f>
        <v>1000000000000</v>
      </c>
      <c r="AV186" s="215">
        <f ca="1">IF($D186&lt;&gt;"Serviço",0,IF(AND(AUTOEVENTO="Manual",$M186=1),0,IF(OFFSET(CRONOPLE!$F$14,$M186,AV$13)="",10^12,OFFSET(CRONOPLE!$F$14,$M186,AV$13))))</f>
        <v>1000000000000</v>
      </c>
      <c r="AX186" s="216">
        <f ca="1">IF($D186&lt;&gt;"Serviço",0,IF(OR(AND(AUTOEVENTO="Manual",$M186=1),$M186&gt;(ROW(PLE.lastrow)-ROW(PLE.firstrow))),0,IF(OFFSET(PLE!$G$14,$M186,AX$13)="",10^12,OFFSET(PLE!$G$14,$M186,AX$13))))</f>
        <v>1000000000000</v>
      </c>
      <c r="AY186" s="216">
        <f ca="1">IF($D186&lt;&gt;"Serviço",0,IF(OR(AND(AUTOEVENTO="Manual",$M186=1),$M186&gt;(ROW(PLE.lastrow)-ROW(PLE.firstrow))),0,IF(OFFSET(PLE!$G$14,$M186,AY$13)="",10^12,OFFSET(PLE!$G$14,$M186,AY$13))))</f>
        <v>1000000000000</v>
      </c>
      <c r="AZ186" s="216">
        <f ca="1">IF($D186&lt;&gt;"Serviço",0,IF(OR(AND(AUTOEVENTO="Manual",$M186=1),$M186&gt;(ROW(PLE.lastrow)-ROW(PLE.firstrow))),0,IF(OFFSET(PLE!$G$14,$M186,AZ$13)="",10^12,OFFSET(PLE!$G$14,$M186,AZ$13))))</f>
        <v>1000000000000</v>
      </c>
      <c r="BA186" s="216">
        <f ca="1">IF($D186&lt;&gt;"Serviço",0,IF(OR(AND(AUTOEVENTO="Manual",$M186=1),$M186&gt;(ROW(PLE.lastrow)-ROW(PLE.firstrow))),0,IF(OFFSET(PLE!$G$14,$M186,BA$13)="",10^12,OFFSET(PLE!$G$14,$M186,BA$13))))</f>
        <v>1000000000000</v>
      </c>
      <c r="BB186" s="216">
        <f ca="1">IF($D186&lt;&gt;"Serviço",0,IF(OR(AND(AUTOEVENTO="Manual",$M186=1),$M186&gt;(ROW(PLE.lastrow)-ROW(PLE.firstrow))),0,IF(OFFSET(PLE!$G$14,$M186,BB$13)="",10^12,OFFSET(PLE!$G$14,$M186,BB$13))))</f>
        <v>1000000000000</v>
      </c>
      <c r="BC186" s="216">
        <f ca="1">IF($D186&lt;&gt;"Serviço",0,IF(OR(AND(AUTOEVENTO="Manual",$M186=1),$M186&gt;(ROW(PLE.lastrow)-ROW(PLE.firstrow))),0,IF(OFFSET(PLE!$G$14,$M186,BC$13)="",10^12,OFFSET(PLE!$G$14,$M186,BC$13))))</f>
        <v>1000000000000</v>
      </c>
      <c r="BD186" s="216">
        <f ca="1">IF($D186&lt;&gt;"Serviço",0,IF(OR(AND(AUTOEVENTO="Manual",$M186=1),$M186&gt;(ROW(PLE.lastrow)-ROW(PLE.firstrow))),0,IF(OFFSET(PLE!$G$14,$M186,BD$13)="",10^12,OFFSET(PLE!$G$14,$M186,BD$13))))</f>
        <v>1000000000000</v>
      </c>
      <c r="BE186" s="216">
        <f ca="1">IF($D186&lt;&gt;"Serviço",0,IF(OR(AND(AUTOEVENTO="Manual",$M186=1),$M186&gt;(ROW(PLE.lastrow)-ROW(PLE.firstrow))),0,IF(OFFSET(PLE!$G$14,$M186,BE$13)="",10^12,OFFSET(PLE!$G$14,$M186,BE$13))))</f>
        <v>1000000000000</v>
      </c>
      <c r="BF186" s="216">
        <f ca="1">IF($D186&lt;&gt;"Serviço",0,IF(OR(AND(AUTOEVENTO="Manual",$M186=1),$M186&gt;(ROW(PLE.lastrow)-ROW(PLE.firstrow))),0,IF(OFFSET(PLE!$G$14,$M186,BF$13)="",10^12,OFFSET(PLE!$G$14,$M186,BF$13))))</f>
        <v>1000000000000</v>
      </c>
      <c r="BG186" s="216">
        <f ca="1">IF($D186&lt;&gt;"Serviço",0,IF(OR(AND(AUTOEVENTO="Manual",$M186=1),$M186&gt;(ROW(PLE.lastrow)-ROW(PLE.firstrow))),0,IF(OFFSET(PLE!$G$14,$M186,BG$13)="",10^12,OFFSET(PLE!$G$14,$M186,BG$13))))</f>
        <v>1000000000000</v>
      </c>
    </row>
    <row r="187" spans="1:59" ht="38.25" x14ac:dyDescent="0.2">
      <c r="A187" s="9" t="str">
        <f t="shared" ca="1" si="11"/>
        <v>169</v>
      </c>
      <c r="B187" s="9" t="str">
        <f ca="1">OFFSET(ORÇAMENTO!C$15,ROW(B187)-ROW(B$15),0)</f>
        <v>S</v>
      </c>
      <c r="C187" s="9" t="str">
        <f ca="1">OFFSET(ORÇAMENTO!L$15,ROW(C187)-ROW(C$15),0)</f>
        <v/>
      </c>
      <c r="D187" s="145" t="str">
        <f ca="1">OFFSET(ORÇAMENTO!N$15,ROW(D187)-ROW(D$15),0)</f>
        <v>Serviço</v>
      </c>
      <c r="E187" s="205" t="str">
        <f ca="1">OFFSET(ORÇAMENTO!O$15,ROW(E187)-ROW(E$15),0)</f>
        <v>-</v>
      </c>
      <c r="F187" s="206" t="str">
        <f ca="1">OFFSET(ORÇAMENTO!R$15,ROW(F187)-ROW(F$15),0)</f>
        <v>EXECUÇÃO DE PASSEIO (CALÇADA) OU PISO DE CONCRETO COM CONCRETO MOLDADO IN LOCO, USINADO, ACABAMENTO CONVENCIONAL, ESPESSURA 6 CM, ARMADO. AF_08/2022</v>
      </c>
      <c r="G187" s="207" t="str">
        <f ca="1">IF($D187&lt;&gt;"Serviço","",OFFSET(ORÇAMENTO!S$15,ROW(G187)-ROW(G$15),0))</f>
        <v>M2</v>
      </c>
      <c r="H187" s="151">
        <f ca="1">IF($D187&lt;&gt;"Serviço",0,IF(ACOMPANHAMENTO="BM",ROUND(OFFSET(ORÇAMENTO!AJ$15,ROW(H187)-ROW(H$15),0),15-13*ORÇAMENTO!$AF$7),SUMPRODUCT(($Q$12:$AA$12&lt;&gt;"")*ROUND($Q187:$AA187,15-13*ORÇAMENTO!$AF$7))))</f>
        <v>112.2</v>
      </c>
      <c r="I187" s="649"/>
      <c r="K187" s="208"/>
      <c r="L187" s="209" t="s">
        <v>255</v>
      </c>
      <c r="M187" s="210">
        <f ca="1">IF($D187&lt;&gt;"Serviço","",IF(AUTOEVENTO="manual",$A187,IF(ISERROR(MATCH($A187,$A$15:OFFSET($A187,-1,0),0)),MAX($M$15:OFFSET(M187,-1,0))+1,INDEX($M$15:OFFSET(M187,-1,0),MATCH($A187,$A$15:OFFSET($A187,-1,0),0)))))</f>
        <v>25</v>
      </c>
      <c r="N187" s="211" t="str">
        <f ca="1">IF($D187&lt;&gt;"Serviço","",IF(AUTOEVENTO="Manual",IF($A187=0,"&lt;-- defina o número do agrupador",OFFSET(EVENTOS!$D$14,$A187,0)),OFFSET($F$15,$A187,0)))</f>
        <v xml:space="preserve">CALÇADA EXTERNA </v>
      </c>
      <c r="O187" s="212"/>
      <c r="Q187" s="212"/>
      <c r="R187" s="213"/>
      <c r="S187" s="213"/>
      <c r="T187" s="213"/>
      <c r="U187" s="213"/>
      <c r="V187" s="213"/>
      <c r="W187" s="213"/>
      <c r="X187" s="213"/>
      <c r="Y187" s="213"/>
      <c r="Z187" s="214"/>
      <c r="AB187" s="630">
        <f ca="1">IF(AND($D187="Serviço",AB$12&lt;&gt;0,$H187&gt;0,OR(AUTOEVENTO&lt;&gt;"manual",$M187&lt;&gt;1)),
IF(Import.TipoArredondamento&lt;&gt;"TransfereGOV",
ROUND(OFFSET($P187,0,AB$13),15-13*ORÇAMENTO!$AF$7)/$H187*OFFSET(ORÇAMENTO!$X$15,ROW(AB187)-ROW(AB$15),0),
ROUND(ROUND(OFFSET($P187,0,AB$13),15-13*ORÇAMENTO!$AF$7)*OFFSET(ORÇAMENTO!$W$15,ROW(AB187)-ROW(AB$15),0),15-13*ORÇAMENTO!$AF$11)),0)</f>
        <v>0</v>
      </c>
      <c r="AC187" s="631">
        <f ca="1">IF(AND($D187="Serviço",AC$12&lt;&gt;0,$H187&gt;0,OR(AUTOEVENTO&lt;&gt;"manual",$M187&lt;&gt;1)),
IF(Import.TipoArredondamento&lt;&gt;"TransfereGOV",
ROUND(OFFSET($P187,0,AC$13),15-13*ORÇAMENTO!$AF$7)/$H187*OFFSET(ORÇAMENTO!$X$15,ROW(AC187)-ROW(AC$15),0),
ROUND(ROUND(OFFSET($P187,0,AC$13),15-13*ORÇAMENTO!$AF$7)*OFFSET(ORÇAMENTO!$W$15,ROW(AC187)-ROW(AC$15),0),15-13*ORÇAMENTO!$AF$11)),0)</f>
        <v>0</v>
      </c>
      <c r="AD187" s="631">
        <f ca="1">IF(AND($D187="Serviço",AD$12&lt;&gt;0,$H187&gt;0,OR(AUTOEVENTO&lt;&gt;"manual",$M187&lt;&gt;1)),
IF(Import.TipoArredondamento&lt;&gt;"TransfereGOV",
ROUND(OFFSET($P187,0,AD$13),15-13*ORÇAMENTO!$AF$7)/$H187*OFFSET(ORÇAMENTO!$X$15,ROW(AD187)-ROW(AD$15),0),
ROUND(ROUND(OFFSET($P187,0,AD$13),15-13*ORÇAMENTO!$AF$7)*OFFSET(ORÇAMENTO!$W$15,ROW(AD187)-ROW(AD$15),0),15-13*ORÇAMENTO!$AF$11)),0)</f>
        <v>0</v>
      </c>
      <c r="AE187" s="631">
        <f ca="1">IF(AND($D187="Serviço",AE$12&lt;&gt;0,$H187&gt;0,OR(AUTOEVENTO&lt;&gt;"manual",$M187&lt;&gt;1)),
IF(Import.TipoArredondamento&lt;&gt;"TransfereGOV",
ROUND(OFFSET($P187,0,AE$13),15-13*ORÇAMENTO!$AF$7)/$H187*OFFSET(ORÇAMENTO!$X$15,ROW(AE187)-ROW(AE$15),0),
ROUND(ROUND(OFFSET($P187,0,AE$13),15-13*ORÇAMENTO!$AF$7)*OFFSET(ORÇAMENTO!$W$15,ROW(AE187)-ROW(AE$15),0),15-13*ORÇAMENTO!$AF$11)),0)</f>
        <v>0</v>
      </c>
      <c r="AF187" s="631">
        <f ca="1">IF(AND($D187="Serviço",AF$12&lt;&gt;0,$H187&gt;0,OR(AUTOEVENTO&lt;&gt;"manual",$M187&lt;&gt;1)),
IF(Import.TipoArredondamento&lt;&gt;"TransfereGOV",
ROUND(OFFSET($P187,0,AF$13),15-13*ORÇAMENTO!$AF$7)/$H187*OFFSET(ORÇAMENTO!$X$15,ROW(AF187)-ROW(AF$15),0),
ROUND(ROUND(OFFSET($P187,0,AF$13),15-13*ORÇAMENTO!$AF$7)*OFFSET(ORÇAMENTO!$W$15,ROW(AF187)-ROW(AF$15),0),15-13*ORÇAMENTO!$AF$11)),0)</f>
        <v>0</v>
      </c>
      <c r="AG187" s="631">
        <f ca="1">IF(AND($D187="Serviço",AG$12&lt;&gt;0,$H187&gt;0,OR(AUTOEVENTO&lt;&gt;"manual",$M187&lt;&gt;1)),
IF(Import.TipoArredondamento&lt;&gt;"TransfereGOV",
ROUND(OFFSET($P187,0,AG$13),15-13*ORÇAMENTO!$AF$7)/$H187*OFFSET(ORÇAMENTO!$X$15,ROW(AG187)-ROW(AG$15),0),
ROUND(ROUND(OFFSET($P187,0,AG$13),15-13*ORÇAMENTO!$AF$7)*OFFSET(ORÇAMENTO!$W$15,ROW(AG187)-ROW(AG$15),0),15-13*ORÇAMENTO!$AF$11)),0)</f>
        <v>0</v>
      </c>
      <c r="AH187" s="631">
        <f ca="1">IF(AND($D187="Serviço",AH$12&lt;&gt;0,$H187&gt;0,OR(AUTOEVENTO&lt;&gt;"manual",$M187&lt;&gt;1)),
IF(Import.TipoArredondamento&lt;&gt;"TransfereGOV",
ROUND(OFFSET($P187,0,AH$13),15-13*ORÇAMENTO!$AF$7)/$H187*OFFSET(ORÇAMENTO!$X$15,ROW(AH187)-ROW(AH$15),0),
ROUND(ROUND(OFFSET($P187,0,AH$13),15-13*ORÇAMENTO!$AF$7)*OFFSET(ORÇAMENTO!$W$15,ROW(AH187)-ROW(AH$15),0),15-13*ORÇAMENTO!$AF$11)),0)</f>
        <v>0</v>
      </c>
      <c r="AI187" s="631">
        <f ca="1">IF(AND($D187="Serviço",AI$12&lt;&gt;0,$H187&gt;0,OR(AUTOEVENTO&lt;&gt;"manual",$M187&lt;&gt;1)),
IF(Import.TipoArredondamento&lt;&gt;"TransfereGOV",
ROUND(OFFSET($P187,0,AI$13),15-13*ORÇAMENTO!$AF$7)/$H187*OFFSET(ORÇAMENTO!$X$15,ROW(AI187)-ROW(AI$15),0),
ROUND(ROUND(OFFSET($P187,0,AI$13),15-13*ORÇAMENTO!$AF$7)*OFFSET(ORÇAMENTO!$W$15,ROW(AI187)-ROW(AI$15),0),15-13*ORÇAMENTO!$AF$11)),0)</f>
        <v>0</v>
      </c>
      <c r="AJ187" s="631">
        <f ca="1">IF(AND($D187="Serviço",AJ$12&lt;&gt;0,$H187&gt;0,OR(AUTOEVENTO&lt;&gt;"manual",$M187&lt;&gt;1)),
IF(Import.TipoArredondamento&lt;&gt;"TransfereGOV",
ROUND(OFFSET($P187,0,AJ$13),15-13*ORÇAMENTO!$AF$7)/$H187*OFFSET(ORÇAMENTO!$X$15,ROW(AJ187)-ROW(AJ$15),0),
ROUND(ROUND(OFFSET($P187,0,AJ$13),15-13*ORÇAMENTO!$AF$7)*OFFSET(ORÇAMENTO!$W$15,ROW(AJ187)-ROW(AJ$15),0),15-13*ORÇAMENTO!$AF$11)),0)</f>
        <v>0</v>
      </c>
      <c r="AK187" s="632">
        <f ca="1">IF(AND($D187="Serviço",AK$12&lt;&gt;0,$H187&gt;0,OR(AUTOEVENTO&lt;&gt;"manual",$M187&lt;&gt;1)),
IF(Import.TipoArredondamento&lt;&gt;"TransfereGOV",
ROUND(OFFSET($P187,0,AK$13),15-13*ORÇAMENTO!$AF$7)/$H187*OFFSET(ORÇAMENTO!$X$15,ROW(AK187)-ROW(AK$15),0),
ROUND(ROUND(OFFSET($P187,0,AK$13),15-13*ORÇAMENTO!$AF$7)*OFFSET(ORÇAMENTO!$W$15,ROW(AK187)-ROW(AK$15),0),15-13*ORÇAMENTO!$AF$11)),0)</f>
        <v>0</v>
      </c>
      <c r="AM187" s="215">
        <f ca="1">IF($D187&lt;&gt;"Serviço",0,IF(AND(AUTOEVENTO="Manual",$M187=1),0,IF(OFFSET(CRONOPLE!$F$14,$M187,AM$13)="",10^12,OFFSET(CRONOPLE!$F$14,$M187,AM$13))))</f>
        <v>1000000000000</v>
      </c>
      <c r="AN187" s="215">
        <f ca="1">IF($D187&lt;&gt;"Serviço",0,IF(AND(AUTOEVENTO="Manual",$M187=1),0,IF(OFFSET(CRONOPLE!$F$14,$M187,AN$13)="",10^12,OFFSET(CRONOPLE!$F$14,$M187,AN$13))))</f>
        <v>1000000000000</v>
      </c>
      <c r="AO187" s="215">
        <f ca="1">IF($D187&lt;&gt;"Serviço",0,IF(AND(AUTOEVENTO="Manual",$M187=1),0,IF(OFFSET(CRONOPLE!$F$14,$M187,AO$13)="",10^12,OFFSET(CRONOPLE!$F$14,$M187,AO$13))))</f>
        <v>1000000000000</v>
      </c>
      <c r="AP187" s="215">
        <f ca="1">IF($D187&lt;&gt;"Serviço",0,IF(AND(AUTOEVENTO="Manual",$M187=1),0,IF(OFFSET(CRONOPLE!$F$14,$M187,AP$13)="",10^12,OFFSET(CRONOPLE!$F$14,$M187,AP$13))))</f>
        <v>1000000000000</v>
      </c>
      <c r="AQ187" s="215">
        <f ca="1">IF($D187&lt;&gt;"Serviço",0,IF(AND(AUTOEVENTO="Manual",$M187=1),0,IF(OFFSET(CRONOPLE!$F$14,$M187,AQ$13)="",10^12,OFFSET(CRONOPLE!$F$14,$M187,AQ$13))))</f>
        <v>1000000000000</v>
      </c>
      <c r="AR187" s="215">
        <f ca="1">IF($D187&lt;&gt;"Serviço",0,IF(AND(AUTOEVENTO="Manual",$M187=1),0,IF(OFFSET(CRONOPLE!$F$14,$M187,AR$13)="",10^12,OFFSET(CRONOPLE!$F$14,$M187,AR$13))))</f>
        <v>1000000000000</v>
      </c>
      <c r="AS187" s="215">
        <f ca="1">IF($D187&lt;&gt;"Serviço",0,IF(AND(AUTOEVENTO="Manual",$M187=1),0,IF(OFFSET(CRONOPLE!$F$14,$M187,AS$13)="",10^12,OFFSET(CRONOPLE!$F$14,$M187,AS$13))))</f>
        <v>1000000000000</v>
      </c>
      <c r="AT187" s="215">
        <f ca="1">IF($D187&lt;&gt;"Serviço",0,IF(AND(AUTOEVENTO="Manual",$M187=1),0,IF(OFFSET(CRONOPLE!$F$14,$M187,AT$13)="",10^12,OFFSET(CRONOPLE!$F$14,$M187,AT$13))))</f>
        <v>1000000000000</v>
      </c>
      <c r="AU187" s="215">
        <f ca="1">IF($D187&lt;&gt;"Serviço",0,IF(AND(AUTOEVENTO="Manual",$M187=1),0,IF(OFFSET(CRONOPLE!$F$14,$M187,AU$13)="",10^12,OFFSET(CRONOPLE!$F$14,$M187,AU$13))))</f>
        <v>1000000000000</v>
      </c>
      <c r="AV187" s="215">
        <f ca="1">IF($D187&lt;&gt;"Serviço",0,IF(AND(AUTOEVENTO="Manual",$M187=1),0,IF(OFFSET(CRONOPLE!$F$14,$M187,AV$13)="",10^12,OFFSET(CRONOPLE!$F$14,$M187,AV$13))))</f>
        <v>1000000000000</v>
      </c>
      <c r="AX187" s="216">
        <f ca="1">IF($D187&lt;&gt;"Serviço",0,IF(OR(AND(AUTOEVENTO="Manual",$M187=1),$M187&gt;(ROW(PLE.lastrow)-ROW(PLE.firstrow))),0,IF(OFFSET(PLE!$G$14,$M187,AX$13)="",10^12,OFFSET(PLE!$G$14,$M187,AX$13))))</f>
        <v>1000000000000</v>
      </c>
      <c r="AY187" s="216">
        <f ca="1">IF($D187&lt;&gt;"Serviço",0,IF(OR(AND(AUTOEVENTO="Manual",$M187=1),$M187&gt;(ROW(PLE.lastrow)-ROW(PLE.firstrow))),0,IF(OFFSET(PLE!$G$14,$M187,AY$13)="",10^12,OFFSET(PLE!$G$14,$M187,AY$13))))</f>
        <v>1000000000000</v>
      </c>
      <c r="AZ187" s="216">
        <f ca="1">IF($D187&lt;&gt;"Serviço",0,IF(OR(AND(AUTOEVENTO="Manual",$M187=1),$M187&gt;(ROW(PLE.lastrow)-ROW(PLE.firstrow))),0,IF(OFFSET(PLE!$G$14,$M187,AZ$13)="",10^12,OFFSET(PLE!$G$14,$M187,AZ$13))))</f>
        <v>1000000000000</v>
      </c>
      <c r="BA187" s="216">
        <f ca="1">IF($D187&lt;&gt;"Serviço",0,IF(OR(AND(AUTOEVENTO="Manual",$M187=1),$M187&gt;(ROW(PLE.lastrow)-ROW(PLE.firstrow))),0,IF(OFFSET(PLE!$G$14,$M187,BA$13)="",10^12,OFFSET(PLE!$G$14,$M187,BA$13))))</f>
        <v>1000000000000</v>
      </c>
      <c r="BB187" s="216">
        <f ca="1">IF($D187&lt;&gt;"Serviço",0,IF(OR(AND(AUTOEVENTO="Manual",$M187=1),$M187&gt;(ROW(PLE.lastrow)-ROW(PLE.firstrow))),0,IF(OFFSET(PLE!$G$14,$M187,BB$13)="",10^12,OFFSET(PLE!$G$14,$M187,BB$13))))</f>
        <v>1000000000000</v>
      </c>
      <c r="BC187" s="216">
        <f ca="1">IF($D187&lt;&gt;"Serviço",0,IF(OR(AND(AUTOEVENTO="Manual",$M187=1),$M187&gt;(ROW(PLE.lastrow)-ROW(PLE.firstrow))),0,IF(OFFSET(PLE!$G$14,$M187,BC$13)="",10^12,OFFSET(PLE!$G$14,$M187,BC$13))))</f>
        <v>1000000000000</v>
      </c>
      <c r="BD187" s="216">
        <f ca="1">IF($D187&lt;&gt;"Serviço",0,IF(OR(AND(AUTOEVENTO="Manual",$M187=1),$M187&gt;(ROW(PLE.lastrow)-ROW(PLE.firstrow))),0,IF(OFFSET(PLE!$G$14,$M187,BD$13)="",10^12,OFFSET(PLE!$G$14,$M187,BD$13))))</f>
        <v>1000000000000</v>
      </c>
      <c r="BE187" s="216">
        <f ca="1">IF($D187&lt;&gt;"Serviço",0,IF(OR(AND(AUTOEVENTO="Manual",$M187=1),$M187&gt;(ROW(PLE.lastrow)-ROW(PLE.firstrow))),0,IF(OFFSET(PLE!$G$14,$M187,BE$13)="",10^12,OFFSET(PLE!$G$14,$M187,BE$13))))</f>
        <v>1000000000000</v>
      </c>
      <c r="BF187" s="216">
        <f ca="1">IF($D187&lt;&gt;"Serviço",0,IF(OR(AND(AUTOEVENTO="Manual",$M187=1),$M187&gt;(ROW(PLE.lastrow)-ROW(PLE.firstrow))),0,IF(OFFSET(PLE!$G$14,$M187,BF$13)="",10^12,OFFSET(PLE!$G$14,$M187,BF$13))))</f>
        <v>1000000000000</v>
      </c>
      <c r="BG187" s="216">
        <f ca="1">IF($D187&lt;&gt;"Serviço",0,IF(OR(AND(AUTOEVENTO="Manual",$M187=1),$M187&gt;(ROW(PLE.lastrow)-ROW(PLE.firstrow))),0,IF(OFFSET(PLE!$G$14,$M187,BG$13)="",10^12,OFFSET(PLE!$G$14,$M187,BG$13))))</f>
        <v>1000000000000</v>
      </c>
    </row>
    <row r="188" spans="1:59" ht="12.75" x14ac:dyDescent="0.2">
      <c r="A188" s="9" t="str">
        <f t="shared" ca="1" si="11"/>
        <v>173.</v>
      </c>
      <c r="B188" s="9">
        <f ca="1">OFFSET(ORÇAMENTO!C$15,ROW(B188)-ROW(B$15),0)</f>
        <v>2</v>
      </c>
      <c r="C188" s="9" t="str">
        <f ca="1">OFFSET(ORÇAMENTO!L$15,ROW(C188)-ROW(C$15),0)</f>
        <v>F</v>
      </c>
      <c r="D188" s="145" t="str">
        <f ca="1">OFFSET(ORÇAMENTO!N$15,ROW(D188)-ROW(D$15),0)</f>
        <v>Nível 2</v>
      </c>
      <c r="E188" s="205" t="str">
        <f ca="1">OFFSET(ORÇAMENTO!O$15,ROW(E188)-ROW(E$15),0)</f>
        <v>1.25.</v>
      </c>
      <c r="F188" s="206" t="str">
        <f ca="1">OFFSET(ORÇAMENTO!R$15,ROW(F188)-ROW(F$15),0)</f>
        <v>COMPLEMENTARES</v>
      </c>
      <c r="G188" s="207" t="str">
        <f ca="1">IF($D188&lt;&gt;"Serviço","",OFFSET(ORÇAMENTO!S$15,ROW(G188)-ROW(G$15),0))</f>
        <v/>
      </c>
      <c r="H188" s="151">
        <f ca="1">IF($D188&lt;&gt;"Serviço",0,IF(ACOMPANHAMENTO="BM",ROUND(OFFSET(ORÇAMENTO!AJ$15,ROW(H188)-ROW(H$15),0),15-13*ORÇAMENTO!$AF$7),SUMPRODUCT(($Q$12:$AA$12&lt;&gt;"")*ROUND($Q188:$AA188,15-13*ORÇAMENTO!$AF$7))))</f>
        <v>0</v>
      </c>
      <c r="I188" s="649"/>
      <c r="K188" s="208"/>
      <c r="L188" s="209" t="s">
        <v>255</v>
      </c>
      <c r="M188" s="210" t="str">
        <f ca="1">IF($D188&lt;&gt;"Serviço","",IF(AUTOEVENTO="manual",$A188,IF(ISERROR(MATCH($A188,$A$15:OFFSET($A188,-1,0),0)),MAX($M$15:OFFSET(M188,-1,0))+1,INDEX($M$15:OFFSET(M188,-1,0),MATCH($A188,$A$15:OFFSET($A188,-1,0),0)))))</f>
        <v/>
      </c>
      <c r="N188" s="211" t="str">
        <f ca="1">IF($D188&lt;&gt;"Serviço","",IF(AUTOEVENTO="Manual",IF($A188=0,"&lt;-- defina o número do agrupador",OFFSET(EVENTOS!$D$14,$A188,0)),OFFSET($F$15,$A188,0)))</f>
        <v/>
      </c>
      <c r="O188" s="212"/>
      <c r="Q188" s="212"/>
      <c r="R188" s="213"/>
      <c r="S188" s="213"/>
      <c r="T188" s="213"/>
      <c r="U188" s="213"/>
      <c r="V188" s="213"/>
      <c r="W188" s="213"/>
      <c r="X188" s="213"/>
      <c r="Y188" s="213"/>
      <c r="Z188" s="214"/>
      <c r="AB188" s="630">
        <f ca="1">IF(AND($D188="Serviço",AB$12&lt;&gt;0,$H188&gt;0,OR(AUTOEVENTO&lt;&gt;"manual",$M188&lt;&gt;1)),
IF(Import.TipoArredondamento&lt;&gt;"TransfereGOV",
ROUND(OFFSET($P188,0,AB$13),15-13*ORÇAMENTO!$AF$7)/$H188*OFFSET(ORÇAMENTO!$X$15,ROW(AB188)-ROW(AB$15),0),
ROUND(ROUND(OFFSET($P188,0,AB$13),15-13*ORÇAMENTO!$AF$7)*OFFSET(ORÇAMENTO!$W$15,ROW(AB188)-ROW(AB$15),0),15-13*ORÇAMENTO!$AF$11)),0)</f>
        <v>0</v>
      </c>
      <c r="AC188" s="631">
        <f ca="1">IF(AND($D188="Serviço",AC$12&lt;&gt;0,$H188&gt;0,OR(AUTOEVENTO&lt;&gt;"manual",$M188&lt;&gt;1)),
IF(Import.TipoArredondamento&lt;&gt;"TransfereGOV",
ROUND(OFFSET($P188,0,AC$13),15-13*ORÇAMENTO!$AF$7)/$H188*OFFSET(ORÇAMENTO!$X$15,ROW(AC188)-ROW(AC$15),0),
ROUND(ROUND(OFFSET($P188,0,AC$13),15-13*ORÇAMENTO!$AF$7)*OFFSET(ORÇAMENTO!$W$15,ROW(AC188)-ROW(AC$15),0),15-13*ORÇAMENTO!$AF$11)),0)</f>
        <v>0</v>
      </c>
      <c r="AD188" s="631">
        <f ca="1">IF(AND($D188="Serviço",AD$12&lt;&gt;0,$H188&gt;0,OR(AUTOEVENTO&lt;&gt;"manual",$M188&lt;&gt;1)),
IF(Import.TipoArredondamento&lt;&gt;"TransfereGOV",
ROUND(OFFSET($P188,0,AD$13),15-13*ORÇAMENTO!$AF$7)/$H188*OFFSET(ORÇAMENTO!$X$15,ROW(AD188)-ROW(AD$15),0),
ROUND(ROUND(OFFSET($P188,0,AD$13),15-13*ORÇAMENTO!$AF$7)*OFFSET(ORÇAMENTO!$W$15,ROW(AD188)-ROW(AD$15),0),15-13*ORÇAMENTO!$AF$11)),0)</f>
        <v>0</v>
      </c>
      <c r="AE188" s="631">
        <f ca="1">IF(AND($D188="Serviço",AE$12&lt;&gt;0,$H188&gt;0,OR(AUTOEVENTO&lt;&gt;"manual",$M188&lt;&gt;1)),
IF(Import.TipoArredondamento&lt;&gt;"TransfereGOV",
ROUND(OFFSET($P188,0,AE$13),15-13*ORÇAMENTO!$AF$7)/$H188*OFFSET(ORÇAMENTO!$X$15,ROW(AE188)-ROW(AE$15),0),
ROUND(ROUND(OFFSET($P188,0,AE$13),15-13*ORÇAMENTO!$AF$7)*OFFSET(ORÇAMENTO!$W$15,ROW(AE188)-ROW(AE$15),0),15-13*ORÇAMENTO!$AF$11)),0)</f>
        <v>0</v>
      </c>
      <c r="AF188" s="631">
        <f ca="1">IF(AND($D188="Serviço",AF$12&lt;&gt;0,$H188&gt;0,OR(AUTOEVENTO&lt;&gt;"manual",$M188&lt;&gt;1)),
IF(Import.TipoArredondamento&lt;&gt;"TransfereGOV",
ROUND(OFFSET($P188,0,AF$13),15-13*ORÇAMENTO!$AF$7)/$H188*OFFSET(ORÇAMENTO!$X$15,ROW(AF188)-ROW(AF$15),0),
ROUND(ROUND(OFFSET($P188,0,AF$13),15-13*ORÇAMENTO!$AF$7)*OFFSET(ORÇAMENTO!$W$15,ROW(AF188)-ROW(AF$15),0),15-13*ORÇAMENTO!$AF$11)),0)</f>
        <v>0</v>
      </c>
      <c r="AG188" s="631">
        <f ca="1">IF(AND($D188="Serviço",AG$12&lt;&gt;0,$H188&gt;0,OR(AUTOEVENTO&lt;&gt;"manual",$M188&lt;&gt;1)),
IF(Import.TipoArredondamento&lt;&gt;"TransfereGOV",
ROUND(OFFSET($P188,0,AG$13),15-13*ORÇAMENTO!$AF$7)/$H188*OFFSET(ORÇAMENTO!$X$15,ROW(AG188)-ROW(AG$15),0),
ROUND(ROUND(OFFSET($P188,0,AG$13),15-13*ORÇAMENTO!$AF$7)*OFFSET(ORÇAMENTO!$W$15,ROW(AG188)-ROW(AG$15),0),15-13*ORÇAMENTO!$AF$11)),0)</f>
        <v>0</v>
      </c>
      <c r="AH188" s="631">
        <f ca="1">IF(AND($D188="Serviço",AH$12&lt;&gt;0,$H188&gt;0,OR(AUTOEVENTO&lt;&gt;"manual",$M188&lt;&gt;1)),
IF(Import.TipoArredondamento&lt;&gt;"TransfereGOV",
ROUND(OFFSET($P188,0,AH$13),15-13*ORÇAMENTO!$AF$7)/$H188*OFFSET(ORÇAMENTO!$X$15,ROW(AH188)-ROW(AH$15),0),
ROUND(ROUND(OFFSET($P188,0,AH$13),15-13*ORÇAMENTO!$AF$7)*OFFSET(ORÇAMENTO!$W$15,ROW(AH188)-ROW(AH$15),0),15-13*ORÇAMENTO!$AF$11)),0)</f>
        <v>0</v>
      </c>
      <c r="AI188" s="631">
        <f ca="1">IF(AND($D188="Serviço",AI$12&lt;&gt;0,$H188&gt;0,OR(AUTOEVENTO&lt;&gt;"manual",$M188&lt;&gt;1)),
IF(Import.TipoArredondamento&lt;&gt;"TransfereGOV",
ROUND(OFFSET($P188,0,AI$13),15-13*ORÇAMENTO!$AF$7)/$H188*OFFSET(ORÇAMENTO!$X$15,ROW(AI188)-ROW(AI$15),0),
ROUND(ROUND(OFFSET($P188,0,AI$13),15-13*ORÇAMENTO!$AF$7)*OFFSET(ORÇAMENTO!$W$15,ROW(AI188)-ROW(AI$15),0),15-13*ORÇAMENTO!$AF$11)),0)</f>
        <v>0</v>
      </c>
      <c r="AJ188" s="631">
        <f ca="1">IF(AND($D188="Serviço",AJ$12&lt;&gt;0,$H188&gt;0,OR(AUTOEVENTO&lt;&gt;"manual",$M188&lt;&gt;1)),
IF(Import.TipoArredondamento&lt;&gt;"TransfereGOV",
ROUND(OFFSET($P188,0,AJ$13),15-13*ORÇAMENTO!$AF$7)/$H188*OFFSET(ORÇAMENTO!$X$15,ROW(AJ188)-ROW(AJ$15),0),
ROUND(ROUND(OFFSET($P188,0,AJ$13),15-13*ORÇAMENTO!$AF$7)*OFFSET(ORÇAMENTO!$W$15,ROW(AJ188)-ROW(AJ$15),0),15-13*ORÇAMENTO!$AF$11)),0)</f>
        <v>0</v>
      </c>
      <c r="AK188" s="632">
        <f ca="1">IF(AND($D188="Serviço",AK$12&lt;&gt;0,$H188&gt;0,OR(AUTOEVENTO&lt;&gt;"manual",$M188&lt;&gt;1)),
IF(Import.TipoArredondamento&lt;&gt;"TransfereGOV",
ROUND(OFFSET($P188,0,AK$13),15-13*ORÇAMENTO!$AF$7)/$H188*OFFSET(ORÇAMENTO!$X$15,ROW(AK188)-ROW(AK$15),0),
ROUND(ROUND(OFFSET($P188,0,AK$13),15-13*ORÇAMENTO!$AF$7)*OFFSET(ORÇAMENTO!$W$15,ROW(AK188)-ROW(AK$15),0),15-13*ORÇAMENTO!$AF$11)),0)</f>
        <v>0</v>
      </c>
      <c r="AM188" s="215">
        <f ca="1">IF($D188&lt;&gt;"Serviço",0,IF(AND(AUTOEVENTO="Manual",$M188=1),0,IF(OFFSET(CRONOPLE!$F$14,$M188,AM$13)="",10^12,OFFSET(CRONOPLE!$F$14,$M188,AM$13))))</f>
        <v>0</v>
      </c>
      <c r="AN188" s="215">
        <f ca="1">IF($D188&lt;&gt;"Serviço",0,IF(AND(AUTOEVENTO="Manual",$M188=1),0,IF(OFFSET(CRONOPLE!$F$14,$M188,AN$13)="",10^12,OFFSET(CRONOPLE!$F$14,$M188,AN$13))))</f>
        <v>0</v>
      </c>
      <c r="AO188" s="215">
        <f ca="1">IF($D188&lt;&gt;"Serviço",0,IF(AND(AUTOEVENTO="Manual",$M188=1),0,IF(OFFSET(CRONOPLE!$F$14,$M188,AO$13)="",10^12,OFFSET(CRONOPLE!$F$14,$M188,AO$13))))</f>
        <v>0</v>
      </c>
      <c r="AP188" s="215">
        <f ca="1">IF($D188&lt;&gt;"Serviço",0,IF(AND(AUTOEVENTO="Manual",$M188=1),0,IF(OFFSET(CRONOPLE!$F$14,$M188,AP$13)="",10^12,OFFSET(CRONOPLE!$F$14,$M188,AP$13))))</f>
        <v>0</v>
      </c>
      <c r="AQ188" s="215">
        <f ca="1">IF($D188&lt;&gt;"Serviço",0,IF(AND(AUTOEVENTO="Manual",$M188=1),0,IF(OFFSET(CRONOPLE!$F$14,$M188,AQ$13)="",10^12,OFFSET(CRONOPLE!$F$14,$M188,AQ$13))))</f>
        <v>0</v>
      </c>
      <c r="AR188" s="215">
        <f ca="1">IF($D188&lt;&gt;"Serviço",0,IF(AND(AUTOEVENTO="Manual",$M188=1),0,IF(OFFSET(CRONOPLE!$F$14,$M188,AR$13)="",10^12,OFFSET(CRONOPLE!$F$14,$M188,AR$13))))</f>
        <v>0</v>
      </c>
      <c r="AS188" s="215">
        <f ca="1">IF($D188&lt;&gt;"Serviço",0,IF(AND(AUTOEVENTO="Manual",$M188=1),0,IF(OFFSET(CRONOPLE!$F$14,$M188,AS$13)="",10^12,OFFSET(CRONOPLE!$F$14,$M188,AS$13))))</f>
        <v>0</v>
      </c>
      <c r="AT188" s="215">
        <f ca="1">IF($D188&lt;&gt;"Serviço",0,IF(AND(AUTOEVENTO="Manual",$M188=1),0,IF(OFFSET(CRONOPLE!$F$14,$M188,AT$13)="",10^12,OFFSET(CRONOPLE!$F$14,$M188,AT$13))))</f>
        <v>0</v>
      </c>
      <c r="AU188" s="215">
        <f ca="1">IF($D188&lt;&gt;"Serviço",0,IF(AND(AUTOEVENTO="Manual",$M188=1),0,IF(OFFSET(CRONOPLE!$F$14,$M188,AU$13)="",10^12,OFFSET(CRONOPLE!$F$14,$M188,AU$13))))</f>
        <v>0</v>
      </c>
      <c r="AV188" s="215">
        <f ca="1">IF($D188&lt;&gt;"Serviço",0,IF(AND(AUTOEVENTO="Manual",$M188=1),0,IF(OFFSET(CRONOPLE!$F$14,$M188,AV$13)="",10^12,OFFSET(CRONOPLE!$F$14,$M188,AV$13))))</f>
        <v>0</v>
      </c>
      <c r="AX188" s="216">
        <f ca="1">IF($D188&lt;&gt;"Serviço",0,IF(OR(AND(AUTOEVENTO="Manual",$M188=1),$M188&gt;(ROW(PLE.lastrow)-ROW(PLE.firstrow))),0,IF(OFFSET(PLE!$G$14,$M188,AX$13)="",10^12,OFFSET(PLE!$G$14,$M188,AX$13))))</f>
        <v>0</v>
      </c>
      <c r="AY188" s="216">
        <f ca="1">IF($D188&lt;&gt;"Serviço",0,IF(OR(AND(AUTOEVENTO="Manual",$M188=1),$M188&gt;(ROW(PLE.lastrow)-ROW(PLE.firstrow))),0,IF(OFFSET(PLE!$G$14,$M188,AY$13)="",10^12,OFFSET(PLE!$G$14,$M188,AY$13))))</f>
        <v>0</v>
      </c>
      <c r="AZ188" s="216">
        <f ca="1">IF($D188&lt;&gt;"Serviço",0,IF(OR(AND(AUTOEVENTO="Manual",$M188=1),$M188&gt;(ROW(PLE.lastrow)-ROW(PLE.firstrow))),0,IF(OFFSET(PLE!$G$14,$M188,AZ$13)="",10^12,OFFSET(PLE!$G$14,$M188,AZ$13))))</f>
        <v>0</v>
      </c>
      <c r="BA188" s="216">
        <f ca="1">IF($D188&lt;&gt;"Serviço",0,IF(OR(AND(AUTOEVENTO="Manual",$M188=1),$M188&gt;(ROW(PLE.lastrow)-ROW(PLE.firstrow))),0,IF(OFFSET(PLE!$G$14,$M188,BA$13)="",10^12,OFFSET(PLE!$G$14,$M188,BA$13))))</f>
        <v>0</v>
      </c>
      <c r="BB188" s="216">
        <f ca="1">IF($D188&lt;&gt;"Serviço",0,IF(OR(AND(AUTOEVENTO="Manual",$M188=1),$M188&gt;(ROW(PLE.lastrow)-ROW(PLE.firstrow))),0,IF(OFFSET(PLE!$G$14,$M188,BB$13)="",10^12,OFFSET(PLE!$G$14,$M188,BB$13))))</f>
        <v>0</v>
      </c>
      <c r="BC188" s="216">
        <f ca="1">IF($D188&lt;&gt;"Serviço",0,IF(OR(AND(AUTOEVENTO="Manual",$M188=1),$M188&gt;(ROW(PLE.lastrow)-ROW(PLE.firstrow))),0,IF(OFFSET(PLE!$G$14,$M188,BC$13)="",10^12,OFFSET(PLE!$G$14,$M188,BC$13))))</f>
        <v>0</v>
      </c>
      <c r="BD188" s="216">
        <f ca="1">IF($D188&lt;&gt;"Serviço",0,IF(OR(AND(AUTOEVENTO="Manual",$M188=1),$M188&gt;(ROW(PLE.lastrow)-ROW(PLE.firstrow))),0,IF(OFFSET(PLE!$G$14,$M188,BD$13)="",10^12,OFFSET(PLE!$G$14,$M188,BD$13))))</f>
        <v>0</v>
      </c>
      <c r="BE188" s="216">
        <f ca="1">IF($D188&lt;&gt;"Serviço",0,IF(OR(AND(AUTOEVENTO="Manual",$M188=1),$M188&gt;(ROW(PLE.lastrow)-ROW(PLE.firstrow))),0,IF(OFFSET(PLE!$G$14,$M188,BE$13)="",10^12,OFFSET(PLE!$G$14,$M188,BE$13))))</f>
        <v>0</v>
      </c>
      <c r="BF188" s="216">
        <f ca="1">IF($D188&lt;&gt;"Serviço",0,IF(OR(AND(AUTOEVENTO="Manual",$M188=1),$M188&gt;(ROW(PLE.lastrow)-ROW(PLE.firstrow))),0,IF(OFFSET(PLE!$G$14,$M188,BF$13)="",10^12,OFFSET(PLE!$G$14,$M188,BF$13))))</f>
        <v>0</v>
      </c>
      <c r="BG188" s="216">
        <f ca="1">IF($D188&lt;&gt;"Serviço",0,IF(OR(AND(AUTOEVENTO="Manual",$M188=1),$M188&gt;(ROW(PLE.lastrow)-ROW(PLE.firstrow))),0,IF(OFFSET(PLE!$G$14,$M188,BG$13)="",10^12,OFFSET(PLE!$G$14,$M188,BG$13))))</f>
        <v>0</v>
      </c>
    </row>
    <row r="189" spans="1:59" ht="25.5" x14ac:dyDescent="0.2">
      <c r="A189" s="9" t="str">
        <f t="shared" ca="1" si="11"/>
        <v>173</v>
      </c>
      <c r="B189" s="9" t="str">
        <f ca="1">OFFSET(ORÇAMENTO!C$15,ROW(B189)-ROW(B$15),0)</f>
        <v>S</v>
      </c>
      <c r="C189" s="9" t="str">
        <f ca="1">OFFSET(ORÇAMENTO!L$15,ROW(C189)-ROW(C$15),0)</f>
        <v/>
      </c>
      <c r="D189" s="145" t="str">
        <f ca="1">OFFSET(ORÇAMENTO!N$15,ROW(D189)-ROW(D$15),0)</f>
        <v>Serviço</v>
      </c>
      <c r="E189" s="205" t="str">
        <f ca="1">OFFSET(ORÇAMENTO!O$15,ROW(E189)-ROW(E$15),0)</f>
        <v>-</v>
      </c>
      <c r="F189" s="206" t="str">
        <f ca="1">OFFSET(ORÇAMENTO!R$15,ROW(F189)-ROW(F$15),0)</f>
        <v>LIMPEZA DE PISO CERÂMICO OU PORCELANATO UTILIZANDO DETERGENTE NEUTRO E ESCOVAÇÃO MANUAL. AF_04/2019</v>
      </c>
      <c r="G189" s="207" t="str">
        <f ca="1">IF($D189&lt;&gt;"Serviço","",OFFSET(ORÇAMENTO!S$15,ROW(G189)-ROW(G$15),0))</f>
        <v>M2</v>
      </c>
      <c r="H189" s="151">
        <f ca="1">IF($D189&lt;&gt;"Serviço",0,IF(ACOMPANHAMENTO="BM",ROUND(OFFSET(ORÇAMENTO!AJ$15,ROW(H189)-ROW(H$15),0),15-13*ORÇAMENTO!$AF$7),SUMPRODUCT(($Q$12:$AA$12&lt;&gt;"")*ROUND($Q189:$AA189,15-13*ORÇAMENTO!$AF$7))))</f>
        <v>680</v>
      </c>
      <c r="I189" s="649"/>
      <c r="K189" s="208"/>
      <c r="L189" s="209" t="s">
        <v>255</v>
      </c>
      <c r="M189" s="210">
        <f ca="1">IF($D189&lt;&gt;"Serviço","",IF(AUTOEVENTO="manual",$A189,IF(ISERROR(MATCH($A189,$A$15:OFFSET($A189,-1,0),0)),MAX($M$15:OFFSET(M189,-1,0))+1,INDEX($M$15:OFFSET(M189,-1,0),MATCH($A189,$A$15:OFFSET($A189,-1,0),0)))))</f>
        <v>26</v>
      </c>
      <c r="N189" s="211" t="str">
        <f ca="1">IF($D189&lt;&gt;"Serviço","",IF(AUTOEVENTO="Manual",IF($A189=0,"&lt;-- defina o número do agrupador",OFFSET(EVENTOS!$D$14,$A189,0)),OFFSET($F$15,$A189,0)))</f>
        <v>COMPLEMENTARES</v>
      </c>
      <c r="O189" s="212"/>
      <c r="Q189" s="212"/>
      <c r="R189" s="213"/>
      <c r="S189" s="213"/>
      <c r="T189" s="213"/>
      <c r="U189" s="213"/>
      <c r="V189" s="213"/>
      <c r="W189" s="213"/>
      <c r="X189" s="213"/>
      <c r="Y189" s="213"/>
      <c r="Z189" s="214"/>
      <c r="AB189" s="630">
        <f ca="1">IF(AND($D189="Serviço",AB$12&lt;&gt;0,$H189&gt;0,OR(AUTOEVENTO&lt;&gt;"manual",$M189&lt;&gt;1)),
IF(Import.TipoArredondamento&lt;&gt;"TransfereGOV",
ROUND(OFFSET($P189,0,AB$13),15-13*ORÇAMENTO!$AF$7)/$H189*OFFSET(ORÇAMENTO!$X$15,ROW(AB189)-ROW(AB$15),0),
ROUND(ROUND(OFFSET($P189,0,AB$13),15-13*ORÇAMENTO!$AF$7)*OFFSET(ORÇAMENTO!$W$15,ROW(AB189)-ROW(AB$15),0),15-13*ORÇAMENTO!$AF$11)),0)</f>
        <v>0</v>
      </c>
      <c r="AC189" s="631">
        <f ca="1">IF(AND($D189="Serviço",AC$12&lt;&gt;0,$H189&gt;0,OR(AUTOEVENTO&lt;&gt;"manual",$M189&lt;&gt;1)),
IF(Import.TipoArredondamento&lt;&gt;"TransfereGOV",
ROUND(OFFSET($P189,0,AC$13),15-13*ORÇAMENTO!$AF$7)/$H189*OFFSET(ORÇAMENTO!$X$15,ROW(AC189)-ROW(AC$15),0),
ROUND(ROUND(OFFSET($P189,0,AC$13),15-13*ORÇAMENTO!$AF$7)*OFFSET(ORÇAMENTO!$W$15,ROW(AC189)-ROW(AC$15),0),15-13*ORÇAMENTO!$AF$11)),0)</f>
        <v>0</v>
      </c>
      <c r="AD189" s="631">
        <f ca="1">IF(AND($D189="Serviço",AD$12&lt;&gt;0,$H189&gt;0,OR(AUTOEVENTO&lt;&gt;"manual",$M189&lt;&gt;1)),
IF(Import.TipoArredondamento&lt;&gt;"TransfereGOV",
ROUND(OFFSET($P189,0,AD$13),15-13*ORÇAMENTO!$AF$7)/$H189*OFFSET(ORÇAMENTO!$X$15,ROW(AD189)-ROW(AD$15),0),
ROUND(ROUND(OFFSET($P189,0,AD$13),15-13*ORÇAMENTO!$AF$7)*OFFSET(ORÇAMENTO!$W$15,ROW(AD189)-ROW(AD$15),0),15-13*ORÇAMENTO!$AF$11)),0)</f>
        <v>0</v>
      </c>
      <c r="AE189" s="631">
        <f ca="1">IF(AND($D189="Serviço",AE$12&lt;&gt;0,$H189&gt;0,OR(AUTOEVENTO&lt;&gt;"manual",$M189&lt;&gt;1)),
IF(Import.TipoArredondamento&lt;&gt;"TransfereGOV",
ROUND(OFFSET($P189,0,AE$13),15-13*ORÇAMENTO!$AF$7)/$H189*OFFSET(ORÇAMENTO!$X$15,ROW(AE189)-ROW(AE$15),0),
ROUND(ROUND(OFFSET($P189,0,AE$13),15-13*ORÇAMENTO!$AF$7)*OFFSET(ORÇAMENTO!$W$15,ROW(AE189)-ROW(AE$15),0),15-13*ORÇAMENTO!$AF$11)),0)</f>
        <v>0</v>
      </c>
      <c r="AF189" s="631">
        <f ca="1">IF(AND($D189="Serviço",AF$12&lt;&gt;0,$H189&gt;0,OR(AUTOEVENTO&lt;&gt;"manual",$M189&lt;&gt;1)),
IF(Import.TipoArredondamento&lt;&gt;"TransfereGOV",
ROUND(OFFSET($P189,0,AF$13),15-13*ORÇAMENTO!$AF$7)/$H189*OFFSET(ORÇAMENTO!$X$15,ROW(AF189)-ROW(AF$15),0),
ROUND(ROUND(OFFSET($P189,0,AF$13),15-13*ORÇAMENTO!$AF$7)*OFFSET(ORÇAMENTO!$W$15,ROW(AF189)-ROW(AF$15),0),15-13*ORÇAMENTO!$AF$11)),0)</f>
        <v>0</v>
      </c>
      <c r="AG189" s="631">
        <f ca="1">IF(AND($D189="Serviço",AG$12&lt;&gt;0,$H189&gt;0,OR(AUTOEVENTO&lt;&gt;"manual",$M189&lt;&gt;1)),
IF(Import.TipoArredondamento&lt;&gt;"TransfereGOV",
ROUND(OFFSET($P189,0,AG$13),15-13*ORÇAMENTO!$AF$7)/$H189*OFFSET(ORÇAMENTO!$X$15,ROW(AG189)-ROW(AG$15),0),
ROUND(ROUND(OFFSET($P189,0,AG$13),15-13*ORÇAMENTO!$AF$7)*OFFSET(ORÇAMENTO!$W$15,ROW(AG189)-ROW(AG$15),0),15-13*ORÇAMENTO!$AF$11)),0)</f>
        <v>0</v>
      </c>
      <c r="AH189" s="631">
        <f ca="1">IF(AND($D189="Serviço",AH$12&lt;&gt;0,$H189&gt;0,OR(AUTOEVENTO&lt;&gt;"manual",$M189&lt;&gt;1)),
IF(Import.TipoArredondamento&lt;&gt;"TransfereGOV",
ROUND(OFFSET($P189,0,AH$13),15-13*ORÇAMENTO!$AF$7)/$H189*OFFSET(ORÇAMENTO!$X$15,ROW(AH189)-ROW(AH$15),0),
ROUND(ROUND(OFFSET($P189,0,AH$13),15-13*ORÇAMENTO!$AF$7)*OFFSET(ORÇAMENTO!$W$15,ROW(AH189)-ROW(AH$15),0),15-13*ORÇAMENTO!$AF$11)),0)</f>
        <v>0</v>
      </c>
      <c r="AI189" s="631">
        <f ca="1">IF(AND($D189="Serviço",AI$12&lt;&gt;0,$H189&gt;0,OR(AUTOEVENTO&lt;&gt;"manual",$M189&lt;&gt;1)),
IF(Import.TipoArredondamento&lt;&gt;"TransfereGOV",
ROUND(OFFSET($P189,0,AI$13),15-13*ORÇAMENTO!$AF$7)/$H189*OFFSET(ORÇAMENTO!$X$15,ROW(AI189)-ROW(AI$15),0),
ROUND(ROUND(OFFSET($P189,0,AI$13),15-13*ORÇAMENTO!$AF$7)*OFFSET(ORÇAMENTO!$W$15,ROW(AI189)-ROW(AI$15),0),15-13*ORÇAMENTO!$AF$11)),0)</f>
        <v>0</v>
      </c>
      <c r="AJ189" s="631">
        <f ca="1">IF(AND($D189="Serviço",AJ$12&lt;&gt;0,$H189&gt;0,OR(AUTOEVENTO&lt;&gt;"manual",$M189&lt;&gt;1)),
IF(Import.TipoArredondamento&lt;&gt;"TransfereGOV",
ROUND(OFFSET($P189,0,AJ$13),15-13*ORÇAMENTO!$AF$7)/$H189*OFFSET(ORÇAMENTO!$X$15,ROW(AJ189)-ROW(AJ$15),0),
ROUND(ROUND(OFFSET($P189,0,AJ$13),15-13*ORÇAMENTO!$AF$7)*OFFSET(ORÇAMENTO!$W$15,ROW(AJ189)-ROW(AJ$15),0),15-13*ORÇAMENTO!$AF$11)),0)</f>
        <v>0</v>
      </c>
      <c r="AK189" s="632">
        <f ca="1">IF(AND($D189="Serviço",AK$12&lt;&gt;0,$H189&gt;0,OR(AUTOEVENTO&lt;&gt;"manual",$M189&lt;&gt;1)),
IF(Import.TipoArredondamento&lt;&gt;"TransfereGOV",
ROUND(OFFSET($P189,0,AK$13),15-13*ORÇAMENTO!$AF$7)/$H189*OFFSET(ORÇAMENTO!$X$15,ROW(AK189)-ROW(AK$15),0),
ROUND(ROUND(OFFSET($P189,0,AK$13),15-13*ORÇAMENTO!$AF$7)*OFFSET(ORÇAMENTO!$W$15,ROW(AK189)-ROW(AK$15),0),15-13*ORÇAMENTO!$AF$11)),0)</f>
        <v>0</v>
      </c>
      <c r="AM189" s="215">
        <f ca="1">IF($D189&lt;&gt;"Serviço",0,IF(AND(AUTOEVENTO="Manual",$M189=1),0,IF(OFFSET(CRONOPLE!$F$14,$M189,AM$13)="",10^12,OFFSET(CRONOPLE!$F$14,$M189,AM$13))))</f>
        <v>1000000000000</v>
      </c>
      <c r="AN189" s="215">
        <f ca="1">IF($D189&lt;&gt;"Serviço",0,IF(AND(AUTOEVENTO="Manual",$M189=1),0,IF(OFFSET(CRONOPLE!$F$14,$M189,AN$13)="",10^12,OFFSET(CRONOPLE!$F$14,$M189,AN$13))))</f>
        <v>1000000000000</v>
      </c>
      <c r="AO189" s="215">
        <f ca="1">IF($D189&lt;&gt;"Serviço",0,IF(AND(AUTOEVENTO="Manual",$M189=1),0,IF(OFFSET(CRONOPLE!$F$14,$M189,AO$13)="",10^12,OFFSET(CRONOPLE!$F$14,$M189,AO$13))))</f>
        <v>1000000000000</v>
      </c>
      <c r="AP189" s="215">
        <f ca="1">IF($D189&lt;&gt;"Serviço",0,IF(AND(AUTOEVENTO="Manual",$M189=1),0,IF(OFFSET(CRONOPLE!$F$14,$M189,AP$13)="",10^12,OFFSET(CRONOPLE!$F$14,$M189,AP$13))))</f>
        <v>1000000000000</v>
      </c>
      <c r="AQ189" s="215">
        <f ca="1">IF($D189&lt;&gt;"Serviço",0,IF(AND(AUTOEVENTO="Manual",$M189=1),0,IF(OFFSET(CRONOPLE!$F$14,$M189,AQ$13)="",10^12,OFFSET(CRONOPLE!$F$14,$M189,AQ$13))))</f>
        <v>1000000000000</v>
      </c>
      <c r="AR189" s="215">
        <f ca="1">IF($D189&lt;&gt;"Serviço",0,IF(AND(AUTOEVENTO="Manual",$M189=1),0,IF(OFFSET(CRONOPLE!$F$14,$M189,AR$13)="",10^12,OFFSET(CRONOPLE!$F$14,$M189,AR$13))))</f>
        <v>1000000000000</v>
      </c>
      <c r="AS189" s="215">
        <f ca="1">IF($D189&lt;&gt;"Serviço",0,IF(AND(AUTOEVENTO="Manual",$M189=1),0,IF(OFFSET(CRONOPLE!$F$14,$M189,AS$13)="",10^12,OFFSET(CRONOPLE!$F$14,$M189,AS$13))))</f>
        <v>1000000000000</v>
      </c>
      <c r="AT189" s="215">
        <f ca="1">IF($D189&lt;&gt;"Serviço",0,IF(AND(AUTOEVENTO="Manual",$M189=1),0,IF(OFFSET(CRONOPLE!$F$14,$M189,AT$13)="",10^12,OFFSET(CRONOPLE!$F$14,$M189,AT$13))))</f>
        <v>1000000000000</v>
      </c>
      <c r="AU189" s="215">
        <f ca="1">IF($D189&lt;&gt;"Serviço",0,IF(AND(AUTOEVENTO="Manual",$M189=1),0,IF(OFFSET(CRONOPLE!$F$14,$M189,AU$13)="",10^12,OFFSET(CRONOPLE!$F$14,$M189,AU$13))))</f>
        <v>1000000000000</v>
      </c>
      <c r="AV189" s="215">
        <f ca="1">IF($D189&lt;&gt;"Serviço",0,IF(AND(AUTOEVENTO="Manual",$M189=1),0,IF(OFFSET(CRONOPLE!$F$14,$M189,AV$13)="",10^12,OFFSET(CRONOPLE!$F$14,$M189,AV$13))))</f>
        <v>1000000000000</v>
      </c>
      <c r="AX189" s="216">
        <f ca="1">IF($D189&lt;&gt;"Serviço",0,IF(OR(AND(AUTOEVENTO="Manual",$M189=1),$M189&gt;(ROW(PLE.lastrow)-ROW(PLE.firstrow))),0,IF(OFFSET(PLE!$G$14,$M189,AX$13)="",10^12,OFFSET(PLE!$G$14,$M189,AX$13))))</f>
        <v>1000000000000</v>
      </c>
      <c r="AY189" s="216">
        <f ca="1">IF($D189&lt;&gt;"Serviço",0,IF(OR(AND(AUTOEVENTO="Manual",$M189=1),$M189&gt;(ROW(PLE.lastrow)-ROW(PLE.firstrow))),0,IF(OFFSET(PLE!$G$14,$M189,AY$13)="",10^12,OFFSET(PLE!$G$14,$M189,AY$13))))</f>
        <v>1000000000000</v>
      </c>
      <c r="AZ189" s="216">
        <f ca="1">IF($D189&lt;&gt;"Serviço",0,IF(OR(AND(AUTOEVENTO="Manual",$M189=1),$M189&gt;(ROW(PLE.lastrow)-ROW(PLE.firstrow))),0,IF(OFFSET(PLE!$G$14,$M189,AZ$13)="",10^12,OFFSET(PLE!$G$14,$M189,AZ$13))))</f>
        <v>1000000000000</v>
      </c>
      <c r="BA189" s="216">
        <f ca="1">IF($D189&lt;&gt;"Serviço",0,IF(OR(AND(AUTOEVENTO="Manual",$M189=1),$M189&gt;(ROW(PLE.lastrow)-ROW(PLE.firstrow))),0,IF(OFFSET(PLE!$G$14,$M189,BA$13)="",10^12,OFFSET(PLE!$G$14,$M189,BA$13))))</f>
        <v>1000000000000</v>
      </c>
      <c r="BB189" s="216">
        <f ca="1">IF($D189&lt;&gt;"Serviço",0,IF(OR(AND(AUTOEVENTO="Manual",$M189=1),$M189&gt;(ROW(PLE.lastrow)-ROW(PLE.firstrow))),0,IF(OFFSET(PLE!$G$14,$M189,BB$13)="",10^12,OFFSET(PLE!$G$14,$M189,BB$13))))</f>
        <v>1000000000000</v>
      </c>
      <c r="BC189" s="216">
        <f ca="1">IF($D189&lt;&gt;"Serviço",0,IF(OR(AND(AUTOEVENTO="Manual",$M189=1),$M189&gt;(ROW(PLE.lastrow)-ROW(PLE.firstrow))),0,IF(OFFSET(PLE!$G$14,$M189,BC$13)="",10^12,OFFSET(PLE!$G$14,$M189,BC$13))))</f>
        <v>1000000000000</v>
      </c>
      <c r="BD189" s="216">
        <f ca="1">IF($D189&lt;&gt;"Serviço",0,IF(OR(AND(AUTOEVENTO="Manual",$M189=1),$M189&gt;(ROW(PLE.lastrow)-ROW(PLE.firstrow))),0,IF(OFFSET(PLE!$G$14,$M189,BD$13)="",10^12,OFFSET(PLE!$G$14,$M189,BD$13))))</f>
        <v>1000000000000</v>
      </c>
      <c r="BE189" s="216">
        <f ca="1">IF($D189&lt;&gt;"Serviço",0,IF(OR(AND(AUTOEVENTO="Manual",$M189=1),$M189&gt;(ROW(PLE.lastrow)-ROW(PLE.firstrow))),0,IF(OFFSET(PLE!$G$14,$M189,BE$13)="",10^12,OFFSET(PLE!$G$14,$M189,BE$13))))</f>
        <v>1000000000000</v>
      </c>
      <c r="BF189" s="216">
        <f ca="1">IF($D189&lt;&gt;"Serviço",0,IF(OR(AND(AUTOEVENTO="Manual",$M189=1),$M189&gt;(ROW(PLE.lastrow)-ROW(PLE.firstrow))),0,IF(OFFSET(PLE!$G$14,$M189,BF$13)="",10^12,OFFSET(PLE!$G$14,$M189,BF$13))))</f>
        <v>1000000000000</v>
      </c>
      <c r="BG189" s="216">
        <f ca="1">IF($D189&lt;&gt;"Serviço",0,IF(OR(AND(AUTOEVENTO="Manual",$M189=1),$M189&gt;(ROW(PLE.lastrow)-ROW(PLE.firstrow))),0,IF(OFFSET(PLE!$G$14,$M189,BG$13)="",10^12,OFFSET(PLE!$G$14,$M189,BG$13))))</f>
        <v>1000000000000</v>
      </c>
    </row>
    <row r="190" spans="1:59" ht="12.75" x14ac:dyDescent="0.2">
      <c r="A190" s="9" t="str">
        <f ca="1">IF(AUTOEVENTO="Manual",IF(K190&lt;&gt;"",MIN(VALUE(LEFT(K190,FIND(".",K190)-1)),COUNTA(EVENTOS.Lista)),0),IF(OR($B190&gt;AUTOEVENTO,$B190="S",$B190=0),SUBSTITUTE(OFFSET($A190,-1,0),IF($D190="Serviço",".",""),""),ROW(A190)-ROW($A$15)&amp;"."))</f>
        <v>173</v>
      </c>
      <c r="B190" s="9" t="str">
        <f ca="1">OFFSET(ORÇAMENTO!C$15,ROW(B190)-ROW(B$15),0)</f>
        <v>S</v>
      </c>
      <c r="C190" s="9" t="str">
        <f ca="1">OFFSET(ORÇAMENTO!L$15,ROW(C190)-ROW(C$15),0)</f>
        <v/>
      </c>
      <c r="D190" s="145" t="str">
        <f ca="1">OFFSET(ORÇAMENTO!N$15,ROW(D190)-ROW(D$15),0)</f>
        <v>Serviço</v>
      </c>
      <c r="E190" s="205" t="str">
        <f ca="1">OFFSET(ORÇAMENTO!O$15,ROW(E190)-ROW(E$15),0)</f>
        <v>-</v>
      </c>
      <c r="F190" s="206" t="str">
        <f ca="1">OFFSET(ORÇAMENTO!R$15,ROW(F190)-ROW(F$15),0)</f>
        <v xml:space="preserve">PLACA DE INAUGURACAO METALICA, *40* CM X *60* CM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G190" s="207" t="str">
        <f ca="1">IF($D190&lt;&gt;"Serviço","",OFFSET(ORÇAMENTO!S$15,ROW(G190)-ROW(G$15),0))</f>
        <v xml:space="preserve">UN    </v>
      </c>
      <c r="H190" s="151">
        <f ca="1">IF($D190&lt;&gt;"Serviço",0,IF(ACOMPANHAMENTO="BM",ROUND(OFFSET(ORÇAMENTO!AJ$15,ROW(H190)-ROW(H$15),0),15-13*ORÇAMENTO!$AF$7),SUMPRODUCT(($Q$12:$AA$12&lt;&gt;"")*ROUND($Q190:$AA190,15-13*ORÇAMENTO!$AF$7))))</f>
        <v>1</v>
      </c>
      <c r="I190" s="649"/>
      <c r="K190" s="208"/>
      <c r="L190" s="209" t="s">
        <v>255</v>
      </c>
      <c r="M190" s="210">
        <f ca="1">IF($D190&lt;&gt;"Serviço","",IF(AUTOEVENTO="manual",$A190,IF(ISERROR(MATCH($A190,$A$15:OFFSET($A190,-1,0),0)),MAX($M$15:OFFSET(M190,-1,0))+1,INDEX($M$15:OFFSET(M190,-1,0),MATCH($A190,$A$15:OFFSET($A190,-1,0),0)))))</f>
        <v>26</v>
      </c>
      <c r="N190" s="211" t="str">
        <f ca="1">IF($D190&lt;&gt;"Serviço","",IF(AUTOEVENTO="Manual",IF($A190=0,"&lt;-- defina o número do agrupador",OFFSET(EVENTOS!$D$14,$A190,0)),OFFSET($F$15,$A190,0)))</f>
        <v>COMPLEMENTARES</v>
      </c>
      <c r="O190" s="212"/>
      <c r="Q190" s="212"/>
      <c r="R190" s="213"/>
      <c r="S190" s="213"/>
      <c r="T190" s="213"/>
      <c r="U190" s="213"/>
      <c r="V190" s="213"/>
      <c r="W190" s="213"/>
      <c r="X190" s="213"/>
      <c r="Y190" s="213"/>
      <c r="Z190" s="214"/>
      <c r="AB190" s="630">
        <f ca="1">IF(AND($D190="Serviço",AB$12&lt;&gt;0,$H190&gt;0,OR(AUTOEVENTO&lt;&gt;"manual",$M190&lt;&gt;1)),
IF(Import.TipoArredondamento&lt;&gt;"TransfereGOV",
ROUND(OFFSET($P190,0,AB$13),15-13*ORÇAMENTO!$AF$7)/$H190*OFFSET(ORÇAMENTO!$X$15,ROW(AB190)-ROW(AB$15),0),
ROUND(ROUND(OFFSET($P190,0,AB$13),15-13*ORÇAMENTO!$AF$7)*OFFSET(ORÇAMENTO!$W$15,ROW(AB190)-ROW(AB$15),0),15-13*ORÇAMENTO!$AF$11)),0)</f>
        <v>0</v>
      </c>
      <c r="AC190" s="631">
        <f ca="1">IF(AND($D190="Serviço",AC$12&lt;&gt;0,$H190&gt;0,OR(AUTOEVENTO&lt;&gt;"manual",$M190&lt;&gt;1)),
IF(Import.TipoArredondamento&lt;&gt;"TransfereGOV",
ROUND(OFFSET($P190,0,AC$13),15-13*ORÇAMENTO!$AF$7)/$H190*OFFSET(ORÇAMENTO!$X$15,ROW(AC190)-ROW(AC$15),0),
ROUND(ROUND(OFFSET($P190,0,AC$13),15-13*ORÇAMENTO!$AF$7)*OFFSET(ORÇAMENTO!$W$15,ROW(AC190)-ROW(AC$15),0),15-13*ORÇAMENTO!$AF$11)),0)</f>
        <v>0</v>
      </c>
      <c r="AD190" s="631">
        <f ca="1">IF(AND($D190="Serviço",AD$12&lt;&gt;0,$H190&gt;0,OR(AUTOEVENTO&lt;&gt;"manual",$M190&lt;&gt;1)),
IF(Import.TipoArredondamento&lt;&gt;"TransfereGOV",
ROUND(OFFSET($P190,0,AD$13),15-13*ORÇAMENTO!$AF$7)/$H190*OFFSET(ORÇAMENTO!$X$15,ROW(AD190)-ROW(AD$15),0),
ROUND(ROUND(OFFSET($P190,0,AD$13),15-13*ORÇAMENTO!$AF$7)*OFFSET(ORÇAMENTO!$W$15,ROW(AD190)-ROW(AD$15),0),15-13*ORÇAMENTO!$AF$11)),0)</f>
        <v>0</v>
      </c>
      <c r="AE190" s="631">
        <f ca="1">IF(AND($D190="Serviço",AE$12&lt;&gt;0,$H190&gt;0,OR(AUTOEVENTO&lt;&gt;"manual",$M190&lt;&gt;1)),
IF(Import.TipoArredondamento&lt;&gt;"TransfereGOV",
ROUND(OFFSET($P190,0,AE$13),15-13*ORÇAMENTO!$AF$7)/$H190*OFFSET(ORÇAMENTO!$X$15,ROW(AE190)-ROW(AE$15),0),
ROUND(ROUND(OFFSET($P190,0,AE$13),15-13*ORÇAMENTO!$AF$7)*OFFSET(ORÇAMENTO!$W$15,ROW(AE190)-ROW(AE$15),0),15-13*ORÇAMENTO!$AF$11)),0)</f>
        <v>0</v>
      </c>
      <c r="AF190" s="631">
        <f ca="1">IF(AND($D190="Serviço",AF$12&lt;&gt;0,$H190&gt;0,OR(AUTOEVENTO&lt;&gt;"manual",$M190&lt;&gt;1)),
IF(Import.TipoArredondamento&lt;&gt;"TransfereGOV",
ROUND(OFFSET($P190,0,AF$13),15-13*ORÇAMENTO!$AF$7)/$H190*OFFSET(ORÇAMENTO!$X$15,ROW(AF190)-ROW(AF$15),0),
ROUND(ROUND(OFFSET($P190,0,AF$13),15-13*ORÇAMENTO!$AF$7)*OFFSET(ORÇAMENTO!$W$15,ROW(AF190)-ROW(AF$15),0),15-13*ORÇAMENTO!$AF$11)),0)</f>
        <v>0</v>
      </c>
      <c r="AG190" s="631">
        <f ca="1">IF(AND($D190="Serviço",AG$12&lt;&gt;0,$H190&gt;0,OR(AUTOEVENTO&lt;&gt;"manual",$M190&lt;&gt;1)),
IF(Import.TipoArredondamento&lt;&gt;"TransfereGOV",
ROUND(OFFSET($P190,0,AG$13),15-13*ORÇAMENTO!$AF$7)/$H190*OFFSET(ORÇAMENTO!$X$15,ROW(AG190)-ROW(AG$15),0),
ROUND(ROUND(OFFSET($P190,0,AG$13),15-13*ORÇAMENTO!$AF$7)*OFFSET(ORÇAMENTO!$W$15,ROW(AG190)-ROW(AG$15),0),15-13*ORÇAMENTO!$AF$11)),0)</f>
        <v>0</v>
      </c>
      <c r="AH190" s="631">
        <f ca="1">IF(AND($D190="Serviço",AH$12&lt;&gt;0,$H190&gt;0,OR(AUTOEVENTO&lt;&gt;"manual",$M190&lt;&gt;1)),
IF(Import.TipoArredondamento&lt;&gt;"TransfereGOV",
ROUND(OFFSET($P190,0,AH$13),15-13*ORÇAMENTO!$AF$7)/$H190*OFFSET(ORÇAMENTO!$X$15,ROW(AH190)-ROW(AH$15),0),
ROUND(ROUND(OFFSET($P190,0,AH$13),15-13*ORÇAMENTO!$AF$7)*OFFSET(ORÇAMENTO!$W$15,ROW(AH190)-ROW(AH$15),0),15-13*ORÇAMENTO!$AF$11)),0)</f>
        <v>0</v>
      </c>
      <c r="AI190" s="631">
        <f ca="1">IF(AND($D190="Serviço",AI$12&lt;&gt;0,$H190&gt;0,OR(AUTOEVENTO&lt;&gt;"manual",$M190&lt;&gt;1)),
IF(Import.TipoArredondamento&lt;&gt;"TransfereGOV",
ROUND(OFFSET($P190,0,AI$13),15-13*ORÇAMENTO!$AF$7)/$H190*OFFSET(ORÇAMENTO!$X$15,ROW(AI190)-ROW(AI$15),0),
ROUND(ROUND(OFFSET($P190,0,AI$13),15-13*ORÇAMENTO!$AF$7)*OFFSET(ORÇAMENTO!$W$15,ROW(AI190)-ROW(AI$15),0),15-13*ORÇAMENTO!$AF$11)),0)</f>
        <v>0</v>
      </c>
      <c r="AJ190" s="631">
        <f ca="1">IF(AND($D190="Serviço",AJ$12&lt;&gt;0,$H190&gt;0,OR(AUTOEVENTO&lt;&gt;"manual",$M190&lt;&gt;1)),
IF(Import.TipoArredondamento&lt;&gt;"TransfereGOV",
ROUND(OFFSET($P190,0,AJ$13),15-13*ORÇAMENTO!$AF$7)/$H190*OFFSET(ORÇAMENTO!$X$15,ROW(AJ190)-ROW(AJ$15),0),
ROUND(ROUND(OFFSET($P190,0,AJ$13),15-13*ORÇAMENTO!$AF$7)*OFFSET(ORÇAMENTO!$W$15,ROW(AJ190)-ROW(AJ$15),0),15-13*ORÇAMENTO!$AF$11)),0)</f>
        <v>0</v>
      </c>
      <c r="AK190" s="632">
        <f ca="1">IF(AND($D190="Serviço",AK$12&lt;&gt;0,$H190&gt;0,OR(AUTOEVENTO&lt;&gt;"manual",$M190&lt;&gt;1)),
IF(Import.TipoArredondamento&lt;&gt;"TransfereGOV",
ROUND(OFFSET($P190,0,AK$13),15-13*ORÇAMENTO!$AF$7)/$H190*OFFSET(ORÇAMENTO!$X$15,ROW(AK190)-ROW(AK$15),0),
ROUND(ROUND(OFFSET($P190,0,AK$13),15-13*ORÇAMENTO!$AF$7)*OFFSET(ORÇAMENTO!$W$15,ROW(AK190)-ROW(AK$15),0),15-13*ORÇAMENTO!$AF$11)),0)</f>
        <v>0</v>
      </c>
      <c r="AM190" s="215">
        <f ca="1">IF($D190&lt;&gt;"Serviço",0,IF(AND(AUTOEVENTO="Manual",$M190=1),0,IF(OFFSET(CRONOPLE!$F$14,$M190,AM$13)="",10^12,OFFSET(CRONOPLE!$F$14,$M190,AM$13))))</f>
        <v>1000000000000</v>
      </c>
      <c r="AN190" s="215">
        <f ca="1">IF($D190&lt;&gt;"Serviço",0,IF(AND(AUTOEVENTO="Manual",$M190=1),0,IF(OFFSET(CRONOPLE!$F$14,$M190,AN$13)="",10^12,OFFSET(CRONOPLE!$F$14,$M190,AN$13))))</f>
        <v>1000000000000</v>
      </c>
      <c r="AO190" s="215">
        <f ca="1">IF($D190&lt;&gt;"Serviço",0,IF(AND(AUTOEVENTO="Manual",$M190=1),0,IF(OFFSET(CRONOPLE!$F$14,$M190,AO$13)="",10^12,OFFSET(CRONOPLE!$F$14,$M190,AO$13))))</f>
        <v>1000000000000</v>
      </c>
      <c r="AP190" s="215">
        <f ca="1">IF($D190&lt;&gt;"Serviço",0,IF(AND(AUTOEVENTO="Manual",$M190=1),0,IF(OFFSET(CRONOPLE!$F$14,$M190,AP$13)="",10^12,OFFSET(CRONOPLE!$F$14,$M190,AP$13))))</f>
        <v>1000000000000</v>
      </c>
      <c r="AQ190" s="215">
        <f ca="1">IF($D190&lt;&gt;"Serviço",0,IF(AND(AUTOEVENTO="Manual",$M190=1),0,IF(OFFSET(CRONOPLE!$F$14,$M190,AQ$13)="",10^12,OFFSET(CRONOPLE!$F$14,$M190,AQ$13))))</f>
        <v>1000000000000</v>
      </c>
      <c r="AR190" s="215">
        <f ca="1">IF($D190&lt;&gt;"Serviço",0,IF(AND(AUTOEVENTO="Manual",$M190=1),0,IF(OFFSET(CRONOPLE!$F$14,$M190,AR$13)="",10^12,OFFSET(CRONOPLE!$F$14,$M190,AR$13))))</f>
        <v>1000000000000</v>
      </c>
      <c r="AS190" s="215">
        <f ca="1">IF($D190&lt;&gt;"Serviço",0,IF(AND(AUTOEVENTO="Manual",$M190=1),0,IF(OFFSET(CRONOPLE!$F$14,$M190,AS$13)="",10^12,OFFSET(CRONOPLE!$F$14,$M190,AS$13))))</f>
        <v>1000000000000</v>
      </c>
      <c r="AT190" s="215">
        <f ca="1">IF($D190&lt;&gt;"Serviço",0,IF(AND(AUTOEVENTO="Manual",$M190=1),0,IF(OFFSET(CRONOPLE!$F$14,$M190,AT$13)="",10^12,OFFSET(CRONOPLE!$F$14,$M190,AT$13))))</f>
        <v>1000000000000</v>
      </c>
      <c r="AU190" s="215">
        <f ca="1">IF($D190&lt;&gt;"Serviço",0,IF(AND(AUTOEVENTO="Manual",$M190=1),0,IF(OFFSET(CRONOPLE!$F$14,$M190,AU$13)="",10^12,OFFSET(CRONOPLE!$F$14,$M190,AU$13))))</f>
        <v>1000000000000</v>
      </c>
      <c r="AV190" s="215">
        <f ca="1">IF($D190&lt;&gt;"Serviço",0,IF(AND(AUTOEVENTO="Manual",$M190=1),0,IF(OFFSET(CRONOPLE!$F$14,$M190,AV$13)="",10^12,OFFSET(CRONOPLE!$F$14,$M190,AV$13))))</f>
        <v>1000000000000</v>
      </c>
      <c r="AX190" s="216">
        <f ca="1">IF($D190&lt;&gt;"Serviço",0,IF(OR(AND(AUTOEVENTO="Manual",$M190=1),$M190&gt;(ROW(PLE.lastrow)-ROW(PLE.firstrow))),0,IF(OFFSET(PLE!$G$14,$M190,AX$13)="",10^12,OFFSET(PLE!$G$14,$M190,AX$13))))</f>
        <v>1000000000000</v>
      </c>
      <c r="AY190" s="216">
        <f ca="1">IF($D190&lt;&gt;"Serviço",0,IF(OR(AND(AUTOEVENTO="Manual",$M190=1),$M190&gt;(ROW(PLE.lastrow)-ROW(PLE.firstrow))),0,IF(OFFSET(PLE!$G$14,$M190,AY$13)="",10^12,OFFSET(PLE!$G$14,$M190,AY$13))))</f>
        <v>1000000000000</v>
      </c>
      <c r="AZ190" s="216">
        <f ca="1">IF($D190&lt;&gt;"Serviço",0,IF(OR(AND(AUTOEVENTO="Manual",$M190=1),$M190&gt;(ROW(PLE.lastrow)-ROW(PLE.firstrow))),0,IF(OFFSET(PLE!$G$14,$M190,AZ$13)="",10^12,OFFSET(PLE!$G$14,$M190,AZ$13))))</f>
        <v>1000000000000</v>
      </c>
      <c r="BA190" s="216">
        <f ca="1">IF($D190&lt;&gt;"Serviço",0,IF(OR(AND(AUTOEVENTO="Manual",$M190=1),$M190&gt;(ROW(PLE.lastrow)-ROW(PLE.firstrow))),0,IF(OFFSET(PLE!$G$14,$M190,BA$13)="",10^12,OFFSET(PLE!$G$14,$M190,BA$13))))</f>
        <v>1000000000000</v>
      </c>
      <c r="BB190" s="216">
        <f ca="1">IF($D190&lt;&gt;"Serviço",0,IF(OR(AND(AUTOEVENTO="Manual",$M190=1),$M190&gt;(ROW(PLE.lastrow)-ROW(PLE.firstrow))),0,IF(OFFSET(PLE!$G$14,$M190,BB$13)="",10^12,OFFSET(PLE!$G$14,$M190,BB$13))))</f>
        <v>1000000000000</v>
      </c>
      <c r="BC190" s="216">
        <f ca="1">IF($D190&lt;&gt;"Serviço",0,IF(OR(AND(AUTOEVENTO="Manual",$M190=1),$M190&gt;(ROW(PLE.lastrow)-ROW(PLE.firstrow))),0,IF(OFFSET(PLE!$G$14,$M190,BC$13)="",10^12,OFFSET(PLE!$G$14,$M190,BC$13))))</f>
        <v>1000000000000</v>
      </c>
      <c r="BD190" s="216">
        <f ca="1">IF($D190&lt;&gt;"Serviço",0,IF(OR(AND(AUTOEVENTO="Manual",$M190=1),$M190&gt;(ROW(PLE.lastrow)-ROW(PLE.firstrow))),0,IF(OFFSET(PLE!$G$14,$M190,BD$13)="",10^12,OFFSET(PLE!$G$14,$M190,BD$13))))</f>
        <v>1000000000000</v>
      </c>
      <c r="BE190" s="216">
        <f ca="1">IF($D190&lt;&gt;"Serviço",0,IF(OR(AND(AUTOEVENTO="Manual",$M190=1),$M190&gt;(ROW(PLE.lastrow)-ROW(PLE.firstrow))),0,IF(OFFSET(PLE!$G$14,$M190,BE$13)="",10^12,OFFSET(PLE!$G$14,$M190,BE$13))))</f>
        <v>1000000000000</v>
      </c>
      <c r="BF190" s="216">
        <f ca="1">IF($D190&lt;&gt;"Serviço",0,IF(OR(AND(AUTOEVENTO="Manual",$M190=1),$M190&gt;(ROW(PLE.lastrow)-ROW(PLE.firstrow))),0,IF(OFFSET(PLE!$G$14,$M190,BF$13)="",10^12,OFFSET(PLE!$G$14,$M190,BF$13))))</f>
        <v>1000000000000</v>
      </c>
      <c r="BG190" s="216">
        <f ca="1">IF($D190&lt;&gt;"Serviço",0,IF(OR(AND(AUTOEVENTO="Manual",$M190=1),$M190&gt;(ROW(PLE.lastrow)-ROW(PLE.firstrow))),0,IF(OFFSET(PLE!$G$14,$M190,BG$13)="",10^12,OFFSET(PLE!$G$14,$M190,BG$13))))</f>
        <v>1000000000000</v>
      </c>
    </row>
    <row r="191" spans="1:59" ht="25.5" x14ac:dyDescent="0.2">
      <c r="A191" s="9" t="str">
        <f t="shared" ca="1" si="11"/>
        <v>173</v>
      </c>
      <c r="B191" s="9" t="str">
        <f ca="1">OFFSET(ORÇAMENTO!C$15,ROW(B191)-ROW(B$15),0)</f>
        <v>S</v>
      </c>
      <c r="C191" s="9" t="str">
        <f ca="1">OFFSET(ORÇAMENTO!L$15,ROW(C191)-ROW(C$15),0)</f>
        <v/>
      </c>
      <c r="D191" s="145" t="str">
        <f ca="1">OFFSET(ORÇAMENTO!N$15,ROW(D191)-ROW(D$15),0)</f>
        <v>Serviço</v>
      </c>
      <c r="E191" s="205" t="str">
        <f ca="1">OFFSET(ORÇAMENTO!O$15,ROW(E191)-ROW(E$15),0)</f>
        <v>-</v>
      </c>
      <c r="F191" s="206" t="str">
        <f ca="1">OFFSET(ORÇAMENTO!R$15,ROW(F191)-ROW(F$15),0)</f>
        <v>LIMPEZA DE JANELA DE VIDRO COM CAIXILHO EM AÇO/ALUMÍNIO/PVC. AF_04/2019</v>
      </c>
      <c r="G191" s="207" t="str">
        <f ca="1">IF($D191&lt;&gt;"Serviço","",OFFSET(ORÇAMENTO!S$15,ROW(G191)-ROW(G$15),0))</f>
        <v>M2</v>
      </c>
      <c r="H191" s="151">
        <f ca="1">IF($D191&lt;&gt;"Serviço",0,IF(ACOMPANHAMENTO="BM",ROUND(OFFSET(ORÇAMENTO!AJ$15,ROW(H191)-ROW(H$15),0),15-13*ORÇAMENTO!$AF$7),SUMPRODUCT(($Q$12:$AA$12&lt;&gt;"")*ROUND($Q191:$AA191,15-13*ORÇAMENTO!$AF$7))))</f>
        <v>294.24</v>
      </c>
      <c r="I191" s="649"/>
      <c r="K191" s="208"/>
      <c r="L191" s="209" t="s">
        <v>255</v>
      </c>
      <c r="M191" s="210">
        <f ca="1">IF($D191&lt;&gt;"Serviço","",IF(AUTOEVENTO="manual",$A191,IF(ISERROR(MATCH($A191,$A$15:OFFSET($A191,-1,0),0)),MAX($M$15:OFFSET(M191,-1,0))+1,INDEX($M$15:OFFSET(M191,-1,0),MATCH($A191,$A$15:OFFSET($A191,-1,0),0)))))</f>
        <v>26</v>
      </c>
      <c r="N191" s="211" t="str">
        <f ca="1">IF($D191&lt;&gt;"Serviço","",IF(AUTOEVENTO="Manual",IF($A191=0,"&lt;-- defina o número do agrupador",OFFSET(EVENTOS!$D$14,$A191,0)),OFFSET($F$15,$A191,0)))</f>
        <v>COMPLEMENTARES</v>
      </c>
      <c r="O191" s="212"/>
      <c r="Q191" s="212"/>
      <c r="R191" s="213"/>
      <c r="S191" s="213"/>
      <c r="T191" s="213"/>
      <c r="U191" s="213"/>
      <c r="V191" s="213"/>
      <c r="W191" s="213"/>
      <c r="X191" s="213"/>
      <c r="Y191" s="213"/>
      <c r="Z191" s="214"/>
      <c r="AB191" s="630">
        <f ca="1">IF(AND($D191="Serviço",AB$12&lt;&gt;0,$H191&gt;0,OR(AUTOEVENTO&lt;&gt;"manual",$M191&lt;&gt;1)),
IF(Import.TipoArredondamento&lt;&gt;"TransfereGOV",
ROUND(OFFSET($P191,0,AB$13),15-13*ORÇAMENTO!$AF$7)/$H191*OFFSET(ORÇAMENTO!$X$15,ROW(AB191)-ROW(AB$15),0),
ROUND(ROUND(OFFSET($P191,0,AB$13),15-13*ORÇAMENTO!$AF$7)*OFFSET(ORÇAMENTO!$W$15,ROW(AB191)-ROW(AB$15),0),15-13*ORÇAMENTO!$AF$11)),0)</f>
        <v>0</v>
      </c>
      <c r="AC191" s="631">
        <f ca="1">IF(AND($D191="Serviço",AC$12&lt;&gt;0,$H191&gt;0,OR(AUTOEVENTO&lt;&gt;"manual",$M191&lt;&gt;1)),
IF(Import.TipoArredondamento&lt;&gt;"TransfereGOV",
ROUND(OFFSET($P191,0,AC$13),15-13*ORÇAMENTO!$AF$7)/$H191*OFFSET(ORÇAMENTO!$X$15,ROW(AC191)-ROW(AC$15),0),
ROUND(ROUND(OFFSET($P191,0,AC$13),15-13*ORÇAMENTO!$AF$7)*OFFSET(ORÇAMENTO!$W$15,ROW(AC191)-ROW(AC$15),0),15-13*ORÇAMENTO!$AF$11)),0)</f>
        <v>0</v>
      </c>
      <c r="AD191" s="631">
        <f ca="1">IF(AND($D191="Serviço",AD$12&lt;&gt;0,$H191&gt;0,OR(AUTOEVENTO&lt;&gt;"manual",$M191&lt;&gt;1)),
IF(Import.TipoArredondamento&lt;&gt;"TransfereGOV",
ROUND(OFFSET($P191,0,AD$13),15-13*ORÇAMENTO!$AF$7)/$H191*OFFSET(ORÇAMENTO!$X$15,ROW(AD191)-ROW(AD$15),0),
ROUND(ROUND(OFFSET($P191,0,AD$13),15-13*ORÇAMENTO!$AF$7)*OFFSET(ORÇAMENTO!$W$15,ROW(AD191)-ROW(AD$15),0),15-13*ORÇAMENTO!$AF$11)),0)</f>
        <v>0</v>
      </c>
      <c r="AE191" s="631">
        <f ca="1">IF(AND($D191="Serviço",AE$12&lt;&gt;0,$H191&gt;0,OR(AUTOEVENTO&lt;&gt;"manual",$M191&lt;&gt;1)),
IF(Import.TipoArredondamento&lt;&gt;"TransfereGOV",
ROUND(OFFSET($P191,0,AE$13),15-13*ORÇAMENTO!$AF$7)/$H191*OFFSET(ORÇAMENTO!$X$15,ROW(AE191)-ROW(AE$15),0),
ROUND(ROUND(OFFSET($P191,0,AE$13),15-13*ORÇAMENTO!$AF$7)*OFFSET(ORÇAMENTO!$W$15,ROW(AE191)-ROW(AE$15),0),15-13*ORÇAMENTO!$AF$11)),0)</f>
        <v>0</v>
      </c>
      <c r="AF191" s="631">
        <f ca="1">IF(AND($D191="Serviço",AF$12&lt;&gt;0,$H191&gt;0,OR(AUTOEVENTO&lt;&gt;"manual",$M191&lt;&gt;1)),
IF(Import.TipoArredondamento&lt;&gt;"TransfereGOV",
ROUND(OFFSET($P191,0,AF$13),15-13*ORÇAMENTO!$AF$7)/$H191*OFFSET(ORÇAMENTO!$X$15,ROW(AF191)-ROW(AF$15),0),
ROUND(ROUND(OFFSET($P191,0,AF$13),15-13*ORÇAMENTO!$AF$7)*OFFSET(ORÇAMENTO!$W$15,ROW(AF191)-ROW(AF$15),0),15-13*ORÇAMENTO!$AF$11)),0)</f>
        <v>0</v>
      </c>
      <c r="AG191" s="631">
        <f ca="1">IF(AND($D191="Serviço",AG$12&lt;&gt;0,$H191&gt;0,OR(AUTOEVENTO&lt;&gt;"manual",$M191&lt;&gt;1)),
IF(Import.TipoArredondamento&lt;&gt;"TransfereGOV",
ROUND(OFFSET($P191,0,AG$13),15-13*ORÇAMENTO!$AF$7)/$H191*OFFSET(ORÇAMENTO!$X$15,ROW(AG191)-ROW(AG$15),0),
ROUND(ROUND(OFFSET($P191,0,AG$13),15-13*ORÇAMENTO!$AF$7)*OFFSET(ORÇAMENTO!$W$15,ROW(AG191)-ROW(AG$15),0),15-13*ORÇAMENTO!$AF$11)),0)</f>
        <v>0</v>
      </c>
      <c r="AH191" s="631">
        <f ca="1">IF(AND($D191="Serviço",AH$12&lt;&gt;0,$H191&gt;0,OR(AUTOEVENTO&lt;&gt;"manual",$M191&lt;&gt;1)),
IF(Import.TipoArredondamento&lt;&gt;"TransfereGOV",
ROUND(OFFSET($P191,0,AH$13),15-13*ORÇAMENTO!$AF$7)/$H191*OFFSET(ORÇAMENTO!$X$15,ROW(AH191)-ROW(AH$15),0),
ROUND(ROUND(OFFSET($P191,0,AH$13),15-13*ORÇAMENTO!$AF$7)*OFFSET(ORÇAMENTO!$W$15,ROW(AH191)-ROW(AH$15),0),15-13*ORÇAMENTO!$AF$11)),0)</f>
        <v>0</v>
      </c>
      <c r="AI191" s="631">
        <f ca="1">IF(AND($D191="Serviço",AI$12&lt;&gt;0,$H191&gt;0,OR(AUTOEVENTO&lt;&gt;"manual",$M191&lt;&gt;1)),
IF(Import.TipoArredondamento&lt;&gt;"TransfereGOV",
ROUND(OFFSET($P191,0,AI$13),15-13*ORÇAMENTO!$AF$7)/$H191*OFFSET(ORÇAMENTO!$X$15,ROW(AI191)-ROW(AI$15),0),
ROUND(ROUND(OFFSET($P191,0,AI$13),15-13*ORÇAMENTO!$AF$7)*OFFSET(ORÇAMENTO!$W$15,ROW(AI191)-ROW(AI$15),0),15-13*ORÇAMENTO!$AF$11)),0)</f>
        <v>0</v>
      </c>
      <c r="AJ191" s="631">
        <f ca="1">IF(AND($D191="Serviço",AJ$12&lt;&gt;0,$H191&gt;0,OR(AUTOEVENTO&lt;&gt;"manual",$M191&lt;&gt;1)),
IF(Import.TipoArredondamento&lt;&gt;"TransfereGOV",
ROUND(OFFSET($P191,0,AJ$13),15-13*ORÇAMENTO!$AF$7)/$H191*OFFSET(ORÇAMENTO!$X$15,ROW(AJ191)-ROW(AJ$15),0),
ROUND(ROUND(OFFSET($P191,0,AJ$13),15-13*ORÇAMENTO!$AF$7)*OFFSET(ORÇAMENTO!$W$15,ROW(AJ191)-ROW(AJ$15),0),15-13*ORÇAMENTO!$AF$11)),0)</f>
        <v>0</v>
      </c>
      <c r="AK191" s="632">
        <f ca="1">IF(AND($D191="Serviço",AK$12&lt;&gt;0,$H191&gt;0,OR(AUTOEVENTO&lt;&gt;"manual",$M191&lt;&gt;1)),
IF(Import.TipoArredondamento&lt;&gt;"TransfereGOV",
ROUND(OFFSET($P191,0,AK$13),15-13*ORÇAMENTO!$AF$7)/$H191*OFFSET(ORÇAMENTO!$X$15,ROW(AK191)-ROW(AK$15),0),
ROUND(ROUND(OFFSET($P191,0,AK$13),15-13*ORÇAMENTO!$AF$7)*OFFSET(ORÇAMENTO!$W$15,ROW(AK191)-ROW(AK$15),0),15-13*ORÇAMENTO!$AF$11)),0)</f>
        <v>0</v>
      </c>
      <c r="AM191" s="215">
        <f ca="1">IF($D191&lt;&gt;"Serviço",0,IF(AND(AUTOEVENTO="Manual",$M191=1),0,IF(OFFSET(CRONOPLE!$F$14,$M191,AM$13)="",10^12,OFFSET(CRONOPLE!$F$14,$M191,AM$13))))</f>
        <v>1000000000000</v>
      </c>
      <c r="AN191" s="215">
        <f ca="1">IF($D191&lt;&gt;"Serviço",0,IF(AND(AUTOEVENTO="Manual",$M191=1),0,IF(OFFSET(CRONOPLE!$F$14,$M191,AN$13)="",10^12,OFFSET(CRONOPLE!$F$14,$M191,AN$13))))</f>
        <v>1000000000000</v>
      </c>
      <c r="AO191" s="215">
        <f ca="1">IF($D191&lt;&gt;"Serviço",0,IF(AND(AUTOEVENTO="Manual",$M191=1),0,IF(OFFSET(CRONOPLE!$F$14,$M191,AO$13)="",10^12,OFFSET(CRONOPLE!$F$14,$M191,AO$13))))</f>
        <v>1000000000000</v>
      </c>
      <c r="AP191" s="215">
        <f ca="1">IF($D191&lt;&gt;"Serviço",0,IF(AND(AUTOEVENTO="Manual",$M191=1),0,IF(OFFSET(CRONOPLE!$F$14,$M191,AP$13)="",10^12,OFFSET(CRONOPLE!$F$14,$M191,AP$13))))</f>
        <v>1000000000000</v>
      </c>
      <c r="AQ191" s="215">
        <f ca="1">IF($D191&lt;&gt;"Serviço",0,IF(AND(AUTOEVENTO="Manual",$M191=1),0,IF(OFFSET(CRONOPLE!$F$14,$M191,AQ$13)="",10^12,OFFSET(CRONOPLE!$F$14,$M191,AQ$13))))</f>
        <v>1000000000000</v>
      </c>
      <c r="AR191" s="215">
        <f ca="1">IF($D191&lt;&gt;"Serviço",0,IF(AND(AUTOEVENTO="Manual",$M191=1),0,IF(OFFSET(CRONOPLE!$F$14,$M191,AR$13)="",10^12,OFFSET(CRONOPLE!$F$14,$M191,AR$13))))</f>
        <v>1000000000000</v>
      </c>
      <c r="AS191" s="215">
        <f ca="1">IF($D191&lt;&gt;"Serviço",0,IF(AND(AUTOEVENTO="Manual",$M191=1),0,IF(OFFSET(CRONOPLE!$F$14,$M191,AS$13)="",10^12,OFFSET(CRONOPLE!$F$14,$M191,AS$13))))</f>
        <v>1000000000000</v>
      </c>
      <c r="AT191" s="215">
        <f ca="1">IF($D191&lt;&gt;"Serviço",0,IF(AND(AUTOEVENTO="Manual",$M191=1),0,IF(OFFSET(CRONOPLE!$F$14,$M191,AT$13)="",10^12,OFFSET(CRONOPLE!$F$14,$M191,AT$13))))</f>
        <v>1000000000000</v>
      </c>
      <c r="AU191" s="215">
        <f ca="1">IF($D191&lt;&gt;"Serviço",0,IF(AND(AUTOEVENTO="Manual",$M191=1),0,IF(OFFSET(CRONOPLE!$F$14,$M191,AU$13)="",10^12,OFFSET(CRONOPLE!$F$14,$M191,AU$13))))</f>
        <v>1000000000000</v>
      </c>
      <c r="AV191" s="215">
        <f ca="1">IF($D191&lt;&gt;"Serviço",0,IF(AND(AUTOEVENTO="Manual",$M191=1),0,IF(OFFSET(CRONOPLE!$F$14,$M191,AV$13)="",10^12,OFFSET(CRONOPLE!$F$14,$M191,AV$13))))</f>
        <v>1000000000000</v>
      </c>
      <c r="AX191" s="216">
        <f ca="1">IF($D191&lt;&gt;"Serviço",0,IF(OR(AND(AUTOEVENTO="Manual",$M191=1),$M191&gt;(ROW(PLE.lastrow)-ROW(PLE.firstrow))),0,IF(OFFSET(PLE!$G$14,$M191,AX$13)="",10^12,OFFSET(PLE!$G$14,$M191,AX$13))))</f>
        <v>1000000000000</v>
      </c>
      <c r="AY191" s="216">
        <f ca="1">IF($D191&lt;&gt;"Serviço",0,IF(OR(AND(AUTOEVENTO="Manual",$M191=1),$M191&gt;(ROW(PLE.lastrow)-ROW(PLE.firstrow))),0,IF(OFFSET(PLE!$G$14,$M191,AY$13)="",10^12,OFFSET(PLE!$G$14,$M191,AY$13))))</f>
        <v>1000000000000</v>
      </c>
      <c r="AZ191" s="216">
        <f ca="1">IF($D191&lt;&gt;"Serviço",0,IF(OR(AND(AUTOEVENTO="Manual",$M191=1),$M191&gt;(ROW(PLE.lastrow)-ROW(PLE.firstrow))),0,IF(OFFSET(PLE!$G$14,$M191,AZ$13)="",10^12,OFFSET(PLE!$G$14,$M191,AZ$13))))</f>
        <v>1000000000000</v>
      </c>
      <c r="BA191" s="216">
        <f ca="1">IF($D191&lt;&gt;"Serviço",0,IF(OR(AND(AUTOEVENTO="Manual",$M191=1),$M191&gt;(ROW(PLE.lastrow)-ROW(PLE.firstrow))),0,IF(OFFSET(PLE!$G$14,$M191,BA$13)="",10^12,OFFSET(PLE!$G$14,$M191,BA$13))))</f>
        <v>1000000000000</v>
      </c>
      <c r="BB191" s="216">
        <f ca="1">IF($D191&lt;&gt;"Serviço",0,IF(OR(AND(AUTOEVENTO="Manual",$M191=1),$M191&gt;(ROW(PLE.lastrow)-ROW(PLE.firstrow))),0,IF(OFFSET(PLE!$G$14,$M191,BB$13)="",10^12,OFFSET(PLE!$G$14,$M191,BB$13))))</f>
        <v>1000000000000</v>
      </c>
      <c r="BC191" s="216">
        <f ca="1">IF($D191&lt;&gt;"Serviço",0,IF(OR(AND(AUTOEVENTO="Manual",$M191=1),$M191&gt;(ROW(PLE.lastrow)-ROW(PLE.firstrow))),0,IF(OFFSET(PLE!$G$14,$M191,BC$13)="",10^12,OFFSET(PLE!$G$14,$M191,BC$13))))</f>
        <v>1000000000000</v>
      </c>
      <c r="BD191" s="216">
        <f ca="1">IF($D191&lt;&gt;"Serviço",0,IF(OR(AND(AUTOEVENTO="Manual",$M191=1),$M191&gt;(ROW(PLE.lastrow)-ROW(PLE.firstrow))),0,IF(OFFSET(PLE!$G$14,$M191,BD$13)="",10^12,OFFSET(PLE!$G$14,$M191,BD$13))))</f>
        <v>1000000000000</v>
      </c>
      <c r="BE191" s="216">
        <f ca="1">IF($D191&lt;&gt;"Serviço",0,IF(OR(AND(AUTOEVENTO="Manual",$M191=1),$M191&gt;(ROW(PLE.lastrow)-ROW(PLE.firstrow))),0,IF(OFFSET(PLE!$G$14,$M191,BE$13)="",10^12,OFFSET(PLE!$G$14,$M191,BE$13))))</f>
        <v>1000000000000</v>
      </c>
      <c r="BF191" s="216">
        <f ca="1">IF($D191&lt;&gt;"Serviço",0,IF(OR(AND(AUTOEVENTO="Manual",$M191=1),$M191&gt;(ROW(PLE.lastrow)-ROW(PLE.firstrow))),0,IF(OFFSET(PLE!$G$14,$M191,BF$13)="",10^12,OFFSET(PLE!$G$14,$M191,BF$13))))</f>
        <v>1000000000000</v>
      </c>
      <c r="BG191" s="216">
        <f ca="1">IF($D191&lt;&gt;"Serviço",0,IF(OR(AND(AUTOEVENTO="Manual",$M191=1),$M191&gt;(ROW(PLE.lastrow)-ROW(PLE.firstrow))),0,IF(OFFSET(PLE!$G$14,$M191,BG$13)="",10^12,OFFSET(PLE!$G$14,$M191,BG$13))))</f>
        <v>1000000000000</v>
      </c>
    </row>
    <row r="192" spans="1:59" ht="5.0999999999999996" customHeight="1" x14ac:dyDescent="0.2">
      <c r="B192" s="9">
        <f ca="1">OFFSET(ORÇAMENTO!C$15,ROW(B192)-ROW(B$15),0)</f>
        <v>-1</v>
      </c>
      <c r="C192" s="9" t="str">
        <f ca="1">OFFSET(ORÇAMENTO!L$15,ROW(C192)-ROW(C$15),0)</f>
        <v>F</v>
      </c>
      <c r="D192" s="561" t="s">
        <v>194</v>
      </c>
      <c r="E192" s="562"/>
      <c r="F192" s="563"/>
      <c r="G192" s="563"/>
      <c r="H192" s="563"/>
      <c r="I192" s="564"/>
      <c r="J192" s="176"/>
      <c r="K192" s="567"/>
      <c r="L192" s="560" t="s">
        <v>255</v>
      </c>
      <c r="M192" s="568"/>
      <c r="N192" s="565"/>
      <c r="O192" s="559"/>
      <c r="P192" s="176"/>
      <c r="Q192" s="566"/>
      <c r="R192" s="563"/>
      <c r="S192" s="563"/>
      <c r="T192" s="563"/>
      <c r="U192" s="563"/>
      <c r="V192" s="563"/>
      <c r="W192" s="563"/>
      <c r="X192" s="563"/>
      <c r="Y192" s="563"/>
      <c r="Z192" s="564"/>
      <c r="AA192" s="176"/>
      <c r="AB192" s="167"/>
      <c r="AC192" s="226"/>
      <c r="AD192" s="226"/>
      <c r="AE192" s="226"/>
      <c r="AF192" s="226"/>
      <c r="AG192" s="226"/>
      <c r="AH192" s="226"/>
      <c r="AI192" s="226"/>
      <c r="AJ192" s="226"/>
      <c r="AK192" s="168"/>
      <c r="AM192" s="167"/>
      <c r="AN192" s="226"/>
      <c r="AO192" s="226"/>
      <c r="AP192" s="226"/>
      <c r="AQ192" s="226"/>
      <c r="AR192" s="226"/>
      <c r="AS192" s="226"/>
      <c r="AT192" s="226"/>
      <c r="AU192" s="226"/>
      <c r="AV192" s="168"/>
      <c r="AX192" s="167"/>
      <c r="AY192" s="226"/>
      <c r="AZ192" s="226"/>
      <c r="BA192" s="226"/>
      <c r="BB192" s="226"/>
      <c r="BC192" s="226"/>
      <c r="BD192" s="226"/>
      <c r="BE192" s="226"/>
      <c r="BF192" s="226"/>
      <c r="BG192" s="168"/>
    </row>
    <row r="193" spans="3:25" ht="12.75" customHeight="1" x14ac:dyDescent="0.2"/>
    <row r="194" spans="3:25" ht="12.75" customHeight="1" x14ac:dyDescent="0.2"/>
    <row r="195" spans="3:25" ht="12.75" customHeight="1" x14ac:dyDescent="0.2"/>
    <row r="196" spans="3:25" ht="15" customHeight="1" x14ac:dyDescent="0.2">
      <c r="F196" s="227" t="str">
        <f>Import.Município</f>
        <v>SANTO ÂNGELO - RS</v>
      </c>
      <c r="I196" s="639"/>
      <c r="J196" s="639"/>
      <c r="K196" s="639"/>
      <c r="L196" s="639"/>
      <c r="M196" s="640"/>
      <c r="N196" s="556"/>
      <c r="T196" s="175"/>
      <c r="U196" s="175"/>
      <c r="V196" s="228"/>
      <c r="W196" s="228"/>
      <c r="X196" s="228"/>
      <c r="Y196" s="228"/>
    </row>
    <row r="197" spans="3:25" ht="12.75" customHeight="1" x14ac:dyDescent="0.2">
      <c r="F197" s="12" t="s">
        <v>188</v>
      </c>
      <c r="I197" s="229" t="s">
        <v>190</v>
      </c>
      <c r="J197" s="229"/>
      <c r="K197" s="229"/>
      <c r="L197" s="229"/>
      <c r="T197" s="229" t="s">
        <v>190</v>
      </c>
      <c r="U197" s="229"/>
    </row>
    <row r="198" spans="3:25" ht="12.75" customHeight="1" x14ac:dyDescent="0.2">
      <c r="F198" s="104"/>
      <c r="I198" s="641" t="str">
        <f t="array" aca="1" ref="I198:I200" ca="1">OFFSET(Import.RespOrçamento,0,-1) &amp; " " &amp; Import.RespOrçamento</f>
        <v>Nome: NILSON DO PRADO RODRIGUES</v>
      </c>
      <c r="K198" s="96"/>
      <c r="L198" s="96"/>
      <c r="T198" s="641" t="str">
        <f t="array" aca="1" ref="T198:T200" ca="1">OFFSET(Import.RespOrçamento,0,-1) &amp; " " &amp; Import.RespOrçamento</f>
        <v>Nome: NILSON DO PRADO RODRIGUES</v>
      </c>
      <c r="U198" s="95"/>
    </row>
    <row r="199" spans="3:25" ht="12.75" customHeight="1" x14ac:dyDescent="0.2">
      <c r="F199" s="638">
        <f ca="1">DADOS!$F$25</f>
        <v>45573</v>
      </c>
      <c r="I199" s="641" t="str">
        <f ca="1"/>
        <v>CREA/CAU: 172357-5</v>
      </c>
      <c r="K199" s="96"/>
      <c r="L199" s="96"/>
      <c r="T199" s="641" t="str">
        <f ca="1"/>
        <v>CREA/CAU: 172357-5</v>
      </c>
      <c r="U199" s="95"/>
    </row>
    <row r="200" spans="3:25" ht="12.75" customHeight="1" x14ac:dyDescent="0.2">
      <c r="F200" s="177" t="s">
        <v>189</v>
      </c>
      <c r="I200" s="641" t="str">
        <f ca="1"/>
        <v xml:space="preserve">ART/RRT: </v>
      </c>
      <c r="K200" s="96"/>
      <c r="L200" s="96"/>
      <c r="T200" s="641" t="str">
        <f ca="1"/>
        <v xml:space="preserve">ART/RRT: </v>
      </c>
      <c r="U200" s="95"/>
    </row>
    <row r="201" spans="3:25" ht="12.75" customHeight="1" x14ac:dyDescent="0.2">
      <c r="C201"/>
      <c r="M201"/>
    </row>
    <row r="202" spans="3:25" ht="12.75" customHeight="1" x14ac:dyDescent="0.2">
      <c r="C202"/>
      <c r="M202"/>
    </row>
    <row r="203" spans="3:25" ht="12.75" customHeight="1" x14ac:dyDescent="0.2">
      <c r="C203"/>
      <c r="M203"/>
    </row>
    <row r="204" spans="3:25" ht="12.75" customHeight="1" x14ac:dyDescent="0.2">
      <c r="C204"/>
      <c r="M204"/>
    </row>
    <row r="205" spans="3:25" ht="12.75" customHeight="1" x14ac:dyDescent="0.2">
      <c r="C205"/>
      <c r="M205"/>
    </row>
    <row r="206" spans="3:25" ht="12.75" customHeight="1" x14ac:dyDescent="0.2">
      <c r="C206"/>
      <c r="M206"/>
    </row>
    <row r="207" spans="3:25" ht="12.75" customHeight="1" x14ac:dyDescent="0.2">
      <c r="C207"/>
      <c r="M207"/>
    </row>
    <row r="208" spans="3:25" ht="12.75" customHeight="1" x14ac:dyDescent="0.2">
      <c r="C208"/>
      <c r="M208"/>
    </row>
    <row r="209" spans="3:13" ht="12.75" customHeight="1" x14ac:dyDescent="0.2">
      <c r="C209"/>
      <c r="M209"/>
    </row>
    <row r="210" spans="3:13" ht="12.75" customHeight="1" x14ac:dyDescent="0.2">
      <c r="C210"/>
      <c r="M210"/>
    </row>
    <row r="211" spans="3:13" ht="12.75" customHeight="1" x14ac:dyDescent="0.2">
      <c r="C211"/>
      <c r="M211"/>
    </row>
    <row r="212" spans="3:13" ht="12.75" customHeight="1" x14ac:dyDescent="0.2">
      <c r="C212"/>
      <c r="M212"/>
    </row>
    <row r="213" spans="3:13" ht="12.75" customHeight="1" x14ac:dyDescent="0.2">
      <c r="C213"/>
      <c r="M213"/>
    </row>
    <row r="214" spans="3:13" ht="12.75" customHeight="1" x14ac:dyDescent="0.2">
      <c r="C214"/>
      <c r="M214"/>
    </row>
    <row r="215" spans="3:13" ht="12.75" customHeight="1" x14ac:dyDescent="0.2">
      <c r="C215"/>
      <c r="M215"/>
    </row>
    <row r="216" spans="3:13" ht="12.75" customHeight="1" x14ac:dyDescent="0.2">
      <c r="C216"/>
      <c r="M216"/>
    </row>
    <row r="217" spans="3:13" ht="12.75" customHeight="1" x14ac:dyDescent="0.2">
      <c r="C217"/>
      <c r="M217"/>
    </row>
    <row r="218" spans="3:13" ht="12.75" customHeight="1" x14ac:dyDescent="0.2">
      <c r="C218"/>
      <c r="M218"/>
    </row>
    <row r="219" spans="3:13" ht="12.75" customHeight="1" x14ac:dyDescent="0.2">
      <c r="C219"/>
      <c r="M219"/>
    </row>
    <row r="220" spans="3:13" ht="12.75" customHeight="1" x14ac:dyDescent="0.2">
      <c r="C220"/>
      <c r="M220"/>
    </row>
    <row r="221" spans="3:13" ht="12.75" customHeight="1" x14ac:dyDescent="0.2">
      <c r="C221"/>
      <c r="M221"/>
    </row>
    <row r="222" spans="3:13" ht="12.75" customHeight="1" x14ac:dyDescent="0.2">
      <c r="C222"/>
      <c r="M222"/>
    </row>
    <row r="223" spans="3:13" ht="12.75" customHeight="1" x14ac:dyDescent="0.2">
      <c r="C223"/>
      <c r="M223"/>
    </row>
    <row r="224" spans="3:13" ht="12.75" customHeight="1" x14ac:dyDescent="0.2">
      <c r="C224"/>
      <c r="M224"/>
    </row>
    <row r="225" spans="3:13" ht="12.75" customHeight="1" x14ac:dyDescent="0.2">
      <c r="C225"/>
      <c r="M225"/>
    </row>
    <row r="226" spans="3:13" ht="12.75" customHeight="1" x14ac:dyDescent="0.2">
      <c r="C226"/>
      <c r="M226"/>
    </row>
    <row r="227" spans="3:13" ht="12.75" customHeight="1" x14ac:dyDescent="0.2">
      <c r="C227"/>
      <c r="M227"/>
    </row>
    <row r="228" spans="3:13" ht="12.75" customHeight="1" x14ac:dyDescent="0.2">
      <c r="C228"/>
      <c r="M228"/>
    </row>
    <row r="229" spans="3:13" ht="12.75" customHeight="1" x14ac:dyDescent="0.2">
      <c r="C229"/>
      <c r="M229"/>
    </row>
    <row r="230" spans="3:13" ht="12.75" customHeight="1" x14ac:dyDescent="0.2">
      <c r="C230"/>
      <c r="M230"/>
    </row>
    <row r="231" spans="3:13" ht="12.75" customHeight="1" x14ac:dyDescent="0.2">
      <c r="C231"/>
      <c r="M231"/>
    </row>
    <row r="232" spans="3:13" ht="12.75" customHeight="1" x14ac:dyDescent="0.2">
      <c r="C232"/>
      <c r="M232"/>
    </row>
    <row r="233" spans="3:13" ht="12.75" customHeight="1" x14ac:dyDescent="0.2">
      <c r="C233"/>
      <c r="M233"/>
    </row>
    <row r="234" spans="3:13" ht="12.75" customHeight="1" x14ac:dyDescent="0.2">
      <c r="C234"/>
      <c r="M234"/>
    </row>
    <row r="235" spans="3:13" ht="12.75" customHeight="1" x14ac:dyDescent="0.2">
      <c r="C235"/>
      <c r="M235"/>
    </row>
    <row r="236" spans="3:13" ht="12.75" customHeight="1" x14ac:dyDescent="0.2">
      <c r="C236"/>
      <c r="M236"/>
    </row>
    <row r="237" spans="3:13" ht="12.75" customHeight="1" x14ac:dyDescent="0.2">
      <c r="C237"/>
      <c r="M237"/>
    </row>
    <row r="238" spans="3:13" ht="12.75" customHeight="1" x14ac:dyDescent="0.2">
      <c r="C238"/>
      <c r="M238"/>
    </row>
    <row r="239" spans="3:13" ht="12.75" customHeight="1" x14ac:dyDescent="0.2">
      <c r="C239"/>
      <c r="M239"/>
    </row>
    <row r="240" spans="3:13" ht="12.75" customHeight="1" x14ac:dyDescent="0.2">
      <c r="C240"/>
      <c r="M240"/>
    </row>
    <row r="241" spans="3:13" ht="12.75" customHeight="1" x14ac:dyDescent="0.2">
      <c r="C241"/>
      <c r="M241"/>
    </row>
    <row r="242" spans="3:13" ht="12.75" customHeight="1" x14ac:dyDescent="0.2">
      <c r="C242"/>
      <c r="M242"/>
    </row>
    <row r="243" spans="3:13" ht="12.75" customHeight="1" x14ac:dyDescent="0.2">
      <c r="C243"/>
      <c r="M243"/>
    </row>
    <row r="244" spans="3:13" ht="12.75" customHeight="1" x14ac:dyDescent="0.2">
      <c r="C244"/>
      <c r="M244"/>
    </row>
    <row r="245" spans="3:13" ht="12.75" customHeight="1" x14ac:dyDescent="0.2">
      <c r="C245"/>
      <c r="M245"/>
    </row>
    <row r="246" spans="3:13" ht="12.75" customHeight="1" x14ac:dyDescent="0.2">
      <c r="C246"/>
      <c r="M246"/>
    </row>
    <row r="247" spans="3:13" ht="12.75" customHeight="1" x14ac:dyDescent="0.2">
      <c r="C247"/>
      <c r="M247"/>
    </row>
    <row r="248" spans="3:13" ht="12.75" customHeight="1" x14ac:dyDescent="0.2">
      <c r="C248"/>
      <c r="M248"/>
    </row>
    <row r="249" spans="3:13" ht="12.75" customHeight="1" x14ac:dyDescent="0.2">
      <c r="C249"/>
      <c r="M249"/>
    </row>
    <row r="250" spans="3:13" ht="12.75" customHeight="1" x14ac:dyDescent="0.2">
      <c r="C250"/>
      <c r="M250"/>
    </row>
    <row r="251" spans="3:13" ht="12.75" customHeight="1" x14ac:dyDescent="0.2">
      <c r="C251"/>
      <c r="M251"/>
    </row>
    <row r="252" spans="3:13" ht="12.75" customHeight="1" x14ac:dyDescent="0.2">
      <c r="C252"/>
      <c r="M252"/>
    </row>
    <row r="253" spans="3:13" ht="12.75" customHeight="1" x14ac:dyDescent="0.2">
      <c r="C253"/>
      <c r="M253"/>
    </row>
    <row r="254" spans="3:13" ht="12.75" customHeight="1" x14ac:dyDescent="0.2">
      <c r="C254"/>
      <c r="M254"/>
    </row>
    <row r="255" spans="3:13" ht="12.75" customHeight="1" x14ac:dyDescent="0.2">
      <c r="C255"/>
      <c r="M255"/>
    </row>
    <row r="256" spans="3:13" ht="12.75" customHeight="1" x14ac:dyDescent="0.2">
      <c r="C256"/>
      <c r="M256"/>
    </row>
    <row r="257" spans="3:13" ht="12.75" customHeight="1" x14ac:dyDescent="0.2">
      <c r="C257"/>
      <c r="M257"/>
    </row>
    <row r="258" spans="3:13" ht="12.75" customHeight="1" x14ac:dyDescent="0.2">
      <c r="C258"/>
      <c r="M258"/>
    </row>
    <row r="259" spans="3:13" ht="12.75" customHeight="1" x14ac:dyDescent="0.2">
      <c r="C259"/>
      <c r="M259"/>
    </row>
    <row r="260" spans="3:13" ht="12.75" customHeight="1" x14ac:dyDescent="0.2">
      <c r="C260"/>
      <c r="M260"/>
    </row>
    <row r="261" spans="3:13" ht="12.75" customHeight="1" x14ac:dyDescent="0.2">
      <c r="C261"/>
      <c r="M261"/>
    </row>
    <row r="262" spans="3:13" ht="12.75" customHeight="1" x14ac:dyDescent="0.2">
      <c r="C262"/>
      <c r="M262"/>
    </row>
    <row r="263" spans="3:13" ht="12.75" customHeight="1" x14ac:dyDescent="0.2">
      <c r="C263"/>
      <c r="M263"/>
    </row>
    <row r="264" spans="3:13" ht="12.75" customHeight="1" x14ac:dyDescent="0.2">
      <c r="C264"/>
      <c r="M264"/>
    </row>
    <row r="265" spans="3:13" ht="12.75" customHeight="1" x14ac:dyDescent="0.2">
      <c r="C265"/>
      <c r="M265"/>
    </row>
    <row r="266" spans="3:13" ht="12.75" customHeight="1" x14ac:dyDescent="0.2">
      <c r="C266"/>
      <c r="M266"/>
    </row>
    <row r="267" spans="3:13" ht="12.75" customHeight="1" x14ac:dyDescent="0.2">
      <c r="C267"/>
      <c r="M267"/>
    </row>
    <row r="268" spans="3:13" ht="12.75" customHeight="1" x14ac:dyDescent="0.2">
      <c r="C268"/>
      <c r="M268"/>
    </row>
    <row r="269" spans="3:13" ht="12.75" customHeight="1" x14ac:dyDescent="0.2">
      <c r="C269"/>
      <c r="M269"/>
    </row>
    <row r="270" spans="3:13" ht="12.75" customHeight="1" x14ac:dyDescent="0.2">
      <c r="C270"/>
      <c r="M270"/>
    </row>
    <row r="271" spans="3:13" ht="12.75" customHeight="1" x14ac:dyDescent="0.2">
      <c r="C271"/>
      <c r="M271"/>
    </row>
    <row r="272" spans="3:13" ht="12.75" customHeight="1" x14ac:dyDescent="0.2">
      <c r="C272"/>
      <c r="M272"/>
    </row>
    <row r="273" spans="3:13" ht="12.75" customHeight="1" x14ac:dyDescent="0.2">
      <c r="C273"/>
      <c r="M273"/>
    </row>
    <row r="274" spans="3:13" ht="12.75" customHeight="1" x14ac:dyDescent="0.2">
      <c r="C274"/>
      <c r="M274"/>
    </row>
    <row r="275" spans="3:13" ht="12.75" customHeight="1" x14ac:dyDescent="0.2">
      <c r="C275"/>
      <c r="M275"/>
    </row>
    <row r="276" spans="3:13" ht="12.75" customHeight="1" x14ac:dyDescent="0.2">
      <c r="C276"/>
      <c r="M276"/>
    </row>
    <row r="277" spans="3:13" ht="12.75" customHeight="1" x14ac:dyDescent="0.2">
      <c r="C277"/>
      <c r="M277"/>
    </row>
    <row r="278" spans="3:13" ht="12.75" customHeight="1" x14ac:dyDescent="0.2">
      <c r="C278"/>
      <c r="M278"/>
    </row>
    <row r="279" spans="3:13" ht="12.75" customHeight="1" x14ac:dyDescent="0.2">
      <c r="C279"/>
      <c r="M279"/>
    </row>
    <row r="280" spans="3:13" ht="12.75" customHeight="1" x14ac:dyDescent="0.2">
      <c r="C280"/>
      <c r="M280"/>
    </row>
    <row r="281" spans="3:13" ht="12.75" customHeight="1" x14ac:dyDescent="0.2">
      <c r="C281"/>
      <c r="M281"/>
    </row>
    <row r="282" spans="3:13" ht="12.75" customHeight="1" x14ac:dyDescent="0.2">
      <c r="C282"/>
      <c r="M282"/>
    </row>
    <row r="283" spans="3:13" ht="12.75" customHeight="1" x14ac:dyDescent="0.2">
      <c r="C283"/>
      <c r="M283"/>
    </row>
    <row r="284" spans="3:13" ht="12.75" customHeight="1" x14ac:dyDescent="0.2">
      <c r="C284"/>
      <c r="M284"/>
    </row>
    <row r="285" spans="3:13" ht="12.75" customHeight="1" x14ac:dyDescent="0.2">
      <c r="C285"/>
      <c r="M285"/>
    </row>
    <row r="286" spans="3:13" ht="12.75" customHeight="1" x14ac:dyDescent="0.2">
      <c r="C286"/>
      <c r="M286"/>
    </row>
    <row r="287" spans="3:13" ht="12.75" customHeight="1" x14ac:dyDescent="0.2">
      <c r="C287"/>
      <c r="M287"/>
    </row>
    <row r="288" spans="3:13" ht="12.75" customHeight="1" x14ac:dyDescent="0.2">
      <c r="C288"/>
      <c r="M288"/>
    </row>
    <row r="289" spans="3:13" ht="12.75" customHeight="1" x14ac:dyDescent="0.2">
      <c r="C289"/>
      <c r="M289"/>
    </row>
    <row r="290" spans="3:13" ht="12.75" customHeight="1" x14ac:dyDescent="0.2">
      <c r="C290"/>
      <c r="M290"/>
    </row>
    <row r="291" spans="3:13" ht="12.75" customHeight="1" x14ac:dyDescent="0.2">
      <c r="C291"/>
      <c r="M291"/>
    </row>
    <row r="292" spans="3:13" ht="12.75" customHeight="1" x14ac:dyDescent="0.2">
      <c r="C292"/>
      <c r="M292"/>
    </row>
    <row r="293" spans="3:13" ht="12.75" customHeight="1" x14ac:dyDescent="0.2">
      <c r="C293"/>
      <c r="M293"/>
    </row>
    <row r="294" spans="3:13" ht="12.75" customHeight="1" x14ac:dyDescent="0.2">
      <c r="C294"/>
      <c r="M294"/>
    </row>
    <row r="295" spans="3:13" ht="12.75" customHeight="1" x14ac:dyDescent="0.2">
      <c r="C295"/>
      <c r="M295"/>
    </row>
    <row r="296" spans="3:13" ht="12.75" customHeight="1" x14ac:dyDescent="0.2">
      <c r="C296"/>
      <c r="M296"/>
    </row>
    <row r="297" spans="3:13" ht="12.75" customHeight="1" x14ac:dyDescent="0.2">
      <c r="C297"/>
      <c r="M297"/>
    </row>
    <row r="298" spans="3:13" ht="12.75" customHeight="1" x14ac:dyDescent="0.2">
      <c r="C298"/>
      <c r="M298"/>
    </row>
    <row r="299" spans="3:13" ht="12.75" customHeight="1" x14ac:dyDescent="0.2">
      <c r="C299"/>
      <c r="M299"/>
    </row>
    <row r="300" spans="3:13" ht="12.75" customHeight="1" x14ac:dyDescent="0.2">
      <c r="C300"/>
      <c r="M300"/>
    </row>
    <row r="301" spans="3:13" ht="12.75" customHeight="1" x14ac:dyDescent="0.2">
      <c r="C301"/>
      <c r="M301"/>
    </row>
    <row r="302" spans="3:13" ht="12.75" customHeight="1" x14ac:dyDescent="0.2">
      <c r="C302"/>
      <c r="M302"/>
    </row>
    <row r="303" spans="3:13" ht="12.75" customHeight="1" x14ac:dyDescent="0.2">
      <c r="C303"/>
      <c r="M303"/>
    </row>
    <row r="304" spans="3:13" ht="12.75" customHeight="1" x14ac:dyDescent="0.2">
      <c r="C304"/>
      <c r="M304"/>
    </row>
    <row r="305" spans="3:13" ht="12.75" customHeight="1" x14ac:dyDescent="0.2">
      <c r="C305"/>
      <c r="M305"/>
    </row>
    <row r="306" spans="3:13" ht="12.75" customHeight="1" x14ac:dyDescent="0.2">
      <c r="C306"/>
      <c r="M306"/>
    </row>
    <row r="307" spans="3:13" ht="12.75" customHeight="1" x14ac:dyDescent="0.2">
      <c r="C307"/>
      <c r="M307"/>
    </row>
    <row r="308" spans="3:13" ht="12.75" customHeight="1" x14ac:dyDescent="0.2">
      <c r="C308"/>
      <c r="M308"/>
    </row>
    <row r="309" spans="3:13" ht="12.75" customHeight="1" x14ac:dyDescent="0.2">
      <c r="C309"/>
      <c r="M309"/>
    </row>
    <row r="310" spans="3:13" ht="12.75" customHeight="1" x14ac:dyDescent="0.2">
      <c r="C310"/>
      <c r="M310"/>
    </row>
    <row r="311" spans="3:13" ht="12.75" customHeight="1" x14ac:dyDescent="0.2">
      <c r="C311"/>
      <c r="M311"/>
    </row>
    <row r="312" spans="3:13" ht="12.75" customHeight="1" x14ac:dyDescent="0.2">
      <c r="C312"/>
      <c r="M312"/>
    </row>
    <row r="313" spans="3:13" ht="12.75" customHeight="1" x14ac:dyDescent="0.2">
      <c r="C313"/>
      <c r="M313"/>
    </row>
    <row r="314" spans="3:13" ht="12.75" customHeight="1" x14ac:dyDescent="0.2">
      <c r="C314"/>
      <c r="M314"/>
    </row>
    <row r="315" spans="3:13" ht="12.75" customHeight="1" x14ac:dyDescent="0.2">
      <c r="C315"/>
      <c r="M315"/>
    </row>
    <row r="316" spans="3:13" ht="12.75" customHeight="1" x14ac:dyDescent="0.2">
      <c r="C316"/>
      <c r="M316"/>
    </row>
    <row r="317" spans="3:13" ht="12.75" customHeight="1" x14ac:dyDescent="0.2">
      <c r="C317"/>
      <c r="M317"/>
    </row>
    <row r="318" spans="3:13" ht="12.75" customHeight="1" x14ac:dyDescent="0.2">
      <c r="C318"/>
      <c r="M318"/>
    </row>
    <row r="319" spans="3:13" ht="12.75" customHeight="1" x14ac:dyDescent="0.2">
      <c r="C319"/>
      <c r="M319"/>
    </row>
    <row r="320" spans="3:13" ht="12.75" customHeight="1" x14ac:dyDescent="0.2">
      <c r="C320"/>
      <c r="M320"/>
    </row>
    <row r="321" spans="3:13" ht="12.75" customHeight="1" x14ac:dyDescent="0.2">
      <c r="C321"/>
      <c r="M321"/>
    </row>
    <row r="322" spans="3:13" ht="12.75" customHeight="1" x14ac:dyDescent="0.2">
      <c r="C322"/>
      <c r="M322"/>
    </row>
    <row r="323" spans="3:13" ht="12.75" customHeight="1" x14ac:dyDescent="0.2">
      <c r="C323"/>
      <c r="M323"/>
    </row>
    <row r="324" spans="3:13" ht="12.75" customHeight="1" x14ac:dyDescent="0.2">
      <c r="C324"/>
      <c r="M324"/>
    </row>
    <row r="325" spans="3:13" ht="12.75" customHeight="1" x14ac:dyDescent="0.2">
      <c r="C325"/>
      <c r="M325"/>
    </row>
    <row r="326" spans="3:13" ht="12.75" customHeight="1" x14ac:dyDescent="0.2">
      <c r="C326"/>
      <c r="M326"/>
    </row>
    <row r="327" spans="3:13" ht="12.75" customHeight="1" x14ac:dyDescent="0.2">
      <c r="C327"/>
      <c r="M327"/>
    </row>
    <row r="328" spans="3:13" ht="12.75" customHeight="1" x14ac:dyDescent="0.2">
      <c r="C328"/>
      <c r="M328"/>
    </row>
    <row r="329" spans="3:13" ht="12.75" customHeight="1" x14ac:dyDescent="0.2">
      <c r="C329"/>
      <c r="M329"/>
    </row>
    <row r="330" spans="3:13" ht="12.75" customHeight="1" x14ac:dyDescent="0.2">
      <c r="C330"/>
      <c r="M330"/>
    </row>
    <row r="331" spans="3:13" ht="12.75" customHeight="1" x14ac:dyDescent="0.2">
      <c r="C331"/>
      <c r="M331"/>
    </row>
    <row r="332" spans="3:13" ht="12.75" customHeight="1" x14ac:dyDescent="0.2">
      <c r="C332"/>
      <c r="M332"/>
    </row>
    <row r="333" spans="3:13" ht="12.75" customHeight="1" x14ac:dyDescent="0.2">
      <c r="C333"/>
      <c r="M333"/>
    </row>
    <row r="334" spans="3:13" ht="12.75" customHeight="1" x14ac:dyDescent="0.2">
      <c r="C334"/>
      <c r="M334"/>
    </row>
    <row r="335" spans="3:13" ht="12.75" customHeight="1" x14ac:dyDescent="0.2">
      <c r="C335"/>
      <c r="M335"/>
    </row>
    <row r="336" spans="3:13" ht="12.75" customHeight="1" x14ac:dyDescent="0.2">
      <c r="C336"/>
      <c r="M336"/>
    </row>
    <row r="337" spans="3:13" ht="12.75" customHeight="1" x14ac:dyDescent="0.2">
      <c r="C337"/>
      <c r="M337"/>
    </row>
    <row r="338" spans="3:13" ht="12.75" customHeight="1" x14ac:dyDescent="0.2">
      <c r="C338"/>
      <c r="M338"/>
    </row>
    <row r="339" spans="3:13" ht="12.75" customHeight="1" x14ac:dyDescent="0.2">
      <c r="C339"/>
      <c r="M339"/>
    </row>
    <row r="340" spans="3:13" ht="12.75" customHeight="1" x14ac:dyDescent="0.2">
      <c r="C340"/>
      <c r="M340"/>
    </row>
    <row r="341" spans="3:13" ht="12.75" customHeight="1" x14ac:dyDescent="0.2">
      <c r="C341"/>
      <c r="M341"/>
    </row>
    <row r="342" spans="3:13" ht="12.75" customHeight="1" x14ac:dyDescent="0.2">
      <c r="C342"/>
      <c r="M342"/>
    </row>
    <row r="343" spans="3:13" ht="12.75" customHeight="1" x14ac:dyDescent="0.2">
      <c r="C343"/>
      <c r="M343"/>
    </row>
    <row r="344" spans="3:13" ht="12.75" customHeight="1" x14ac:dyDescent="0.2">
      <c r="C344"/>
      <c r="M344"/>
    </row>
    <row r="345" spans="3:13" ht="12.75" customHeight="1" x14ac:dyDescent="0.2">
      <c r="C345"/>
      <c r="M345"/>
    </row>
    <row r="346" spans="3:13" ht="12.75" customHeight="1" x14ac:dyDescent="0.2">
      <c r="C346"/>
      <c r="M346"/>
    </row>
    <row r="347" spans="3:13" ht="12.75" customHeight="1" x14ac:dyDescent="0.2">
      <c r="C347"/>
      <c r="M347"/>
    </row>
    <row r="348" spans="3:13" ht="12.75" customHeight="1" x14ac:dyDescent="0.2">
      <c r="C348"/>
      <c r="M348"/>
    </row>
    <row r="349" spans="3:13" ht="12.75" customHeight="1" x14ac:dyDescent="0.2">
      <c r="C349"/>
      <c r="M349"/>
    </row>
    <row r="350" spans="3:13" ht="12.75" customHeight="1" x14ac:dyDescent="0.2">
      <c r="C350"/>
      <c r="M350"/>
    </row>
    <row r="351" spans="3:13" ht="12.75" customHeight="1" x14ac:dyDescent="0.2">
      <c r="C351"/>
      <c r="M351"/>
    </row>
    <row r="352" spans="3:13" ht="12.75" customHeight="1" x14ac:dyDescent="0.2">
      <c r="C352"/>
      <c r="M352"/>
    </row>
    <row r="353" spans="3:13" ht="12.75" customHeight="1" x14ac:dyDescent="0.2">
      <c r="C353"/>
      <c r="M353"/>
    </row>
    <row r="354" spans="3:13" ht="12.75" customHeight="1" x14ac:dyDescent="0.2">
      <c r="C354"/>
      <c r="M354"/>
    </row>
    <row r="355" spans="3:13" ht="12.75" customHeight="1" x14ac:dyDescent="0.2">
      <c r="C355"/>
      <c r="M355"/>
    </row>
    <row r="356" spans="3:13" ht="12.75" customHeight="1" x14ac:dyDescent="0.2">
      <c r="C356"/>
      <c r="M356"/>
    </row>
    <row r="357" spans="3:13" ht="12.75" customHeight="1" x14ac:dyDescent="0.2">
      <c r="C357"/>
      <c r="M357"/>
    </row>
    <row r="358" spans="3:13" ht="12.75" customHeight="1" x14ac:dyDescent="0.2">
      <c r="C358"/>
      <c r="M358"/>
    </row>
    <row r="359" spans="3:13" ht="12.75" customHeight="1" x14ac:dyDescent="0.2">
      <c r="C359"/>
      <c r="M359"/>
    </row>
    <row r="360" spans="3:13" ht="12.75" customHeight="1" x14ac:dyDescent="0.2">
      <c r="C360"/>
      <c r="M360"/>
    </row>
    <row r="361" spans="3:13" ht="12.75" customHeight="1" x14ac:dyDescent="0.2">
      <c r="C361"/>
      <c r="M361"/>
    </row>
    <row r="362" spans="3:13" ht="12.75" customHeight="1" x14ac:dyDescent="0.2">
      <c r="C362"/>
      <c r="M362"/>
    </row>
    <row r="363" spans="3:13" ht="12.75" customHeight="1" x14ac:dyDescent="0.2">
      <c r="C363"/>
      <c r="M363"/>
    </row>
    <row r="364" spans="3:13" ht="12.75" customHeight="1" x14ac:dyDescent="0.2">
      <c r="C364"/>
      <c r="M364"/>
    </row>
    <row r="365" spans="3:13" ht="12.75" customHeight="1" x14ac:dyDescent="0.2">
      <c r="C365"/>
      <c r="M365"/>
    </row>
    <row r="366" spans="3:13" ht="12.75" customHeight="1" x14ac:dyDescent="0.2">
      <c r="C366"/>
      <c r="M366"/>
    </row>
    <row r="367" spans="3:13" ht="12.75" customHeight="1" x14ac:dyDescent="0.2">
      <c r="C367"/>
      <c r="M367"/>
    </row>
    <row r="368" spans="3:13" ht="12.75" customHeight="1" x14ac:dyDescent="0.2">
      <c r="C368"/>
      <c r="M368"/>
    </row>
    <row r="369" spans="3:13" ht="12.75" customHeight="1" x14ac:dyDescent="0.2">
      <c r="C369"/>
      <c r="M369"/>
    </row>
    <row r="370" spans="3:13" ht="12.75" customHeight="1" x14ac:dyDescent="0.2">
      <c r="C370"/>
      <c r="M370"/>
    </row>
    <row r="371" spans="3:13" ht="12.75" customHeight="1" x14ac:dyDescent="0.2">
      <c r="C371"/>
      <c r="M371"/>
    </row>
    <row r="372" spans="3:13" ht="12.75" customHeight="1" x14ac:dyDescent="0.2">
      <c r="C372"/>
      <c r="M372"/>
    </row>
    <row r="373" spans="3:13" ht="12.75" customHeight="1" x14ac:dyDescent="0.2">
      <c r="C373"/>
      <c r="M373"/>
    </row>
    <row r="374" spans="3:13" ht="12.75" customHeight="1" x14ac:dyDescent="0.2">
      <c r="C374"/>
      <c r="M374"/>
    </row>
    <row r="375" spans="3:13" ht="12.75" customHeight="1" x14ac:dyDescent="0.2">
      <c r="C375"/>
      <c r="M375"/>
    </row>
    <row r="376" spans="3:13" ht="12.75" customHeight="1" x14ac:dyDescent="0.2">
      <c r="C376"/>
      <c r="M376"/>
    </row>
    <row r="377" spans="3:13" ht="12.75" customHeight="1" x14ac:dyDescent="0.2">
      <c r="C377"/>
      <c r="M377"/>
    </row>
    <row r="378" spans="3:13" ht="12.75" customHeight="1" x14ac:dyDescent="0.2">
      <c r="C378"/>
      <c r="M378"/>
    </row>
    <row r="379" spans="3:13" ht="12.75" customHeight="1" x14ac:dyDescent="0.2">
      <c r="C379"/>
      <c r="M379"/>
    </row>
    <row r="380" spans="3:13" ht="12.75" customHeight="1" x14ac:dyDescent="0.2">
      <c r="C380"/>
      <c r="M380"/>
    </row>
    <row r="381" spans="3:13" ht="12.75" customHeight="1" x14ac:dyDescent="0.2">
      <c r="C381"/>
      <c r="M381"/>
    </row>
    <row r="382" spans="3:13" ht="12.75" customHeight="1" x14ac:dyDescent="0.2">
      <c r="C382"/>
      <c r="M382"/>
    </row>
    <row r="383" spans="3:13" ht="12.75" customHeight="1" x14ac:dyDescent="0.2">
      <c r="C383"/>
      <c r="M383"/>
    </row>
    <row r="384" spans="3:13" ht="12.75" customHeight="1" x14ac:dyDescent="0.2">
      <c r="C384"/>
      <c r="M384"/>
    </row>
    <row r="385" spans="3:13" ht="12.75" customHeight="1" x14ac:dyDescent="0.2">
      <c r="C385"/>
      <c r="M385"/>
    </row>
    <row r="386" spans="3:13" ht="12.75" customHeight="1" x14ac:dyDescent="0.2">
      <c r="C386"/>
      <c r="M386"/>
    </row>
    <row r="387" spans="3:13" ht="12.75" customHeight="1" x14ac:dyDescent="0.2">
      <c r="C387"/>
      <c r="M387"/>
    </row>
    <row r="388" spans="3:13" ht="12.75" customHeight="1" x14ac:dyDescent="0.2">
      <c r="C388"/>
      <c r="M388"/>
    </row>
    <row r="389" spans="3:13" ht="12.75" customHeight="1" x14ac:dyDescent="0.2">
      <c r="C389"/>
      <c r="M389"/>
    </row>
    <row r="390" spans="3:13" ht="12.75" customHeight="1" x14ac:dyDescent="0.2">
      <c r="C390"/>
      <c r="M390"/>
    </row>
    <row r="391" spans="3:13" ht="12.75" customHeight="1" x14ac:dyDescent="0.2">
      <c r="C391"/>
      <c r="M391"/>
    </row>
    <row r="392" spans="3:13" ht="12.75" customHeight="1" x14ac:dyDescent="0.2">
      <c r="C392"/>
      <c r="M392"/>
    </row>
    <row r="393" spans="3:13" ht="12.75" customHeight="1" x14ac:dyDescent="0.2">
      <c r="C393"/>
      <c r="M393"/>
    </row>
    <row r="394" spans="3:13" ht="12.75" customHeight="1" x14ac:dyDescent="0.2">
      <c r="C394"/>
      <c r="M394"/>
    </row>
    <row r="395" spans="3:13" ht="12.75" customHeight="1" x14ac:dyDescent="0.2">
      <c r="C395"/>
      <c r="M395"/>
    </row>
    <row r="396" spans="3:13" ht="12.75" customHeight="1" x14ac:dyDescent="0.2">
      <c r="C396"/>
      <c r="M396"/>
    </row>
    <row r="397" spans="3:13" ht="12.75" customHeight="1" x14ac:dyDescent="0.2">
      <c r="C397"/>
      <c r="M397"/>
    </row>
    <row r="398" spans="3:13" ht="12.75" customHeight="1" x14ac:dyDescent="0.2">
      <c r="C398"/>
      <c r="M398"/>
    </row>
    <row r="399" spans="3:13" ht="12.75" customHeight="1" x14ac:dyDescent="0.2">
      <c r="C399"/>
      <c r="M399"/>
    </row>
    <row r="400" spans="3:13" ht="12.75" customHeight="1" x14ac:dyDescent="0.2">
      <c r="C400"/>
      <c r="M400"/>
    </row>
    <row r="401" spans="3:13" ht="12.75" customHeight="1" x14ac:dyDescent="0.2">
      <c r="C401"/>
      <c r="M401"/>
    </row>
    <row r="402" spans="3:13" ht="12.75" customHeight="1" x14ac:dyDescent="0.2">
      <c r="C402"/>
      <c r="M402"/>
    </row>
    <row r="403" spans="3:13" ht="12.75" customHeight="1" x14ac:dyDescent="0.2">
      <c r="C403"/>
      <c r="M403"/>
    </row>
    <row r="404" spans="3:13" ht="12.75" customHeight="1" x14ac:dyDescent="0.2">
      <c r="C404"/>
      <c r="M404"/>
    </row>
    <row r="405" spans="3:13" ht="12.75" customHeight="1" x14ac:dyDescent="0.2">
      <c r="C405"/>
      <c r="M405"/>
    </row>
    <row r="406" spans="3:13" ht="12.75" customHeight="1" x14ac:dyDescent="0.2">
      <c r="C406"/>
      <c r="M406"/>
    </row>
    <row r="407" spans="3:13" ht="12.75" customHeight="1" x14ac:dyDescent="0.2">
      <c r="C407"/>
      <c r="M407"/>
    </row>
    <row r="408" spans="3:13" ht="12.75" customHeight="1" x14ac:dyDescent="0.2">
      <c r="C408"/>
      <c r="M408"/>
    </row>
    <row r="409" spans="3:13" ht="12.75" customHeight="1" x14ac:dyDescent="0.2">
      <c r="C409"/>
      <c r="M409"/>
    </row>
    <row r="410" spans="3:13" ht="12.75" customHeight="1" x14ac:dyDescent="0.2">
      <c r="C410"/>
      <c r="M410"/>
    </row>
    <row r="411" spans="3:13" ht="12.75" customHeight="1" x14ac:dyDescent="0.2">
      <c r="C411"/>
      <c r="M411"/>
    </row>
    <row r="412" spans="3:13" ht="12.75" customHeight="1" x14ac:dyDescent="0.2">
      <c r="C412"/>
      <c r="M412"/>
    </row>
    <row r="413" spans="3:13" ht="12.75" customHeight="1" x14ac:dyDescent="0.2">
      <c r="C413"/>
      <c r="M413"/>
    </row>
    <row r="414" spans="3:13" ht="12.75" customHeight="1" x14ac:dyDescent="0.2">
      <c r="C414"/>
      <c r="M414"/>
    </row>
    <row r="415" spans="3:13" ht="12.75" customHeight="1" x14ac:dyDescent="0.2">
      <c r="C415"/>
      <c r="M415"/>
    </row>
    <row r="416" spans="3:13" ht="12.75" customHeight="1" x14ac:dyDescent="0.2">
      <c r="C416"/>
      <c r="M416"/>
    </row>
    <row r="417" spans="3:13" ht="12.75" customHeight="1" x14ac:dyDescent="0.2">
      <c r="C417"/>
      <c r="M417"/>
    </row>
    <row r="418" spans="3:13" ht="12.75" customHeight="1" x14ac:dyDescent="0.2">
      <c r="C418"/>
      <c r="M418"/>
    </row>
    <row r="419" spans="3:13" ht="12.75" customHeight="1" x14ac:dyDescent="0.2">
      <c r="C419"/>
      <c r="M419"/>
    </row>
    <row r="420" spans="3:13" ht="12.75" customHeight="1" x14ac:dyDescent="0.2">
      <c r="C420"/>
      <c r="M420"/>
    </row>
    <row r="421" spans="3:13" ht="12.75" customHeight="1" x14ac:dyDescent="0.2">
      <c r="C421"/>
      <c r="M421"/>
    </row>
    <row r="422" spans="3:13" ht="12.75" customHeight="1" x14ac:dyDescent="0.2">
      <c r="C422"/>
      <c r="M422"/>
    </row>
    <row r="423" spans="3:13" ht="12.75" customHeight="1" x14ac:dyDescent="0.2">
      <c r="C423"/>
      <c r="M423"/>
    </row>
    <row r="424" spans="3:13" ht="12.75" customHeight="1" x14ac:dyDescent="0.2">
      <c r="C424"/>
      <c r="M424"/>
    </row>
    <row r="425" spans="3:13" ht="12.75" customHeight="1" x14ac:dyDescent="0.2">
      <c r="C425"/>
      <c r="M425"/>
    </row>
    <row r="426" spans="3:13" ht="12.75" customHeight="1" x14ac:dyDescent="0.2">
      <c r="C426"/>
      <c r="M426"/>
    </row>
    <row r="427" spans="3:13" ht="12.75" customHeight="1" x14ac:dyDescent="0.2">
      <c r="C427"/>
      <c r="M427"/>
    </row>
    <row r="428" spans="3:13" ht="12.75" customHeight="1" x14ac:dyDescent="0.2">
      <c r="C428"/>
      <c r="M428"/>
    </row>
    <row r="429" spans="3:13" ht="12.75" customHeight="1" x14ac:dyDescent="0.2">
      <c r="C429"/>
      <c r="M429"/>
    </row>
    <row r="430" spans="3:13" ht="12.75" customHeight="1" x14ac:dyDescent="0.2">
      <c r="C430"/>
      <c r="M430"/>
    </row>
    <row r="431" spans="3:13" ht="12.75" customHeight="1" x14ac:dyDescent="0.2">
      <c r="C431"/>
      <c r="M431"/>
    </row>
    <row r="432" spans="3:13" ht="12.75" customHeight="1" x14ac:dyDescent="0.2">
      <c r="C432"/>
      <c r="M432"/>
    </row>
    <row r="433" spans="3:13" ht="12.75" customHeight="1" x14ac:dyDescent="0.2">
      <c r="C433"/>
      <c r="M433"/>
    </row>
    <row r="434" spans="3:13" ht="12.75" customHeight="1" x14ac:dyDescent="0.2">
      <c r="C434"/>
      <c r="M434"/>
    </row>
    <row r="435" spans="3:13" ht="12.75" customHeight="1" x14ac:dyDescent="0.2">
      <c r="C435"/>
      <c r="M435"/>
    </row>
    <row r="436" spans="3:13" ht="12.75" customHeight="1" x14ac:dyDescent="0.2">
      <c r="C436"/>
      <c r="M436"/>
    </row>
    <row r="437" spans="3:13" ht="12.75" customHeight="1" x14ac:dyDescent="0.2">
      <c r="C437"/>
      <c r="M437"/>
    </row>
    <row r="438" spans="3:13" ht="12.75" customHeight="1" x14ac:dyDescent="0.2">
      <c r="C438"/>
      <c r="M438"/>
    </row>
    <row r="439" spans="3:13" ht="12.75" customHeight="1" x14ac:dyDescent="0.2">
      <c r="C439"/>
      <c r="M439"/>
    </row>
    <row r="440" spans="3:13" ht="12.75" customHeight="1" x14ac:dyDescent="0.2">
      <c r="C440"/>
      <c r="M440"/>
    </row>
    <row r="441" spans="3:13" ht="12.75" customHeight="1" x14ac:dyDescent="0.2">
      <c r="C441"/>
      <c r="M441"/>
    </row>
    <row r="442" spans="3:13" ht="12.75" customHeight="1" x14ac:dyDescent="0.2">
      <c r="C442"/>
      <c r="M442"/>
    </row>
    <row r="443" spans="3:13" ht="12.75" customHeight="1" x14ac:dyDescent="0.2">
      <c r="C443"/>
      <c r="M443"/>
    </row>
    <row r="444" spans="3:13" ht="12.75" customHeight="1" x14ac:dyDescent="0.2">
      <c r="C444"/>
      <c r="M444"/>
    </row>
    <row r="445" spans="3:13" ht="12.75" customHeight="1" x14ac:dyDescent="0.2">
      <c r="C445"/>
      <c r="M445"/>
    </row>
    <row r="446" spans="3:13" ht="12.75" customHeight="1" x14ac:dyDescent="0.2">
      <c r="C446"/>
      <c r="M446"/>
    </row>
    <row r="447" spans="3:13" ht="12.75" customHeight="1" x14ac:dyDescent="0.2">
      <c r="C447"/>
      <c r="M447"/>
    </row>
    <row r="448" spans="3:13" ht="12.75" customHeight="1" x14ac:dyDescent="0.2">
      <c r="C448"/>
      <c r="M448"/>
    </row>
    <row r="449" spans="3:13" ht="12.75" customHeight="1" x14ac:dyDescent="0.2">
      <c r="C449"/>
      <c r="M449"/>
    </row>
    <row r="450" spans="3:13" ht="12.75" customHeight="1" x14ac:dyDescent="0.2">
      <c r="C450"/>
      <c r="M450"/>
    </row>
    <row r="451" spans="3:13" ht="12.75" customHeight="1" x14ac:dyDescent="0.2">
      <c r="C451"/>
      <c r="M451"/>
    </row>
    <row r="452" spans="3:13" ht="12.75" customHeight="1" x14ac:dyDescent="0.2">
      <c r="C452"/>
      <c r="M452"/>
    </row>
    <row r="453" spans="3:13" ht="12.75" customHeight="1" x14ac:dyDescent="0.2">
      <c r="C453"/>
      <c r="M453"/>
    </row>
    <row r="454" spans="3:13" ht="12.75" customHeight="1" x14ac:dyDescent="0.2">
      <c r="C454"/>
      <c r="M454"/>
    </row>
    <row r="455" spans="3:13" ht="12.75" customHeight="1" x14ac:dyDescent="0.2">
      <c r="C455"/>
      <c r="M455"/>
    </row>
    <row r="456" spans="3:13" ht="12.75" customHeight="1" x14ac:dyDescent="0.2">
      <c r="C456"/>
      <c r="M456"/>
    </row>
    <row r="457" spans="3:13" ht="12.75" customHeight="1" x14ac:dyDescent="0.2">
      <c r="C457"/>
      <c r="M457"/>
    </row>
    <row r="458" spans="3:13" ht="12.75" customHeight="1" x14ac:dyDescent="0.2">
      <c r="C458"/>
      <c r="M458"/>
    </row>
    <row r="459" spans="3:13" ht="12.75" customHeight="1" x14ac:dyDescent="0.2">
      <c r="C459"/>
      <c r="M459"/>
    </row>
    <row r="460" spans="3:13" ht="12.75" customHeight="1" x14ac:dyDescent="0.2">
      <c r="C460"/>
      <c r="M460"/>
    </row>
    <row r="461" spans="3:13" ht="12.75" customHeight="1" x14ac:dyDescent="0.2">
      <c r="C461"/>
      <c r="M461"/>
    </row>
    <row r="462" spans="3:13" ht="12.75" customHeight="1" x14ac:dyDescent="0.2">
      <c r="C462"/>
      <c r="M462"/>
    </row>
    <row r="463" spans="3:13" ht="12.75" customHeight="1" x14ac:dyDescent="0.2">
      <c r="C463"/>
      <c r="M463"/>
    </row>
    <row r="464" spans="3:13" ht="12.75" customHeight="1" x14ac:dyDescent="0.2">
      <c r="C464"/>
      <c r="M464"/>
    </row>
    <row r="465" spans="3:13" ht="12.75" customHeight="1" x14ac:dyDescent="0.2">
      <c r="C465"/>
      <c r="M465"/>
    </row>
    <row r="466" spans="3:13" ht="12.75" customHeight="1" x14ac:dyDescent="0.2">
      <c r="C466"/>
      <c r="M466"/>
    </row>
    <row r="467" spans="3:13" ht="12.75" customHeight="1" x14ac:dyDescent="0.2">
      <c r="C467"/>
      <c r="M467"/>
    </row>
    <row r="468" spans="3:13" ht="12.75" customHeight="1" x14ac:dyDescent="0.2">
      <c r="C468"/>
      <c r="M468"/>
    </row>
    <row r="469" spans="3:13" ht="12.75" customHeight="1" x14ac:dyDescent="0.2">
      <c r="C469"/>
      <c r="M469"/>
    </row>
    <row r="470" spans="3:13" ht="12.75" customHeight="1" x14ac:dyDescent="0.2">
      <c r="C470"/>
      <c r="M470"/>
    </row>
    <row r="471" spans="3:13" ht="12.75" customHeight="1" x14ac:dyDescent="0.2">
      <c r="C471"/>
      <c r="M471"/>
    </row>
    <row r="472" spans="3:13" ht="12.75" customHeight="1" x14ac:dyDescent="0.2">
      <c r="C472"/>
      <c r="M472"/>
    </row>
    <row r="473" spans="3:13" ht="12.75" customHeight="1" x14ac:dyDescent="0.2">
      <c r="C473"/>
      <c r="M473"/>
    </row>
    <row r="474" spans="3:13" ht="12.75" customHeight="1" x14ac:dyDescent="0.2">
      <c r="C474"/>
      <c r="M474"/>
    </row>
    <row r="475" spans="3:13" ht="12.75" customHeight="1" x14ac:dyDescent="0.2">
      <c r="C475"/>
      <c r="M475"/>
    </row>
    <row r="476" spans="3:13" ht="12.75" customHeight="1" x14ac:dyDescent="0.2">
      <c r="C476"/>
      <c r="M476"/>
    </row>
    <row r="477" spans="3:13" ht="12.75" customHeight="1" x14ac:dyDescent="0.2">
      <c r="C477"/>
      <c r="M477"/>
    </row>
    <row r="478" spans="3:13" ht="12.75" customHeight="1" x14ac:dyDescent="0.2">
      <c r="C478"/>
      <c r="M478"/>
    </row>
    <row r="479" spans="3:13" ht="12.75" customHeight="1" x14ac:dyDescent="0.2">
      <c r="C479"/>
      <c r="M479"/>
    </row>
    <row r="480" spans="3:13" ht="12.75" customHeight="1" x14ac:dyDescent="0.2">
      <c r="C480"/>
      <c r="M480"/>
    </row>
    <row r="481" spans="3:13" ht="12.75" customHeight="1" x14ac:dyDescent="0.2">
      <c r="C481"/>
      <c r="M481"/>
    </row>
    <row r="482" spans="3:13" ht="12.75" customHeight="1" x14ac:dyDescent="0.2">
      <c r="C482"/>
      <c r="M482"/>
    </row>
    <row r="483" spans="3:13" ht="12.75" customHeight="1" x14ac:dyDescent="0.2">
      <c r="C483"/>
      <c r="M483"/>
    </row>
    <row r="484" spans="3:13" ht="12.75" customHeight="1" x14ac:dyDescent="0.2">
      <c r="C484"/>
      <c r="M484"/>
    </row>
    <row r="485" spans="3:13" ht="12.75" customHeight="1" x14ac:dyDescent="0.2">
      <c r="C485"/>
      <c r="M485"/>
    </row>
    <row r="486" spans="3:13" ht="12.75" customHeight="1" x14ac:dyDescent="0.2">
      <c r="C486"/>
      <c r="M486"/>
    </row>
    <row r="487" spans="3:13" ht="12.75" customHeight="1" x14ac:dyDescent="0.2">
      <c r="C487"/>
      <c r="M487"/>
    </row>
    <row r="488" spans="3:13" ht="12.75" customHeight="1" x14ac:dyDescent="0.2">
      <c r="C488"/>
      <c r="M488"/>
    </row>
    <row r="489" spans="3:13" ht="12.75" customHeight="1" x14ac:dyDescent="0.2">
      <c r="C489"/>
      <c r="M489"/>
    </row>
    <row r="490" spans="3:13" ht="12.75" customHeight="1" x14ac:dyDescent="0.2">
      <c r="C490"/>
      <c r="M490"/>
    </row>
    <row r="491" spans="3:13" ht="12.75" customHeight="1" x14ac:dyDescent="0.2">
      <c r="C491"/>
      <c r="M491"/>
    </row>
    <row r="492" spans="3:13" ht="12.75" customHeight="1" x14ac:dyDescent="0.2">
      <c r="C492"/>
      <c r="M492"/>
    </row>
    <row r="493" spans="3:13" ht="12.75" customHeight="1" x14ac:dyDescent="0.2">
      <c r="C493"/>
      <c r="M493"/>
    </row>
    <row r="494" spans="3:13" ht="12.75" customHeight="1" x14ac:dyDescent="0.2">
      <c r="C494"/>
      <c r="M494"/>
    </row>
    <row r="495" spans="3:13" ht="12.75" customHeight="1" x14ac:dyDescent="0.2">
      <c r="C495"/>
      <c r="M495"/>
    </row>
    <row r="496" spans="3:13" ht="12.75" customHeight="1" x14ac:dyDescent="0.2">
      <c r="C496"/>
      <c r="M496"/>
    </row>
    <row r="497" spans="3:13" ht="12.75" customHeight="1" x14ac:dyDescent="0.2">
      <c r="C497"/>
      <c r="M497"/>
    </row>
    <row r="498" spans="3:13" ht="12.75" customHeight="1" x14ac:dyDescent="0.2">
      <c r="C498"/>
      <c r="M498"/>
    </row>
    <row r="499" spans="3:13" ht="12.75" customHeight="1" x14ac:dyDescent="0.2">
      <c r="C499"/>
      <c r="M499"/>
    </row>
    <row r="500" spans="3:13" ht="12.75" customHeight="1" x14ac:dyDescent="0.2">
      <c r="C500"/>
      <c r="M500"/>
    </row>
    <row r="501" spans="3:13" ht="12.75" customHeight="1" x14ac:dyDescent="0.2">
      <c r="C501"/>
      <c r="M501"/>
    </row>
    <row r="502" spans="3:13" ht="12.75" customHeight="1" x14ac:dyDescent="0.2">
      <c r="C502"/>
      <c r="M502"/>
    </row>
    <row r="503" spans="3:13" ht="12.75" customHeight="1" x14ac:dyDescent="0.2">
      <c r="C503"/>
      <c r="M503"/>
    </row>
    <row r="504" spans="3:13" ht="12.75" customHeight="1" x14ac:dyDescent="0.2">
      <c r="C504"/>
      <c r="M504"/>
    </row>
    <row r="505" spans="3:13" ht="12.75" customHeight="1" x14ac:dyDescent="0.2">
      <c r="C505"/>
      <c r="M505"/>
    </row>
    <row r="506" spans="3:13" ht="12.75" customHeight="1" x14ac:dyDescent="0.2">
      <c r="C506"/>
      <c r="M506"/>
    </row>
    <row r="507" spans="3:13" ht="12.75" customHeight="1" x14ac:dyDescent="0.2">
      <c r="C507"/>
      <c r="M507"/>
    </row>
    <row r="508" spans="3:13" ht="12.75" customHeight="1" x14ac:dyDescent="0.2">
      <c r="C508"/>
      <c r="M508"/>
    </row>
    <row r="509" spans="3:13" ht="12.75" customHeight="1" x14ac:dyDescent="0.2">
      <c r="C509"/>
      <c r="M509"/>
    </row>
    <row r="510" spans="3:13" ht="12.75" customHeight="1" x14ac:dyDescent="0.2">
      <c r="C510"/>
      <c r="M510"/>
    </row>
    <row r="511" spans="3:13" ht="12.75" customHeight="1" x14ac:dyDescent="0.2">
      <c r="C511"/>
      <c r="M511"/>
    </row>
    <row r="512" spans="3:13" ht="12.75" customHeight="1" x14ac:dyDescent="0.2">
      <c r="C512"/>
      <c r="M512"/>
    </row>
    <row r="513" spans="3:13" ht="12.75" customHeight="1" x14ac:dyDescent="0.2">
      <c r="C513"/>
      <c r="M513"/>
    </row>
    <row r="514" spans="3:13" ht="12.75" customHeight="1" x14ac:dyDescent="0.2">
      <c r="C514"/>
      <c r="M514"/>
    </row>
    <row r="515" spans="3:13" ht="12.75" customHeight="1" x14ac:dyDescent="0.2">
      <c r="C515"/>
      <c r="M515"/>
    </row>
    <row r="516" spans="3:13" ht="12.75" customHeight="1" x14ac:dyDescent="0.2">
      <c r="C516"/>
      <c r="M516"/>
    </row>
    <row r="517" spans="3:13" ht="12.75" customHeight="1" x14ac:dyDescent="0.2">
      <c r="C517"/>
      <c r="M517"/>
    </row>
    <row r="518" spans="3:13" ht="12.75" customHeight="1" x14ac:dyDescent="0.2">
      <c r="C518"/>
      <c r="M518"/>
    </row>
    <row r="519" spans="3:13" ht="12.75" customHeight="1" x14ac:dyDescent="0.2">
      <c r="C519"/>
      <c r="M519"/>
    </row>
    <row r="520" spans="3:13" ht="12.75" customHeight="1" x14ac:dyDescent="0.2">
      <c r="C520"/>
      <c r="M520"/>
    </row>
    <row r="521" spans="3:13" ht="12.75" customHeight="1" x14ac:dyDescent="0.2">
      <c r="C521"/>
      <c r="M521"/>
    </row>
    <row r="522" spans="3:13" ht="12.75" customHeight="1" x14ac:dyDescent="0.2">
      <c r="C522"/>
      <c r="M522"/>
    </row>
    <row r="523" spans="3:13" ht="12.75" customHeight="1" x14ac:dyDescent="0.2">
      <c r="C523"/>
      <c r="M523"/>
    </row>
    <row r="524" spans="3:13" ht="12.75" customHeight="1" x14ac:dyDescent="0.2">
      <c r="C524"/>
      <c r="M524"/>
    </row>
    <row r="525" spans="3:13" ht="12.75" customHeight="1" x14ac:dyDescent="0.2">
      <c r="C525"/>
      <c r="M525"/>
    </row>
    <row r="526" spans="3:13" ht="12.75" customHeight="1" x14ac:dyDescent="0.2">
      <c r="C526"/>
      <c r="M526"/>
    </row>
    <row r="527" spans="3:13" ht="12.75" customHeight="1" x14ac:dyDescent="0.2">
      <c r="C527"/>
      <c r="M527"/>
    </row>
    <row r="528" spans="3:13" ht="12.75" customHeight="1" x14ac:dyDescent="0.2">
      <c r="C528"/>
      <c r="M528"/>
    </row>
    <row r="529" spans="3:13" ht="12.75" customHeight="1" x14ac:dyDescent="0.2">
      <c r="C529"/>
      <c r="M529"/>
    </row>
    <row r="530" spans="3:13" ht="12.75" customHeight="1" x14ac:dyDescent="0.2">
      <c r="C530"/>
      <c r="M530"/>
    </row>
    <row r="531" spans="3:13" ht="12.75" customHeight="1" x14ac:dyDescent="0.2">
      <c r="C531"/>
      <c r="M531"/>
    </row>
    <row r="532" spans="3:13" ht="12.75" customHeight="1" x14ac:dyDescent="0.2">
      <c r="C532"/>
      <c r="M532"/>
    </row>
    <row r="533" spans="3:13" ht="12.75" customHeight="1" x14ac:dyDescent="0.2">
      <c r="C533"/>
      <c r="M533"/>
    </row>
    <row r="534" spans="3:13" ht="12.75" customHeight="1" x14ac:dyDescent="0.2">
      <c r="C534"/>
      <c r="M534"/>
    </row>
    <row r="535" spans="3:13" ht="12.75" customHeight="1" x14ac:dyDescent="0.2">
      <c r="C535"/>
      <c r="M535"/>
    </row>
    <row r="536" spans="3:13" ht="12.75" customHeight="1" x14ac:dyDescent="0.2">
      <c r="C536"/>
      <c r="M536"/>
    </row>
    <row r="537" spans="3:13" ht="12.75" customHeight="1" x14ac:dyDescent="0.2">
      <c r="C537"/>
      <c r="M537"/>
    </row>
    <row r="538" spans="3:13" ht="12.75" customHeight="1" x14ac:dyDescent="0.2">
      <c r="C538"/>
      <c r="M538"/>
    </row>
    <row r="539" spans="3:13" ht="12.75" customHeight="1" x14ac:dyDescent="0.2">
      <c r="C539"/>
      <c r="M539"/>
    </row>
    <row r="540" spans="3:13" ht="12.75" customHeight="1" x14ac:dyDescent="0.2">
      <c r="C540"/>
      <c r="M540"/>
    </row>
    <row r="541" spans="3:13" ht="12.75" customHeight="1" x14ac:dyDescent="0.2">
      <c r="C541"/>
      <c r="M541"/>
    </row>
    <row r="542" spans="3:13" ht="12.75" customHeight="1" x14ac:dyDescent="0.2">
      <c r="C542"/>
      <c r="M542"/>
    </row>
    <row r="543" spans="3:13" ht="12.75" customHeight="1" x14ac:dyDescent="0.2">
      <c r="C543"/>
      <c r="M543"/>
    </row>
    <row r="544" spans="3:13" ht="12.75" customHeight="1" x14ac:dyDescent="0.2">
      <c r="C544"/>
      <c r="M544"/>
    </row>
    <row r="545" spans="3:13" ht="12.75" customHeight="1" x14ac:dyDescent="0.2">
      <c r="C545"/>
      <c r="M545"/>
    </row>
    <row r="546" spans="3:13" ht="12.75" customHeight="1" x14ac:dyDescent="0.2">
      <c r="C546"/>
      <c r="M546"/>
    </row>
    <row r="547" spans="3:13" ht="12.75" customHeight="1" x14ac:dyDescent="0.2">
      <c r="C547"/>
      <c r="M547"/>
    </row>
    <row r="548" spans="3:13" ht="12.75" customHeight="1" x14ac:dyDescent="0.2">
      <c r="C548"/>
      <c r="M548"/>
    </row>
    <row r="549" spans="3:13" ht="12.75" customHeight="1" x14ac:dyDescent="0.2">
      <c r="C549"/>
      <c r="M549"/>
    </row>
    <row r="550" spans="3:13" ht="12.75" customHeight="1" x14ac:dyDescent="0.2">
      <c r="C550"/>
      <c r="M550"/>
    </row>
    <row r="551" spans="3:13" ht="12.75" customHeight="1" x14ac:dyDescent="0.2">
      <c r="C551"/>
      <c r="M551"/>
    </row>
    <row r="552" spans="3:13" ht="12.75" customHeight="1" x14ac:dyDescent="0.2">
      <c r="C552"/>
      <c r="M552"/>
    </row>
    <row r="553" spans="3:13" ht="12.75" customHeight="1" x14ac:dyDescent="0.2">
      <c r="C553"/>
      <c r="M553"/>
    </row>
    <row r="554" spans="3:13" ht="12.75" customHeight="1" x14ac:dyDescent="0.2">
      <c r="C554"/>
      <c r="M554"/>
    </row>
    <row r="555" spans="3:13" ht="12.75" customHeight="1" x14ac:dyDescent="0.2">
      <c r="C555"/>
      <c r="M555"/>
    </row>
    <row r="556" spans="3:13" ht="12.75" customHeight="1" x14ac:dyDescent="0.2">
      <c r="C556"/>
      <c r="M556"/>
    </row>
    <row r="557" spans="3:13" ht="12.75" customHeight="1" x14ac:dyDescent="0.2">
      <c r="C557"/>
      <c r="M557"/>
    </row>
    <row r="558" spans="3:13" ht="12.75" customHeight="1" x14ac:dyDescent="0.2">
      <c r="C558"/>
      <c r="M558"/>
    </row>
    <row r="559" spans="3:13" ht="12.75" customHeight="1" x14ac:dyDescent="0.2">
      <c r="C559"/>
      <c r="M559"/>
    </row>
    <row r="560" spans="3:13" ht="12.75" customHeight="1" x14ac:dyDescent="0.2">
      <c r="C560"/>
      <c r="M560"/>
    </row>
    <row r="561" spans="3:13" ht="12.75" customHeight="1" x14ac:dyDescent="0.2">
      <c r="C561"/>
      <c r="M561"/>
    </row>
    <row r="562" spans="3:13" ht="12.75" customHeight="1" x14ac:dyDescent="0.2">
      <c r="C562"/>
      <c r="M562"/>
    </row>
    <row r="563" spans="3:13" ht="12.75" customHeight="1" x14ac:dyDescent="0.2">
      <c r="C563"/>
      <c r="M563"/>
    </row>
    <row r="564" spans="3:13" ht="12.75" customHeight="1" x14ac:dyDescent="0.2">
      <c r="C564"/>
      <c r="M564"/>
    </row>
    <row r="565" spans="3:13" ht="12.75" customHeight="1" x14ac:dyDescent="0.2">
      <c r="C565"/>
      <c r="M565"/>
    </row>
    <row r="566" spans="3:13" ht="12.75" customHeight="1" x14ac:dyDescent="0.2">
      <c r="C566"/>
      <c r="M566"/>
    </row>
    <row r="567" spans="3:13" ht="12.75" customHeight="1" x14ac:dyDescent="0.2">
      <c r="C567"/>
      <c r="M567"/>
    </row>
    <row r="568" spans="3:13" ht="12.75" customHeight="1" x14ac:dyDescent="0.2">
      <c r="C568"/>
      <c r="M568"/>
    </row>
    <row r="569" spans="3:13" ht="12.75" customHeight="1" x14ac:dyDescent="0.2">
      <c r="C569"/>
      <c r="M569"/>
    </row>
    <row r="570" spans="3:13" ht="12.75" customHeight="1" x14ac:dyDescent="0.2">
      <c r="C570"/>
      <c r="M570"/>
    </row>
    <row r="571" spans="3:13" ht="12.75" customHeight="1" x14ac:dyDescent="0.2">
      <c r="C571"/>
      <c r="M571"/>
    </row>
    <row r="572" spans="3:13" ht="12.75" customHeight="1" x14ac:dyDescent="0.2">
      <c r="C572"/>
      <c r="M572"/>
    </row>
    <row r="573" spans="3:13" ht="12.75" customHeight="1" x14ac:dyDescent="0.2">
      <c r="C573"/>
      <c r="M573"/>
    </row>
    <row r="574" spans="3:13" ht="12.75" customHeight="1" x14ac:dyDescent="0.2">
      <c r="C574"/>
      <c r="M574"/>
    </row>
    <row r="575" spans="3:13" ht="12.75" customHeight="1" x14ac:dyDescent="0.2">
      <c r="C575"/>
      <c r="M575"/>
    </row>
    <row r="576" spans="3:13" ht="12.75" customHeight="1" x14ac:dyDescent="0.2">
      <c r="C576"/>
      <c r="M576"/>
    </row>
    <row r="577" spans="3:13" ht="12.75" customHeight="1" x14ac:dyDescent="0.2">
      <c r="C577"/>
      <c r="M577"/>
    </row>
    <row r="578" spans="3:13" ht="12.75" customHeight="1" x14ac:dyDescent="0.2">
      <c r="C578"/>
      <c r="M578"/>
    </row>
    <row r="579" spans="3:13" ht="12.75" customHeight="1" x14ac:dyDescent="0.2">
      <c r="C579"/>
      <c r="M579"/>
    </row>
    <row r="580" spans="3:13" ht="12.75" customHeight="1" x14ac:dyDescent="0.2">
      <c r="C580"/>
      <c r="M580"/>
    </row>
    <row r="581" spans="3:13" ht="12.75" customHeight="1" x14ac:dyDescent="0.2">
      <c r="C581"/>
      <c r="M581"/>
    </row>
    <row r="582" spans="3:13" ht="12.75" customHeight="1" x14ac:dyDescent="0.2">
      <c r="C582"/>
      <c r="M582"/>
    </row>
    <row r="583" spans="3:13" ht="12.75" customHeight="1" x14ac:dyDescent="0.2">
      <c r="C583"/>
      <c r="M583"/>
    </row>
    <row r="584" spans="3:13" ht="12.75" customHeight="1" x14ac:dyDescent="0.2">
      <c r="C584"/>
      <c r="M584"/>
    </row>
    <row r="585" spans="3:13" ht="12.75" customHeight="1" x14ac:dyDescent="0.2">
      <c r="C585"/>
      <c r="M585"/>
    </row>
    <row r="586" spans="3:13" ht="12.75" customHeight="1" x14ac:dyDescent="0.2">
      <c r="C586"/>
      <c r="M586"/>
    </row>
    <row r="587" spans="3:13" ht="12.75" customHeight="1" x14ac:dyDescent="0.2">
      <c r="C587"/>
      <c r="M587"/>
    </row>
    <row r="588" spans="3:13" ht="12.75" customHeight="1" x14ac:dyDescent="0.2">
      <c r="C588"/>
      <c r="M588"/>
    </row>
    <row r="589" spans="3:13" ht="12.75" customHeight="1" x14ac:dyDescent="0.2">
      <c r="C589"/>
      <c r="M589"/>
    </row>
    <row r="590" spans="3:13" ht="12.75" customHeight="1" x14ac:dyDescent="0.2">
      <c r="C590"/>
      <c r="M590"/>
    </row>
    <row r="591" spans="3:13" ht="12.75" customHeight="1" x14ac:dyDescent="0.2">
      <c r="C591"/>
      <c r="M591"/>
    </row>
    <row r="592" spans="3:13" ht="12.75" customHeight="1" x14ac:dyDescent="0.2">
      <c r="C592"/>
      <c r="M592"/>
    </row>
    <row r="593" spans="3:13" ht="12.75" customHeight="1" x14ac:dyDescent="0.2">
      <c r="C593"/>
      <c r="M593"/>
    </row>
    <row r="594" spans="3:13" ht="12.75" customHeight="1" x14ac:dyDescent="0.2">
      <c r="C594"/>
      <c r="M594"/>
    </row>
    <row r="595" spans="3:13" ht="12.75" customHeight="1" x14ac:dyDescent="0.2">
      <c r="C595"/>
      <c r="M595"/>
    </row>
    <row r="596" spans="3:13" ht="12.75" customHeight="1" x14ac:dyDescent="0.2">
      <c r="C596"/>
      <c r="M596"/>
    </row>
    <row r="597" spans="3:13" ht="12.75" customHeight="1" x14ac:dyDescent="0.2">
      <c r="C597"/>
      <c r="M597"/>
    </row>
    <row r="598" spans="3:13" ht="12.75" customHeight="1" x14ac:dyDescent="0.2">
      <c r="C598"/>
      <c r="M598"/>
    </row>
    <row r="599" spans="3:13" ht="12.75" customHeight="1" x14ac:dyDescent="0.2">
      <c r="C599"/>
      <c r="M599"/>
    </row>
    <row r="600" spans="3:13" ht="12.75" customHeight="1" x14ac:dyDescent="0.2">
      <c r="C600"/>
      <c r="M600"/>
    </row>
    <row r="601" spans="3:13" ht="12.75" customHeight="1" x14ac:dyDescent="0.2">
      <c r="C601"/>
      <c r="M601"/>
    </row>
    <row r="602" spans="3:13" ht="12.75" customHeight="1" x14ac:dyDescent="0.2">
      <c r="C602"/>
      <c r="M602"/>
    </row>
    <row r="603" spans="3:13" ht="12.75" customHeight="1" x14ac:dyDescent="0.2">
      <c r="C603"/>
      <c r="M603"/>
    </row>
    <row r="604" spans="3:13" ht="12.75" customHeight="1" x14ac:dyDescent="0.2">
      <c r="C604"/>
      <c r="M604"/>
    </row>
    <row r="605" spans="3:13" ht="12.75" customHeight="1" x14ac:dyDescent="0.2">
      <c r="C605"/>
      <c r="M605"/>
    </row>
    <row r="606" spans="3:13" ht="12.75" customHeight="1" x14ac:dyDescent="0.2">
      <c r="C606"/>
      <c r="M606"/>
    </row>
    <row r="607" spans="3:13" ht="12.75" customHeight="1" x14ac:dyDescent="0.2">
      <c r="C607"/>
      <c r="M607"/>
    </row>
    <row r="608" spans="3:13" ht="12.75" customHeight="1" x14ac:dyDescent="0.2">
      <c r="C608"/>
      <c r="M608"/>
    </row>
    <row r="609" spans="3:13" ht="12.75" customHeight="1" x14ac:dyDescent="0.2">
      <c r="C609"/>
      <c r="M609"/>
    </row>
    <row r="610" spans="3:13" ht="12.75" customHeight="1" x14ac:dyDescent="0.2">
      <c r="C610"/>
      <c r="M610"/>
    </row>
    <row r="611" spans="3:13" ht="12.75" customHeight="1" x14ac:dyDescent="0.2">
      <c r="C611"/>
      <c r="M611"/>
    </row>
    <row r="612" spans="3:13" ht="12.75" customHeight="1" x14ac:dyDescent="0.2">
      <c r="C612"/>
      <c r="M612"/>
    </row>
    <row r="613" spans="3:13" ht="12.75" customHeight="1" x14ac:dyDescent="0.2">
      <c r="C613"/>
      <c r="M613"/>
    </row>
    <row r="614" spans="3:13" ht="12.75" customHeight="1" x14ac:dyDescent="0.2">
      <c r="C614"/>
      <c r="M614"/>
    </row>
    <row r="615" spans="3:13" ht="12.75" customHeight="1" x14ac:dyDescent="0.2">
      <c r="C615"/>
      <c r="M615"/>
    </row>
    <row r="616" spans="3:13" ht="12.75" customHeight="1" x14ac:dyDescent="0.2">
      <c r="C616"/>
      <c r="M616"/>
    </row>
    <row r="617" spans="3:13" ht="12.75" customHeight="1" x14ac:dyDescent="0.2">
      <c r="C617"/>
      <c r="M617"/>
    </row>
    <row r="618" spans="3:13" ht="12.75" customHeight="1" x14ac:dyDescent="0.2">
      <c r="C618"/>
      <c r="M618"/>
    </row>
    <row r="619" spans="3:13" ht="12.75" customHeight="1" x14ac:dyDescent="0.2">
      <c r="C619"/>
      <c r="M619"/>
    </row>
    <row r="620" spans="3:13" ht="12.75" customHeight="1" x14ac:dyDescent="0.2">
      <c r="C620"/>
      <c r="M620"/>
    </row>
    <row r="621" spans="3:13" ht="12.75" customHeight="1" x14ac:dyDescent="0.2">
      <c r="C621"/>
      <c r="M621"/>
    </row>
    <row r="622" spans="3:13" ht="12.75" customHeight="1" x14ac:dyDescent="0.2">
      <c r="C622"/>
      <c r="M622"/>
    </row>
    <row r="623" spans="3:13" ht="12.75" customHeight="1" x14ac:dyDescent="0.2">
      <c r="C623"/>
      <c r="M623"/>
    </row>
    <row r="624" spans="3:13" ht="12.75" customHeight="1" x14ac:dyDescent="0.2">
      <c r="C624"/>
      <c r="M624"/>
    </row>
    <row r="625" spans="3:13" ht="12.75" customHeight="1" x14ac:dyDescent="0.2">
      <c r="C625"/>
      <c r="M625"/>
    </row>
    <row r="626" spans="3:13" ht="12.75" customHeight="1" x14ac:dyDescent="0.2">
      <c r="C626"/>
      <c r="M626"/>
    </row>
    <row r="627" spans="3:13" ht="12.75" customHeight="1" x14ac:dyDescent="0.2">
      <c r="C627"/>
      <c r="M627"/>
    </row>
    <row r="628" spans="3:13" ht="12.75" customHeight="1" x14ac:dyDescent="0.2">
      <c r="C628"/>
      <c r="M628"/>
    </row>
    <row r="629" spans="3:13" ht="12.75" customHeight="1" x14ac:dyDescent="0.2">
      <c r="C629"/>
      <c r="M629"/>
    </row>
    <row r="630" spans="3:13" ht="12.75" customHeight="1" x14ac:dyDescent="0.2">
      <c r="C630"/>
      <c r="M630"/>
    </row>
    <row r="631" spans="3:13" ht="12.75" customHeight="1" x14ac:dyDescent="0.2">
      <c r="C631"/>
      <c r="M631"/>
    </row>
    <row r="632" spans="3:13" ht="12.75" customHeight="1" x14ac:dyDescent="0.2">
      <c r="C632"/>
      <c r="M632"/>
    </row>
    <row r="633" spans="3:13" ht="12.75" customHeight="1" x14ac:dyDescent="0.2">
      <c r="C633"/>
      <c r="M633"/>
    </row>
    <row r="634" spans="3:13" ht="12.75" customHeight="1" x14ac:dyDescent="0.2">
      <c r="C634"/>
      <c r="M634"/>
    </row>
    <row r="635" spans="3:13" ht="12.75" customHeight="1" x14ac:dyDescent="0.2">
      <c r="C635"/>
      <c r="M635"/>
    </row>
    <row r="636" spans="3:13" ht="12.75" customHeight="1" x14ac:dyDescent="0.2">
      <c r="C636"/>
      <c r="M636"/>
    </row>
    <row r="637" spans="3:13" ht="12.75" customHeight="1" x14ac:dyDescent="0.2">
      <c r="C637"/>
      <c r="M637"/>
    </row>
    <row r="638" spans="3:13" ht="12.75" customHeight="1" x14ac:dyDescent="0.2">
      <c r="C638"/>
      <c r="M638"/>
    </row>
    <row r="639" spans="3:13" ht="12.75" customHeight="1" x14ac:dyDescent="0.2">
      <c r="C639"/>
      <c r="M639"/>
    </row>
    <row r="640" spans="3:13" ht="12.75" customHeight="1" x14ac:dyDescent="0.2">
      <c r="C640"/>
      <c r="M640"/>
    </row>
    <row r="641" spans="3:13" ht="12.75" customHeight="1" x14ac:dyDescent="0.2">
      <c r="C641"/>
      <c r="M641"/>
    </row>
    <row r="642" spans="3:13" ht="12.75" customHeight="1" x14ac:dyDescent="0.2">
      <c r="C642"/>
      <c r="M642"/>
    </row>
    <row r="643" spans="3:13" ht="12.75" customHeight="1" x14ac:dyDescent="0.2">
      <c r="C643"/>
      <c r="M643"/>
    </row>
    <row r="644" spans="3:13" ht="12.75" customHeight="1" x14ac:dyDescent="0.2">
      <c r="C644"/>
      <c r="M644"/>
    </row>
    <row r="645" spans="3:13" ht="12.75" customHeight="1" x14ac:dyDescent="0.2">
      <c r="C645"/>
      <c r="M645"/>
    </row>
    <row r="646" spans="3:13" ht="12.75" customHeight="1" x14ac:dyDescent="0.2">
      <c r="C646"/>
      <c r="M646"/>
    </row>
    <row r="647" spans="3:13" ht="12.75" customHeight="1" x14ac:dyDescent="0.2">
      <c r="C647"/>
      <c r="M647"/>
    </row>
    <row r="648" spans="3:13" ht="12.75" customHeight="1" x14ac:dyDescent="0.2">
      <c r="C648"/>
      <c r="M648"/>
    </row>
    <row r="649" spans="3:13" ht="12.75" customHeight="1" x14ac:dyDescent="0.2">
      <c r="C649"/>
      <c r="M649"/>
    </row>
    <row r="650" spans="3:13" ht="12.75" customHeight="1" x14ac:dyDescent="0.2">
      <c r="C650"/>
      <c r="M650"/>
    </row>
    <row r="651" spans="3:13" ht="12.75" customHeight="1" x14ac:dyDescent="0.2">
      <c r="C651"/>
      <c r="M651"/>
    </row>
    <row r="652" spans="3:13" ht="12.75" customHeight="1" x14ac:dyDescent="0.2">
      <c r="C652"/>
      <c r="M652"/>
    </row>
    <row r="653" spans="3:13" ht="12.75" customHeight="1" x14ac:dyDescent="0.2">
      <c r="C653"/>
      <c r="M653"/>
    </row>
    <row r="654" spans="3:13" ht="12.75" customHeight="1" x14ac:dyDescent="0.2">
      <c r="C654"/>
      <c r="M654"/>
    </row>
    <row r="655" spans="3:13" ht="12.75" customHeight="1" x14ac:dyDescent="0.2">
      <c r="C655"/>
      <c r="M655"/>
    </row>
    <row r="656" spans="3:13" ht="12.75" customHeight="1" x14ac:dyDescent="0.2">
      <c r="C656"/>
      <c r="M656"/>
    </row>
    <row r="657" spans="3:13" ht="12.75" customHeight="1" x14ac:dyDescent="0.2">
      <c r="C657"/>
      <c r="M657"/>
    </row>
    <row r="658" spans="3:13" ht="12.75" customHeight="1" x14ac:dyDescent="0.2">
      <c r="C658"/>
      <c r="M658"/>
    </row>
    <row r="659" spans="3:13" ht="12.75" customHeight="1" x14ac:dyDescent="0.2">
      <c r="C659"/>
      <c r="M659"/>
    </row>
    <row r="660" spans="3:13" ht="12.75" customHeight="1" x14ac:dyDescent="0.2">
      <c r="C660"/>
      <c r="M660"/>
    </row>
    <row r="661" spans="3:13" ht="12.75" customHeight="1" x14ac:dyDescent="0.2">
      <c r="C661"/>
      <c r="M661"/>
    </row>
    <row r="662" spans="3:13" ht="12.75" customHeight="1" x14ac:dyDescent="0.2">
      <c r="C662"/>
      <c r="M662"/>
    </row>
    <row r="663" spans="3:13" ht="12.75" customHeight="1" x14ac:dyDescent="0.2">
      <c r="C663"/>
      <c r="M663"/>
    </row>
    <row r="664" spans="3:13" ht="12.75" customHeight="1" x14ac:dyDescent="0.2">
      <c r="C664"/>
      <c r="M664"/>
    </row>
    <row r="665" spans="3:13" ht="12.75" customHeight="1" x14ac:dyDescent="0.2">
      <c r="C665"/>
      <c r="M665"/>
    </row>
    <row r="666" spans="3:13" ht="12.75" customHeight="1" x14ac:dyDescent="0.2">
      <c r="C666"/>
      <c r="M666"/>
    </row>
    <row r="667" spans="3:13" ht="12.75" customHeight="1" x14ac:dyDescent="0.2">
      <c r="C667"/>
      <c r="M667"/>
    </row>
    <row r="668" spans="3:13" ht="12.75" customHeight="1" x14ac:dyDescent="0.2">
      <c r="C668"/>
      <c r="M668"/>
    </row>
    <row r="669" spans="3:13" ht="12.75" customHeight="1" x14ac:dyDescent="0.2">
      <c r="C669"/>
      <c r="M669"/>
    </row>
    <row r="670" spans="3:13" ht="12.75" customHeight="1" x14ac:dyDescent="0.2">
      <c r="C670"/>
      <c r="M670"/>
    </row>
    <row r="671" spans="3:13" ht="12.75" customHeight="1" x14ac:dyDescent="0.2">
      <c r="C671"/>
      <c r="M671"/>
    </row>
    <row r="672" spans="3:13" ht="12.75" customHeight="1" x14ac:dyDescent="0.2">
      <c r="C672"/>
      <c r="M672"/>
    </row>
    <row r="673" spans="3:13" ht="12.75" customHeight="1" x14ac:dyDescent="0.2">
      <c r="C673"/>
      <c r="M673"/>
    </row>
    <row r="674" spans="3:13" ht="12.75" customHeight="1" x14ac:dyDescent="0.2">
      <c r="C674"/>
      <c r="M674"/>
    </row>
    <row r="675" spans="3:13" ht="12.75" customHeight="1" x14ac:dyDescent="0.2">
      <c r="C675"/>
      <c r="M675"/>
    </row>
    <row r="676" spans="3:13" ht="12.75" customHeight="1" x14ac:dyDescent="0.2">
      <c r="C676"/>
      <c r="M676"/>
    </row>
    <row r="677" spans="3:13" ht="12.75" customHeight="1" x14ac:dyDescent="0.2">
      <c r="C677"/>
      <c r="M677"/>
    </row>
    <row r="678" spans="3:13" ht="12.75" customHeight="1" x14ac:dyDescent="0.2">
      <c r="C678"/>
      <c r="M678"/>
    </row>
    <row r="679" spans="3:13" ht="12.75" customHeight="1" x14ac:dyDescent="0.2">
      <c r="C679"/>
      <c r="M679"/>
    </row>
    <row r="680" spans="3:13" ht="12.75" customHeight="1" x14ac:dyDescent="0.2">
      <c r="C680"/>
      <c r="M680"/>
    </row>
    <row r="681" spans="3:13" ht="12.75" customHeight="1" x14ac:dyDescent="0.2">
      <c r="C681"/>
      <c r="M681"/>
    </row>
    <row r="682" spans="3:13" ht="12.75" customHeight="1" x14ac:dyDescent="0.2">
      <c r="C682"/>
      <c r="M682"/>
    </row>
    <row r="683" spans="3:13" ht="12.75" customHeight="1" x14ac:dyDescent="0.2">
      <c r="C683"/>
      <c r="M683"/>
    </row>
    <row r="684" spans="3:13" ht="12.75" customHeight="1" x14ac:dyDescent="0.2">
      <c r="C684"/>
      <c r="M684"/>
    </row>
    <row r="685" spans="3:13" ht="12.75" customHeight="1" x14ac:dyDescent="0.2">
      <c r="C685"/>
      <c r="M685"/>
    </row>
    <row r="686" spans="3:13" ht="12.75" customHeight="1" x14ac:dyDescent="0.2">
      <c r="C686"/>
      <c r="M686"/>
    </row>
    <row r="687" spans="3:13" ht="12.75" customHeight="1" x14ac:dyDescent="0.2">
      <c r="C687"/>
      <c r="M687"/>
    </row>
    <row r="688" spans="3:13" ht="12.75" customHeight="1" x14ac:dyDescent="0.2">
      <c r="C688"/>
      <c r="M688"/>
    </row>
    <row r="689" spans="3:13" ht="12.75" customHeight="1" x14ac:dyDescent="0.2">
      <c r="C689"/>
      <c r="M689"/>
    </row>
    <row r="690" spans="3:13" ht="12.75" customHeight="1" x14ac:dyDescent="0.2">
      <c r="C690"/>
      <c r="M690"/>
    </row>
    <row r="691" spans="3:13" ht="12.75" customHeight="1" x14ac:dyDescent="0.2">
      <c r="C691"/>
      <c r="M691"/>
    </row>
    <row r="692" spans="3:13" ht="12.75" customHeight="1" x14ac:dyDescent="0.2">
      <c r="C692"/>
      <c r="M692"/>
    </row>
    <row r="693" spans="3:13" ht="12.75" customHeight="1" x14ac:dyDescent="0.2">
      <c r="C693"/>
      <c r="M693"/>
    </row>
    <row r="694" spans="3:13" ht="12.75" customHeight="1" x14ac:dyDescent="0.2">
      <c r="C694"/>
      <c r="M694"/>
    </row>
    <row r="695" spans="3:13" ht="12.75" customHeight="1" x14ac:dyDescent="0.2">
      <c r="C695"/>
      <c r="M695"/>
    </row>
    <row r="696" spans="3:13" ht="12.75" customHeight="1" x14ac:dyDescent="0.2">
      <c r="C696"/>
      <c r="M696"/>
    </row>
    <row r="697" spans="3:13" ht="12.75" customHeight="1" x14ac:dyDescent="0.2">
      <c r="C697"/>
      <c r="M697"/>
    </row>
    <row r="698" spans="3:13" ht="12.75" customHeight="1" x14ac:dyDescent="0.2">
      <c r="C698"/>
      <c r="M698"/>
    </row>
    <row r="699" spans="3:13" ht="12.75" customHeight="1" x14ac:dyDescent="0.2">
      <c r="C699"/>
      <c r="M699"/>
    </row>
    <row r="700" spans="3:13" ht="12.75" customHeight="1" x14ac:dyDescent="0.2">
      <c r="C700"/>
      <c r="M700"/>
    </row>
    <row r="701" spans="3:13" ht="12.75" customHeight="1" x14ac:dyDescent="0.2">
      <c r="C701"/>
      <c r="M701"/>
    </row>
    <row r="702" spans="3:13" ht="12.75" customHeight="1" x14ac:dyDescent="0.2">
      <c r="C702"/>
      <c r="M702"/>
    </row>
    <row r="703" spans="3:13" ht="12.75" customHeight="1" x14ac:dyDescent="0.2">
      <c r="C703"/>
      <c r="M703"/>
    </row>
    <row r="704" spans="3:13" ht="12.75" customHeight="1" x14ac:dyDescent="0.2">
      <c r="C704"/>
      <c r="M704"/>
    </row>
    <row r="705" spans="3:13" ht="12.75" customHeight="1" x14ac:dyDescent="0.2">
      <c r="C705"/>
      <c r="M705"/>
    </row>
    <row r="706" spans="3:13" ht="12.75" customHeight="1" x14ac:dyDescent="0.2">
      <c r="C706"/>
      <c r="M706"/>
    </row>
    <row r="707" spans="3:13" ht="12.75" customHeight="1" x14ac:dyDescent="0.2">
      <c r="C707"/>
      <c r="M707"/>
    </row>
    <row r="708" spans="3:13" ht="12.75" customHeight="1" x14ac:dyDescent="0.2">
      <c r="C708"/>
      <c r="M708"/>
    </row>
    <row r="709" spans="3:13" ht="12.75" customHeight="1" x14ac:dyDescent="0.2">
      <c r="C709"/>
      <c r="M709"/>
    </row>
    <row r="710" spans="3:13" ht="12.75" customHeight="1" x14ac:dyDescent="0.2">
      <c r="C710"/>
      <c r="M710"/>
    </row>
    <row r="711" spans="3:13" ht="12.75" customHeight="1" x14ac:dyDescent="0.2">
      <c r="C711"/>
      <c r="M711"/>
    </row>
    <row r="712" spans="3:13" ht="12.75" customHeight="1" x14ac:dyDescent="0.2">
      <c r="C712"/>
      <c r="M712"/>
    </row>
    <row r="713" spans="3:13" ht="12.75" customHeight="1" x14ac:dyDescent="0.2">
      <c r="C713"/>
      <c r="M713"/>
    </row>
    <row r="714" spans="3:13" ht="12.75" customHeight="1" x14ac:dyDescent="0.2">
      <c r="C714"/>
      <c r="M714"/>
    </row>
    <row r="715" spans="3:13" ht="12.75" customHeight="1" x14ac:dyDescent="0.2">
      <c r="C715"/>
      <c r="M715"/>
    </row>
    <row r="716" spans="3:13" ht="12.75" customHeight="1" x14ac:dyDescent="0.2">
      <c r="C716"/>
      <c r="M716"/>
    </row>
    <row r="717" spans="3:13" ht="12.75" customHeight="1" x14ac:dyDescent="0.2">
      <c r="C717"/>
      <c r="M717"/>
    </row>
    <row r="718" spans="3:13" ht="12.75" customHeight="1" x14ac:dyDescent="0.2">
      <c r="C718"/>
      <c r="M718"/>
    </row>
    <row r="719" spans="3:13" ht="12.75" customHeight="1" x14ac:dyDescent="0.2">
      <c r="C719"/>
      <c r="M719"/>
    </row>
    <row r="720" spans="3:13" ht="12.75" customHeight="1" x14ac:dyDescent="0.2">
      <c r="C720"/>
      <c r="M720"/>
    </row>
    <row r="721" spans="3:13" ht="12.75" customHeight="1" x14ac:dyDescent="0.2">
      <c r="C721"/>
      <c r="M721"/>
    </row>
    <row r="722" spans="3:13" ht="12.75" customHeight="1" x14ac:dyDescent="0.2">
      <c r="C722"/>
      <c r="M722"/>
    </row>
    <row r="723" spans="3:13" ht="12.75" customHeight="1" x14ac:dyDescent="0.2">
      <c r="C723"/>
      <c r="M723"/>
    </row>
    <row r="724" spans="3:13" ht="12.75" customHeight="1" x14ac:dyDescent="0.2">
      <c r="C724"/>
      <c r="M724"/>
    </row>
    <row r="725" spans="3:13" ht="12.75" customHeight="1" x14ac:dyDescent="0.2">
      <c r="C725"/>
      <c r="M725"/>
    </row>
    <row r="726" spans="3:13" ht="12.75" customHeight="1" x14ac:dyDescent="0.2">
      <c r="C726"/>
      <c r="M726"/>
    </row>
    <row r="727" spans="3:13" ht="12.75" customHeight="1" x14ac:dyDescent="0.2">
      <c r="C727"/>
      <c r="M727"/>
    </row>
    <row r="728" spans="3:13" ht="12.75" customHeight="1" x14ac:dyDescent="0.2">
      <c r="C728"/>
      <c r="M728"/>
    </row>
    <row r="729" spans="3:13" ht="12.75" customHeight="1" x14ac:dyDescent="0.2">
      <c r="C729"/>
      <c r="M729"/>
    </row>
    <row r="730" spans="3:13" ht="12.75" customHeight="1" x14ac:dyDescent="0.2">
      <c r="C730"/>
      <c r="M730"/>
    </row>
    <row r="731" spans="3:13" ht="12.75" customHeight="1" x14ac:dyDescent="0.2">
      <c r="C731"/>
      <c r="M731"/>
    </row>
    <row r="732" spans="3:13" ht="12.75" customHeight="1" x14ac:dyDescent="0.2">
      <c r="C732"/>
      <c r="M732"/>
    </row>
    <row r="733" spans="3:13" ht="12.75" customHeight="1" x14ac:dyDescent="0.2">
      <c r="C733"/>
      <c r="M733"/>
    </row>
    <row r="734" spans="3:13" ht="12.75" customHeight="1" x14ac:dyDescent="0.2">
      <c r="C734"/>
      <c r="M734"/>
    </row>
    <row r="735" spans="3:13" ht="12.75" customHeight="1" x14ac:dyDescent="0.2">
      <c r="C735"/>
      <c r="M735"/>
    </row>
    <row r="736" spans="3:13" ht="12.75" customHeight="1" x14ac:dyDescent="0.2">
      <c r="C736"/>
      <c r="M736"/>
    </row>
    <row r="737" spans="3:13" ht="12.75" customHeight="1" x14ac:dyDescent="0.2">
      <c r="C737"/>
      <c r="M737"/>
    </row>
    <row r="738" spans="3:13" ht="12.75" customHeight="1" x14ac:dyDescent="0.2">
      <c r="C738"/>
      <c r="M738"/>
    </row>
    <row r="739" spans="3:13" ht="12.75" customHeight="1" x14ac:dyDescent="0.2">
      <c r="C739"/>
      <c r="M739"/>
    </row>
    <row r="740" spans="3:13" ht="12.75" customHeight="1" x14ac:dyDescent="0.2">
      <c r="C740"/>
      <c r="M740"/>
    </row>
    <row r="741" spans="3:13" ht="12.75" customHeight="1" x14ac:dyDescent="0.2">
      <c r="C741"/>
      <c r="M741"/>
    </row>
    <row r="742" spans="3:13" ht="12.75" customHeight="1" x14ac:dyDescent="0.2">
      <c r="C742"/>
      <c r="M742"/>
    </row>
    <row r="743" spans="3:13" ht="12.75" customHeight="1" x14ac:dyDescent="0.2">
      <c r="C743"/>
      <c r="M743"/>
    </row>
    <row r="744" spans="3:13" ht="12.75" customHeight="1" x14ac:dyDescent="0.2">
      <c r="C744"/>
      <c r="M744"/>
    </row>
    <row r="745" spans="3:13" ht="12.75" customHeight="1" x14ac:dyDescent="0.2">
      <c r="C745"/>
      <c r="M745"/>
    </row>
    <row r="746" spans="3:13" ht="12.75" customHeight="1" x14ac:dyDescent="0.2">
      <c r="C746"/>
      <c r="M746"/>
    </row>
    <row r="747" spans="3:13" ht="12.75" customHeight="1" x14ac:dyDescent="0.2">
      <c r="C747"/>
      <c r="M747"/>
    </row>
    <row r="748" spans="3:13" ht="12.75" customHeight="1" x14ac:dyDescent="0.2">
      <c r="C748"/>
      <c r="M748"/>
    </row>
    <row r="749" spans="3:13" ht="12.75" customHeight="1" x14ac:dyDescent="0.2">
      <c r="C749"/>
      <c r="M749"/>
    </row>
    <row r="750" spans="3:13" ht="12.75" customHeight="1" x14ac:dyDescent="0.2">
      <c r="C750"/>
      <c r="M750"/>
    </row>
    <row r="751" spans="3:13" ht="12.75" customHeight="1" x14ac:dyDescent="0.2">
      <c r="C751"/>
      <c r="M751"/>
    </row>
    <row r="752" spans="3:13" ht="12.75" customHeight="1" x14ac:dyDescent="0.2">
      <c r="C752"/>
      <c r="M752"/>
    </row>
    <row r="753" spans="3:13" ht="12.75" customHeight="1" x14ac:dyDescent="0.2">
      <c r="C753"/>
      <c r="M753"/>
    </row>
    <row r="754" spans="3:13" ht="12.75" customHeight="1" x14ac:dyDescent="0.2">
      <c r="C754"/>
      <c r="M754"/>
    </row>
    <row r="755" spans="3:13" ht="12.75" customHeight="1" x14ac:dyDescent="0.2">
      <c r="C755"/>
      <c r="M755"/>
    </row>
    <row r="756" spans="3:13" ht="12.75" customHeight="1" x14ac:dyDescent="0.2">
      <c r="C756"/>
      <c r="M756"/>
    </row>
    <row r="757" spans="3:13" ht="12.75" customHeight="1" x14ac:dyDescent="0.2">
      <c r="C757"/>
      <c r="M757"/>
    </row>
    <row r="758" spans="3:13" ht="12.75" customHeight="1" x14ac:dyDescent="0.2">
      <c r="C758"/>
      <c r="M758"/>
    </row>
    <row r="759" spans="3:13" ht="12.75" customHeight="1" x14ac:dyDescent="0.2">
      <c r="C759"/>
      <c r="M759"/>
    </row>
    <row r="760" spans="3:13" ht="12.75" customHeight="1" x14ac:dyDescent="0.2">
      <c r="C760"/>
      <c r="M760"/>
    </row>
    <row r="761" spans="3:13" ht="12.75" customHeight="1" x14ac:dyDescent="0.2">
      <c r="C761"/>
      <c r="M761"/>
    </row>
    <row r="762" spans="3:13" ht="12.75" customHeight="1" x14ac:dyDescent="0.2">
      <c r="C762"/>
      <c r="M762"/>
    </row>
    <row r="763" spans="3:13" ht="12.75" customHeight="1" x14ac:dyDescent="0.2">
      <c r="C763"/>
      <c r="M763"/>
    </row>
    <row r="764" spans="3:13" ht="12.75" customHeight="1" x14ac:dyDescent="0.2">
      <c r="C764"/>
      <c r="M764"/>
    </row>
    <row r="765" spans="3:13" ht="12.75" customHeight="1" x14ac:dyDescent="0.2">
      <c r="C765"/>
      <c r="M765"/>
    </row>
    <row r="766" spans="3:13" ht="12.75" customHeight="1" x14ac:dyDescent="0.2">
      <c r="C766"/>
      <c r="M766"/>
    </row>
    <row r="767" spans="3:13" ht="12.75" customHeight="1" x14ac:dyDescent="0.2">
      <c r="C767"/>
      <c r="M767"/>
    </row>
    <row r="768" spans="3:13" ht="12.75" customHeight="1" x14ac:dyDescent="0.2">
      <c r="C768"/>
      <c r="M768"/>
    </row>
    <row r="769" spans="3:13" ht="12.75" customHeight="1" x14ac:dyDescent="0.2">
      <c r="C769"/>
      <c r="M769"/>
    </row>
    <row r="770" spans="3:13" ht="12.75" customHeight="1" x14ac:dyDescent="0.2">
      <c r="C770"/>
      <c r="M770"/>
    </row>
    <row r="771" spans="3:13" ht="12.75" customHeight="1" x14ac:dyDescent="0.2">
      <c r="C771"/>
      <c r="M771"/>
    </row>
    <row r="772" spans="3:13" ht="12.75" customHeight="1" x14ac:dyDescent="0.2">
      <c r="C772"/>
      <c r="M772"/>
    </row>
    <row r="773" spans="3:13" ht="12.75" customHeight="1" x14ac:dyDescent="0.2">
      <c r="C773"/>
      <c r="M773"/>
    </row>
    <row r="774" spans="3:13" ht="12.75" customHeight="1" x14ac:dyDescent="0.2">
      <c r="C774"/>
      <c r="M774"/>
    </row>
    <row r="775" spans="3:13" ht="12.75" customHeight="1" x14ac:dyDescent="0.2">
      <c r="C775"/>
      <c r="M775"/>
    </row>
    <row r="776" spans="3:13" ht="12.75" customHeight="1" x14ac:dyDescent="0.2">
      <c r="C776"/>
      <c r="M776"/>
    </row>
    <row r="777" spans="3:13" ht="12.75" customHeight="1" x14ac:dyDescent="0.2">
      <c r="C777"/>
      <c r="M777"/>
    </row>
    <row r="778" spans="3:13" ht="12.75" customHeight="1" x14ac:dyDescent="0.2">
      <c r="C778"/>
      <c r="M778"/>
    </row>
    <row r="779" spans="3:13" ht="12.75" customHeight="1" x14ac:dyDescent="0.2">
      <c r="C779"/>
      <c r="M779"/>
    </row>
    <row r="780" spans="3:13" ht="12.75" customHeight="1" x14ac:dyDescent="0.2">
      <c r="C780"/>
      <c r="M780"/>
    </row>
    <row r="781" spans="3:13" ht="12.75" customHeight="1" x14ac:dyDescent="0.2">
      <c r="C781"/>
      <c r="M781"/>
    </row>
    <row r="782" spans="3:13" ht="12.75" customHeight="1" x14ac:dyDescent="0.2">
      <c r="C782"/>
      <c r="M782"/>
    </row>
    <row r="783" spans="3:13" ht="12.75" customHeight="1" x14ac:dyDescent="0.2">
      <c r="C783"/>
      <c r="M783"/>
    </row>
    <row r="784" spans="3:13" ht="12.75" customHeight="1" x14ac:dyDescent="0.2">
      <c r="C784"/>
      <c r="M784"/>
    </row>
    <row r="785" spans="3:13" ht="12.75" customHeight="1" x14ac:dyDescent="0.2">
      <c r="C785"/>
      <c r="M785"/>
    </row>
    <row r="786" spans="3:13" ht="12.75" customHeight="1" x14ac:dyDescent="0.2">
      <c r="C786"/>
      <c r="M786"/>
    </row>
    <row r="787" spans="3:13" ht="12.75" customHeight="1" x14ac:dyDescent="0.2">
      <c r="C787"/>
      <c r="M787"/>
    </row>
    <row r="788" spans="3:13" ht="12.75" customHeight="1" x14ac:dyDescent="0.2">
      <c r="C788"/>
      <c r="M788"/>
    </row>
    <row r="789" spans="3:13" ht="12.75" customHeight="1" x14ac:dyDescent="0.2">
      <c r="C789"/>
      <c r="M789"/>
    </row>
    <row r="790" spans="3:13" ht="12.75" customHeight="1" x14ac:dyDescent="0.2">
      <c r="C790"/>
      <c r="M790"/>
    </row>
    <row r="791" spans="3:13" ht="12.75" customHeight="1" x14ac:dyDescent="0.2">
      <c r="C791"/>
      <c r="M791"/>
    </row>
    <row r="792" spans="3:13" ht="12.75" customHeight="1" x14ac:dyDescent="0.2">
      <c r="C792"/>
      <c r="M792"/>
    </row>
    <row r="793" spans="3:13" ht="12.75" customHeight="1" x14ac:dyDescent="0.2">
      <c r="C793"/>
      <c r="M793"/>
    </row>
    <row r="794" spans="3:13" ht="12.75" customHeight="1" x14ac:dyDescent="0.2">
      <c r="C794"/>
      <c r="M794"/>
    </row>
    <row r="795" spans="3:13" ht="12.75" customHeight="1" x14ac:dyDescent="0.2">
      <c r="C795"/>
      <c r="M795"/>
    </row>
    <row r="796" spans="3:13" ht="12.75" customHeight="1" x14ac:dyDescent="0.2">
      <c r="C796"/>
      <c r="M796"/>
    </row>
    <row r="797" spans="3:13" ht="12.75" customHeight="1" x14ac:dyDescent="0.2">
      <c r="C797"/>
      <c r="M797"/>
    </row>
    <row r="798" spans="3:13" ht="12.75" customHeight="1" x14ac:dyDescent="0.2">
      <c r="C798"/>
      <c r="M798"/>
    </row>
    <row r="799" spans="3:13" ht="12.75" customHeight="1" x14ac:dyDescent="0.2">
      <c r="C799"/>
      <c r="M799"/>
    </row>
    <row r="800" spans="3:13" ht="12.75" customHeight="1" x14ac:dyDescent="0.2">
      <c r="C800"/>
      <c r="M800"/>
    </row>
    <row r="801" spans="3:13" ht="12.75" customHeight="1" x14ac:dyDescent="0.2">
      <c r="C801"/>
      <c r="M801"/>
    </row>
    <row r="802" spans="3:13" ht="12.75" customHeight="1" x14ac:dyDescent="0.2">
      <c r="C802"/>
      <c r="M802"/>
    </row>
    <row r="803" spans="3:13" ht="12.75" customHeight="1" x14ac:dyDescent="0.2">
      <c r="C803"/>
      <c r="M803"/>
    </row>
    <row r="804" spans="3:13" ht="12.75" customHeight="1" x14ac:dyDescent="0.2">
      <c r="C804"/>
      <c r="M804"/>
    </row>
    <row r="805" spans="3:13" ht="12.75" customHeight="1" x14ac:dyDescent="0.2">
      <c r="C805"/>
      <c r="M805"/>
    </row>
    <row r="806" spans="3:13" ht="12.75" customHeight="1" x14ac:dyDescent="0.2">
      <c r="C806"/>
      <c r="M806"/>
    </row>
    <row r="807" spans="3:13" ht="12.75" customHeight="1" x14ac:dyDescent="0.2">
      <c r="C807"/>
      <c r="M807"/>
    </row>
    <row r="808" spans="3:13" ht="12.75" customHeight="1" x14ac:dyDescent="0.2">
      <c r="C808"/>
      <c r="M808"/>
    </row>
    <row r="809" spans="3:13" ht="12.75" customHeight="1" x14ac:dyDescent="0.2">
      <c r="C809"/>
      <c r="M809"/>
    </row>
    <row r="810" spans="3:13" ht="12.75" customHeight="1" x14ac:dyDescent="0.2">
      <c r="C810"/>
      <c r="M810"/>
    </row>
    <row r="811" spans="3:13" ht="12.75" customHeight="1" x14ac:dyDescent="0.2">
      <c r="C811"/>
      <c r="M811"/>
    </row>
    <row r="812" spans="3:13" ht="12.75" customHeight="1" x14ac:dyDescent="0.2">
      <c r="C812"/>
      <c r="M812"/>
    </row>
    <row r="813" spans="3:13" ht="12.75" customHeight="1" x14ac:dyDescent="0.2">
      <c r="C813"/>
      <c r="M813"/>
    </row>
    <row r="814" spans="3:13" ht="12.75" customHeight="1" x14ac:dyDescent="0.2">
      <c r="C814"/>
      <c r="M814"/>
    </row>
    <row r="815" spans="3:13" ht="12.75" customHeight="1" x14ac:dyDescent="0.2">
      <c r="C815"/>
      <c r="M815"/>
    </row>
    <row r="816" spans="3:13" ht="12.75" customHeight="1" x14ac:dyDescent="0.2">
      <c r="C816"/>
      <c r="M816"/>
    </row>
    <row r="817" spans="3:13" ht="12.75" customHeight="1" x14ac:dyDescent="0.2">
      <c r="C817"/>
      <c r="M817"/>
    </row>
    <row r="818" spans="3:13" ht="12.75" customHeight="1" x14ac:dyDescent="0.2">
      <c r="C818"/>
      <c r="M818"/>
    </row>
    <row r="819" spans="3:13" ht="12.75" customHeight="1" x14ac:dyDescent="0.2">
      <c r="C819"/>
      <c r="M819"/>
    </row>
    <row r="820" spans="3:13" ht="12.75" customHeight="1" x14ac:dyDescent="0.2">
      <c r="C820"/>
      <c r="M820"/>
    </row>
    <row r="821" spans="3:13" ht="12.75" customHeight="1" x14ac:dyDescent="0.2">
      <c r="C821"/>
      <c r="M821"/>
    </row>
    <row r="822" spans="3:13" ht="12.75" customHeight="1" x14ac:dyDescent="0.2">
      <c r="C822"/>
      <c r="M822"/>
    </row>
    <row r="823" spans="3:13" ht="12.75" customHeight="1" x14ac:dyDescent="0.2">
      <c r="C823"/>
      <c r="M823"/>
    </row>
    <row r="824" spans="3:13" ht="12.75" customHeight="1" x14ac:dyDescent="0.2">
      <c r="C824"/>
      <c r="M824"/>
    </row>
    <row r="825" spans="3:13" ht="12.75" customHeight="1" x14ac:dyDescent="0.2">
      <c r="C825"/>
      <c r="M825"/>
    </row>
    <row r="826" spans="3:13" ht="12.75" customHeight="1" x14ac:dyDescent="0.2">
      <c r="C826"/>
      <c r="M826"/>
    </row>
    <row r="827" spans="3:13" ht="12.75" customHeight="1" x14ac:dyDescent="0.2">
      <c r="C827"/>
      <c r="M827"/>
    </row>
    <row r="828" spans="3:13" ht="12.75" customHeight="1" x14ac:dyDescent="0.2">
      <c r="C828"/>
      <c r="M828"/>
    </row>
    <row r="829" spans="3:13" ht="12.75" customHeight="1" x14ac:dyDescent="0.2">
      <c r="C829"/>
      <c r="M829"/>
    </row>
    <row r="830" spans="3:13" ht="12.75" customHeight="1" x14ac:dyDescent="0.2">
      <c r="C830"/>
      <c r="M830"/>
    </row>
    <row r="831" spans="3:13" ht="12.75" customHeight="1" x14ac:dyDescent="0.2">
      <c r="C831"/>
      <c r="M831"/>
    </row>
    <row r="832" spans="3:13" ht="12.75" customHeight="1" x14ac:dyDescent="0.2">
      <c r="C832"/>
      <c r="M832"/>
    </row>
    <row r="833" spans="3:13" ht="12.75" customHeight="1" x14ac:dyDescent="0.2">
      <c r="C833"/>
      <c r="M833"/>
    </row>
    <row r="834" spans="3:13" ht="12.75" customHeight="1" x14ac:dyDescent="0.2">
      <c r="C834"/>
      <c r="M834"/>
    </row>
    <row r="835" spans="3:13" ht="12.75" customHeight="1" x14ac:dyDescent="0.2">
      <c r="C835"/>
      <c r="M835"/>
    </row>
    <row r="836" spans="3:13" ht="12.75" customHeight="1" x14ac:dyDescent="0.2">
      <c r="C836"/>
      <c r="M836"/>
    </row>
    <row r="837" spans="3:13" ht="12.75" customHeight="1" x14ac:dyDescent="0.2">
      <c r="C837"/>
      <c r="M837"/>
    </row>
    <row r="838" spans="3:13" ht="12.75" customHeight="1" x14ac:dyDescent="0.2">
      <c r="C838"/>
      <c r="M838"/>
    </row>
    <row r="839" spans="3:13" ht="12.75" customHeight="1" x14ac:dyDescent="0.2">
      <c r="C839"/>
      <c r="M839"/>
    </row>
    <row r="840" spans="3:13" ht="12.75" customHeight="1" x14ac:dyDescent="0.2">
      <c r="C840"/>
      <c r="M840"/>
    </row>
    <row r="841" spans="3:13" ht="12.75" customHeight="1" x14ac:dyDescent="0.2">
      <c r="C841"/>
      <c r="M841"/>
    </row>
    <row r="842" spans="3:13" ht="12.75" customHeight="1" x14ac:dyDescent="0.2">
      <c r="C842"/>
      <c r="M842"/>
    </row>
    <row r="843" spans="3:13" ht="12.75" customHeight="1" x14ac:dyDescent="0.2">
      <c r="C843"/>
      <c r="M843"/>
    </row>
    <row r="844" spans="3:13" ht="12.75" customHeight="1" x14ac:dyDescent="0.2">
      <c r="C844"/>
      <c r="M844"/>
    </row>
    <row r="845" spans="3:13" ht="12.75" customHeight="1" x14ac:dyDescent="0.2">
      <c r="C845"/>
      <c r="M845"/>
    </row>
    <row r="846" spans="3:13" ht="12.75" customHeight="1" x14ac:dyDescent="0.2">
      <c r="C846"/>
      <c r="M846"/>
    </row>
    <row r="847" spans="3:13" ht="12.75" customHeight="1" x14ac:dyDescent="0.2">
      <c r="C847"/>
      <c r="M847"/>
    </row>
    <row r="848" spans="3:13" ht="12.75" customHeight="1" x14ac:dyDescent="0.2">
      <c r="C848"/>
      <c r="M848"/>
    </row>
    <row r="849" spans="3:13" ht="12.75" customHeight="1" x14ac:dyDescent="0.2">
      <c r="C849"/>
      <c r="M849"/>
    </row>
    <row r="850" spans="3:13" ht="12.75" customHeight="1" x14ac:dyDescent="0.2">
      <c r="C850"/>
      <c r="M850"/>
    </row>
    <row r="851" spans="3:13" ht="12.75" customHeight="1" x14ac:dyDescent="0.2">
      <c r="C851"/>
      <c r="M851"/>
    </row>
    <row r="852" spans="3:13" ht="12.75" customHeight="1" x14ac:dyDescent="0.2">
      <c r="C852"/>
      <c r="M852"/>
    </row>
    <row r="853" spans="3:13" ht="12.75" customHeight="1" x14ac:dyDescent="0.2">
      <c r="C853"/>
      <c r="M853"/>
    </row>
    <row r="854" spans="3:13" ht="12.75" customHeight="1" x14ac:dyDescent="0.2">
      <c r="C854"/>
      <c r="M854"/>
    </row>
    <row r="855" spans="3:13" ht="12.75" customHeight="1" x14ac:dyDescent="0.2">
      <c r="C855"/>
      <c r="M855"/>
    </row>
    <row r="856" spans="3:13" ht="12.75" customHeight="1" x14ac:dyDescent="0.2">
      <c r="C856"/>
      <c r="M856"/>
    </row>
    <row r="857" spans="3:13" ht="12.75" customHeight="1" x14ac:dyDescent="0.2">
      <c r="C857"/>
      <c r="M857"/>
    </row>
    <row r="858" spans="3:13" ht="12.75" customHeight="1" x14ac:dyDescent="0.2">
      <c r="C858"/>
      <c r="M858"/>
    </row>
    <row r="859" spans="3:13" ht="12.75" customHeight="1" x14ac:dyDescent="0.2">
      <c r="C859"/>
      <c r="M859"/>
    </row>
    <row r="860" spans="3:13" ht="12.75" customHeight="1" x14ac:dyDescent="0.2">
      <c r="C860"/>
      <c r="M860"/>
    </row>
    <row r="861" spans="3:13" ht="12.75" customHeight="1" x14ac:dyDescent="0.2">
      <c r="C861"/>
      <c r="M861"/>
    </row>
    <row r="862" spans="3:13" ht="12.75" customHeight="1" x14ac:dyDescent="0.2">
      <c r="C862"/>
      <c r="M862"/>
    </row>
    <row r="863" spans="3:13" ht="12.75" customHeight="1" x14ac:dyDescent="0.2">
      <c r="C863"/>
      <c r="M863"/>
    </row>
    <row r="864" spans="3:13" ht="12.75" customHeight="1" x14ac:dyDescent="0.2">
      <c r="C864"/>
      <c r="M864"/>
    </row>
    <row r="865" spans="3:13" ht="12.75" customHeight="1" x14ac:dyDescent="0.2">
      <c r="C865"/>
      <c r="M865"/>
    </row>
    <row r="866" spans="3:13" ht="12.75" customHeight="1" x14ac:dyDescent="0.2">
      <c r="C866"/>
      <c r="M866"/>
    </row>
    <row r="867" spans="3:13" ht="12.75" customHeight="1" x14ac:dyDescent="0.2">
      <c r="C867"/>
      <c r="M867"/>
    </row>
    <row r="868" spans="3:13" ht="12.75" customHeight="1" x14ac:dyDescent="0.2">
      <c r="C868"/>
      <c r="M868"/>
    </row>
    <row r="869" spans="3:13" ht="12.75" customHeight="1" x14ac:dyDescent="0.2">
      <c r="C869"/>
      <c r="M869"/>
    </row>
    <row r="870" spans="3:13" ht="12.75" customHeight="1" x14ac:dyDescent="0.2">
      <c r="C870"/>
      <c r="M870"/>
    </row>
    <row r="871" spans="3:13" ht="12.75" customHeight="1" x14ac:dyDescent="0.2">
      <c r="C871"/>
      <c r="M871"/>
    </row>
    <row r="872" spans="3:13" ht="12.75" customHeight="1" x14ac:dyDescent="0.2">
      <c r="C872"/>
      <c r="M872"/>
    </row>
    <row r="873" spans="3:13" ht="12.75" customHeight="1" x14ac:dyDescent="0.2">
      <c r="C873"/>
      <c r="M873"/>
    </row>
    <row r="874" spans="3:13" ht="12.75" customHeight="1" x14ac:dyDescent="0.2">
      <c r="C874"/>
      <c r="M874"/>
    </row>
    <row r="875" spans="3:13" ht="12.75" customHeight="1" x14ac:dyDescent="0.2">
      <c r="C875"/>
      <c r="M875"/>
    </row>
    <row r="876" spans="3:13" ht="12.75" customHeight="1" x14ac:dyDescent="0.2">
      <c r="C876"/>
      <c r="M876"/>
    </row>
    <row r="877" spans="3:13" ht="12.75" customHeight="1" x14ac:dyDescent="0.2">
      <c r="C877"/>
      <c r="M877"/>
    </row>
    <row r="878" spans="3:13" ht="12.75" customHeight="1" x14ac:dyDescent="0.2">
      <c r="C878"/>
      <c r="M878"/>
    </row>
    <row r="879" spans="3:13" ht="12.75" customHeight="1" x14ac:dyDescent="0.2">
      <c r="C879"/>
      <c r="M879"/>
    </row>
    <row r="880" spans="3:13" ht="12.75" customHeight="1" x14ac:dyDescent="0.2">
      <c r="C880"/>
      <c r="M880"/>
    </row>
    <row r="881" spans="3:13" ht="12.75" customHeight="1" x14ac:dyDescent="0.2">
      <c r="C881"/>
      <c r="M881"/>
    </row>
    <row r="882" spans="3:13" ht="12.75" customHeight="1" x14ac:dyDescent="0.2">
      <c r="C882"/>
      <c r="M882"/>
    </row>
    <row r="883" spans="3:13" ht="12.75" customHeight="1" x14ac:dyDescent="0.2">
      <c r="C883"/>
      <c r="M883"/>
    </row>
    <row r="884" spans="3:13" ht="12.75" customHeight="1" x14ac:dyDescent="0.2">
      <c r="C884"/>
      <c r="M884"/>
    </row>
    <row r="885" spans="3:13" ht="12.75" customHeight="1" x14ac:dyDescent="0.2">
      <c r="C885"/>
      <c r="M885"/>
    </row>
    <row r="886" spans="3:13" ht="12.75" customHeight="1" x14ac:dyDescent="0.2">
      <c r="C886"/>
      <c r="M886"/>
    </row>
    <row r="887" spans="3:13" ht="12.75" customHeight="1" x14ac:dyDescent="0.2">
      <c r="C887"/>
      <c r="M887"/>
    </row>
    <row r="888" spans="3:13" ht="12.75" customHeight="1" x14ac:dyDescent="0.2">
      <c r="C888"/>
      <c r="M888"/>
    </row>
    <row r="889" spans="3:13" ht="12.75" customHeight="1" x14ac:dyDescent="0.2">
      <c r="C889"/>
      <c r="M889"/>
    </row>
    <row r="890" spans="3:13" ht="12.75" customHeight="1" x14ac:dyDescent="0.2">
      <c r="C890"/>
      <c r="M890"/>
    </row>
    <row r="891" spans="3:13" ht="12.75" customHeight="1" x14ac:dyDescent="0.2">
      <c r="C891"/>
      <c r="M891"/>
    </row>
    <row r="892" spans="3:13" ht="12.75" customHeight="1" x14ac:dyDescent="0.2">
      <c r="C892"/>
      <c r="M892"/>
    </row>
    <row r="893" spans="3:13" ht="12.75" customHeight="1" x14ac:dyDescent="0.2">
      <c r="C893"/>
      <c r="M893"/>
    </row>
    <row r="894" spans="3:13" ht="12.75" customHeight="1" x14ac:dyDescent="0.2">
      <c r="C894"/>
      <c r="M894"/>
    </row>
    <row r="895" spans="3:13" ht="12.75" customHeight="1" x14ac:dyDescent="0.2">
      <c r="C895"/>
      <c r="M895"/>
    </row>
    <row r="896" spans="3:13" ht="12.75" customHeight="1" x14ac:dyDescent="0.2">
      <c r="C896"/>
      <c r="M896"/>
    </row>
    <row r="897" spans="3:13" ht="12.75" customHeight="1" x14ac:dyDescent="0.2">
      <c r="C897"/>
      <c r="M897"/>
    </row>
    <row r="898" spans="3:13" ht="12.75" customHeight="1" x14ac:dyDescent="0.2">
      <c r="C898"/>
      <c r="M898"/>
    </row>
    <row r="899" spans="3:13" ht="12.75" customHeight="1" x14ac:dyDescent="0.2">
      <c r="C899"/>
      <c r="M899"/>
    </row>
    <row r="900" spans="3:13" ht="12.75" customHeight="1" x14ac:dyDescent="0.2">
      <c r="C900"/>
      <c r="M900"/>
    </row>
    <row r="901" spans="3:13" ht="12.75" customHeight="1" x14ac:dyDescent="0.2">
      <c r="C901"/>
      <c r="M901"/>
    </row>
    <row r="902" spans="3:13" ht="12.75" customHeight="1" x14ac:dyDescent="0.2">
      <c r="C902"/>
      <c r="M902"/>
    </row>
    <row r="903" spans="3:13" ht="12.75" customHeight="1" x14ac:dyDescent="0.2">
      <c r="C903"/>
      <c r="M903"/>
    </row>
    <row r="904" spans="3:13" ht="12.75" customHeight="1" x14ac:dyDescent="0.2">
      <c r="C904"/>
      <c r="M904"/>
    </row>
    <row r="905" spans="3:13" ht="12.75" customHeight="1" x14ac:dyDescent="0.2">
      <c r="C905"/>
      <c r="M905"/>
    </row>
    <row r="906" spans="3:13" ht="12.75" customHeight="1" x14ac:dyDescent="0.2">
      <c r="C906"/>
      <c r="M906"/>
    </row>
    <row r="907" spans="3:13" ht="12.75" customHeight="1" x14ac:dyDescent="0.2">
      <c r="C907"/>
      <c r="M907"/>
    </row>
    <row r="908" spans="3:13" ht="12.75" customHeight="1" x14ac:dyDescent="0.2">
      <c r="C908"/>
      <c r="M908"/>
    </row>
    <row r="909" spans="3:13" ht="12.75" customHeight="1" x14ac:dyDescent="0.2">
      <c r="C909"/>
      <c r="M909"/>
    </row>
    <row r="910" spans="3:13" ht="12.75" customHeight="1" x14ac:dyDescent="0.2">
      <c r="C910"/>
      <c r="M910"/>
    </row>
    <row r="911" spans="3:13" ht="12.75" customHeight="1" x14ac:dyDescent="0.2">
      <c r="C911"/>
      <c r="M911"/>
    </row>
    <row r="912" spans="3:13" ht="12.75" customHeight="1" x14ac:dyDescent="0.2">
      <c r="C912"/>
      <c r="M912"/>
    </row>
    <row r="913" spans="3:13" ht="12.75" customHeight="1" x14ac:dyDescent="0.2">
      <c r="C913"/>
      <c r="M913"/>
    </row>
    <row r="914" spans="3:13" ht="12.75" customHeight="1" x14ac:dyDescent="0.2">
      <c r="C914"/>
      <c r="M914"/>
    </row>
    <row r="915" spans="3:13" ht="12.75" customHeight="1" x14ac:dyDescent="0.2">
      <c r="C915"/>
      <c r="M915"/>
    </row>
    <row r="916" spans="3:13" ht="12.75" customHeight="1" x14ac:dyDescent="0.2">
      <c r="C916"/>
      <c r="M916"/>
    </row>
    <row r="917" spans="3:13" ht="12.75" customHeight="1" x14ac:dyDescent="0.2">
      <c r="C917"/>
      <c r="M917"/>
    </row>
    <row r="918" spans="3:13" ht="12.75" customHeight="1" x14ac:dyDescent="0.2">
      <c r="C918"/>
      <c r="M918"/>
    </row>
    <row r="919" spans="3:13" ht="12.75" customHeight="1" x14ac:dyDescent="0.2">
      <c r="C919"/>
      <c r="M919"/>
    </row>
    <row r="920" spans="3:13" ht="12.75" customHeight="1" x14ac:dyDescent="0.2">
      <c r="C920"/>
      <c r="M920"/>
    </row>
    <row r="921" spans="3:13" ht="12.75" customHeight="1" x14ac:dyDescent="0.2">
      <c r="C921"/>
      <c r="M921"/>
    </row>
    <row r="922" spans="3:13" ht="12.75" customHeight="1" x14ac:dyDescent="0.2">
      <c r="C922"/>
      <c r="M922"/>
    </row>
    <row r="923" spans="3:13" ht="12.75" customHeight="1" x14ac:dyDescent="0.2">
      <c r="C923"/>
      <c r="M923"/>
    </row>
    <row r="924" spans="3:13" ht="12.75" customHeight="1" x14ac:dyDescent="0.2">
      <c r="C924"/>
      <c r="M924"/>
    </row>
    <row r="925" spans="3:13" ht="12.75" customHeight="1" x14ac:dyDescent="0.2">
      <c r="C925"/>
      <c r="M925"/>
    </row>
    <row r="926" spans="3:13" ht="12.75" customHeight="1" x14ac:dyDescent="0.2">
      <c r="C926"/>
      <c r="M926"/>
    </row>
    <row r="927" spans="3:13" ht="12.75" customHeight="1" x14ac:dyDescent="0.2">
      <c r="C927"/>
      <c r="M927"/>
    </row>
    <row r="928" spans="3:13" ht="12.75" customHeight="1" x14ac:dyDescent="0.2">
      <c r="C928"/>
      <c r="M928"/>
    </row>
    <row r="929" spans="3:13" ht="12.75" customHeight="1" x14ac:dyDescent="0.2">
      <c r="C929"/>
      <c r="M929"/>
    </row>
    <row r="930" spans="3:13" ht="12.75" customHeight="1" x14ac:dyDescent="0.2">
      <c r="C930"/>
      <c r="M930"/>
    </row>
    <row r="931" spans="3:13" ht="12.75" customHeight="1" x14ac:dyDescent="0.2">
      <c r="C931"/>
      <c r="M931"/>
    </row>
    <row r="932" spans="3:13" ht="12.75" customHeight="1" x14ac:dyDescent="0.2">
      <c r="C932"/>
      <c r="M932"/>
    </row>
    <row r="933" spans="3:13" ht="12.75" customHeight="1" x14ac:dyDescent="0.2">
      <c r="C933"/>
      <c r="M933"/>
    </row>
    <row r="934" spans="3:13" ht="12.75" customHeight="1" x14ac:dyDescent="0.2">
      <c r="C934"/>
      <c r="M934"/>
    </row>
    <row r="935" spans="3:13" ht="12.75" customHeight="1" x14ac:dyDescent="0.2">
      <c r="C935"/>
      <c r="M935"/>
    </row>
    <row r="936" spans="3:13" ht="12.75" customHeight="1" x14ac:dyDescent="0.2">
      <c r="C936"/>
      <c r="M936"/>
    </row>
    <row r="937" spans="3:13" ht="12.75" customHeight="1" x14ac:dyDescent="0.2">
      <c r="C937"/>
      <c r="M937"/>
    </row>
    <row r="938" spans="3:13" ht="12.75" customHeight="1" x14ac:dyDescent="0.2">
      <c r="C938"/>
      <c r="M938"/>
    </row>
    <row r="939" spans="3:13" ht="12.75" customHeight="1" x14ac:dyDescent="0.2">
      <c r="C939"/>
      <c r="M939"/>
    </row>
    <row r="940" spans="3:13" ht="12.75" customHeight="1" x14ac:dyDescent="0.2">
      <c r="C940"/>
      <c r="M940"/>
    </row>
    <row r="941" spans="3:13" ht="12.75" customHeight="1" x14ac:dyDescent="0.2">
      <c r="C941"/>
      <c r="M941"/>
    </row>
    <row r="942" spans="3:13" ht="12.75" customHeight="1" x14ac:dyDescent="0.2">
      <c r="C942"/>
      <c r="M942"/>
    </row>
    <row r="943" spans="3:13" ht="12.75" customHeight="1" x14ac:dyDescent="0.2">
      <c r="C943"/>
      <c r="M943"/>
    </row>
    <row r="944" spans="3:13" ht="12.75" customHeight="1" x14ac:dyDescent="0.2">
      <c r="C944"/>
      <c r="M944"/>
    </row>
    <row r="945" spans="3:13" ht="12.75" customHeight="1" x14ac:dyDescent="0.2">
      <c r="C945"/>
      <c r="M945"/>
    </row>
    <row r="946" spans="3:13" ht="12.75" customHeight="1" x14ac:dyDescent="0.2">
      <c r="C946"/>
      <c r="M946"/>
    </row>
    <row r="947" spans="3:13" ht="12.75" customHeight="1" x14ac:dyDescent="0.2">
      <c r="C947"/>
      <c r="M947"/>
    </row>
    <row r="948" spans="3:13" ht="12.75" customHeight="1" x14ac:dyDescent="0.2">
      <c r="C948"/>
      <c r="M948"/>
    </row>
    <row r="949" spans="3:13" ht="12.75" customHeight="1" x14ac:dyDescent="0.2">
      <c r="C949"/>
      <c r="M949"/>
    </row>
    <row r="950" spans="3:13" ht="12.75" customHeight="1" x14ac:dyDescent="0.2">
      <c r="C950"/>
      <c r="M950"/>
    </row>
    <row r="951" spans="3:13" ht="12.75" customHeight="1" x14ac:dyDescent="0.2">
      <c r="C951"/>
      <c r="M951"/>
    </row>
    <row r="952" spans="3:13" ht="12.75" customHeight="1" x14ac:dyDescent="0.2">
      <c r="C952"/>
      <c r="M952"/>
    </row>
    <row r="953" spans="3:13" ht="12.75" customHeight="1" x14ac:dyDescent="0.2">
      <c r="C953"/>
      <c r="M953"/>
    </row>
    <row r="954" spans="3:13" ht="12.75" customHeight="1" x14ac:dyDescent="0.2">
      <c r="C954"/>
      <c r="M954"/>
    </row>
    <row r="955" spans="3:13" ht="12.75" customHeight="1" x14ac:dyDescent="0.2">
      <c r="C955"/>
      <c r="M955"/>
    </row>
    <row r="956" spans="3:13" ht="12.75" customHeight="1" x14ac:dyDescent="0.2">
      <c r="C956"/>
      <c r="M956"/>
    </row>
    <row r="957" spans="3:13" ht="12.75" customHeight="1" x14ac:dyDescent="0.2">
      <c r="C957"/>
      <c r="M957"/>
    </row>
    <row r="958" spans="3:13" ht="12.75" customHeight="1" x14ac:dyDescent="0.2">
      <c r="C958"/>
      <c r="M958"/>
    </row>
    <row r="959" spans="3:13" ht="12.75" customHeight="1" x14ac:dyDescent="0.2">
      <c r="C959"/>
      <c r="M959"/>
    </row>
    <row r="960" spans="3:13" ht="12.75" customHeight="1" x14ac:dyDescent="0.2">
      <c r="C960"/>
      <c r="M960"/>
    </row>
    <row r="961" spans="3:13" ht="12.75" customHeight="1" x14ac:dyDescent="0.2">
      <c r="C961"/>
      <c r="M961"/>
    </row>
    <row r="962" spans="3:13" ht="12.75" customHeight="1" x14ac:dyDescent="0.2">
      <c r="C962"/>
      <c r="M962"/>
    </row>
    <row r="963" spans="3:13" ht="12.75" customHeight="1" x14ac:dyDescent="0.2">
      <c r="C963"/>
      <c r="M963"/>
    </row>
    <row r="964" spans="3:13" ht="12.75" customHeight="1" x14ac:dyDescent="0.2">
      <c r="C964"/>
      <c r="M964"/>
    </row>
    <row r="965" spans="3:13" ht="12.75" customHeight="1" x14ac:dyDescent="0.2">
      <c r="C965"/>
      <c r="M965"/>
    </row>
    <row r="966" spans="3:13" ht="12.75" customHeight="1" x14ac:dyDescent="0.2">
      <c r="C966"/>
      <c r="M966"/>
    </row>
    <row r="967" spans="3:13" ht="12.75" customHeight="1" x14ac:dyDescent="0.2">
      <c r="C967"/>
      <c r="M967"/>
    </row>
    <row r="968" spans="3:13" ht="12.75" customHeight="1" x14ac:dyDescent="0.2">
      <c r="C968"/>
      <c r="M968"/>
    </row>
    <row r="969" spans="3:13" ht="12.75" customHeight="1" x14ac:dyDescent="0.2">
      <c r="C969"/>
      <c r="M969"/>
    </row>
    <row r="970" spans="3:13" ht="12.75" customHeight="1" x14ac:dyDescent="0.2">
      <c r="C970"/>
      <c r="M970"/>
    </row>
    <row r="971" spans="3:13" ht="12.75" customHeight="1" x14ac:dyDescent="0.2">
      <c r="C971"/>
      <c r="M971"/>
    </row>
    <row r="972" spans="3:13" ht="12.75" customHeight="1" x14ac:dyDescent="0.2">
      <c r="C972"/>
      <c r="M972"/>
    </row>
    <row r="973" spans="3:13" ht="12.75" customHeight="1" x14ac:dyDescent="0.2">
      <c r="C973"/>
      <c r="M973"/>
    </row>
    <row r="974" spans="3:13" ht="12.75" customHeight="1" x14ac:dyDescent="0.2">
      <c r="C974"/>
      <c r="M974"/>
    </row>
    <row r="975" spans="3:13" ht="12.75" customHeight="1" x14ac:dyDescent="0.2">
      <c r="C975"/>
      <c r="M975"/>
    </row>
    <row r="976" spans="3:13" ht="12.75" customHeight="1" x14ac:dyDescent="0.2">
      <c r="C976"/>
      <c r="M976"/>
    </row>
    <row r="977" spans="3:13" ht="12.75" customHeight="1" x14ac:dyDescent="0.2">
      <c r="C977"/>
      <c r="M977"/>
    </row>
    <row r="978" spans="3:13" ht="12.75" customHeight="1" x14ac:dyDescent="0.2">
      <c r="C978"/>
      <c r="M978"/>
    </row>
    <row r="979" spans="3:13" ht="12.75" customHeight="1" x14ac:dyDescent="0.2">
      <c r="C979"/>
      <c r="M979"/>
    </row>
    <row r="980" spans="3:13" ht="12.75" customHeight="1" x14ac:dyDescent="0.2">
      <c r="C980"/>
      <c r="M980"/>
    </row>
    <row r="981" spans="3:13" ht="12.75" customHeight="1" x14ac:dyDescent="0.2">
      <c r="C981"/>
      <c r="M981"/>
    </row>
    <row r="982" spans="3:13" ht="12.75" customHeight="1" x14ac:dyDescent="0.2">
      <c r="C982"/>
      <c r="M982"/>
    </row>
    <row r="983" spans="3:13" ht="12.75" customHeight="1" x14ac:dyDescent="0.2">
      <c r="C983"/>
      <c r="M983"/>
    </row>
    <row r="984" spans="3:13" ht="12.75" customHeight="1" x14ac:dyDescent="0.2">
      <c r="C984"/>
      <c r="M984"/>
    </row>
    <row r="985" spans="3:13" ht="12.75" customHeight="1" x14ac:dyDescent="0.2">
      <c r="C985"/>
      <c r="M985"/>
    </row>
    <row r="986" spans="3:13" ht="12.75" customHeight="1" x14ac:dyDescent="0.2">
      <c r="C986"/>
      <c r="M986"/>
    </row>
    <row r="987" spans="3:13" ht="12.75" customHeight="1" x14ac:dyDescent="0.2">
      <c r="C987"/>
      <c r="M987"/>
    </row>
    <row r="988" spans="3:13" ht="12.75" customHeight="1" x14ac:dyDescent="0.2">
      <c r="C988"/>
      <c r="M988"/>
    </row>
    <row r="989" spans="3:13" ht="12.75" customHeight="1" x14ac:dyDescent="0.2">
      <c r="C989"/>
      <c r="M989"/>
    </row>
    <row r="990" spans="3:13" ht="12.75" customHeight="1" x14ac:dyDescent="0.2">
      <c r="C990"/>
      <c r="M990"/>
    </row>
    <row r="991" spans="3:13" ht="12.75" customHeight="1" x14ac:dyDescent="0.2">
      <c r="C991"/>
      <c r="M991"/>
    </row>
    <row r="992" spans="3:13" ht="12.75" customHeight="1" x14ac:dyDescent="0.2">
      <c r="C992"/>
      <c r="M992"/>
    </row>
    <row r="993" spans="3:13" ht="12.75" customHeight="1" x14ac:dyDescent="0.2">
      <c r="C993"/>
      <c r="M993"/>
    </row>
    <row r="994" spans="3:13" ht="12.75" customHeight="1" x14ac:dyDescent="0.2">
      <c r="C994"/>
      <c r="M994"/>
    </row>
    <row r="995" spans="3:13" ht="12.75" customHeight="1" x14ac:dyDescent="0.2">
      <c r="C995"/>
      <c r="M995"/>
    </row>
    <row r="996" spans="3:13" ht="12.75" customHeight="1" x14ac:dyDescent="0.2">
      <c r="C996"/>
      <c r="M996"/>
    </row>
    <row r="997" spans="3:13" ht="12.75" customHeight="1" x14ac:dyDescent="0.2">
      <c r="C997"/>
      <c r="M997"/>
    </row>
    <row r="998" spans="3:13" ht="12.75" customHeight="1" x14ac:dyDescent="0.2">
      <c r="C998"/>
      <c r="M998"/>
    </row>
    <row r="999" spans="3:13" ht="12.75" customHeight="1" x14ac:dyDescent="0.2">
      <c r="C999"/>
      <c r="M999"/>
    </row>
    <row r="1000" spans="3:13" ht="12.75" customHeight="1" x14ac:dyDescent="0.2">
      <c r="C1000"/>
      <c r="M1000"/>
    </row>
    <row r="1001" spans="3:13" ht="12.75" customHeight="1" x14ac:dyDescent="0.2">
      <c r="C1001"/>
      <c r="M1001"/>
    </row>
    <row r="1002" spans="3:13" ht="12.75" customHeight="1" x14ac:dyDescent="0.2">
      <c r="C1002"/>
      <c r="M1002"/>
    </row>
    <row r="1003" spans="3:13" ht="12.75" customHeight="1" x14ac:dyDescent="0.2">
      <c r="C1003"/>
      <c r="M1003"/>
    </row>
    <row r="1004" spans="3:13" ht="12.75" customHeight="1" x14ac:dyDescent="0.2">
      <c r="C1004"/>
      <c r="M1004"/>
    </row>
    <row r="1005" spans="3:13" ht="12.75" customHeight="1" x14ac:dyDescent="0.2">
      <c r="C1005"/>
      <c r="M1005"/>
    </row>
    <row r="1006" spans="3:13" ht="12.75" customHeight="1" x14ac:dyDescent="0.2">
      <c r="C1006"/>
      <c r="M1006"/>
    </row>
    <row r="1007" spans="3:13" ht="12.75" customHeight="1" x14ac:dyDescent="0.2">
      <c r="C1007"/>
      <c r="M1007"/>
    </row>
    <row r="1008" spans="3:13" ht="12.75" customHeight="1" x14ac:dyDescent="0.2">
      <c r="C1008"/>
      <c r="M1008"/>
    </row>
    <row r="1009" spans="3:13" ht="12.75" customHeight="1" x14ac:dyDescent="0.2">
      <c r="C1009"/>
      <c r="M1009"/>
    </row>
    <row r="1010" spans="3:13" ht="12.75" customHeight="1" x14ac:dyDescent="0.2">
      <c r="C1010"/>
      <c r="M1010"/>
    </row>
    <row r="1011" spans="3:13" ht="12.75" customHeight="1" x14ac:dyDescent="0.2">
      <c r="C1011"/>
      <c r="M1011"/>
    </row>
    <row r="1012" spans="3:13" ht="12.75" customHeight="1" x14ac:dyDescent="0.2">
      <c r="C1012"/>
      <c r="M1012"/>
    </row>
    <row r="1013" spans="3:13" ht="12.75" customHeight="1" x14ac:dyDescent="0.2">
      <c r="C1013"/>
      <c r="M1013"/>
    </row>
    <row r="1014" spans="3:13" ht="12.75" customHeight="1" x14ac:dyDescent="0.2">
      <c r="C1014"/>
      <c r="M1014"/>
    </row>
    <row r="1015" spans="3:13" ht="12.75" customHeight="1" x14ac:dyDescent="0.2">
      <c r="C1015"/>
      <c r="M1015"/>
    </row>
    <row r="1016" spans="3:13" ht="12.75" customHeight="1" x14ac:dyDescent="0.2">
      <c r="C1016"/>
      <c r="M1016"/>
    </row>
    <row r="1017" spans="3:13" ht="12.75" customHeight="1" x14ac:dyDescent="0.2">
      <c r="C1017"/>
      <c r="M1017"/>
    </row>
    <row r="1018" spans="3:13" ht="12.75" customHeight="1" x14ac:dyDescent="0.2">
      <c r="C1018"/>
      <c r="M1018"/>
    </row>
    <row r="1019" spans="3:13" ht="12.75" customHeight="1" x14ac:dyDescent="0.2">
      <c r="C1019"/>
      <c r="M1019"/>
    </row>
    <row r="1020" spans="3:13" ht="12.75" customHeight="1" x14ac:dyDescent="0.2">
      <c r="C1020"/>
      <c r="M1020"/>
    </row>
    <row r="1021" spans="3:13" ht="12.75" customHeight="1" x14ac:dyDescent="0.2">
      <c r="C1021"/>
      <c r="M1021"/>
    </row>
    <row r="1022" spans="3:13" ht="12.75" customHeight="1" x14ac:dyDescent="0.2">
      <c r="C1022"/>
      <c r="M1022"/>
    </row>
    <row r="1023" spans="3:13" ht="12.75" customHeight="1" x14ac:dyDescent="0.2">
      <c r="C1023"/>
      <c r="M1023"/>
    </row>
    <row r="1024" spans="3:13" ht="12.75" customHeight="1" x14ac:dyDescent="0.2">
      <c r="C1024"/>
      <c r="M1024"/>
    </row>
    <row r="1025" spans="3:13" ht="12.75" customHeight="1" x14ac:dyDescent="0.2">
      <c r="C1025"/>
      <c r="M1025"/>
    </row>
    <row r="1026" spans="3:13" ht="12.75" customHeight="1" x14ac:dyDescent="0.2">
      <c r="C1026"/>
      <c r="M1026"/>
    </row>
    <row r="1027" spans="3:13" ht="12.75" customHeight="1" x14ac:dyDescent="0.2">
      <c r="C1027"/>
      <c r="M1027"/>
    </row>
    <row r="1028" spans="3:13" ht="12.75" customHeight="1" x14ac:dyDescent="0.2">
      <c r="C1028"/>
      <c r="M1028"/>
    </row>
    <row r="1029" spans="3:13" ht="12.75" customHeight="1" x14ac:dyDescent="0.2">
      <c r="C1029"/>
      <c r="M1029"/>
    </row>
    <row r="1030" spans="3:13" ht="12.75" customHeight="1" x14ac:dyDescent="0.2">
      <c r="C1030"/>
      <c r="M1030"/>
    </row>
    <row r="1031" spans="3:13" ht="12.75" customHeight="1" x14ac:dyDescent="0.2">
      <c r="C1031"/>
      <c r="M1031"/>
    </row>
    <row r="1032" spans="3:13" ht="12.75" customHeight="1" x14ac:dyDescent="0.2">
      <c r="C1032"/>
      <c r="M1032"/>
    </row>
    <row r="1033" spans="3:13" ht="12.75" customHeight="1" x14ac:dyDescent="0.2">
      <c r="C1033"/>
      <c r="M1033"/>
    </row>
    <row r="1034" spans="3:13" ht="12.75" customHeight="1" x14ac:dyDescent="0.2">
      <c r="C1034"/>
      <c r="M1034"/>
    </row>
    <row r="1035" spans="3:13" ht="12.75" customHeight="1" x14ac:dyDescent="0.2">
      <c r="C1035"/>
      <c r="M1035"/>
    </row>
    <row r="1036" spans="3:13" ht="12.75" customHeight="1" x14ac:dyDescent="0.2">
      <c r="C1036"/>
      <c r="M1036"/>
    </row>
    <row r="1037" spans="3:13" ht="12.75" customHeight="1" x14ac:dyDescent="0.2">
      <c r="C1037"/>
      <c r="M1037"/>
    </row>
    <row r="1038" spans="3:13" ht="12.75" customHeight="1" x14ac:dyDescent="0.2">
      <c r="C1038"/>
      <c r="M1038"/>
    </row>
    <row r="1039" spans="3:13" ht="12.75" customHeight="1" x14ac:dyDescent="0.2">
      <c r="C1039"/>
      <c r="M1039"/>
    </row>
    <row r="1040" spans="3:13" ht="12.75" customHeight="1" x14ac:dyDescent="0.2">
      <c r="C1040"/>
      <c r="M1040"/>
    </row>
    <row r="1041" spans="3:13" ht="12.75" customHeight="1" x14ac:dyDescent="0.2">
      <c r="C1041"/>
      <c r="M1041"/>
    </row>
    <row r="1042" spans="3:13" ht="12.75" customHeight="1" x14ac:dyDescent="0.2">
      <c r="C1042"/>
      <c r="M1042"/>
    </row>
    <row r="1043" spans="3:13" ht="12.75" customHeight="1" x14ac:dyDescent="0.2">
      <c r="C1043"/>
      <c r="M1043"/>
    </row>
    <row r="1044" spans="3:13" ht="12.75" customHeight="1" x14ac:dyDescent="0.2">
      <c r="C1044"/>
      <c r="M1044"/>
    </row>
    <row r="1045" spans="3:13" ht="12.75" customHeight="1" x14ac:dyDescent="0.2">
      <c r="C1045"/>
      <c r="M1045"/>
    </row>
    <row r="1046" spans="3:13" ht="12.75" customHeight="1" x14ac:dyDescent="0.2">
      <c r="C1046"/>
      <c r="M1046"/>
    </row>
    <row r="1047" spans="3:13" ht="12.75" customHeight="1" x14ac:dyDescent="0.2">
      <c r="C1047"/>
      <c r="M1047"/>
    </row>
    <row r="1048" spans="3:13" ht="12.75" customHeight="1" x14ac:dyDescent="0.2">
      <c r="C1048"/>
      <c r="M1048"/>
    </row>
    <row r="1049" spans="3:13" ht="12.75" customHeight="1" x14ac:dyDescent="0.2">
      <c r="C1049"/>
      <c r="M1049"/>
    </row>
    <row r="1050" spans="3:13" ht="12.75" customHeight="1" x14ac:dyDescent="0.2">
      <c r="C1050"/>
      <c r="M1050"/>
    </row>
    <row r="1051" spans="3:13" ht="12.75" customHeight="1" x14ac:dyDescent="0.2">
      <c r="C1051"/>
      <c r="M1051"/>
    </row>
    <row r="1052" spans="3:13" ht="12.75" customHeight="1" x14ac:dyDescent="0.2">
      <c r="C1052"/>
      <c r="M1052"/>
    </row>
    <row r="1053" spans="3:13" ht="12.75" customHeight="1" x14ac:dyDescent="0.2">
      <c r="C1053"/>
      <c r="M1053"/>
    </row>
    <row r="1054" spans="3:13" ht="12.75" customHeight="1" x14ac:dyDescent="0.2">
      <c r="C1054"/>
      <c r="M1054"/>
    </row>
    <row r="1055" spans="3:13" ht="12.75" customHeight="1" x14ac:dyDescent="0.2">
      <c r="C1055"/>
      <c r="M1055"/>
    </row>
    <row r="1056" spans="3:13" ht="12.75" customHeight="1" x14ac:dyDescent="0.2">
      <c r="C1056"/>
      <c r="M1056"/>
    </row>
    <row r="1057" spans="3:13" ht="12.75" customHeight="1" x14ac:dyDescent="0.2">
      <c r="C1057"/>
      <c r="M1057"/>
    </row>
    <row r="1058" spans="3:13" ht="12.75" customHeight="1" x14ac:dyDescent="0.2">
      <c r="C1058"/>
      <c r="M1058"/>
    </row>
    <row r="1059" spans="3:13" ht="12.75" customHeight="1" x14ac:dyDescent="0.2">
      <c r="C1059"/>
      <c r="M1059"/>
    </row>
    <row r="1060" spans="3:13" ht="12.75" customHeight="1" x14ac:dyDescent="0.2">
      <c r="C1060"/>
      <c r="M1060"/>
    </row>
    <row r="1061" spans="3:13" ht="12.75" customHeight="1" x14ac:dyDescent="0.2">
      <c r="C1061"/>
      <c r="M1061"/>
    </row>
    <row r="1062" spans="3:13" ht="12.75" customHeight="1" x14ac:dyDescent="0.2">
      <c r="C1062"/>
      <c r="M1062"/>
    </row>
    <row r="1063" spans="3:13" ht="12.75" customHeight="1" x14ac:dyDescent="0.2">
      <c r="C1063"/>
      <c r="M1063"/>
    </row>
    <row r="1064" spans="3:13" ht="12.75" customHeight="1" x14ac:dyDescent="0.2">
      <c r="C1064"/>
      <c r="M1064"/>
    </row>
    <row r="1065" spans="3:13" ht="12.75" customHeight="1" x14ac:dyDescent="0.2">
      <c r="C1065"/>
      <c r="M1065"/>
    </row>
    <row r="1066" spans="3:13" ht="12.75" customHeight="1" x14ac:dyDescent="0.2">
      <c r="C1066"/>
      <c r="M1066"/>
    </row>
    <row r="1067" spans="3:13" ht="12.75" customHeight="1" x14ac:dyDescent="0.2">
      <c r="C1067"/>
      <c r="M1067"/>
    </row>
    <row r="1068" spans="3:13" ht="12.75" customHeight="1" x14ac:dyDescent="0.2">
      <c r="C1068"/>
      <c r="M1068"/>
    </row>
    <row r="1069" spans="3:13" ht="12.75" customHeight="1" x14ac:dyDescent="0.2">
      <c r="C1069"/>
      <c r="M1069"/>
    </row>
    <row r="1070" spans="3:13" ht="12.75" customHeight="1" x14ac:dyDescent="0.2">
      <c r="C1070"/>
      <c r="M1070"/>
    </row>
    <row r="1071" spans="3:13" ht="12.75" customHeight="1" x14ac:dyDescent="0.2">
      <c r="C1071"/>
      <c r="M1071"/>
    </row>
    <row r="1072" spans="3:13" ht="12.75" customHeight="1" x14ac:dyDescent="0.2">
      <c r="C1072"/>
      <c r="M1072"/>
    </row>
    <row r="1073" spans="3:13" ht="12.75" customHeight="1" x14ac:dyDescent="0.2">
      <c r="C1073"/>
      <c r="M1073"/>
    </row>
    <row r="1074" spans="3:13" ht="12.75" customHeight="1" x14ac:dyDescent="0.2">
      <c r="C1074"/>
      <c r="M1074"/>
    </row>
    <row r="1075" spans="3:13" ht="12.75" customHeight="1" x14ac:dyDescent="0.2">
      <c r="C1075"/>
      <c r="M1075"/>
    </row>
    <row r="1076" spans="3:13" ht="12.75" customHeight="1" x14ac:dyDescent="0.2">
      <c r="C1076"/>
      <c r="M1076"/>
    </row>
    <row r="1077" spans="3:13" ht="12.75" customHeight="1" x14ac:dyDescent="0.2">
      <c r="C1077"/>
      <c r="M1077"/>
    </row>
    <row r="1078" spans="3:13" ht="12.75" customHeight="1" x14ac:dyDescent="0.2">
      <c r="C1078"/>
      <c r="M1078"/>
    </row>
    <row r="1079" spans="3:13" ht="12.75" customHeight="1" x14ac:dyDescent="0.2">
      <c r="C1079"/>
      <c r="M1079"/>
    </row>
    <row r="1080" spans="3:13" ht="12.75" customHeight="1" x14ac:dyDescent="0.2">
      <c r="C1080"/>
      <c r="M1080"/>
    </row>
    <row r="1081" spans="3:13" ht="12.75" customHeight="1" x14ac:dyDescent="0.2">
      <c r="C1081"/>
      <c r="M1081"/>
    </row>
    <row r="1082" spans="3:13" ht="12.75" customHeight="1" x14ac:dyDescent="0.2">
      <c r="C1082"/>
      <c r="M1082"/>
    </row>
    <row r="1083" spans="3:13" ht="12.75" customHeight="1" x14ac:dyDescent="0.2">
      <c r="C1083"/>
      <c r="M1083"/>
    </row>
    <row r="1084" spans="3:13" ht="12.75" customHeight="1" x14ac:dyDescent="0.2">
      <c r="C1084"/>
      <c r="M1084"/>
    </row>
    <row r="1085" spans="3:13" ht="12.75" customHeight="1" x14ac:dyDescent="0.2">
      <c r="C1085"/>
      <c r="M1085"/>
    </row>
    <row r="1086" spans="3:13" ht="12.75" customHeight="1" x14ac:dyDescent="0.2">
      <c r="C1086"/>
      <c r="M1086"/>
    </row>
    <row r="1087" spans="3:13" ht="12.75" customHeight="1" x14ac:dyDescent="0.2">
      <c r="C1087"/>
      <c r="M1087"/>
    </row>
    <row r="1088" spans="3:13" ht="12.75" customHeight="1" x14ac:dyDescent="0.2">
      <c r="C1088"/>
      <c r="M1088"/>
    </row>
    <row r="1089" spans="3:13" ht="12.75" customHeight="1" x14ac:dyDescent="0.2">
      <c r="C1089"/>
      <c r="M1089"/>
    </row>
    <row r="1090" spans="3:13" ht="12.75" customHeight="1" x14ac:dyDescent="0.2">
      <c r="C1090"/>
      <c r="M1090"/>
    </row>
    <row r="1091" spans="3:13" ht="12.75" customHeight="1" x14ac:dyDescent="0.2">
      <c r="C1091"/>
      <c r="M1091"/>
    </row>
    <row r="1092" spans="3:13" ht="12.75" customHeight="1" x14ac:dyDescent="0.2">
      <c r="C1092"/>
      <c r="M1092"/>
    </row>
    <row r="1093" spans="3:13" ht="12.75" customHeight="1" x14ac:dyDescent="0.2">
      <c r="C1093"/>
      <c r="M1093"/>
    </row>
    <row r="1094" spans="3:13" ht="12.75" customHeight="1" x14ac:dyDescent="0.2">
      <c r="C1094"/>
      <c r="M1094"/>
    </row>
    <row r="1095" spans="3:13" ht="12.75" customHeight="1" x14ac:dyDescent="0.2">
      <c r="C1095"/>
      <c r="M1095"/>
    </row>
    <row r="1096" spans="3:13" ht="12.75" customHeight="1" x14ac:dyDescent="0.2">
      <c r="C1096"/>
      <c r="M1096"/>
    </row>
    <row r="1097" spans="3:13" ht="12.75" customHeight="1" x14ac:dyDescent="0.2">
      <c r="C1097"/>
      <c r="M1097"/>
    </row>
    <row r="1098" spans="3:13" ht="12.75" customHeight="1" x14ac:dyDescent="0.2">
      <c r="C1098"/>
      <c r="M1098"/>
    </row>
    <row r="1099" spans="3:13" ht="12.75" customHeight="1" x14ac:dyDescent="0.2">
      <c r="C1099"/>
      <c r="M1099"/>
    </row>
    <row r="1100" spans="3:13" ht="12.75" customHeight="1" x14ac:dyDescent="0.2">
      <c r="C1100"/>
      <c r="M1100"/>
    </row>
    <row r="1101" spans="3:13" ht="12.75" customHeight="1" x14ac:dyDescent="0.2">
      <c r="C1101"/>
      <c r="M1101"/>
    </row>
    <row r="1102" spans="3:13" ht="12.75" customHeight="1" x14ac:dyDescent="0.2">
      <c r="C1102"/>
      <c r="M1102"/>
    </row>
    <row r="1103" spans="3:13" ht="12.75" customHeight="1" x14ac:dyDescent="0.2">
      <c r="C1103"/>
      <c r="M1103"/>
    </row>
    <row r="1104" spans="3:13" ht="12.75" customHeight="1" x14ac:dyDescent="0.2">
      <c r="C1104"/>
      <c r="M1104"/>
    </row>
    <row r="1105" spans="3:13" ht="12.75" customHeight="1" x14ac:dyDescent="0.2">
      <c r="C1105"/>
      <c r="M1105"/>
    </row>
    <row r="1106" spans="3:13" ht="12.75" customHeight="1" x14ac:dyDescent="0.2">
      <c r="C1106"/>
      <c r="M1106"/>
    </row>
    <row r="1107" spans="3:13" ht="12.75" customHeight="1" x14ac:dyDescent="0.2">
      <c r="C1107"/>
      <c r="M1107"/>
    </row>
    <row r="1108" spans="3:13" ht="12.75" customHeight="1" x14ac:dyDescent="0.2">
      <c r="C1108"/>
      <c r="M1108"/>
    </row>
    <row r="1109" spans="3:13" ht="12.75" customHeight="1" x14ac:dyDescent="0.2">
      <c r="C1109"/>
      <c r="M1109"/>
    </row>
    <row r="1110" spans="3:13" ht="12.75" customHeight="1" x14ac:dyDescent="0.2">
      <c r="C1110"/>
      <c r="M1110"/>
    </row>
    <row r="1111" spans="3:13" ht="12.75" customHeight="1" x14ac:dyDescent="0.2">
      <c r="C1111"/>
      <c r="M1111"/>
    </row>
    <row r="1112" spans="3:13" ht="12.75" customHeight="1" x14ac:dyDescent="0.2">
      <c r="C1112"/>
      <c r="M1112"/>
    </row>
    <row r="1113" spans="3:13" ht="12.75" customHeight="1" x14ac:dyDescent="0.2">
      <c r="C1113"/>
      <c r="M1113"/>
    </row>
    <row r="1114" spans="3:13" ht="12.75" customHeight="1" x14ac:dyDescent="0.2">
      <c r="C1114"/>
      <c r="M1114"/>
    </row>
    <row r="1115" spans="3:13" ht="12.75" customHeight="1" x14ac:dyDescent="0.2">
      <c r="C1115"/>
      <c r="M1115"/>
    </row>
    <row r="1116" spans="3:13" ht="12.75" customHeight="1" x14ac:dyDescent="0.2">
      <c r="C1116"/>
      <c r="M1116"/>
    </row>
    <row r="1117" spans="3:13" ht="12.75" customHeight="1" x14ac:dyDescent="0.2">
      <c r="C1117"/>
      <c r="M1117"/>
    </row>
    <row r="1118" spans="3:13" ht="12.75" customHeight="1" x14ac:dyDescent="0.2">
      <c r="C1118"/>
      <c r="M1118"/>
    </row>
    <row r="1119" spans="3:13" ht="12.75" customHeight="1" x14ac:dyDescent="0.2">
      <c r="C1119"/>
      <c r="M1119"/>
    </row>
    <row r="1120" spans="3:13" ht="12.75" customHeight="1" x14ac:dyDescent="0.2">
      <c r="C1120"/>
      <c r="M1120"/>
    </row>
    <row r="1121" spans="3:13" ht="12.75" customHeight="1" x14ac:dyDescent="0.2">
      <c r="C1121"/>
      <c r="M1121"/>
    </row>
    <row r="1122" spans="3:13" ht="12.75" customHeight="1" x14ac:dyDescent="0.2">
      <c r="C1122"/>
      <c r="M1122"/>
    </row>
    <row r="1123" spans="3:13" ht="12.75" customHeight="1" x14ac:dyDescent="0.2">
      <c r="C1123"/>
      <c r="M1123"/>
    </row>
    <row r="1124" spans="3:13" ht="12.75" customHeight="1" x14ac:dyDescent="0.2">
      <c r="C1124"/>
      <c r="M1124"/>
    </row>
    <row r="1125" spans="3:13" ht="12.75" customHeight="1" x14ac:dyDescent="0.2">
      <c r="C1125"/>
      <c r="M1125"/>
    </row>
    <row r="1126" spans="3:13" ht="12.75" customHeight="1" x14ac:dyDescent="0.2">
      <c r="C1126"/>
      <c r="M1126"/>
    </row>
    <row r="1127" spans="3:13" ht="12.75" customHeight="1" x14ac:dyDescent="0.2">
      <c r="C1127"/>
      <c r="M1127"/>
    </row>
    <row r="1128" spans="3:13" ht="12.75" customHeight="1" x14ac:dyDescent="0.2">
      <c r="C1128"/>
      <c r="M1128"/>
    </row>
    <row r="1129" spans="3:13" ht="12.75" customHeight="1" x14ac:dyDescent="0.2">
      <c r="C1129"/>
      <c r="M1129"/>
    </row>
    <row r="1130" spans="3:13" ht="12.75" customHeight="1" x14ac:dyDescent="0.2">
      <c r="C1130"/>
      <c r="M1130"/>
    </row>
    <row r="1131" spans="3:13" ht="12.75" customHeight="1" x14ac:dyDescent="0.2">
      <c r="C1131"/>
      <c r="M1131"/>
    </row>
    <row r="1132" spans="3:13" ht="12.75" customHeight="1" x14ac:dyDescent="0.2">
      <c r="C1132"/>
      <c r="M1132"/>
    </row>
    <row r="1133" spans="3:13" ht="12.75" customHeight="1" x14ac:dyDescent="0.2">
      <c r="C1133"/>
      <c r="M1133"/>
    </row>
    <row r="1134" spans="3:13" ht="12.75" customHeight="1" x14ac:dyDescent="0.2">
      <c r="C1134"/>
      <c r="M1134"/>
    </row>
    <row r="1135" spans="3:13" ht="12.75" customHeight="1" x14ac:dyDescent="0.2">
      <c r="C1135"/>
      <c r="M1135"/>
    </row>
    <row r="1136" spans="3:13" ht="12.75" customHeight="1" x14ac:dyDescent="0.2">
      <c r="C1136"/>
      <c r="M1136"/>
    </row>
    <row r="1137" spans="3:13" ht="12.75" customHeight="1" x14ac:dyDescent="0.2">
      <c r="C1137"/>
      <c r="M1137"/>
    </row>
    <row r="1138" spans="3:13" ht="12.75" customHeight="1" x14ac:dyDescent="0.2">
      <c r="C1138"/>
      <c r="M1138"/>
    </row>
    <row r="1139" spans="3:13" ht="12.75" customHeight="1" x14ac:dyDescent="0.2">
      <c r="C1139"/>
      <c r="M1139"/>
    </row>
    <row r="1140" spans="3:13" ht="12.75" customHeight="1" x14ac:dyDescent="0.2">
      <c r="C1140"/>
      <c r="M1140"/>
    </row>
    <row r="1141" spans="3:13" ht="12.75" customHeight="1" x14ac:dyDescent="0.2">
      <c r="C1141"/>
      <c r="M1141"/>
    </row>
    <row r="1142" spans="3:13" ht="12.75" customHeight="1" x14ac:dyDescent="0.2">
      <c r="C1142"/>
      <c r="M1142"/>
    </row>
    <row r="1143" spans="3:13" ht="12.75" customHeight="1" x14ac:dyDescent="0.2">
      <c r="C1143"/>
      <c r="M1143"/>
    </row>
    <row r="1144" spans="3:13" ht="12.75" customHeight="1" x14ac:dyDescent="0.2">
      <c r="C1144"/>
      <c r="M1144"/>
    </row>
    <row r="1145" spans="3:13" ht="12.75" customHeight="1" x14ac:dyDescent="0.2">
      <c r="C1145"/>
      <c r="M1145"/>
    </row>
    <row r="1146" spans="3:13" ht="12.75" customHeight="1" x14ac:dyDescent="0.2">
      <c r="C1146"/>
      <c r="M1146"/>
    </row>
    <row r="1147" spans="3:13" ht="12.75" customHeight="1" x14ac:dyDescent="0.2">
      <c r="C1147"/>
      <c r="M1147"/>
    </row>
    <row r="1148" spans="3:13" ht="12.75" customHeight="1" x14ac:dyDescent="0.2">
      <c r="C1148"/>
      <c r="M1148"/>
    </row>
    <row r="1149" spans="3:13" ht="12.75" customHeight="1" x14ac:dyDescent="0.2">
      <c r="C1149"/>
      <c r="M1149"/>
    </row>
    <row r="1150" spans="3:13" ht="12.75" customHeight="1" x14ac:dyDescent="0.2">
      <c r="C1150"/>
      <c r="M1150"/>
    </row>
    <row r="1151" spans="3:13" ht="12.75" customHeight="1" x14ac:dyDescent="0.2">
      <c r="C1151"/>
      <c r="M1151"/>
    </row>
    <row r="1152" spans="3:13" ht="12.75" customHeight="1" x14ac:dyDescent="0.2">
      <c r="C1152"/>
      <c r="M1152"/>
    </row>
    <row r="1153" spans="3:13" ht="12.75" customHeight="1" x14ac:dyDescent="0.2">
      <c r="C1153"/>
      <c r="M1153"/>
    </row>
    <row r="1154" spans="3:13" ht="12.75" customHeight="1" x14ac:dyDescent="0.2">
      <c r="C1154"/>
      <c r="M1154"/>
    </row>
    <row r="1155" spans="3:13" ht="12.75" customHeight="1" x14ac:dyDescent="0.2">
      <c r="C1155"/>
      <c r="M1155"/>
    </row>
    <row r="1156" spans="3:13" ht="12.75" customHeight="1" x14ac:dyDescent="0.2">
      <c r="C1156"/>
      <c r="M1156"/>
    </row>
    <row r="1157" spans="3:13" ht="12.75" customHeight="1" x14ac:dyDescent="0.2">
      <c r="C1157"/>
      <c r="M1157"/>
    </row>
    <row r="1158" spans="3:13" ht="12.75" customHeight="1" x14ac:dyDescent="0.2">
      <c r="C1158"/>
      <c r="M1158"/>
    </row>
    <row r="1159" spans="3:13" ht="12.75" customHeight="1" x14ac:dyDescent="0.2">
      <c r="C1159"/>
      <c r="M1159"/>
    </row>
    <row r="1160" spans="3:13" ht="12.75" customHeight="1" x14ac:dyDescent="0.2">
      <c r="C1160"/>
      <c r="M1160"/>
    </row>
    <row r="1161" spans="3:13" ht="12.75" customHeight="1" x14ac:dyDescent="0.2">
      <c r="C1161"/>
      <c r="M1161"/>
    </row>
    <row r="1162" spans="3:13" ht="12.75" customHeight="1" x14ac:dyDescent="0.2">
      <c r="C1162"/>
      <c r="M1162"/>
    </row>
    <row r="1163" spans="3:13" ht="12.75" customHeight="1" x14ac:dyDescent="0.2">
      <c r="C1163"/>
      <c r="M1163"/>
    </row>
    <row r="1164" spans="3:13" ht="12.75" customHeight="1" x14ac:dyDescent="0.2">
      <c r="C1164"/>
      <c r="M1164"/>
    </row>
    <row r="1165" spans="3:13" ht="12.75" customHeight="1" x14ac:dyDescent="0.2">
      <c r="C1165"/>
      <c r="M1165"/>
    </row>
    <row r="1166" spans="3:13" ht="12.75" customHeight="1" x14ac:dyDescent="0.2">
      <c r="C1166"/>
      <c r="M1166"/>
    </row>
    <row r="1167" spans="3:13" ht="12.75" customHeight="1" x14ac:dyDescent="0.2">
      <c r="C1167"/>
      <c r="M1167"/>
    </row>
    <row r="1168" spans="3:13" ht="12.75" customHeight="1" x14ac:dyDescent="0.2">
      <c r="C1168"/>
      <c r="M1168"/>
    </row>
    <row r="1169" spans="3:13" ht="12.75" customHeight="1" x14ac:dyDescent="0.2">
      <c r="C1169"/>
      <c r="M1169"/>
    </row>
    <row r="1170" spans="3:13" ht="12.75" customHeight="1" x14ac:dyDescent="0.2">
      <c r="C1170"/>
      <c r="M1170"/>
    </row>
    <row r="1171" spans="3:13" ht="12.75" customHeight="1" x14ac:dyDescent="0.2">
      <c r="C1171"/>
      <c r="M1171"/>
    </row>
    <row r="1172" spans="3:13" ht="12.75" customHeight="1" x14ac:dyDescent="0.2">
      <c r="C1172"/>
      <c r="M1172"/>
    </row>
    <row r="1173" spans="3:13" ht="12.75" customHeight="1" x14ac:dyDescent="0.2">
      <c r="C1173"/>
      <c r="M1173"/>
    </row>
    <row r="1174" spans="3:13" ht="12.75" customHeight="1" x14ac:dyDescent="0.2">
      <c r="C1174"/>
      <c r="M1174"/>
    </row>
    <row r="1175" spans="3:13" ht="12.75" customHeight="1" x14ac:dyDescent="0.2">
      <c r="C1175"/>
      <c r="M1175"/>
    </row>
    <row r="1176" spans="3:13" ht="12.75" customHeight="1" x14ac:dyDescent="0.2">
      <c r="C1176"/>
      <c r="M1176"/>
    </row>
    <row r="1177" spans="3:13" ht="12.75" customHeight="1" x14ac:dyDescent="0.2">
      <c r="C1177"/>
      <c r="M1177"/>
    </row>
    <row r="1178" spans="3:13" ht="12.75" customHeight="1" x14ac:dyDescent="0.2">
      <c r="C1178"/>
      <c r="M1178"/>
    </row>
    <row r="1179" spans="3:13" ht="12.75" customHeight="1" x14ac:dyDescent="0.2">
      <c r="C1179"/>
      <c r="M1179"/>
    </row>
    <row r="1180" spans="3:13" ht="12.75" customHeight="1" x14ac:dyDescent="0.2">
      <c r="C1180"/>
      <c r="M1180"/>
    </row>
    <row r="1181" spans="3:13" ht="12.75" customHeight="1" x14ac:dyDescent="0.2">
      <c r="C1181"/>
      <c r="M1181"/>
    </row>
    <row r="1182" spans="3:13" ht="12.75" customHeight="1" x14ac:dyDescent="0.2">
      <c r="C1182"/>
      <c r="M1182"/>
    </row>
    <row r="1183" spans="3:13" ht="12.75" customHeight="1" x14ac:dyDescent="0.2">
      <c r="C1183"/>
      <c r="M1183"/>
    </row>
    <row r="1184" spans="3:13" ht="12.75" customHeight="1" x14ac:dyDescent="0.2">
      <c r="C1184"/>
      <c r="M1184"/>
    </row>
    <row r="1185" spans="3:13" ht="12.75" customHeight="1" x14ac:dyDescent="0.2">
      <c r="C1185"/>
      <c r="M1185"/>
    </row>
    <row r="1186" spans="3:13" ht="12.75" customHeight="1" x14ac:dyDescent="0.2">
      <c r="C1186"/>
      <c r="M1186"/>
    </row>
    <row r="1187" spans="3:13" ht="12.75" customHeight="1" x14ac:dyDescent="0.2">
      <c r="C1187"/>
      <c r="M1187"/>
    </row>
    <row r="1188" spans="3:13" ht="12.75" customHeight="1" x14ac:dyDescent="0.2">
      <c r="C1188"/>
      <c r="M1188"/>
    </row>
    <row r="1189" spans="3:13" ht="12.75" customHeight="1" x14ac:dyDescent="0.2">
      <c r="C1189"/>
      <c r="M1189"/>
    </row>
    <row r="1190" spans="3:13" ht="12.75" customHeight="1" x14ac:dyDescent="0.2">
      <c r="C1190"/>
      <c r="M1190"/>
    </row>
    <row r="1191" spans="3:13" ht="12.75" customHeight="1" x14ac:dyDescent="0.2">
      <c r="C1191"/>
      <c r="M1191"/>
    </row>
    <row r="1192" spans="3:13" ht="12.75" customHeight="1" x14ac:dyDescent="0.2">
      <c r="C1192"/>
      <c r="M1192"/>
    </row>
    <row r="1193" spans="3:13" ht="12.75" customHeight="1" x14ac:dyDescent="0.2">
      <c r="C1193"/>
      <c r="M1193"/>
    </row>
    <row r="1194" spans="3:13" ht="12.75" customHeight="1" x14ac:dyDescent="0.2">
      <c r="C1194"/>
      <c r="M1194"/>
    </row>
    <row r="1195" spans="3:13" ht="12.75" customHeight="1" x14ac:dyDescent="0.2">
      <c r="C1195"/>
      <c r="M1195"/>
    </row>
    <row r="1196" spans="3:13" ht="12.75" customHeight="1" x14ac:dyDescent="0.2">
      <c r="C1196"/>
      <c r="M1196"/>
    </row>
    <row r="1197" spans="3:13" ht="12.75" customHeight="1" x14ac:dyDescent="0.2">
      <c r="C1197"/>
      <c r="M1197"/>
    </row>
    <row r="1198" spans="3:13" ht="12.75" customHeight="1" x14ac:dyDescent="0.2">
      <c r="C1198"/>
      <c r="M1198"/>
    </row>
    <row r="1199" spans="3:13" ht="12.75" customHeight="1" x14ac:dyDescent="0.2">
      <c r="C1199"/>
      <c r="M1199"/>
    </row>
    <row r="1200" spans="3:13" ht="12.75" customHeight="1" x14ac:dyDescent="0.2">
      <c r="C1200"/>
      <c r="M1200"/>
    </row>
    <row r="1201" spans="3:13" ht="12.75" customHeight="1" x14ac:dyDescent="0.2">
      <c r="C1201"/>
      <c r="M1201"/>
    </row>
    <row r="1202" spans="3:13" ht="12.75" customHeight="1" x14ac:dyDescent="0.2">
      <c r="C1202"/>
      <c r="M1202"/>
    </row>
    <row r="1203" spans="3:13" ht="12.75" customHeight="1" x14ac:dyDescent="0.2">
      <c r="C1203"/>
      <c r="M1203"/>
    </row>
    <row r="1204" spans="3:13" ht="12.75" customHeight="1" x14ac:dyDescent="0.2">
      <c r="C1204"/>
      <c r="M1204"/>
    </row>
    <row r="1205" spans="3:13" ht="12.75" customHeight="1" x14ac:dyDescent="0.2">
      <c r="C1205"/>
      <c r="M1205"/>
    </row>
    <row r="1206" spans="3:13" ht="12.75" customHeight="1" x14ac:dyDescent="0.2">
      <c r="C1206"/>
      <c r="M1206"/>
    </row>
    <row r="1207" spans="3:13" ht="12.75" customHeight="1" x14ac:dyDescent="0.2">
      <c r="C1207"/>
      <c r="M1207"/>
    </row>
    <row r="1208" spans="3:13" ht="12.75" customHeight="1" x14ac:dyDescent="0.2">
      <c r="C1208"/>
      <c r="M1208"/>
    </row>
    <row r="1209" spans="3:13" ht="12.75" customHeight="1" x14ac:dyDescent="0.2">
      <c r="C1209"/>
      <c r="M1209"/>
    </row>
    <row r="1210" spans="3:13" ht="12.75" customHeight="1" x14ac:dyDescent="0.2">
      <c r="C1210"/>
      <c r="M1210"/>
    </row>
    <row r="1211" spans="3:13" ht="12.75" customHeight="1" x14ac:dyDescent="0.2">
      <c r="C1211"/>
      <c r="M1211"/>
    </row>
    <row r="1212" spans="3:13" ht="12.75" customHeight="1" x14ac:dyDescent="0.2">
      <c r="C1212"/>
      <c r="M1212"/>
    </row>
    <row r="1213" spans="3:13" ht="12.75" customHeight="1" x14ac:dyDescent="0.2">
      <c r="C1213"/>
      <c r="M1213"/>
    </row>
    <row r="1214" spans="3:13" ht="12.75" customHeight="1" x14ac:dyDescent="0.2">
      <c r="C1214"/>
      <c r="M1214"/>
    </row>
    <row r="1215" spans="3:13" ht="12.75" customHeight="1" x14ac:dyDescent="0.2">
      <c r="C1215"/>
      <c r="M1215"/>
    </row>
    <row r="1216" spans="3:13" ht="12.75" customHeight="1" x14ac:dyDescent="0.2">
      <c r="C1216"/>
      <c r="M1216"/>
    </row>
    <row r="1217" spans="3:13" ht="12.75" customHeight="1" x14ac:dyDescent="0.2">
      <c r="C1217"/>
      <c r="M1217"/>
    </row>
    <row r="1218" spans="3:13" ht="12.75" customHeight="1" x14ac:dyDescent="0.2">
      <c r="C1218"/>
      <c r="M1218"/>
    </row>
    <row r="1219" spans="3:13" ht="12.75" customHeight="1" x14ac:dyDescent="0.2">
      <c r="C1219"/>
      <c r="M1219"/>
    </row>
    <row r="1220" spans="3:13" ht="12.75" customHeight="1" x14ac:dyDescent="0.2">
      <c r="C1220"/>
      <c r="M1220"/>
    </row>
    <row r="1221" spans="3:13" ht="12.75" customHeight="1" x14ac:dyDescent="0.2">
      <c r="C1221"/>
      <c r="M1221"/>
    </row>
    <row r="1222" spans="3:13" ht="12.75" customHeight="1" x14ac:dyDescent="0.2">
      <c r="C1222"/>
      <c r="M1222"/>
    </row>
    <row r="1223" spans="3:13" ht="12.75" customHeight="1" x14ac:dyDescent="0.2">
      <c r="C1223"/>
      <c r="M1223"/>
    </row>
    <row r="1224" spans="3:13" ht="12.75" customHeight="1" x14ac:dyDescent="0.2">
      <c r="C1224"/>
      <c r="M1224"/>
    </row>
    <row r="1225" spans="3:13" ht="12.75" customHeight="1" x14ac:dyDescent="0.2">
      <c r="C1225"/>
      <c r="M1225"/>
    </row>
    <row r="1226" spans="3:13" ht="12.75" customHeight="1" x14ac:dyDescent="0.2">
      <c r="C1226"/>
      <c r="M1226"/>
    </row>
    <row r="1227" spans="3:13" ht="12.75" customHeight="1" x14ac:dyDescent="0.2">
      <c r="C1227"/>
      <c r="M1227"/>
    </row>
    <row r="1228" spans="3:13" ht="12.75" customHeight="1" x14ac:dyDescent="0.2">
      <c r="C1228"/>
      <c r="M1228"/>
    </row>
    <row r="1229" spans="3:13" ht="12.75" customHeight="1" x14ac:dyDescent="0.2">
      <c r="C1229"/>
      <c r="M1229"/>
    </row>
    <row r="1230" spans="3:13" ht="12.75" customHeight="1" x14ac:dyDescent="0.2">
      <c r="C1230"/>
      <c r="M1230"/>
    </row>
    <row r="1231" spans="3:13" ht="12.75" customHeight="1" x14ac:dyDescent="0.2">
      <c r="C1231"/>
      <c r="M1231"/>
    </row>
    <row r="1232" spans="3:13" ht="12.75" customHeight="1" x14ac:dyDescent="0.2">
      <c r="C1232"/>
      <c r="M1232"/>
    </row>
    <row r="1233" spans="3:13" ht="12.75" customHeight="1" x14ac:dyDescent="0.2">
      <c r="C1233"/>
      <c r="M1233"/>
    </row>
    <row r="1234" spans="3:13" ht="12.75" customHeight="1" x14ac:dyDescent="0.2">
      <c r="C1234"/>
      <c r="M1234"/>
    </row>
    <row r="1235" spans="3:13" ht="12.75" customHeight="1" x14ac:dyDescent="0.2">
      <c r="C1235"/>
      <c r="M1235"/>
    </row>
    <row r="1236" spans="3:13" ht="12.75" customHeight="1" x14ac:dyDescent="0.2">
      <c r="C1236"/>
      <c r="M1236"/>
    </row>
    <row r="1237" spans="3:13" ht="12.75" customHeight="1" x14ac:dyDescent="0.2">
      <c r="C1237"/>
      <c r="M1237"/>
    </row>
    <row r="1238" spans="3:13" ht="12.75" customHeight="1" x14ac:dyDescent="0.2">
      <c r="C1238"/>
      <c r="M1238"/>
    </row>
    <row r="1239" spans="3:13" ht="12.75" customHeight="1" x14ac:dyDescent="0.2">
      <c r="C1239"/>
      <c r="M1239"/>
    </row>
    <row r="1240" spans="3:13" ht="12.75" customHeight="1" x14ac:dyDescent="0.2">
      <c r="C1240"/>
      <c r="M1240"/>
    </row>
    <row r="1241" spans="3:13" ht="12.75" customHeight="1" x14ac:dyDescent="0.2">
      <c r="C1241"/>
      <c r="M1241"/>
    </row>
    <row r="1242" spans="3:13" ht="12.75" customHeight="1" x14ac:dyDescent="0.2">
      <c r="C1242"/>
      <c r="M1242"/>
    </row>
    <row r="1243" spans="3:13" ht="12.75" customHeight="1" x14ac:dyDescent="0.2">
      <c r="C1243"/>
      <c r="M1243"/>
    </row>
    <row r="1244" spans="3:13" ht="12.75" customHeight="1" x14ac:dyDescent="0.2">
      <c r="C1244"/>
      <c r="M1244"/>
    </row>
    <row r="1245" spans="3:13" ht="12.75" customHeight="1" x14ac:dyDescent="0.2">
      <c r="C1245"/>
      <c r="M1245"/>
    </row>
    <row r="1246" spans="3:13" ht="12.75" customHeight="1" x14ac:dyDescent="0.2">
      <c r="C1246"/>
      <c r="M1246"/>
    </row>
    <row r="1247" spans="3:13" ht="12.75" customHeight="1" x14ac:dyDescent="0.2">
      <c r="C1247"/>
      <c r="M1247"/>
    </row>
    <row r="1248" spans="3:13" ht="12.75" customHeight="1" x14ac:dyDescent="0.2">
      <c r="C1248"/>
      <c r="M1248"/>
    </row>
    <row r="1249" spans="3:13" ht="12.75" customHeight="1" x14ac:dyDescent="0.2">
      <c r="C1249"/>
      <c r="M1249"/>
    </row>
    <row r="1250" spans="3:13" ht="12.75" customHeight="1" x14ac:dyDescent="0.2">
      <c r="C1250"/>
      <c r="M1250"/>
    </row>
    <row r="1251" spans="3:13" ht="12.75" customHeight="1" x14ac:dyDescent="0.2">
      <c r="C1251"/>
      <c r="M1251"/>
    </row>
    <row r="1252" spans="3:13" ht="12.75" customHeight="1" x14ac:dyDescent="0.2">
      <c r="C1252"/>
      <c r="M1252"/>
    </row>
    <row r="1253" spans="3:13" ht="12.75" customHeight="1" x14ac:dyDescent="0.2">
      <c r="C1253"/>
      <c r="M1253"/>
    </row>
    <row r="1254" spans="3:13" ht="12.75" customHeight="1" x14ac:dyDescent="0.2">
      <c r="C1254"/>
      <c r="M1254"/>
    </row>
    <row r="1255" spans="3:13" ht="12.75" customHeight="1" x14ac:dyDescent="0.2">
      <c r="C1255"/>
      <c r="M1255"/>
    </row>
    <row r="1256" spans="3:13" ht="12.75" customHeight="1" x14ac:dyDescent="0.2">
      <c r="C1256"/>
      <c r="M1256"/>
    </row>
    <row r="1257" spans="3:13" ht="12.75" customHeight="1" x14ac:dyDescent="0.2">
      <c r="C1257"/>
      <c r="M1257"/>
    </row>
    <row r="1258" spans="3:13" ht="12.75" customHeight="1" x14ac:dyDescent="0.2">
      <c r="C1258"/>
      <c r="M1258"/>
    </row>
    <row r="1259" spans="3:13" ht="12.75" customHeight="1" x14ac:dyDescent="0.2">
      <c r="C1259"/>
      <c r="M1259"/>
    </row>
    <row r="1260" spans="3:13" ht="12.75" customHeight="1" x14ac:dyDescent="0.2">
      <c r="C1260"/>
      <c r="M1260"/>
    </row>
    <row r="1261" spans="3:13" ht="12.75" customHeight="1" x14ac:dyDescent="0.2">
      <c r="C1261"/>
      <c r="M1261"/>
    </row>
    <row r="1262" spans="3:13" ht="12.75" customHeight="1" x14ac:dyDescent="0.2">
      <c r="C1262"/>
      <c r="M1262"/>
    </row>
    <row r="1263" spans="3:13" ht="12.75" customHeight="1" x14ac:dyDescent="0.2">
      <c r="C1263"/>
      <c r="M1263"/>
    </row>
    <row r="1264" spans="3:13" ht="12.75" customHeight="1" x14ac:dyDescent="0.2">
      <c r="C1264"/>
      <c r="M1264"/>
    </row>
    <row r="1265" spans="3:13" ht="12.75" customHeight="1" x14ac:dyDescent="0.2">
      <c r="C1265"/>
      <c r="M1265"/>
    </row>
    <row r="1266" spans="3:13" ht="12.75" customHeight="1" x14ac:dyDescent="0.2">
      <c r="C1266"/>
      <c r="M1266"/>
    </row>
    <row r="1267" spans="3:13" ht="12.75" customHeight="1" x14ac:dyDescent="0.2">
      <c r="C1267"/>
      <c r="M1267"/>
    </row>
    <row r="1268" spans="3:13" ht="12.75" customHeight="1" x14ac:dyDescent="0.2">
      <c r="C1268"/>
      <c r="M1268"/>
    </row>
    <row r="1269" spans="3:13" ht="12.75" customHeight="1" x14ac:dyDescent="0.2">
      <c r="C1269"/>
      <c r="M1269"/>
    </row>
    <row r="1270" spans="3:13" ht="12.75" customHeight="1" x14ac:dyDescent="0.2">
      <c r="C1270"/>
      <c r="M1270"/>
    </row>
    <row r="1271" spans="3:13" ht="12.75" customHeight="1" x14ac:dyDescent="0.2">
      <c r="C1271"/>
      <c r="M1271"/>
    </row>
    <row r="1272" spans="3:13" ht="12.75" customHeight="1" x14ac:dyDescent="0.2">
      <c r="C1272"/>
      <c r="M1272"/>
    </row>
    <row r="1273" spans="3:13" ht="12.75" customHeight="1" x14ac:dyDescent="0.2">
      <c r="C1273"/>
      <c r="M1273"/>
    </row>
    <row r="1274" spans="3:13" ht="12.75" customHeight="1" x14ac:dyDescent="0.2">
      <c r="C1274"/>
      <c r="M1274"/>
    </row>
    <row r="1275" spans="3:13" ht="12.75" customHeight="1" x14ac:dyDescent="0.2">
      <c r="C1275"/>
      <c r="M1275"/>
    </row>
    <row r="1276" spans="3:13" ht="12.75" customHeight="1" x14ac:dyDescent="0.2">
      <c r="C1276"/>
      <c r="M1276"/>
    </row>
    <row r="1277" spans="3:13" ht="12.75" customHeight="1" x14ac:dyDescent="0.2">
      <c r="C1277"/>
      <c r="M1277"/>
    </row>
    <row r="1278" spans="3:13" ht="12.75" customHeight="1" x14ac:dyDescent="0.2">
      <c r="C1278"/>
      <c r="M1278"/>
    </row>
    <row r="1279" spans="3:13" ht="12.75" customHeight="1" x14ac:dyDescent="0.2">
      <c r="C1279"/>
      <c r="M1279"/>
    </row>
    <row r="1280" spans="3:13" ht="12.75" customHeight="1" x14ac:dyDescent="0.2">
      <c r="C1280"/>
      <c r="M1280"/>
    </row>
    <row r="1281" spans="3:13" ht="12.75" customHeight="1" x14ac:dyDescent="0.2">
      <c r="C1281"/>
      <c r="M1281"/>
    </row>
    <row r="1282" spans="3:13" ht="12.75" customHeight="1" x14ac:dyDescent="0.2">
      <c r="C1282"/>
      <c r="M1282"/>
    </row>
    <row r="1283" spans="3:13" ht="12.75" customHeight="1" x14ac:dyDescent="0.2">
      <c r="C1283"/>
      <c r="M1283"/>
    </row>
    <row r="1284" spans="3:13" ht="12.75" customHeight="1" x14ac:dyDescent="0.2">
      <c r="C1284"/>
      <c r="M1284"/>
    </row>
    <row r="1285" spans="3:13" ht="12.75" customHeight="1" x14ac:dyDescent="0.2">
      <c r="C1285"/>
      <c r="M1285"/>
    </row>
    <row r="1286" spans="3:13" ht="12.75" customHeight="1" x14ac:dyDescent="0.2">
      <c r="C1286"/>
      <c r="M1286"/>
    </row>
    <row r="1287" spans="3:13" ht="12.75" customHeight="1" x14ac:dyDescent="0.2">
      <c r="C1287"/>
      <c r="M1287"/>
    </row>
    <row r="1288" spans="3:13" ht="12.75" customHeight="1" x14ac:dyDescent="0.2">
      <c r="C1288"/>
      <c r="M1288"/>
    </row>
    <row r="1289" spans="3:13" ht="12.75" customHeight="1" x14ac:dyDescent="0.2">
      <c r="C1289"/>
      <c r="M1289"/>
    </row>
    <row r="1290" spans="3:13" ht="12.75" customHeight="1" x14ac:dyDescent="0.2">
      <c r="C1290"/>
      <c r="M1290"/>
    </row>
    <row r="1291" spans="3:13" ht="12.75" customHeight="1" x14ac:dyDescent="0.2">
      <c r="C1291"/>
      <c r="M1291"/>
    </row>
    <row r="1292" spans="3:13" ht="12.75" customHeight="1" x14ac:dyDescent="0.2">
      <c r="C1292"/>
      <c r="M1292"/>
    </row>
    <row r="1293" spans="3:13" ht="12.75" customHeight="1" x14ac:dyDescent="0.2">
      <c r="C1293"/>
      <c r="M1293"/>
    </row>
    <row r="1294" spans="3:13" ht="12.75" customHeight="1" x14ac:dyDescent="0.2">
      <c r="C1294"/>
      <c r="M1294"/>
    </row>
    <row r="1295" spans="3:13" ht="12.75" customHeight="1" x14ac:dyDescent="0.2">
      <c r="C1295"/>
      <c r="M1295"/>
    </row>
    <row r="1296" spans="3:13" ht="12.75" customHeight="1" x14ac:dyDescent="0.2">
      <c r="C1296"/>
      <c r="M1296"/>
    </row>
    <row r="1297" spans="3:13" ht="12.75" customHeight="1" x14ac:dyDescent="0.2">
      <c r="C1297"/>
      <c r="M1297"/>
    </row>
    <row r="1298" spans="3:13" ht="12.75" customHeight="1" x14ac:dyDescent="0.2">
      <c r="C1298"/>
      <c r="M1298"/>
    </row>
    <row r="1299" spans="3:13" ht="12.75" customHeight="1" x14ac:dyDescent="0.2">
      <c r="C1299"/>
      <c r="M1299"/>
    </row>
    <row r="1300" spans="3:13" ht="12.75" customHeight="1" x14ac:dyDescent="0.2">
      <c r="C1300"/>
      <c r="M1300"/>
    </row>
    <row r="1301" spans="3:13" ht="12.75" customHeight="1" x14ac:dyDescent="0.2">
      <c r="C1301"/>
      <c r="M1301"/>
    </row>
    <row r="1302" spans="3:13" ht="12.75" customHeight="1" x14ac:dyDescent="0.2">
      <c r="C1302"/>
      <c r="M1302"/>
    </row>
    <row r="1303" spans="3:13" ht="12.75" customHeight="1" x14ac:dyDescent="0.2">
      <c r="C1303"/>
      <c r="M1303"/>
    </row>
    <row r="1304" spans="3:13" ht="12.75" customHeight="1" x14ac:dyDescent="0.2">
      <c r="C1304"/>
      <c r="M1304"/>
    </row>
    <row r="1305" spans="3:13" ht="12.75" customHeight="1" x14ac:dyDescent="0.2">
      <c r="C1305"/>
      <c r="M1305"/>
    </row>
    <row r="1306" spans="3:13" ht="12.75" customHeight="1" x14ac:dyDescent="0.2">
      <c r="C1306"/>
      <c r="M1306"/>
    </row>
    <row r="1307" spans="3:13" ht="12.75" customHeight="1" x14ac:dyDescent="0.2">
      <c r="C1307"/>
      <c r="M1307"/>
    </row>
    <row r="1308" spans="3:13" ht="12.75" customHeight="1" x14ac:dyDescent="0.2">
      <c r="C1308"/>
      <c r="M1308"/>
    </row>
    <row r="1309" spans="3:13" ht="12.75" customHeight="1" x14ac:dyDescent="0.2">
      <c r="C1309"/>
      <c r="M1309"/>
    </row>
    <row r="1310" spans="3:13" ht="12.75" customHeight="1" x14ac:dyDescent="0.2">
      <c r="C1310"/>
      <c r="M1310"/>
    </row>
    <row r="1311" spans="3:13" ht="12.75" customHeight="1" x14ac:dyDescent="0.2">
      <c r="C1311"/>
      <c r="M1311"/>
    </row>
    <row r="1312" spans="3:13" ht="12.75" customHeight="1" x14ac:dyDescent="0.2">
      <c r="C1312"/>
      <c r="M1312"/>
    </row>
    <row r="1313" spans="3:13" ht="12.75" customHeight="1" x14ac:dyDescent="0.2">
      <c r="C1313"/>
      <c r="M1313"/>
    </row>
    <row r="1314" spans="3:13" ht="12.75" customHeight="1" x14ac:dyDescent="0.2">
      <c r="C1314"/>
      <c r="M1314"/>
    </row>
    <row r="1315" spans="3:13" ht="12.75" customHeight="1" x14ac:dyDescent="0.2">
      <c r="C1315"/>
      <c r="M1315"/>
    </row>
    <row r="1316" spans="3:13" ht="12.75" customHeight="1" x14ac:dyDescent="0.2">
      <c r="C1316"/>
      <c r="M1316"/>
    </row>
    <row r="1317" spans="3:13" ht="12.75" customHeight="1" x14ac:dyDescent="0.2">
      <c r="C1317"/>
      <c r="M1317"/>
    </row>
    <row r="1318" spans="3:13" ht="12.75" customHeight="1" x14ac:dyDescent="0.2">
      <c r="C1318"/>
      <c r="M1318"/>
    </row>
    <row r="1319" spans="3:13" ht="12.75" customHeight="1" x14ac:dyDescent="0.2">
      <c r="C1319"/>
      <c r="M1319"/>
    </row>
    <row r="1320" spans="3:13" ht="12.75" customHeight="1" x14ac:dyDescent="0.2">
      <c r="C1320"/>
      <c r="M1320"/>
    </row>
    <row r="1321" spans="3:13" ht="12.75" customHeight="1" x14ac:dyDescent="0.2">
      <c r="C1321"/>
      <c r="M1321"/>
    </row>
    <row r="1322" spans="3:13" ht="12.75" customHeight="1" x14ac:dyDescent="0.2">
      <c r="C1322"/>
      <c r="M1322"/>
    </row>
    <row r="1323" spans="3:13" ht="12.75" customHeight="1" x14ac:dyDescent="0.2">
      <c r="C1323"/>
      <c r="M1323"/>
    </row>
    <row r="1324" spans="3:13" ht="12.75" customHeight="1" x14ac:dyDescent="0.2">
      <c r="C1324"/>
      <c r="M1324"/>
    </row>
    <row r="1325" spans="3:13" ht="12.75" customHeight="1" x14ac:dyDescent="0.2">
      <c r="C1325"/>
      <c r="M1325"/>
    </row>
    <row r="1326" spans="3:13" ht="12.75" customHeight="1" x14ac:dyDescent="0.2">
      <c r="C1326"/>
      <c r="M1326"/>
    </row>
    <row r="1327" spans="3:13" ht="12.75" customHeight="1" x14ac:dyDescent="0.2">
      <c r="C1327"/>
      <c r="M1327"/>
    </row>
    <row r="1328" spans="3:13" ht="12.75" customHeight="1" x14ac:dyDescent="0.2">
      <c r="C1328"/>
      <c r="M1328"/>
    </row>
    <row r="1329" spans="3:13" ht="12.75" customHeight="1" x14ac:dyDescent="0.2">
      <c r="C1329"/>
      <c r="M1329"/>
    </row>
    <row r="1330" spans="3:13" ht="12.75" customHeight="1" x14ac:dyDescent="0.2">
      <c r="C1330"/>
      <c r="M1330"/>
    </row>
    <row r="1331" spans="3:13" ht="12.75" customHeight="1" x14ac:dyDescent="0.2">
      <c r="C1331"/>
      <c r="M1331"/>
    </row>
    <row r="1332" spans="3:13" ht="12.75" customHeight="1" x14ac:dyDescent="0.2">
      <c r="C1332"/>
      <c r="M1332"/>
    </row>
    <row r="1333" spans="3:13" ht="12.75" customHeight="1" x14ac:dyDescent="0.2">
      <c r="C1333"/>
      <c r="M1333"/>
    </row>
    <row r="1334" spans="3:13" ht="12.75" customHeight="1" x14ac:dyDescent="0.2">
      <c r="C1334"/>
      <c r="M1334"/>
    </row>
    <row r="1335" spans="3:13" ht="12.75" customHeight="1" x14ac:dyDescent="0.2">
      <c r="C1335"/>
      <c r="M1335"/>
    </row>
    <row r="1336" spans="3:13" ht="12.75" customHeight="1" x14ac:dyDescent="0.2">
      <c r="C1336"/>
      <c r="M1336"/>
    </row>
    <row r="1337" spans="3:13" ht="12.75" customHeight="1" x14ac:dyDescent="0.2">
      <c r="C1337"/>
      <c r="M1337"/>
    </row>
    <row r="1338" spans="3:13" ht="12.75" customHeight="1" x14ac:dyDescent="0.2">
      <c r="C1338"/>
      <c r="M1338"/>
    </row>
    <row r="1339" spans="3:13" ht="12.75" customHeight="1" x14ac:dyDescent="0.2">
      <c r="C1339"/>
      <c r="M1339"/>
    </row>
    <row r="1340" spans="3:13" ht="12.75" customHeight="1" x14ac:dyDescent="0.2">
      <c r="C1340"/>
      <c r="M1340"/>
    </row>
    <row r="1341" spans="3:13" ht="12.75" customHeight="1" x14ac:dyDescent="0.2">
      <c r="C1341"/>
      <c r="M1341"/>
    </row>
    <row r="1342" spans="3:13" ht="12.75" customHeight="1" x14ac:dyDescent="0.2">
      <c r="C1342"/>
      <c r="M1342"/>
    </row>
    <row r="1343" spans="3:13" ht="12.75" customHeight="1" x14ac:dyDescent="0.2">
      <c r="C1343"/>
      <c r="M1343"/>
    </row>
    <row r="1344" spans="3:13" ht="12.75" customHeight="1" x14ac:dyDescent="0.2">
      <c r="C1344"/>
      <c r="M1344"/>
    </row>
    <row r="1345" spans="3:13" ht="12.75" customHeight="1" x14ac:dyDescent="0.2">
      <c r="C1345"/>
      <c r="M1345"/>
    </row>
    <row r="1346" spans="3:13" ht="12.75" customHeight="1" x14ac:dyDescent="0.2">
      <c r="C1346"/>
      <c r="M1346"/>
    </row>
    <row r="1347" spans="3:13" ht="12.75" customHeight="1" x14ac:dyDescent="0.2">
      <c r="C1347"/>
      <c r="M1347"/>
    </row>
    <row r="1348" spans="3:13" ht="12.75" customHeight="1" x14ac:dyDescent="0.2">
      <c r="C1348"/>
      <c r="M1348"/>
    </row>
    <row r="1349" spans="3:13" ht="12.75" customHeight="1" x14ac:dyDescent="0.2">
      <c r="C1349"/>
      <c r="M1349"/>
    </row>
    <row r="1350" spans="3:13" ht="12.75" customHeight="1" x14ac:dyDescent="0.2">
      <c r="C1350"/>
      <c r="M1350"/>
    </row>
    <row r="1351" spans="3:13" ht="12.75" customHeight="1" x14ac:dyDescent="0.2">
      <c r="C1351"/>
      <c r="M1351"/>
    </row>
    <row r="1352" spans="3:13" ht="12.75" customHeight="1" x14ac:dyDescent="0.2">
      <c r="C1352"/>
      <c r="M1352"/>
    </row>
    <row r="1353" spans="3:13" ht="12.75" customHeight="1" x14ac:dyDescent="0.2">
      <c r="C1353"/>
      <c r="M1353"/>
    </row>
    <row r="1354" spans="3:13" ht="12.75" customHeight="1" x14ac:dyDescent="0.2">
      <c r="C1354"/>
      <c r="M1354"/>
    </row>
    <row r="1355" spans="3:13" ht="12.75" customHeight="1" x14ac:dyDescent="0.2">
      <c r="C1355"/>
      <c r="M1355"/>
    </row>
    <row r="1356" spans="3:13" ht="12.75" customHeight="1" x14ac:dyDescent="0.2">
      <c r="C1356"/>
      <c r="M1356"/>
    </row>
    <row r="1357" spans="3:13" ht="12.75" customHeight="1" x14ac:dyDescent="0.2">
      <c r="C1357"/>
      <c r="M1357"/>
    </row>
    <row r="1358" spans="3:13" ht="12.75" customHeight="1" x14ac:dyDescent="0.2">
      <c r="C1358"/>
      <c r="M1358"/>
    </row>
    <row r="1359" spans="3:13" ht="12.75" customHeight="1" x14ac:dyDescent="0.2">
      <c r="C1359"/>
      <c r="M1359"/>
    </row>
    <row r="1360" spans="3:13" ht="12.75" customHeight="1" x14ac:dyDescent="0.2">
      <c r="C1360"/>
      <c r="M1360"/>
    </row>
    <row r="1361" spans="3:13" ht="12.75" customHeight="1" x14ac:dyDescent="0.2">
      <c r="C1361"/>
      <c r="M1361"/>
    </row>
    <row r="1362" spans="3:13" ht="12.75" customHeight="1" x14ac:dyDescent="0.2">
      <c r="C1362"/>
      <c r="M1362"/>
    </row>
    <row r="1363" spans="3:13" ht="12.75" customHeight="1" x14ac:dyDescent="0.2">
      <c r="C1363"/>
      <c r="M1363"/>
    </row>
    <row r="1364" spans="3:13" ht="12.75" customHeight="1" x14ac:dyDescent="0.2">
      <c r="C1364"/>
      <c r="M1364"/>
    </row>
    <row r="1365" spans="3:13" ht="12.75" customHeight="1" x14ac:dyDescent="0.2">
      <c r="C1365"/>
      <c r="M1365"/>
    </row>
    <row r="1366" spans="3:13" ht="12.75" customHeight="1" x14ac:dyDescent="0.2">
      <c r="C1366"/>
      <c r="M1366"/>
    </row>
    <row r="1367" spans="3:13" ht="12.75" customHeight="1" x14ac:dyDescent="0.2">
      <c r="C1367"/>
      <c r="M1367"/>
    </row>
    <row r="1368" spans="3:13" ht="12.75" customHeight="1" x14ac:dyDescent="0.2">
      <c r="C1368"/>
      <c r="M1368"/>
    </row>
    <row r="1369" spans="3:13" ht="12.75" customHeight="1" x14ac:dyDescent="0.2">
      <c r="C1369"/>
      <c r="M1369"/>
    </row>
    <row r="1370" spans="3:13" ht="12.75" customHeight="1" x14ac:dyDescent="0.2">
      <c r="C1370"/>
      <c r="M1370"/>
    </row>
    <row r="1371" spans="3:13" ht="12.75" customHeight="1" x14ac:dyDescent="0.2">
      <c r="C1371"/>
      <c r="M1371"/>
    </row>
    <row r="1372" spans="3:13" ht="12.75" customHeight="1" x14ac:dyDescent="0.2">
      <c r="C1372"/>
      <c r="M1372"/>
    </row>
    <row r="1373" spans="3:13" ht="12.75" customHeight="1" x14ac:dyDescent="0.2">
      <c r="C1373"/>
      <c r="M1373"/>
    </row>
    <row r="1374" spans="3:13" ht="12.75" customHeight="1" x14ac:dyDescent="0.2">
      <c r="C1374"/>
      <c r="M1374"/>
    </row>
    <row r="1375" spans="3:13" ht="12.75" customHeight="1" x14ac:dyDescent="0.2">
      <c r="C1375"/>
      <c r="M1375"/>
    </row>
    <row r="1376" spans="3:13" ht="12.75" customHeight="1" x14ac:dyDescent="0.2">
      <c r="C1376"/>
      <c r="M1376"/>
    </row>
    <row r="1377" spans="3:13" ht="12.75" customHeight="1" x14ac:dyDescent="0.2">
      <c r="C1377"/>
      <c r="M1377"/>
    </row>
    <row r="1378" spans="3:13" ht="12.75" customHeight="1" x14ac:dyDescent="0.2">
      <c r="C1378"/>
      <c r="M1378"/>
    </row>
    <row r="1379" spans="3:13" ht="12.75" customHeight="1" x14ac:dyDescent="0.2">
      <c r="C1379"/>
      <c r="M1379"/>
    </row>
    <row r="1380" spans="3:13" ht="12.75" customHeight="1" x14ac:dyDescent="0.2">
      <c r="C1380"/>
      <c r="M1380"/>
    </row>
    <row r="1381" spans="3:13" ht="12.75" customHeight="1" x14ac:dyDescent="0.2">
      <c r="C1381"/>
      <c r="M1381"/>
    </row>
    <row r="1382" spans="3:13" ht="12.75" customHeight="1" x14ac:dyDescent="0.2">
      <c r="C1382"/>
      <c r="M1382"/>
    </row>
    <row r="1383" spans="3:13" ht="12.75" customHeight="1" x14ac:dyDescent="0.2">
      <c r="C1383"/>
      <c r="M1383"/>
    </row>
    <row r="1384" spans="3:13" ht="12.75" customHeight="1" x14ac:dyDescent="0.2">
      <c r="C1384"/>
      <c r="M1384"/>
    </row>
    <row r="1385" spans="3:13" ht="12.75" customHeight="1" x14ac:dyDescent="0.2">
      <c r="C1385"/>
      <c r="M1385"/>
    </row>
    <row r="1386" spans="3:13" ht="12.75" customHeight="1" x14ac:dyDescent="0.2">
      <c r="C1386"/>
      <c r="M1386"/>
    </row>
    <row r="1387" spans="3:13" ht="12.75" customHeight="1" x14ac:dyDescent="0.2">
      <c r="C1387"/>
      <c r="M1387"/>
    </row>
    <row r="1388" spans="3:13" ht="12.75" customHeight="1" x14ac:dyDescent="0.2">
      <c r="C1388"/>
      <c r="M1388"/>
    </row>
    <row r="1389" spans="3:13" ht="12.75" customHeight="1" x14ac:dyDescent="0.2">
      <c r="C1389"/>
      <c r="M1389"/>
    </row>
    <row r="1390" spans="3:13" ht="12.75" customHeight="1" x14ac:dyDescent="0.2">
      <c r="C1390"/>
      <c r="M1390"/>
    </row>
    <row r="1391" spans="3:13" ht="12.75" customHeight="1" x14ac:dyDescent="0.2">
      <c r="C1391"/>
      <c r="M1391"/>
    </row>
    <row r="1392" spans="3:13" ht="12.75" customHeight="1" x14ac:dyDescent="0.2">
      <c r="C1392"/>
      <c r="M1392"/>
    </row>
    <row r="1393" spans="3:13" ht="12.75" customHeight="1" x14ac:dyDescent="0.2">
      <c r="C1393"/>
      <c r="M1393"/>
    </row>
    <row r="1394" spans="3:13" ht="12.75" customHeight="1" x14ac:dyDescent="0.2">
      <c r="C1394"/>
      <c r="M1394"/>
    </row>
    <row r="1395" spans="3:13" ht="12.75" customHeight="1" x14ac:dyDescent="0.2">
      <c r="C1395"/>
      <c r="M1395"/>
    </row>
    <row r="1396" spans="3:13" ht="12.75" customHeight="1" x14ac:dyDescent="0.2">
      <c r="C1396"/>
      <c r="M1396"/>
    </row>
    <row r="1397" spans="3:13" ht="12.75" customHeight="1" x14ac:dyDescent="0.2">
      <c r="C1397"/>
      <c r="M1397"/>
    </row>
    <row r="1398" spans="3:13" ht="12.75" customHeight="1" x14ac:dyDescent="0.2">
      <c r="C1398"/>
      <c r="M1398"/>
    </row>
    <row r="1399" spans="3:13" ht="12.75" customHeight="1" x14ac:dyDescent="0.2">
      <c r="C1399"/>
      <c r="M1399"/>
    </row>
    <row r="1400" spans="3:13" ht="12.75" customHeight="1" x14ac:dyDescent="0.2">
      <c r="C1400"/>
      <c r="M1400"/>
    </row>
    <row r="1401" spans="3:13" ht="12.75" customHeight="1" x14ac:dyDescent="0.2">
      <c r="C1401"/>
      <c r="M1401"/>
    </row>
    <row r="1402" spans="3:13" ht="12.75" customHeight="1" x14ac:dyDescent="0.2">
      <c r="C1402"/>
      <c r="M1402"/>
    </row>
    <row r="1403" spans="3:13" ht="12.75" customHeight="1" x14ac:dyDescent="0.2">
      <c r="C1403"/>
      <c r="M1403"/>
    </row>
    <row r="1404" spans="3:13" ht="12.75" customHeight="1" x14ac:dyDescent="0.2">
      <c r="C1404"/>
      <c r="M1404"/>
    </row>
    <row r="1405" spans="3:13" ht="12.75" customHeight="1" x14ac:dyDescent="0.2">
      <c r="C1405"/>
      <c r="M1405"/>
    </row>
    <row r="1406" spans="3:13" ht="12.75" customHeight="1" x14ac:dyDescent="0.2">
      <c r="C1406"/>
      <c r="M1406"/>
    </row>
    <row r="1407" spans="3:13" ht="12.75" customHeight="1" x14ac:dyDescent="0.2">
      <c r="C1407"/>
      <c r="M1407"/>
    </row>
    <row r="1408" spans="3:13" ht="12.75" customHeight="1" x14ac:dyDescent="0.2">
      <c r="C1408"/>
      <c r="M1408"/>
    </row>
    <row r="1409" spans="3:13" ht="12.75" customHeight="1" x14ac:dyDescent="0.2">
      <c r="C1409"/>
      <c r="M1409"/>
    </row>
    <row r="1410" spans="3:13" ht="12.75" customHeight="1" x14ac:dyDescent="0.2">
      <c r="C1410"/>
      <c r="M1410"/>
    </row>
    <row r="1411" spans="3:13" ht="12.75" customHeight="1" x14ac:dyDescent="0.2">
      <c r="C1411"/>
      <c r="M1411"/>
    </row>
    <row r="1412" spans="3:13" ht="12.75" customHeight="1" x14ac:dyDescent="0.2">
      <c r="C1412"/>
      <c r="M1412"/>
    </row>
    <row r="1413" spans="3:13" ht="12.75" customHeight="1" x14ac:dyDescent="0.2">
      <c r="C1413"/>
      <c r="M1413"/>
    </row>
    <row r="1414" spans="3:13" ht="12.75" customHeight="1" x14ac:dyDescent="0.2">
      <c r="C1414"/>
      <c r="M1414"/>
    </row>
    <row r="1415" spans="3:13" ht="12.75" customHeight="1" x14ac:dyDescent="0.2">
      <c r="C1415"/>
      <c r="M1415"/>
    </row>
    <row r="1416" spans="3:13" ht="12.75" customHeight="1" x14ac:dyDescent="0.2">
      <c r="C1416"/>
      <c r="M1416"/>
    </row>
    <row r="1417" spans="3:13" ht="12.75" customHeight="1" x14ac:dyDescent="0.2">
      <c r="C1417"/>
      <c r="M1417"/>
    </row>
    <row r="1418" spans="3:13" ht="12.75" customHeight="1" x14ac:dyDescent="0.2">
      <c r="C1418"/>
      <c r="M1418"/>
    </row>
    <row r="1419" spans="3:13" ht="12.75" customHeight="1" x14ac:dyDescent="0.2">
      <c r="C1419"/>
      <c r="M1419"/>
    </row>
    <row r="1420" spans="3:13" ht="12.75" customHeight="1" x14ac:dyDescent="0.2">
      <c r="C1420"/>
      <c r="M1420"/>
    </row>
    <row r="1421" spans="3:13" ht="12.75" customHeight="1" x14ac:dyDescent="0.2">
      <c r="C1421"/>
      <c r="M1421"/>
    </row>
    <row r="1422" spans="3:13" ht="12.75" customHeight="1" x14ac:dyDescent="0.2">
      <c r="C1422"/>
      <c r="M1422"/>
    </row>
    <row r="1423" spans="3:13" ht="12.75" customHeight="1" x14ac:dyDescent="0.2">
      <c r="C1423"/>
      <c r="M1423"/>
    </row>
    <row r="1424" spans="3:13" ht="12.75" customHeight="1" x14ac:dyDescent="0.2">
      <c r="C1424"/>
      <c r="M1424"/>
    </row>
    <row r="1425" spans="3:13" ht="12.75" customHeight="1" x14ac:dyDescent="0.2">
      <c r="C1425"/>
      <c r="M1425"/>
    </row>
    <row r="1426" spans="3:13" ht="12.75" customHeight="1" x14ac:dyDescent="0.2">
      <c r="C1426"/>
      <c r="M1426"/>
    </row>
    <row r="1427" spans="3:13" ht="12.75" customHeight="1" x14ac:dyDescent="0.2">
      <c r="C1427"/>
      <c r="M1427"/>
    </row>
    <row r="1428" spans="3:13" ht="12.75" customHeight="1" x14ac:dyDescent="0.2">
      <c r="C1428"/>
      <c r="M1428"/>
    </row>
    <row r="1429" spans="3:13" ht="12.75" customHeight="1" x14ac:dyDescent="0.2">
      <c r="C1429"/>
      <c r="M1429"/>
    </row>
    <row r="1430" spans="3:13" ht="12.75" customHeight="1" x14ac:dyDescent="0.2">
      <c r="C1430"/>
      <c r="M1430"/>
    </row>
    <row r="1431" spans="3:13" ht="12.75" customHeight="1" x14ac:dyDescent="0.2">
      <c r="C1431"/>
      <c r="M1431"/>
    </row>
    <row r="1432" spans="3:13" ht="12.75" customHeight="1" x14ac:dyDescent="0.2">
      <c r="C1432"/>
      <c r="M1432"/>
    </row>
    <row r="1433" spans="3:13" ht="12.75" customHeight="1" x14ac:dyDescent="0.2">
      <c r="C1433"/>
      <c r="M1433"/>
    </row>
    <row r="1434" spans="3:13" ht="12.75" customHeight="1" x14ac:dyDescent="0.2">
      <c r="C1434"/>
      <c r="M1434"/>
    </row>
    <row r="1435" spans="3:13" ht="12.75" customHeight="1" x14ac:dyDescent="0.2">
      <c r="C1435"/>
      <c r="M1435"/>
    </row>
    <row r="1436" spans="3:13" ht="12.75" customHeight="1" x14ac:dyDescent="0.2">
      <c r="C1436"/>
      <c r="M1436"/>
    </row>
    <row r="1437" spans="3:13" ht="12.75" customHeight="1" x14ac:dyDescent="0.2">
      <c r="C1437"/>
      <c r="M1437"/>
    </row>
    <row r="1438" spans="3:13" ht="12.75" customHeight="1" x14ac:dyDescent="0.2">
      <c r="C1438"/>
      <c r="M1438"/>
    </row>
    <row r="1439" spans="3:13" ht="12.75" customHeight="1" x14ac:dyDescent="0.2">
      <c r="C1439"/>
      <c r="M1439"/>
    </row>
    <row r="1440" spans="3:13" ht="12.75" customHeight="1" x14ac:dyDescent="0.2">
      <c r="C1440"/>
      <c r="M1440"/>
    </row>
    <row r="1441" spans="3:13" ht="12.75" customHeight="1" x14ac:dyDescent="0.2">
      <c r="C1441"/>
      <c r="M1441"/>
    </row>
    <row r="1442" spans="3:13" ht="12.75" customHeight="1" x14ac:dyDescent="0.2">
      <c r="C1442"/>
      <c r="M1442"/>
    </row>
    <row r="1443" spans="3:13" ht="12.75" customHeight="1" x14ac:dyDescent="0.2">
      <c r="C1443"/>
      <c r="M1443"/>
    </row>
    <row r="1444" spans="3:13" ht="12.75" customHeight="1" x14ac:dyDescent="0.2">
      <c r="C1444"/>
      <c r="M1444"/>
    </row>
    <row r="1445" spans="3:13" ht="12.75" customHeight="1" x14ac:dyDescent="0.2">
      <c r="C1445"/>
      <c r="M1445"/>
    </row>
    <row r="1446" spans="3:13" ht="12.75" customHeight="1" x14ac:dyDescent="0.2">
      <c r="C1446"/>
      <c r="M1446"/>
    </row>
    <row r="1447" spans="3:13" ht="12.75" customHeight="1" x14ac:dyDescent="0.2">
      <c r="C1447"/>
      <c r="M1447"/>
    </row>
    <row r="1448" spans="3:13" ht="12.75" customHeight="1" x14ac:dyDescent="0.2">
      <c r="C1448"/>
      <c r="M1448"/>
    </row>
    <row r="1449" spans="3:13" ht="12.75" customHeight="1" x14ac:dyDescent="0.2">
      <c r="C1449"/>
      <c r="M1449"/>
    </row>
    <row r="1450" spans="3:13" ht="12.75" customHeight="1" x14ac:dyDescent="0.2">
      <c r="C1450"/>
      <c r="M1450"/>
    </row>
    <row r="1451" spans="3:13" ht="12.75" customHeight="1" x14ac:dyDescent="0.2">
      <c r="C1451"/>
      <c r="M1451"/>
    </row>
    <row r="1452" spans="3:13" ht="12.75" customHeight="1" x14ac:dyDescent="0.2">
      <c r="C1452"/>
      <c r="M1452"/>
    </row>
    <row r="1453" spans="3:13" ht="12.75" customHeight="1" x14ac:dyDescent="0.2">
      <c r="C1453"/>
      <c r="M1453"/>
    </row>
    <row r="1454" spans="3:13" ht="12.75" customHeight="1" x14ac:dyDescent="0.2">
      <c r="C1454"/>
      <c r="M1454"/>
    </row>
    <row r="1455" spans="3:13" ht="12.75" customHeight="1" x14ac:dyDescent="0.2">
      <c r="C1455"/>
      <c r="M1455"/>
    </row>
    <row r="1456" spans="3:13" ht="12.75" customHeight="1" x14ac:dyDescent="0.2">
      <c r="C1456"/>
      <c r="M1456"/>
    </row>
    <row r="1457" spans="3:13" ht="12.75" customHeight="1" x14ac:dyDescent="0.2">
      <c r="C1457"/>
      <c r="M1457"/>
    </row>
    <row r="1458" spans="3:13" ht="12.75" customHeight="1" x14ac:dyDescent="0.2">
      <c r="C1458"/>
      <c r="M1458"/>
    </row>
    <row r="1459" spans="3:13" ht="12.75" customHeight="1" x14ac:dyDescent="0.2">
      <c r="C1459"/>
      <c r="M1459"/>
    </row>
    <row r="1460" spans="3:13" ht="12.75" customHeight="1" x14ac:dyDescent="0.2">
      <c r="C1460"/>
      <c r="M1460"/>
    </row>
    <row r="1461" spans="3:13" ht="12.75" customHeight="1" x14ac:dyDescent="0.2">
      <c r="C1461"/>
      <c r="M1461"/>
    </row>
    <row r="1462" spans="3:13" ht="12.75" customHeight="1" x14ac:dyDescent="0.2">
      <c r="C1462"/>
      <c r="M1462"/>
    </row>
    <row r="1463" spans="3:13" ht="12.75" customHeight="1" x14ac:dyDescent="0.2">
      <c r="C1463"/>
      <c r="M1463"/>
    </row>
    <row r="1464" spans="3:13" ht="12.75" customHeight="1" x14ac:dyDescent="0.2">
      <c r="C1464"/>
      <c r="M1464"/>
    </row>
    <row r="1465" spans="3:13" ht="12.75" customHeight="1" x14ac:dyDescent="0.2">
      <c r="C1465"/>
      <c r="M1465"/>
    </row>
    <row r="1466" spans="3:13" ht="12.75" customHeight="1" x14ac:dyDescent="0.2">
      <c r="C1466"/>
      <c r="M1466"/>
    </row>
    <row r="1467" spans="3:13" ht="12.75" customHeight="1" x14ac:dyDescent="0.2">
      <c r="C1467"/>
      <c r="M1467"/>
    </row>
    <row r="1468" spans="3:13" ht="12.75" customHeight="1" x14ac:dyDescent="0.2">
      <c r="C1468"/>
      <c r="M1468"/>
    </row>
    <row r="1469" spans="3:13" ht="12.75" customHeight="1" x14ac:dyDescent="0.2">
      <c r="C1469"/>
      <c r="M1469"/>
    </row>
    <row r="1470" spans="3:13" ht="12.75" customHeight="1" x14ac:dyDescent="0.2">
      <c r="C1470"/>
      <c r="M1470"/>
    </row>
    <row r="1471" spans="3:13" ht="12.75" customHeight="1" x14ac:dyDescent="0.2">
      <c r="C1471"/>
      <c r="M1471"/>
    </row>
    <row r="1472" spans="3:13" ht="12.75" customHeight="1" x14ac:dyDescent="0.2">
      <c r="C1472"/>
      <c r="M1472"/>
    </row>
    <row r="1473" spans="3:13" ht="12.75" customHeight="1" x14ac:dyDescent="0.2">
      <c r="C1473"/>
      <c r="M1473"/>
    </row>
    <row r="1474" spans="3:13" ht="12.75" customHeight="1" x14ac:dyDescent="0.2">
      <c r="C1474"/>
      <c r="M1474"/>
    </row>
    <row r="1475" spans="3:13" ht="12.75" customHeight="1" x14ac:dyDescent="0.2">
      <c r="C1475"/>
      <c r="M1475"/>
    </row>
    <row r="1476" spans="3:13" ht="12.75" customHeight="1" x14ac:dyDescent="0.2">
      <c r="C1476"/>
      <c r="M1476"/>
    </row>
    <row r="1477" spans="3:13" ht="12.75" customHeight="1" x14ac:dyDescent="0.2">
      <c r="C1477"/>
      <c r="M1477"/>
    </row>
    <row r="1478" spans="3:13" ht="12.75" customHeight="1" x14ac:dyDescent="0.2">
      <c r="C1478"/>
      <c r="M1478"/>
    </row>
    <row r="1479" spans="3:13" ht="12.75" customHeight="1" x14ac:dyDescent="0.2">
      <c r="C1479"/>
      <c r="M1479"/>
    </row>
    <row r="1480" spans="3:13" ht="12.75" customHeight="1" x14ac:dyDescent="0.2">
      <c r="C1480"/>
      <c r="M1480"/>
    </row>
    <row r="1481" spans="3:13" ht="12.75" customHeight="1" x14ac:dyDescent="0.2">
      <c r="C1481"/>
      <c r="M1481"/>
    </row>
    <row r="1482" spans="3:13" ht="12.75" customHeight="1" x14ac:dyDescent="0.2">
      <c r="C1482"/>
      <c r="M1482"/>
    </row>
    <row r="1483" spans="3:13" ht="12.75" customHeight="1" x14ac:dyDescent="0.2">
      <c r="C1483"/>
      <c r="M1483"/>
    </row>
    <row r="1484" spans="3:13" ht="12.75" customHeight="1" x14ac:dyDescent="0.2">
      <c r="C1484"/>
      <c r="M1484"/>
    </row>
    <row r="1485" spans="3:13" ht="12.75" customHeight="1" x14ac:dyDescent="0.2">
      <c r="C1485"/>
      <c r="M1485"/>
    </row>
    <row r="1486" spans="3:13" ht="12.75" customHeight="1" x14ac:dyDescent="0.2">
      <c r="C1486"/>
      <c r="M1486"/>
    </row>
    <row r="1487" spans="3:13" ht="12.75" customHeight="1" x14ac:dyDescent="0.2">
      <c r="C1487"/>
      <c r="M1487"/>
    </row>
    <row r="1488" spans="3:13" ht="12.75" customHeight="1" x14ac:dyDescent="0.2">
      <c r="C1488"/>
      <c r="M1488"/>
    </row>
    <row r="1489" spans="3:13" ht="12.75" customHeight="1" x14ac:dyDescent="0.2">
      <c r="C1489"/>
      <c r="M1489"/>
    </row>
    <row r="1490" spans="3:13" ht="12.75" customHeight="1" x14ac:dyDescent="0.2">
      <c r="C1490"/>
      <c r="M1490"/>
    </row>
    <row r="1491" spans="3:13" ht="12.75" customHeight="1" x14ac:dyDescent="0.2">
      <c r="C1491"/>
      <c r="M1491"/>
    </row>
    <row r="1492" spans="3:13" ht="12.75" customHeight="1" x14ac:dyDescent="0.2">
      <c r="C1492"/>
      <c r="M1492"/>
    </row>
    <row r="1493" spans="3:13" ht="12.75" customHeight="1" x14ac:dyDescent="0.2">
      <c r="C1493"/>
      <c r="M1493"/>
    </row>
    <row r="1494" spans="3:13" ht="12.75" customHeight="1" x14ac:dyDescent="0.2">
      <c r="C1494"/>
      <c r="M1494"/>
    </row>
    <row r="1495" spans="3:13" ht="12.75" customHeight="1" x14ac:dyDescent="0.2">
      <c r="C1495"/>
      <c r="M1495"/>
    </row>
    <row r="1496" spans="3:13" ht="12.75" customHeight="1" x14ac:dyDescent="0.2">
      <c r="C1496"/>
      <c r="M1496"/>
    </row>
    <row r="1497" spans="3:13" ht="12.75" customHeight="1" x14ac:dyDescent="0.2">
      <c r="C1497"/>
      <c r="M1497"/>
    </row>
    <row r="1498" spans="3:13" ht="12.75" customHeight="1" x14ac:dyDescent="0.2">
      <c r="C1498"/>
      <c r="M1498"/>
    </row>
    <row r="1499" spans="3:13" ht="12.75" customHeight="1" x14ac:dyDescent="0.2">
      <c r="C1499"/>
      <c r="M1499"/>
    </row>
    <row r="1500" spans="3:13" ht="12.75" customHeight="1" x14ac:dyDescent="0.2">
      <c r="C1500"/>
      <c r="M1500"/>
    </row>
    <row r="1501" spans="3:13" ht="12.75" customHeight="1" x14ac:dyDescent="0.2">
      <c r="C1501"/>
      <c r="M1501"/>
    </row>
    <row r="1502" spans="3:13" ht="12.75" customHeight="1" x14ac:dyDescent="0.2">
      <c r="C1502"/>
      <c r="M1502"/>
    </row>
    <row r="1503" spans="3:13" ht="12.75" customHeight="1" x14ac:dyDescent="0.2">
      <c r="C1503"/>
      <c r="M1503"/>
    </row>
    <row r="1504" spans="3:13" ht="12.75" customHeight="1" x14ac:dyDescent="0.2">
      <c r="C1504"/>
      <c r="M1504"/>
    </row>
    <row r="1505" spans="3:13" ht="12.75" customHeight="1" x14ac:dyDescent="0.2">
      <c r="C1505"/>
      <c r="M1505"/>
    </row>
    <row r="1506" spans="3:13" ht="12.75" customHeight="1" x14ac:dyDescent="0.2">
      <c r="C1506"/>
      <c r="M1506"/>
    </row>
    <row r="1507" spans="3:13" ht="12.75" customHeight="1" x14ac:dyDescent="0.2">
      <c r="C1507"/>
      <c r="M1507"/>
    </row>
    <row r="1508" spans="3:13" ht="12.75" customHeight="1" x14ac:dyDescent="0.2">
      <c r="C1508"/>
      <c r="M1508"/>
    </row>
    <row r="1509" spans="3:13" ht="12.75" customHeight="1" x14ac:dyDescent="0.2">
      <c r="C1509"/>
      <c r="M1509"/>
    </row>
    <row r="1510" spans="3:13" ht="12.75" customHeight="1" x14ac:dyDescent="0.2">
      <c r="C1510"/>
      <c r="M1510"/>
    </row>
    <row r="1511" spans="3:13" ht="12.75" customHeight="1" x14ac:dyDescent="0.2">
      <c r="C1511"/>
      <c r="M1511"/>
    </row>
    <row r="1512" spans="3:13" ht="12.75" customHeight="1" x14ac:dyDescent="0.2">
      <c r="C1512"/>
      <c r="M1512"/>
    </row>
    <row r="1513" spans="3:13" ht="12.75" customHeight="1" x14ac:dyDescent="0.2">
      <c r="C1513"/>
      <c r="M1513"/>
    </row>
    <row r="1514" spans="3:13" ht="12.75" customHeight="1" x14ac:dyDescent="0.2">
      <c r="C1514"/>
      <c r="M1514"/>
    </row>
    <row r="1515" spans="3:13" ht="12.75" customHeight="1" x14ac:dyDescent="0.2">
      <c r="C1515"/>
      <c r="M1515"/>
    </row>
    <row r="1516" spans="3:13" ht="12.75" customHeight="1" x14ac:dyDescent="0.2">
      <c r="C1516"/>
      <c r="M1516"/>
    </row>
    <row r="1517" spans="3:13" ht="12.75" customHeight="1" x14ac:dyDescent="0.2">
      <c r="C1517"/>
      <c r="M1517"/>
    </row>
    <row r="1518" spans="3:13" ht="12.75" customHeight="1" x14ac:dyDescent="0.2">
      <c r="C1518"/>
      <c r="M1518"/>
    </row>
    <row r="1519" spans="3:13" ht="12.75" customHeight="1" x14ac:dyDescent="0.2">
      <c r="C1519"/>
      <c r="M1519"/>
    </row>
    <row r="1520" spans="3:13" ht="12.75" customHeight="1" x14ac:dyDescent="0.2">
      <c r="C1520"/>
      <c r="M1520"/>
    </row>
    <row r="1521" spans="3:13" ht="12.75" customHeight="1" x14ac:dyDescent="0.2">
      <c r="C1521"/>
      <c r="M1521"/>
    </row>
    <row r="1522" spans="3:13" ht="12.75" customHeight="1" x14ac:dyDescent="0.2">
      <c r="C1522"/>
      <c r="M1522"/>
    </row>
    <row r="1523" spans="3:13" ht="12.75" customHeight="1" x14ac:dyDescent="0.2">
      <c r="C1523"/>
      <c r="M1523"/>
    </row>
    <row r="1524" spans="3:13" ht="12.75" customHeight="1" x14ac:dyDescent="0.2">
      <c r="C1524"/>
      <c r="M1524"/>
    </row>
    <row r="1525" spans="3:13" ht="12.75" customHeight="1" x14ac:dyDescent="0.2">
      <c r="C1525"/>
      <c r="M1525"/>
    </row>
    <row r="1526" spans="3:13" ht="12.75" customHeight="1" x14ac:dyDescent="0.2">
      <c r="C1526"/>
      <c r="M1526"/>
    </row>
    <row r="1527" spans="3:13" ht="12.75" customHeight="1" x14ac:dyDescent="0.2">
      <c r="C1527"/>
      <c r="M1527"/>
    </row>
    <row r="1528" spans="3:13" ht="12.75" customHeight="1" x14ac:dyDescent="0.2">
      <c r="C1528"/>
      <c r="M1528"/>
    </row>
    <row r="1529" spans="3:13" ht="12.75" customHeight="1" x14ac:dyDescent="0.2">
      <c r="C1529"/>
      <c r="M1529"/>
    </row>
    <row r="1530" spans="3:13" ht="12.75" customHeight="1" x14ac:dyDescent="0.2">
      <c r="C1530"/>
      <c r="M1530"/>
    </row>
    <row r="1531" spans="3:13" ht="12.75" customHeight="1" x14ac:dyDescent="0.2">
      <c r="C1531"/>
      <c r="M1531"/>
    </row>
    <row r="1532" spans="3:13" ht="12.75" customHeight="1" x14ac:dyDescent="0.2">
      <c r="C1532"/>
      <c r="M1532"/>
    </row>
    <row r="1533" spans="3:13" ht="12.75" customHeight="1" x14ac:dyDescent="0.2">
      <c r="C1533"/>
      <c r="M1533"/>
    </row>
    <row r="1534" spans="3:13" ht="12.75" customHeight="1" x14ac:dyDescent="0.2">
      <c r="C1534"/>
      <c r="M1534"/>
    </row>
    <row r="1535" spans="3:13" ht="12.75" customHeight="1" x14ac:dyDescent="0.2">
      <c r="C1535"/>
      <c r="M1535"/>
    </row>
    <row r="1536" spans="3:13" ht="12.75" customHeight="1" x14ac:dyDescent="0.2">
      <c r="C1536"/>
      <c r="M1536"/>
    </row>
    <row r="1537" spans="3:13" ht="12.75" customHeight="1" x14ac:dyDescent="0.2">
      <c r="C1537"/>
      <c r="M1537"/>
    </row>
    <row r="1538" spans="3:13" ht="12.75" customHeight="1" x14ac:dyDescent="0.2">
      <c r="C1538"/>
      <c r="M1538"/>
    </row>
    <row r="1539" spans="3:13" ht="12.75" customHeight="1" x14ac:dyDescent="0.2">
      <c r="C1539"/>
      <c r="M1539"/>
    </row>
    <row r="1540" spans="3:13" ht="12.75" customHeight="1" x14ac:dyDescent="0.2">
      <c r="C1540"/>
      <c r="M1540"/>
    </row>
    <row r="1541" spans="3:13" ht="12.75" customHeight="1" x14ac:dyDescent="0.2">
      <c r="C1541"/>
      <c r="M1541"/>
    </row>
    <row r="1542" spans="3:13" ht="12.75" customHeight="1" x14ac:dyDescent="0.2">
      <c r="C1542"/>
      <c r="M1542"/>
    </row>
    <row r="1543" spans="3:13" ht="12.75" customHeight="1" x14ac:dyDescent="0.2">
      <c r="C1543"/>
      <c r="M1543"/>
    </row>
    <row r="1544" spans="3:13" ht="12.75" customHeight="1" x14ac:dyDescent="0.2">
      <c r="C1544"/>
      <c r="M1544"/>
    </row>
    <row r="1545" spans="3:13" ht="12.75" customHeight="1" x14ac:dyDescent="0.2">
      <c r="C1545"/>
      <c r="M1545"/>
    </row>
    <row r="1546" spans="3:13" ht="12.75" customHeight="1" x14ac:dyDescent="0.2">
      <c r="C1546"/>
      <c r="M1546"/>
    </row>
    <row r="1547" spans="3:13" ht="12.75" customHeight="1" x14ac:dyDescent="0.2">
      <c r="C1547"/>
      <c r="M1547"/>
    </row>
    <row r="1548" spans="3:13" ht="12.75" customHeight="1" x14ac:dyDescent="0.2">
      <c r="C1548"/>
      <c r="M1548"/>
    </row>
    <row r="1549" spans="3:13" ht="12.75" customHeight="1" x14ac:dyDescent="0.2">
      <c r="C1549"/>
      <c r="M1549"/>
    </row>
    <row r="1550" spans="3:13" ht="12.75" customHeight="1" x14ac:dyDescent="0.2">
      <c r="C1550"/>
      <c r="M1550"/>
    </row>
    <row r="1551" spans="3:13" ht="12.75" customHeight="1" x14ac:dyDescent="0.2">
      <c r="C1551"/>
      <c r="M1551"/>
    </row>
    <row r="1552" spans="3:13" ht="12.75" customHeight="1" x14ac:dyDescent="0.2">
      <c r="C1552"/>
      <c r="M1552"/>
    </row>
    <row r="1553" spans="3:13" ht="12.75" customHeight="1" x14ac:dyDescent="0.2">
      <c r="C1553"/>
      <c r="M1553"/>
    </row>
    <row r="1554" spans="3:13" ht="12.75" customHeight="1" x14ac:dyDescent="0.2">
      <c r="C1554"/>
      <c r="M1554"/>
    </row>
    <row r="1555" spans="3:13" ht="12.75" customHeight="1" x14ac:dyDescent="0.2">
      <c r="C1555"/>
      <c r="M1555"/>
    </row>
    <row r="1556" spans="3:13" ht="12.75" customHeight="1" x14ac:dyDescent="0.2">
      <c r="C1556"/>
      <c r="M1556"/>
    </row>
    <row r="1557" spans="3:13" ht="12.75" customHeight="1" x14ac:dyDescent="0.2">
      <c r="C1557"/>
      <c r="M1557"/>
    </row>
    <row r="1558" spans="3:13" ht="12.75" customHeight="1" x14ac:dyDescent="0.2">
      <c r="C1558"/>
      <c r="M1558"/>
    </row>
    <row r="1559" spans="3:13" ht="12.75" customHeight="1" x14ac:dyDescent="0.2">
      <c r="C1559"/>
      <c r="M1559"/>
    </row>
    <row r="1560" spans="3:13" ht="12.75" customHeight="1" x14ac:dyDescent="0.2">
      <c r="C1560"/>
      <c r="M1560"/>
    </row>
    <row r="1561" spans="3:13" ht="12.75" customHeight="1" x14ac:dyDescent="0.2">
      <c r="C1561"/>
      <c r="M1561"/>
    </row>
    <row r="1562" spans="3:13" ht="12.75" customHeight="1" x14ac:dyDescent="0.2">
      <c r="C1562"/>
      <c r="M1562"/>
    </row>
    <row r="1563" spans="3:13" ht="12.75" customHeight="1" x14ac:dyDescent="0.2">
      <c r="C1563"/>
      <c r="M1563"/>
    </row>
    <row r="1564" spans="3:13" ht="12.75" customHeight="1" x14ac:dyDescent="0.2">
      <c r="C1564"/>
      <c r="M1564"/>
    </row>
    <row r="1565" spans="3:13" ht="12.75" customHeight="1" x14ac:dyDescent="0.2">
      <c r="C1565"/>
      <c r="M1565"/>
    </row>
    <row r="1566" spans="3:13" ht="12.75" customHeight="1" x14ac:dyDescent="0.2">
      <c r="C1566"/>
      <c r="M1566"/>
    </row>
    <row r="1567" spans="3:13" ht="12.75" customHeight="1" x14ac:dyDescent="0.2">
      <c r="C1567"/>
      <c r="M1567"/>
    </row>
    <row r="1568" spans="3:13" ht="12.75" customHeight="1" x14ac:dyDescent="0.2">
      <c r="C1568"/>
      <c r="M1568"/>
    </row>
    <row r="1569" spans="3:13" ht="12.75" customHeight="1" x14ac:dyDescent="0.2">
      <c r="C1569"/>
      <c r="M1569"/>
    </row>
    <row r="1570" spans="3:13" ht="12.75" customHeight="1" x14ac:dyDescent="0.2">
      <c r="C1570"/>
      <c r="M1570"/>
    </row>
    <row r="1571" spans="3:13" ht="12.75" customHeight="1" x14ac:dyDescent="0.2">
      <c r="C1571"/>
      <c r="M1571"/>
    </row>
    <row r="1572" spans="3:13" ht="12.75" customHeight="1" x14ac:dyDescent="0.2">
      <c r="C1572"/>
      <c r="M1572"/>
    </row>
    <row r="1573" spans="3:13" ht="12.75" customHeight="1" x14ac:dyDescent="0.2">
      <c r="C1573"/>
      <c r="M1573"/>
    </row>
    <row r="1574" spans="3:13" ht="12.75" customHeight="1" x14ac:dyDescent="0.2">
      <c r="C1574"/>
      <c r="M1574"/>
    </row>
    <row r="1575" spans="3:13" ht="12.75" customHeight="1" x14ac:dyDescent="0.2">
      <c r="C1575"/>
      <c r="M1575"/>
    </row>
    <row r="1576" spans="3:13" ht="12.75" customHeight="1" x14ac:dyDescent="0.2">
      <c r="C1576"/>
      <c r="M1576"/>
    </row>
    <row r="1577" spans="3:13" ht="12.75" customHeight="1" x14ac:dyDescent="0.2">
      <c r="C1577"/>
      <c r="M1577"/>
    </row>
    <row r="1578" spans="3:13" ht="12.75" customHeight="1" x14ac:dyDescent="0.2">
      <c r="C1578"/>
      <c r="M1578"/>
    </row>
    <row r="1579" spans="3:13" ht="12.75" customHeight="1" x14ac:dyDescent="0.2">
      <c r="C1579"/>
      <c r="M1579"/>
    </row>
    <row r="1580" spans="3:13" ht="12.75" customHeight="1" x14ac:dyDescent="0.2">
      <c r="C1580"/>
      <c r="M1580"/>
    </row>
    <row r="1581" spans="3:13" ht="12.75" customHeight="1" x14ac:dyDescent="0.2">
      <c r="C1581"/>
      <c r="M1581"/>
    </row>
    <row r="1582" spans="3:13" ht="12.75" customHeight="1" x14ac:dyDescent="0.2">
      <c r="C1582"/>
      <c r="M1582"/>
    </row>
    <row r="1583" spans="3:13" ht="12.75" customHeight="1" x14ac:dyDescent="0.2">
      <c r="C1583"/>
      <c r="M1583"/>
    </row>
    <row r="1584" spans="3:13" ht="12.75" customHeight="1" x14ac:dyDescent="0.2">
      <c r="C1584"/>
      <c r="M1584"/>
    </row>
    <row r="1585" spans="3:13" ht="12.75" customHeight="1" x14ac:dyDescent="0.2">
      <c r="C1585"/>
      <c r="M1585"/>
    </row>
    <row r="1586" spans="3:13" ht="12.75" customHeight="1" x14ac:dyDescent="0.2">
      <c r="C1586"/>
      <c r="M1586"/>
    </row>
    <row r="1587" spans="3:13" ht="12.75" customHeight="1" x14ac:dyDescent="0.2">
      <c r="C1587"/>
      <c r="M1587"/>
    </row>
    <row r="1588" spans="3:13" ht="12.75" customHeight="1" x14ac:dyDescent="0.2">
      <c r="C1588"/>
      <c r="M1588"/>
    </row>
    <row r="1589" spans="3:13" ht="12.75" customHeight="1" x14ac:dyDescent="0.2">
      <c r="C1589"/>
      <c r="M1589"/>
    </row>
    <row r="1590" spans="3:13" ht="12.75" customHeight="1" x14ac:dyDescent="0.2">
      <c r="C1590"/>
      <c r="M1590"/>
    </row>
    <row r="1591" spans="3:13" ht="12.75" customHeight="1" x14ac:dyDescent="0.2">
      <c r="C1591"/>
      <c r="M1591"/>
    </row>
    <row r="1592" spans="3:13" ht="12.75" customHeight="1" x14ac:dyDescent="0.2">
      <c r="C1592"/>
      <c r="M1592"/>
    </row>
    <row r="1593" spans="3:13" ht="12.75" customHeight="1" x14ac:dyDescent="0.2">
      <c r="C1593"/>
      <c r="M1593"/>
    </row>
    <row r="1594" spans="3:13" ht="12.75" customHeight="1" x14ac:dyDescent="0.2">
      <c r="C1594"/>
      <c r="M1594"/>
    </row>
    <row r="1595" spans="3:13" ht="12.75" customHeight="1" x14ac:dyDescent="0.2">
      <c r="C1595"/>
      <c r="M1595"/>
    </row>
    <row r="1596" spans="3:13" ht="12.75" customHeight="1" x14ac:dyDescent="0.2">
      <c r="C1596"/>
      <c r="M1596"/>
    </row>
    <row r="1597" spans="3:13" ht="12.75" customHeight="1" x14ac:dyDescent="0.2">
      <c r="C1597"/>
      <c r="M1597"/>
    </row>
    <row r="1598" spans="3:13" ht="12.75" customHeight="1" x14ac:dyDescent="0.2">
      <c r="C1598"/>
      <c r="M1598"/>
    </row>
    <row r="1599" spans="3:13" ht="12.75" customHeight="1" x14ac:dyDescent="0.2">
      <c r="C1599"/>
      <c r="M1599"/>
    </row>
    <row r="1600" spans="3:13" ht="12.75" customHeight="1" x14ac:dyDescent="0.2">
      <c r="C1600"/>
      <c r="M1600"/>
    </row>
    <row r="1601" spans="3:13" ht="12.75" customHeight="1" x14ac:dyDescent="0.2">
      <c r="C1601"/>
      <c r="M1601"/>
    </row>
    <row r="1602" spans="3:13" ht="12.75" customHeight="1" x14ac:dyDescent="0.2">
      <c r="C1602"/>
      <c r="M1602"/>
    </row>
    <row r="1603" spans="3:13" ht="12.75" customHeight="1" x14ac:dyDescent="0.2">
      <c r="C1603"/>
      <c r="M1603"/>
    </row>
    <row r="1604" spans="3:13" ht="12.75" customHeight="1" x14ac:dyDescent="0.2">
      <c r="C1604"/>
      <c r="M1604"/>
    </row>
    <row r="1605" spans="3:13" ht="12.75" customHeight="1" x14ac:dyDescent="0.2">
      <c r="C1605"/>
      <c r="M1605"/>
    </row>
    <row r="1606" spans="3:13" ht="12.75" customHeight="1" x14ac:dyDescent="0.2">
      <c r="C1606"/>
      <c r="M1606"/>
    </row>
    <row r="1607" spans="3:13" ht="12.75" customHeight="1" x14ac:dyDescent="0.2">
      <c r="C1607"/>
      <c r="M1607"/>
    </row>
    <row r="1608" spans="3:13" ht="12.75" customHeight="1" x14ac:dyDescent="0.2">
      <c r="C1608"/>
      <c r="M1608"/>
    </row>
    <row r="1609" spans="3:13" ht="12.75" customHeight="1" x14ac:dyDescent="0.2">
      <c r="C1609"/>
      <c r="M1609"/>
    </row>
    <row r="1610" spans="3:13" ht="12.75" customHeight="1" x14ac:dyDescent="0.2">
      <c r="C1610"/>
      <c r="M1610"/>
    </row>
    <row r="1611" spans="3:13" ht="12.75" customHeight="1" x14ac:dyDescent="0.2">
      <c r="C1611"/>
      <c r="M1611"/>
    </row>
    <row r="1612" spans="3:13" ht="12.75" customHeight="1" x14ac:dyDescent="0.2">
      <c r="C1612"/>
      <c r="M1612"/>
    </row>
    <row r="1613" spans="3:13" ht="12.75" customHeight="1" x14ac:dyDescent="0.2">
      <c r="C1613"/>
      <c r="M1613"/>
    </row>
    <row r="1614" spans="3:13" ht="12.75" customHeight="1" x14ac:dyDescent="0.2">
      <c r="C1614"/>
      <c r="M1614"/>
    </row>
    <row r="1615" spans="3:13" ht="12.75" customHeight="1" x14ac:dyDescent="0.2">
      <c r="C1615"/>
      <c r="M1615"/>
    </row>
    <row r="1616" spans="3:13" ht="12.75" customHeight="1" x14ac:dyDescent="0.2">
      <c r="C1616"/>
      <c r="M1616"/>
    </row>
    <row r="1617" spans="3:13" ht="12.75" customHeight="1" x14ac:dyDescent="0.2">
      <c r="C1617"/>
      <c r="M1617"/>
    </row>
    <row r="1618" spans="3:13" ht="12.75" customHeight="1" x14ac:dyDescent="0.2">
      <c r="C1618"/>
      <c r="M1618"/>
    </row>
    <row r="1619" spans="3:13" ht="12.75" customHeight="1" x14ac:dyDescent="0.2">
      <c r="C1619"/>
      <c r="M1619"/>
    </row>
    <row r="1620" spans="3:13" ht="12.75" customHeight="1" x14ac:dyDescent="0.2">
      <c r="C1620"/>
      <c r="M1620"/>
    </row>
    <row r="1621" spans="3:13" ht="12.75" customHeight="1" x14ac:dyDescent="0.2">
      <c r="C1621"/>
      <c r="M1621"/>
    </row>
    <row r="1622" spans="3:13" ht="12.75" customHeight="1" x14ac:dyDescent="0.2">
      <c r="C1622"/>
      <c r="M1622"/>
    </row>
    <row r="1623" spans="3:13" ht="12.75" customHeight="1" x14ac:dyDescent="0.2">
      <c r="C1623"/>
      <c r="M1623"/>
    </row>
    <row r="1624" spans="3:13" ht="12.75" customHeight="1" x14ac:dyDescent="0.2">
      <c r="C1624"/>
      <c r="M1624"/>
    </row>
    <row r="1625" spans="3:13" ht="12.75" customHeight="1" x14ac:dyDescent="0.2">
      <c r="C1625"/>
      <c r="M1625"/>
    </row>
    <row r="1626" spans="3:13" ht="12.75" customHeight="1" x14ac:dyDescent="0.2">
      <c r="C1626"/>
      <c r="M1626"/>
    </row>
    <row r="1627" spans="3:13" ht="12.75" customHeight="1" x14ac:dyDescent="0.2">
      <c r="C1627"/>
      <c r="M1627"/>
    </row>
    <row r="1628" spans="3:13" ht="12.75" customHeight="1" x14ac:dyDescent="0.2">
      <c r="C1628"/>
      <c r="M1628"/>
    </row>
    <row r="1629" spans="3:13" ht="12.75" customHeight="1" x14ac:dyDescent="0.2">
      <c r="C1629"/>
      <c r="M1629"/>
    </row>
    <row r="1630" spans="3:13" ht="12.75" customHeight="1" x14ac:dyDescent="0.2">
      <c r="C1630"/>
      <c r="M1630"/>
    </row>
    <row r="1631" spans="3:13" ht="12.75" customHeight="1" x14ac:dyDescent="0.2">
      <c r="C1631"/>
      <c r="M1631"/>
    </row>
    <row r="1632" spans="3:13" ht="12.75" customHeight="1" x14ac:dyDescent="0.2">
      <c r="C1632"/>
      <c r="M1632"/>
    </row>
    <row r="1633" spans="3:13" ht="12.75" customHeight="1" x14ac:dyDescent="0.2">
      <c r="C1633"/>
      <c r="M1633"/>
    </row>
    <row r="1634" spans="3:13" ht="12.75" customHeight="1" x14ac:dyDescent="0.2">
      <c r="C1634"/>
      <c r="M1634"/>
    </row>
    <row r="1635" spans="3:13" ht="12.75" customHeight="1" x14ac:dyDescent="0.2">
      <c r="C1635"/>
      <c r="M1635"/>
    </row>
    <row r="1636" spans="3:13" ht="12.75" customHeight="1" x14ac:dyDescent="0.2">
      <c r="C1636"/>
      <c r="M1636"/>
    </row>
    <row r="1637" spans="3:13" ht="12.75" customHeight="1" x14ac:dyDescent="0.2">
      <c r="C1637"/>
      <c r="M1637"/>
    </row>
    <row r="1638" spans="3:13" ht="12.75" customHeight="1" x14ac:dyDescent="0.2">
      <c r="C1638"/>
      <c r="M1638"/>
    </row>
    <row r="1639" spans="3:13" ht="12.75" customHeight="1" x14ac:dyDescent="0.2">
      <c r="C1639"/>
      <c r="M1639"/>
    </row>
    <row r="1640" spans="3:13" ht="12.75" customHeight="1" x14ac:dyDescent="0.2">
      <c r="C1640"/>
      <c r="M1640"/>
    </row>
    <row r="1641" spans="3:13" ht="12.75" customHeight="1" x14ac:dyDescent="0.2">
      <c r="C1641"/>
      <c r="M1641"/>
    </row>
    <row r="1642" spans="3:13" ht="12.75" customHeight="1" x14ac:dyDescent="0.2">
      <c r="C1642"/>
      <c r="M1642"/>
    </row>
    <row r="1643" spans="3:13" ht="12.75" customHeight="1" x14ac:dyDescent="0.2">
      <c r="C1643"/>
      <c r="M1643"/>
    </row>
    <row r="1644" spans="3:13" ht="12.75" customHeight="1" x14ac:dyDescent="0.2">
      <c r="C1644"/>
      <c r="M1644"/>
    </row>
    <row r="1645" spans="3:13" ht="12.75" customHeight="1" x14ac:dyDescent="0.2">
      <c r="C1645"/>
      <c r="M1645"/>
    </row>
    <row r="1646" spans="3:13" ht="12.75" customHeight="1" x14ac:dyDescent="0.2">
      <c r="C1646"/>
      <c r="M1646"/>
    </row>
    <row r="1647" spans="3:13" ht="12.75" customHeight="1" x14ac:dyDescent="0.2">
      <c r="C1647"/>
      <c r="M1647"/>
    </row>
    <row r="1648" spans="3:13" ht="12.75" customHeight="1" x14ac:dyDescent="0.2">
      <c r="C1648"/>
      <c r="M1648"/>
    </row>
    <row r="1649" spans="3:13" ht="12.75" customHeight="1" x14ac:dyDescent="0.2">
      <c r="C1649"/>
      <c r="M1649"/>
    </row>
    <row r="1650" spans="3:13" ht="12.75" customHeight="1" x14ac:dyDescent="0.2">
      <c r="C1650"/>
      <c r="M1650"/>
    </row>
    <row r="1651" spans="3:13" ht="12.75" customHeight="1" x14ac:dyDescent="0.2">
      <c r="C1651"/>
      <c r="M1651"/>
    </row>
    <row r="1652" spans="3:13" ht="12.75" customHeight="1" x14ac:dyDescent="0.2">
      <c r="C1652"/>
      <c r="M1652"/>
    </row>
    <row r="1653" spans="3:13" ht="12.75" customHeight="1" x14ac:dyDescent="0.2">
      <c r="C1653"/>
      <c r="M1653"/>
    </row>
    <row r="1654" spans="3:13" ht="12.75" customHeight="1" x14ac:dyDescent="0.2">
      <c r="C1654"/>
      <c r="M1654"/>
    </row>
    <row r="1655" spans="3:13" ht="12.75" customHeight="1" x14ac:dyDescent="0.2">
      <c r="C1655"/>
      <c r="M1655"/>
    </row>
    <row r="1656" spans="3:13" ht="12.75" customHeight="1" x14ac:dyDescent="0.2">
      <c r="C1656"/>
      <c r="M1656"/>
    </row>
    <row r="1657" spans="3:13" ht="12.75" customHeight="1" x14ac:dyDescent="0.2">
      <c r="C1657"/>
      <c r="M1657"/>
    </row>
    <row r="1658" spans="3:13" ht="12.75" customHeight="1" x14ac:dyDescent="0.2">
      <c r="C1658"/>
      <c r="M1658"/>
    </row>
    <row r="1659" spans="3:13" ht="12.75" customHeight="1" x14ac:dyDescent="0.2">
      <c r="C1659"/>
      <c r="M1659"/>
    </row>
    <row r="1660" spans="3:13" ht="12.75" customHeight="1" x14ac:dyDescent="0.2">
      <c r="C1660"/>
      <c r="M1660"/>
    </row>
    <row r="1661" spans="3:13" ht="12.75" customHeight="1" x14ac:dyDescent="0.2">
      <c r="C1661"/>
      <c r="M1661"/>
    </row>
    <row r="1662" spans="3:13" ht="12.75" customHeight="1" x14ac:dyDescent="0.2">
      <c r="C1662"/>
      <c r="M1662"/>
    </row>
    <row r="1663" spans="3:13" ht="12.75" customHeight="1" x14ac:dyDescent="0.2">
      <c r="C1663"/>
      <c r="M1663"/>
    </row>
    <row r="1664" spans="3:13" ht="12.75" customHeight="1" x14ac:dyDescent="0.2">
      <c r="C1664"/>
      <c r="M1664"/>
    </row>
    <row r="1665" spans="3:13" ht="12.75" customHeight="1" x14ac:dyDescent="0.2">
      <c r="C1665"/>
      <c r="M1665"/>
    </row>
    <row r="1666" spans="3:13" ht="12.75" customHeight="1" x14ac:dyDescent="0.2">
      <c r="C1666"/>
      <c r="M1666"/>
    </row>
    <row r="1667" spans="3:13" ht="12.75" customHeight="1" x14ac:dyDescent="0.2">
      <c r="C1667"/>
      <c r="M1667"/>
    </row>
    <row r="1668" spans="3:13" ht="12.75" customHeight="1" x14ac:dyDescent="0.2">
      <c r="C1668"/>
      <c r="M1668"/>
    </row>
    <row r="1669" spans="3:13" ht="12.75" customHeight="1" x14ac:dyDescent="0.2">
      <c r="C1669"/>
      <c r="M1669"/>
    </row>
    <row r="1670" spans="3:13" ht="12.75" customHeight="1" x14ac:dyDescent="0.2">
      <c r="C1670"/>
      <c r="M1670"/>
    </row>
    <row r="1671" spans="3:13" ht="12.75" customHeight="1" x14ac:dyDescent="0.2">
      <c r="C1671"/>
      <c r="M1671"/>
    </row>
    <row r="1672" spans="3:13" ht="12.75" customHeight="1" x14ac:dyDescent="0.2">
      <c r="C1672"/>
      <c r="M1672"/>
    </row>
    <row r="1673" spans="3:13" ht="12.75" customHeight="1" x14ac:dyDescent="0.2">
      <c r="C1673"/>
      <c r="M1673"/>
    </row>
    <row r="1674" spans="3:13" ht="12.75" customHeight="1" x14ac:dyDescent="0.2">
      <c r="C1674"/>
      <c r="M1674"/>
    </row>
    <row r="1675" spans="3:13" ht="12.75" customHeight="1" x14ac:dyDescent="0.2">
      <c r="C1675"/>
      <c r="M1675"/>
    </row>
    <row r="1676" spans="3:13" ht="12.75" customHeight="1" x14ac:dyDescent="0.2">
      <c r="C1676"/>
      <c r="M1676"/>
    </row>
    <row r="1677" spans="3:13" ht="12.75" customHeight="1" x14ac:dyDescent="0.2">
      <c r="C1677"/>
      <c r="M1677"/>
    </row>
    <row r="1678" spans="3:13" ht="12.75" customHeight="1" x14ac:dyDescent="0.2">
      <c r="C1678"/>
      <c r="M1678"/>
    </row>
    <row r="1679" spans="3:13" ht="12.75" customHeight="1" x14ac:dyDescent="0.2">
      <c r="C1679"/>
      <c r="M1679"/>
    </row>
    <row r="1680" spans="3:13" ht="12.75" customHeight="1" x14ac:dyDescent="0.2">
      <c r="C1680"/>
      <c r="M1680"/>
    </row>
    <row r="1681" spans="3:13" ht="12.75" customHeight="1" x14ac:dyDescent="0.2">
      <c r="C1681"/>
      <c r="M1681"/>
    </row>
    <row r="1682" spans="3:13" ht="12.75" customHeight="1" x14ac:dyDescent="0.2">
      <c r="C1682"/>
      <c r="M1682"/>
    </row>
    <row r="1683" spans="3:13" ht="12.75" customHeight="1" x14ac:dyDescent="0.2">
      <c r="C1683"/>
      <c r="M1683"/>
    </row>
    <row r="1684" spans="3:13" ht="12.75" customHeight="1" x14ac:dyDescent="0.2">
      <c r="C1684"/>
      <c r="M1684"/>
    </row>
    <row r="1685" spans="3:13" ht="12.75" customHeight="1" x14ac:dyDescent="0.2">
      <c r="C1685"/>
      <c r="M1685"/>
    </row>
    <row r="1686" spans="3:13" ht="12.75" customHeight="1" x14ac:dyDescent="0.2">
      <c r="C1686"/>
      <c r="M1686"/>
    </row>
    <row r="1687" spans="3:13" ht="12.75" customHeight="1" x14ac:dyDescent="0.2">
      <c r="C1687"/>
      <c r="M1687"/>
    </row>
    <row r="1688" spans="3:13" ht="12.75" customHeight="1" x14ac:dyDescent="0.2">
      <c r="C1688"/>
      <c r="M1688"/>
    </row>
    <row r="1689" spans="3:13" ht="12.75" customHeight="1" x14ac:dyDescent="0.2">
      <c r="C1689"/>
      <c r="M1689"/>
    </row>
    <row r="1690" spans="3:13" ht="12.75" customHeight="1" x14ac:dyDescent="0.2">
      <c r="C1690"/>
      <c r="M1690"/>
    </row>
    <row r="1691" spans="3:13" ht="12.75" customHeight="1" x14ac:dyDescent="0.2">
      <c r="C1691"/>
      <c r="M1691"/>
    </row>
    <row r="1692" spans="3:13" ht="12.75" customHeight="1" x14ac:dyDescent="0.2">
      <c r="C1692"/>
      <c r="M1692"/>
    </row>
    <row r="1693" spans="3:13" ht="12.75" customHeight="1" x14ac:dyDescent="0.2">
      <c r="C1693"/>
      <c r="M1693"/>
    </row>
    <row r="1694" spans="3:13" ht="12.75" customHeight="1" x14ac:dyDescent="0.2">
      <c r="C1694"/>
      <c r="M1694"/>
    </row>
    <row r="1695" spans="3:13" ht="12.75" customHeight="1" x14ac:dyDescent="0.2">
      <c r="C1695"/>
      <c r="M1695"/>
    </row>
    <row r="1696" spans="3:13" ht="12.75" customHeight="1" x14ac:dyDescent="0.2">
      <c r="C1696"/>
      <c r="M1696"/>
    </row>
    <row r="1697" spans="3:13" ht="12.75" customHeight="1" x14ac:dyDescent="0.2">
      <c r="C1697"/>
      <c r="M1697"/>
    </row>
    <row r="1698" spans="3:13" ht="12.75" customHeight="1" x14ac:dyDescent="0.2">
      <c r="C1698"/>
      <c r="M1698"/>
    </row>
    <row r="1699" spans="3:13" ht="12.75" customHeight="1" x14ac:dyDescent="0.2">
      <c r="C1699"/>
      <c r="M1699"/>
    </row>
    <row r="1700" spans="3:13" ht="12.75" customHeight="1" x14ac:dyDescent="0.2">
      <c r="C1700"/>
      <c r="M1700"/>
    </row>
    <row r="1701" spans="3:13" ht="12.75" customHeight="1" x14ac:dyDescent="0.2">
      <c r="C1701"/>
      <c r="M1701"/>
    </row>
    <row r="1702" spans="3:13" ht="12.75" customHeight="1" x14ac:dyDescent="0.2">
      <c r="C1702"/>
      <c r="M1702"/>
    </row>
    <row r="1703" spans="3:13" ht="12.75" customHeight="1" x14ac:dyDescent="0.2">
      <c r="C1703"/>
      <c r="M1703"/>
    </row>
    <row r="1704" spans="3:13" ht="12.75" customHeight="1" x14ac:dyDescent="0.2">
      <c r="C1704"/>
      <c r="M1704"/>
    </row>
    <row r="1705" spans="3:13" ht="12.75" customHeight="1" x14ac:dyDescent="0.2">
      <c r="C1705"/>
      <c r="M1705"/>
    </row>
    <row r="1706" spans="3:13" ht="12.75" customHeight="1" x14ac:dyDescent="0.2">
      <c r="C1706"/>
      <c r="M1706"/>
    </row>
    <row r="1707" spans="3:13" ht="12.75" customHeight="1" x14ac:dyDescent="0.2">
      <c r="C1707"/>
      <c r="M1707"/>
    </row>
    <row r="1708" spans="3:13" ht="12.75" customHeight="1" x14ac:dyDescent="0.2">
      <c r="C1708"/>
      <c r="M1708"/>
    </row>
    <row r="1709" spans="3:13" ht="12.75" customHeight="1" x14ac:dyDescent="0.2">
      <c r="C1709"/>
      <c r="M1709"/>
    </row>
    <row r="1710" spans="3:13" ht="12.75" customHeight="1" x14ac:dyDescent="0.2">
      <c r="C1710"/>
      <c r="M1710"/>
    </row>
    <row r="1711" spans="3:13" ht="12.75" customHeight="1" x14ac:dyDescent="0.2">
      <c r="C1711"/>
      <c r="M1711"/>
    </row>
    <row r="1712" spans="3:13" ht="12.75" customHeight="1" x14ac:dyDescent="0.2">
      <c r="C1712"/>
      <c r="M1712"/>
    </row>
    <row r="1713" spans="3:13" ht="12.75" customHeight="1" x14ac:dyDescent="0.2">
      <c r="C1713"/>
      <c r="M1713"/>
    </row>
    <row r="1714" spans="3:13" ht="12.75" customHeight="1" x14ac:dyDescent="0.2">
      <c r="C1714"/>
      <c r="M1714"/>
    </row>
    <row r="1715" spans="3:13" ht="12.75" customHeight="1" x14ac:dyDescent="0.2">
      <c r="C1715"/>
      <c r="M1715"/>
    </row>
    <row r="1716" spans="3:13" ht="12.75" customHeight="1" x14ac:dyDescent="0.2">
      <c r="C1716"/>
      <c r="M1716"/>
    </row>
    <row r="1717" spans="3:13" ht="12.75" customHeight="1" x14ac:dyDescent="0.2">
      <c r="C1717"/>
      <c r="M1717"/>
    </row>
    <row r="1718" spans="3:13" ht="12.75" customHeight="1" x14ac:dyDescent="0.2">
      <c r="C1718"/>
      <c r="M1718"/>
    </row>
    <row r="1719" spans="3:13" ht="12.75" customHeight="1" x14ac:dyDescent="0.2">
      <c r="C1719"/>
      <c r="M1719"/>
    </row>
    <row r="1720" spans="3:13" ht="12.75" customHeight="1" x14ac:dyDescent="0.2">
      <c r="C1720"/>
      <c r="M1720"/>
    </row>
    <row r="1721" spans="3:13" ht="12.75" customHeight="1" x14ac:dyDescent="0.2">
      <c r="C1721"/>
      <c r="M1721"/>
    </row>
    <row r="1722" spans="3:13" ht="12.75" customHeight="1" x14ac:dyDescent="0.2">
      <c r="C1722"/>
      <c r="M1722"/>
    </row>
    <row r="1723" spans="3:13" ht="12.75" customHeight="1" x14ac:dyDescent="0.2">
      <c r="C1723"/>
      <c r="M1723"/>
    </row>
    <row r="1724" spans="3:13" ht="12.75" customHeight="1" x14ac:dyDescent="0.2">
      <c r="C1724"/>
      <c r="M1724"/>
    </row>
    <row r="1725" spans="3:13" ht="12.75" customHeight="1" x14ac:dyDescent="0.2">
      <c r="C1725"/>
      <c r="M1725"/>
    </row>
    <row r="1726" spans="3:13" ht="12.75" customHeight="1" x14ac:dyDescent="0.2">
      <c r="C1726"/>
      <c r="M1726"/>
    </row>
    <row r="1727" spans="3:13" ht="12.75" customHeight="1" x14ac:dyDescent="0.2">
      <c r="C1727"/>
      <c r="M1727"/>
    </row>
    <row r="1728" spans="3:13" ht="12.75" customHeight="1" x14ac:dyDescent="0.2">
      <c r="C1728"/>
      <c r="M1728"/>
    </row>
    <row r="1729" spans="3:13" ht="12.75" customHeight="1" x14ac:dyDescent="0.2">
      <c r="C1729"/>
      <c r="M1729"/>
    </row>
    <row r="1730" spans="3:13" ht="12.75" customHeight="1" x14ac:dyDescent="0.2">
      <c r="C1730"/>
      <c r="M1730"/>
    </row>
    <row r="1731" spans="3:13" ht="12.75" customHeight="1" x14ac:dyDescent="0.2">
      <c r="C1731"/>
      <c r="M1731"/>
    </row>
    <row r="1732" spans="3:13" ht="12.75" customHeight="1" x14ac:dyDescent="0.2">
      <c r="C1732"/>
      <c r="M1732"/>
    </row>
    <row r="1733" spans="3:13" ht="12.75" customHeight="1" x14ac:dyDescent="0.2">
      <c r="C1733"/>
      <c r="M1733"/>
    </row>
    <row r="1734" spans="3:13" ht="12.75" customHeight="1" x14ac:dyDescent="0.2">
      <c r="C1734"/>
      <c r="M1734"/>
    </row>
    <row r="1735" spans="3:13" ht="12.75" customHeight="1" x14ac:dyDescent="0.2">
      <c r="C1735"/>
      <c r="M1735"/>
    </row>
    <row r="1736" spans="3:13" ht="12.75" customHeight="1" x14ac:dyDescent="0.2">
      <c r="C1736"/>
      <c r="M1736"/>
    </row>
    <row r="1737" spans="3:13" ht="12.75" customHeight="1" x14ac:dyDescent="0.2">
      <c r="C1737"/>
      <c r="M1737"/>
    </row>
    <row r="1738" spans="3:13" ht="12.75" customHeight="1" x14ac:dyDescent="0.2">
      <c r="C1738"/>
      <c r="M1738"/>
    </row>
    <row r="1739" spans="3:13" ht="12.75" customHeight="1" x14ac:dyDescent="0.2">
      <c r="C1739"/>
      <c r="M1739"/>
    </row>
    <row r="1740" spans="3:13" ht="12.75" customHeight="1" x14ac:dyDescent="0.2">
      <c r="C1740"/>
      <c r="M1740"/>
    </row>
    <row r="1741" spans="3:13" ht="12.75" customHeight="1" x14ac:dyDescent="0.2">
      <c r="C1741"/>
      <c r="M1741"/>
    </row>
    <row r="1742" spans="3:13" ht="12.75" customHeight="1" x14ac:dyDescent="0.2">
      <c r="C1742"/>
      <c r="M1742"/>
    </row>
    <row r="1743" spans="3:13" ht="12.75" customHeight="1" x14ac:dyDescent="0.2">
      <c r="C1743"/>
      <c r="M1743"/>
    </row>
    <row r="1744" spans="3:13" ht="12.75" customHeight="1" x14ac:dyDescent="0.2">
      <c r="C1744"/>
      <c r="M1744"/>
    </row>
    <row r="1745" spans="3:13" ht="12.75" customHeight="1" x14ac:dyDescent="0.2">
      <c r="C1745"/>
      <c r="M1745"/>
    </row>
    <row r="1746" spans="3:13" ht="12.75" customHeight="1" x14ac:dyDescent="0.2">
      <c r="C1746"/>
      <c r="M1746"/>
    </row>
    <row r="1747" spans="3:13" ht="12.75" customHeight="1" x14ac:dyDescent="0.2">
      <c r="C1747"/>
      <c r="M1747"/>
    </row>
    <row r="1748" spans="3:13" ht="12.75" customHeight="1" x14ac:dyDescent="0.2">
      <c r="C1748"/>
      <c r="M1748"/>
    </row>
    <row r="1749" spans="3:13" ht="12.75" customHeight="1" x14ac:dyDescent="0.2">
      <c r="C1749"/>
      <c r="M1749"/>
    </row>
    <row r="1750" spans="3:13" ht="12.75" customHeight="1" x14ac:dyDescent="0.2">
      <c r="C1750"/>
      <c r="M1750"/>
    </row>
    <row r="1751" spans="3:13" ht="12.75" customHeight="1" x14ac:dyDescent="0.2">
      <c r="C1751"/>
      <c r="M1751"/>
    </row>
    <row r="1752" spans="3:13" ht="12.75" customHeight="1" x14ac:dyDescent="0.2">
      <c r="C1752"/>
      <c r="M1752"/>
    </row>
    <row r="1753" spans="3:13" ht="12.75" customHeight="1" x14ac:dyDescent="0.2">
      <c r="C1753"/>
      <c r="M1753"/>
    </row>
    <row r="1754" spans="3:13" ht="12.75" customHeight="1" x14ac:dyDescent="0.2">
      <c r="C1754"/>
      <c r="M1754"/>
    </row>
    <row r="1755" spans="3:13" ht="12.75" customHeight="1" x14ac:dyDescent="0.2">
      <c r="C1755"/>
      <c r="M1755"/>
    </row>
    <row r="1756" spans="3:13" ht="12.75" customHeight="1" x14ac:dyDescent="0.2">
      <c r="C1756"/>
      <c r="M1756"/>
    </row>
    <row r="1757" spans="3:13" ht="12.75" customHeight="1" x14ac:dyDescent="0.2">
      <c r="C1757"/>
      <c r="M1757"/>
    </row>
    <row r="1758" spans="3:13" ht="12.75" customHeight="1" x14ac:dyDescent="0.2">
      <c r="C1758"/>
      <c r="M1758"/>
    </row>
    <row r="1759" spans="3:13" ht="12.75" customHeight="1" x14ac:dyDescent="0.2">
      <c r="C1759"/>
      <c r="M1759"/>
    </row>
    <row r="1760" spans="3:13" ht="12.75" customHeight="1" x14ac:dyDescent="0.2">
      <c r="C1760"/>
      <c r="M1760"/>
    </row>
    <row r="1761" spans="3:13" ht="12.75" customHeight="1" x14ac:dyDescent="0.2">
      <c r="C1761"/>
      <c r="M1761"/>
    </row>
    <row r="1762" spans="3:13" ht="12.75" customHeight="1" x14ac:dyDescent="0.2">
      <c r="C1762"/>
      <c r="M1762"/>
    </row>
    <row r="1763" spans="3:13" ht="12.75" customHeight="1" x14ac:dyDescent="0.2">
      <c r="C1763"/>
      <c r="M1763"/>
    </row>
    <row r="1764" spans="3:13" ht="12.75" customHeight="1" x14ac:dyDescent="0.2">
      <c r="C1764"/>
      <c r="M1764"/>
    </row>
    <row r="1765" spans="3:13" ht="12.75" customHeight="1" x14ac:dyDescent="0.2">
      <c r="C1765"/>
      <c r="M1765"/>
    </row>
    <row r="1766" spans="3:13" ht="12.75" customHeight="1" x14ac:dyDescent="0.2">
      <c r="C1766"/>
      <c r="M1766"/>
    </row>
    <row r="1767" spans="3:13" ht="12.75" customHeight="1" x14ac:dyDescent="0.2">
      <c r="C1767"/>
      <c r="M1767"/>
    </row>
    <row r="1768" spans="3:13" ht="12.75" customHeight="1" x14ac:dyDescent="0.2">
      <c r="C1768"/>
      <c r="M1768"/>
    </row>
    <row r="1769" spans="3:13" ht="12.75" customHeight="1" x14ac:dyDescent="0.2">
      <c r="C1769"/>
      <c r="M1769"/>
    </row>
    <row r="1770" spans="3:13" ht="12.75" customHeight="1" x14ac:dyDescent="0.2">
      <c r="C1770"/>
      <c r="M1770"/>
    </row>
    <row r="1771" spans="3:13" ht="12.75" customHeight="1" x14ac:dyDescent="0.2">
      <c r="C1771"/>
      <c r="M1771"/>
    </row>
    <row r="1772" spans="3:13" ht="12.75" customHeight="1" x14ac:dyDescent="0.2">
      <c r="C1772"/>
      <c r="M1772"/>
    </row>
    <row r="1773" spans="3:13" ht="12.75" customHeight="1" x14ac:dyDescent="0.2">
      <c r="C1773"/>
      <c r="M1773"/>
    </row>
    <row r="1774" spans="3:13" ht="12.75" customHeight="1" x14ac:dyDescent="0.2">
      <c r="C1774"/>
      <c r="M1774"/>
    </row>
    <row r="1775" spans="3:13" ht="12.75" customHeight="1" x14ac:dyDescent="0.2">
      <c r="C1775"/>
      <c r="M1775"/>
    </row>
    <row r="1776" spans="3:13" ht="12.75" customHeight="1" x14ac:dyDescent="0.2">
      <c r="C1776"/>
      <c r="M1776"/>
    </row>
    <row r="1777" spans="3:13" ht="12.75" customHeight="1" x14ac:dyDescent="0.2">
      <c r="C1777"/>
      <c r="M1777"/>
    </row>
    <row r="1778" spans="3:13" ht="12.75" customHeight="1" x14ac:dyDescent="0.2">
      <c r="C1778"/>
      <c r="M1778"/>
    </row>
    <row r="1779" spans="3:13" ht="12.75" customHeight="1" x14ac:dyDescent="0.2">
      <c r="C1779"/>
      <c r="M1779"/>
    </row>
    <row r="1780" spans="3:13" ht="12.75" customHeight="1" x14ac:dyDescent="0.2">
      <c r="C1780"/>
      <c r="M1780"/>
    </row>
    <row r="1781" spans="3:13" ht="12.75" customHeight="1" x14ac:dyDescent="0.2">
      <c r="C1781"/>
      <c r="M1781"/>
    </row>
    <row r="1782" spans="3:13" ht="12.75" customHeight="1" x14ac:dyDescent="0.2">
      <c r="C1782"/>
      <c r="M1782"/>
    </row>
    <row r="1783" spans="3:13" ht="12.75" customHeight="1" x14ac:dyDescent="0.2">
      <c r="C1783"/>
      <c r="M1783"/>
    </row>
    <row r="1784" spans="3:13" ht="12.75" customHeight="1" x14ac:dyDescent="0.2">
      <c r="C1784"/>
      <c r="M1784"/>
    </row>
    <row r="1785" spans="3:13" ht="12.75" customHeight="1" x14ac:dyDescent="0.2">
      <c r="C1785"/>
      <c r="M1785"/>
    </row>
    <row r="1786" spans="3:13" ht="12.75" customHeight="1" x14ac:dyDescent="0.2">
      <c r="C1786"/>
      <c r="M1786"/>
    </row>
    <row r="1787" spans="3:13" ht="12.75" customHeight="1" x14ac:dyDescent="0.2">
      <c r="C1787"/>
      <c r="M1787"/>
    </row>
    <row r="1788" spans="3:13" ht="12.75" customHeight="1" x14ac:dyDescent="0.2">
      <c r="C1788"/>
      <c r="M1788"/>
    </row>
    <row r="1789" spans="3:13" ht="12.75" customHeight="1" x14ac:dyDescent="0.2">
      <c r="C1789"/>
      <c r="M1789"/>
    </row>
    <row r="1790" spans="3:13" ht="12.75" customHeight="1" x14ac:dyDescent="0.2">
      <c r="C1790"/>
      <c r="M1790"/>
    </row>
    <row r="1791" spans="3:13" ht="12.75" customHeight="1" x14ac:dyDescent="0.2">
      <c r="C1791"/>
      <c r="M1791"/>
    </row>
    <row r="1792" spans="3:13" ht="12.75" customHeight="1" x14ac:dyDescent="0.2">
      <c r="C1792"/>
      <c r="M1792"/>
    </row>
    <row r="1793" spans="3:13" ht="12.75" customHeight="1" x14ac:dyDescent="0.2">
      <c r="C1793"/>
      <c r="M1793"/>
    </row>
    <row r="1794" spans="3:13" ht="12.75" customHeight="1" x14ac:dyDescent="0.2">
      <c r="C1794"/>
      <c r="M1794"/>
    </row>
    <row r="1795" spans="3:13" ht="12.75" customHeight="1" x14ac:dyDescent="0.2">
      <c r="C1795"/>
      <c r="M1795"/>
    </row>
    <row r="1796" spans="3:13" ht="12.75" customHeight="1" x14ac:dyDescent="0.2">
      <c r="C1796"/>
      <c r="M1796"/>
    </row>
    <row r="1797" spans="3:13" ht="12.75" customHeight="1" x14ac:dyDescent="0.2">
      <c r="C1797"/>
      <c r="M1797"/>
    </row>
    <row r="1798" spans="3:13" ht="12.75" customHeight="1" x14ac:dyDescent="0.2">
      <c r="C1798"/>
      <c r="M1798"/>
    </row>
    <row r="1799" spans="3:13" ht="12.75" customHeight="1" x14ac:dyDescent="0.2">
      <c r="C1799"/>
      <c r="M1799"/>
    </row>
    <row r="1800" spans="3:13" ht="12.75" customHeight="1" x14ac:dyDescent="0.2">
      <c r="C1800"/>
      <c r="M1800"/>
    </row>
    <row r="1801" spans="3:13" ht="12.75" customHeight="1" x14ac:dyDescent="0.2">
      <c r="C1801"/>
      <c r="M1801"/>
    </row>
    <row r="1802" spans="3:13" ht="12.75" customHeight="1" x14ac:dyDescent="0.2">
      <c r="C1802"/>
      <c r="M1802"/>
    </row>
    <row r="1803" spans="3:13" ht="12.75" customHeight="1" x14ac:dyDescent="0.2">
      <c r="C1803"/>
      <c r="M1803"/>
    </row>
    <row r="1804" spans="3:13" ht="12.75" customHeight="1" x14ac:dyDescent="0.2">
      <c r="C1804"/>
      <c r="M1804"/>
    </row>
    <row r="1805" spans="3:13" ht="12.75" customHeight="1" x14ac:dyDescent="0.2">
      <c r="C1805"/>
      <c r="M1805"/>
    </row>
    <row r="1806" spans="3:13" ht="12.75" customHeight="1" x14ac:dyDescent="0.2">
      <c r="C1806"/>
      <c r="M1806"/>
    </row>
    <row r="1807" spans="3:13" ht="12.75" customHeight="1" x14ac:dyDescent="0.2">
      <c r="C1807"/>
      <c r="M1807"/>
    </row>
    <row r="1808" spans="3:13" ht="12.75" customHeight="1" x14ac:dyDescent="0.2">
      <c r="C1808"/>
      <c r="M1808"/>
    </row>
    <row r="1809" spans="3:13" ht="12.75" customHeight="1" x14ac:dyDescent="0.2">
      <c r="C1809"/>
      <c r="M1809"/>
    </row>
    <row r="1810" spans="3:13" ht="12.75" customHeight="1" x14ac:dyDescent="0.2">
      <c r="C1810"/>
      <c r="M1810"/>
    </row>
    <row r="1811" spans="3:13" ht="12.75" customHeight="1" x14ac:dyDescent="0.2">
      <c r="C1811"/>
      <c r="M1811"/>
    </row>
    <row r="1812" spans="3:13" ht="12.75" customHeight="1" x14ac:dyDescent="0.2">
      <c r="C1812"/>
      <c r="M1812"/>
    </row>
    <row r="1813" spans="3:13" ht="12.75" customHeight="1" x14ac:dyDescent="0.2">
      <c r="C1813"/>
      <c r="M1813"/>
    </row>
    <row r="1814" spans="3:13" ht="12.75" customHeight="1" x14ac:dyDescent="0.2">
      <c r="C1814"/>
      <c r="M1814"/>
    </row>
    <row r="1815" spans="3:13" ht="12.75" customHeight="1" x14ac:dyDescent="0.2">
      <c r="C1815"/>
      <c r="M1815"/>
    </row>
    <row r="1816" spans="3:13" ht="12.75" customHeight="1" x14ac:dyDescent="0.2">
      <c r="C1816"/>
      <c r="M1816"/>
    </row>
    <row r="1817" spans="3:13" ht="12.75" customHeight="1" x14ac:dyDescent="0.2">
      <c r="C1817"/>
      <c r="M1817"/>
    </row>
    <row r="1818" spans="3:13" ht="12.75" customHeight="1" x14ac:dyDescent="0.2">
      <c r="C1818"/>
      <c r="M1818"/>
    </row>
    <row r="1819" spans="3:13" ht="12.75" customHeight="1" x14ac:dyDescent="0.2">
      <c r="C1819"/>
      <c r="M1819"/>
    </row>
    <row r="1820" spans="3:13" ht="12.75" customHeight="1" x14ac:dyDescent="0.2">
      <c r="C1820"/>
      <c r="M1820"/>
    </row>
    <row r="1821" spans="3:13" ht="12.75" customHeight="1" x14ac:dyDescent="0.2">
      <c r="C1821"/>
      <c r="M1821"/>
    </row>
    <row r="1822" spans="3:13" ht="12.75" customHeight="1" x14ac:dyDescent="0.2">
      <c r="C1822"/>
      <c r="M1822"/>
    </row>
    <row r="1823" spans="3:13" ht="12.75" customHeight="1" x14ac:dyDescent="0.2">
      <c r="C1823"/>
      <c r="M1823"/>
    </row>
    <row r="1824" spans="3:13" ht="12.75" customHeight="1" x14ac:dyDescent="0.2">
      <c r="C1824"/>
      <c r="M1824"/>
    </row>
    <row r="1825" spans="3:13" ht="12.75" customHeight="1" x14ac:dyDescent="0.2">
      <c r="C1825"/>
      <c r="M1825"/>
    </row>
    <row r="1826" spans="3:13" ht="12.75" customHeight="1" x14ac:dyDescent="0.2">
      <c r="C1826"/>
      <c r="M1826"/>
    </row>
    <row r="1827" spans="3:13" ht="12.75" customHeight="1" x14ac:dyDescent="0.2">
      <c r="C1827"/>
      <c r="M1827"/>
    </row>
    <row r="1828" spans="3:13" ht="12.75" customHeight="1" x14ac:dyDescent="0.2">
      <c r="C1828"/>
      <c r="M1828"/>
    </row>
    <row r="1829" spans="3:13" ht="12.75" customHeight="1" x14ac:dyDescent="0.2">
      <c r="C1829"/>
      <c r="M1829"/>
    </row>
    <row r="1830" spans="3:13" ht="12.75" customHeight="1" x14ac:dyDescent="0.2">
      <c r="C1830"/>
      <c r="M1830"/>
    </row>
    <row r="1831" spans="3:13" ht="12.75" customHeight="1" x14ac:dyDescent="0.2">
      <c r="C1831"/>
      <c r="M1831"/>
    </row>
    <row r="1832" spans="3:13" ht="12.75" customHeight="1" x14ac:dyDescent="0.2">
      <c r="C1832"/>
      <c r="M1832"/>
    </row>
    <row r="1833" spans="3:13" ht="12.75" customHeight="1" x14ac:dyDescent="0.2">
      <c r="C1833"/>
      <c r="M1833"/>
    </row>
    <row r="1834" spans="3:13" ht="12.75" customHeight="1" x14ac:dyDescent="0.2">
      <c r="C1834"/>
      <c r="M1834"/>
    </row>
    <row r="1835" spans="3:13" ht="12.75" customHeight="1" x14ac:dyDescent="0.2">
      <c r="C1835"/>
      <c r="M1835"/>
    </row>
    <row r="1836" spans="3:13" ht="12.75" customHeight="1" x14ac:dyDescent="0.2">
      <c r="C1836"/>
      <c r="M1836"/>
    </row>
    <row r="1837" spans="3:13" ht="12.75" customHeight="1" x14ac:dyDescent="0.2">
      <c r="C1837"/>
      <c r="M1837"/>
    </row>
    <row r="1838" spans="3:13" ht="12.75" customHeight="1" x14ac:dyDescent="0.2">
      <c r="C1838"/>
      <c r="M1838"/>
    </row>
    <row r="1839" spans="3:13" ht="12.75" customHeight="1" x14ac:dyDescent="0.2">
      <c r="C1839"/>
      <c r="M1839"/>
    </row>
    <row r="1840" spans="3:13" ht="12.75" customHeight="1" x14ac:dyDescent="0.2">
      <c r="C1840"/>
      <c r="M1840"/>
    </row>
    <row r="1841" spans="3:13" ht="12.75" customHeight="1" x14ac:dyDescent="0.2">
      <c r="C1841"/>
      <c r="M1841"/>
    </row>
    <row r="1842" spans="3:13" ht="12.75" customHeight="1" x14ac:dyDescent="0.2">
      <c r="C1842"/>
      <c r="M1842"/>
    </row>
    <row r="1843" spans="3:13" ht="12.75" customHeight="1" x14ac:dyDescent="0.2">
      <c r="C1843"/>
      <c r="M1843"/>
    </row>
    <row r="1844" spans="3:13" ht="12.75" customHeight="1" x14ac:dyDescent="0.2">
      <c r="C1844"/>
      <c r="M1844"/>
    </row>
    <row r="1845" spans="3:13" ht="12.75" customHeight="1" x14ac:dyDescent="0.2">
      <c r="C1845"/>
      <c r="M1845"/>
    </row>
    <row r="1846" spans="3:13" ht="12.75" customHeight="1" x14ac:dyDescent="0.2">
      <c r="C1846"/>
      <c r="M1846"/>
    </row>
    <row r="1847" spans="3:13" ht="12.75" customHeight="1" x14ac:dyDescent="0.2">
      <c r="C1847"/>
      <c r="M1847"/>
    </row>
    <row r="1848" spans="3:13" ht="12.75" customHeight="1" x14ac:dyDescent="0.2">
      <c r="C1848"/>
      <c r="M1848"/>
    </row>
    <row r="1849" spans="3:13" ht="12.75" customHeight="1" x14ac:dyDescent="0.2">
      <c r="C1849"/>
      <c r="M1849"/>
    </row>
    <row r="1850" spans="3:13" ht="12.75" customHeight="1" x14ac:dyDescent="0.2">
      <c r="C1850"/>
      <c r="M1850"/>
    </row>
    <row r="1851" spans="3:13" ht="12.75" customHeight="1" x14ac:dyDescent="0.2">
      <c r="C1851"/>
      <c r="M1851"/>
    </row>
    <row r="1852" spans="3:13" ht="12.75" customHeight="1" x14ac:dyDescent="0.2">
      <c r="C1852"/>
      <c r="M1852"/>
    </row>
    <row r="1853" spans="3:13" ht="12.75" customHeight="1" x14ac:dyDescent="0.2">
      <c r="C1853"/>
      <c r="M1853"/>
    </row>
    <row r="1854" spans="3:13" ht="12.75" customHeight="1" x14ac:dyDescent="0.2">
      <c r="C1854"/>
      <c r="M1854"/>
    </row>
    <row r="1855" spans="3:13" ht="12.75" customHeight="1" x14ac:dyDescent="0.2">
      <c r="C1855"/>
      <c r="M1855"/>
    </row>
    <row r="1856" spans="3:13" ht="12.75" customHeight="1" x14ac:dyDescent="0.2">
      <c r="C1856"/>
      <c r="M1856"/>
    </row>
    <row r="1857" spans="3:13" ht="12.75" customHeight="1" x14ac:dyDescent="0.2">
      <c r="C1857"/>
      <c r="M1857"/>
    </row>
    <row r="1858" spans="3:13" ht="12.75" customHeight="1" x14ac:dyDescent="0.2">
      <c r="C1858"/>
      <c r="M1858"/>
    </row>
    <row r="1859" spans="3:13" ht="12.75" customHeight="1" x14ac:dyDescent="0.2">
      <c r="C1859"/>
      <c r="M1859"/>
    </row>
    <row r="1860" spans="3:13" ht="12.75" customHeight="1" x14ac:dyDescent="0.2">
      <c r="C1860"/>
      <c r="M1860"/>
    </row>
    <row r="1861" spans="3:13" ht="12.75" customHeight="1" x14ac:dyDescent="0.2">
      <c r="C1861"/>
      <c r="M1861"/>
    </row>
    <row r="1862" spans="3:13" ht="12.75" customHeight="1" x14ac:dyDescent="0.2">
      <c r="C1862"/>
      <c r="M1862"/>
    </row>
    <row r="1863" spans="3:13" ht="12.75" customHeight="1" x14ac:dyDescent="0.2">
      <c r="C1863"/>
      <c r="M1863"/>
    </row>
    <row r="1864" spans="3:13" ht="12.75" customHeight="1" x14ac:dyDescent="0.2">
      <c r="C1864"/>
      <c r="M1864"/>
    </row>
    <row r="1865" spans="3:13" ht="12.75" customHeight="1" x14ac:dyDescent="0.2">
      <c r="C1865"/>
      <c r="M1865"/>
    </row>
    <row r="1866" spans="3:13" ht="12.75" customHeight="1" x14ac:dyDescent="0.2">
      <c r="C1866"/>
      <c r="M1866"/>
    </row>
    <row r="1867" spans="3:13" ht="12.75" customHeight="1" x14ac:dyDescent="0.2">
      <c r="C1867"/>
      <c r="M1867"/>
    </row>
    <row r="1868" spans="3:13" ht="12.75" customHeight="1" x14ac:dyDescent="0.2">
      <c r="C1868"/>
      <c r="M1868"/>
    </row>
    <row r="1869" spans="3:13" ht="12.75" customHeight="1" x14ac:dyDescent="0.2">
      <c r="C1869"/>
      <c r="M1869"/>
    </row>
    <row r="1870" spans="3:13" ht="12.75" customHeight="1" x14ac:dyDescent="0.2">
      <c r="C1870"/>
      <c r="M1870"/>
    </row>
    <row r="1871" spans="3:13" ht="12.75" customHeight="1" x14ac:dyDescent="0.2">
      <c r="C1871"/>
      <c r="M1871"/>
    </row>
    <row r="1872" spans="3:13" ht="12.75" customHeight="1" x14ac:dyDescent="0.2">
      <c r="C1872"/>
      <c r="M1872"/>
    </row>
    <row r="1873" spans="3:13" ht="12.75" customHeight="1" x14ac:dyDescent="0.2">
      <c r="C1873"/>
      <c r="M1873"/>
    </row>
    <row r="1874" spans="3:13" ht="12.75" customHeight="1" x14ac:dyDescent="0.2">
      <c r="C1874"/>
      <c r="M1874"/>
    </row>
    <row r="1875" spans="3:13" ht="12.75" customHeight="1" x14ac:dyDescent="0.2">
      <c r="C1875"/>
      <c r="M1875"/>
    </row>
    <row r="1876" spans="3:13" ht="12.75" customHeight="1" x14ac:dyDescent="0.2">
      <c r="C1876"/>
      <c r="M1876"/>
    </row>
    <row r="1877" spans="3:13" ht="12.75" customHeight="1" x14ac:dyDescent="0.2">
      <c r="C1877"/>
      <c r="M1877"/>
    </row>
    <row r="1878" spans="3:13" ht="12.75" customHeight="1" x14ac:dyDescent="0.2">
      <c r="C1878"/>
      <c r="M1878"/>
    </row>
    <row r="1879" spans="3:13" ht="12.75" customHeight="1" x14ac:dyDescent="0.2">
      <c r="C1879"/>
      <c r="M1879"/>
    </row>
    <row r="1880" spans="3:13" ht="12.75" customHeight="1" x14ac:dyDescent="0.2">
      <c r="C1880"/>
      <c r="M1880"/>
    </row>
    <row r="1881" spans="3:13" ht="12.75" customHeight="1" x14ac:dyDescent="0.2">
      <c r="C1881"/>
      <c r="M1881"/>
    </row>
    <row r="1882" spans="3:13" ht="12.75" customHeight="1" x14ac:dyDescent="0.2">
      <c r="C1882"/>
      <c r="M1882"/>
    </row>
    <row r="1883" spans="3:13" ht="12.75" customHeight="1" x14ac:dyDescent="0.2">
      <c r="C1883"/>
      <c r="M1883"/>
    </row>
    <row r="1884" spans="3:13" ht="12.75" customHeight="1" x14ac:dyDescent="0.2">
      <c r="C1884"/>
      <c r="M1884"/>
    </row>
    <row r="1885" spans="3:13" ht="12.75" customHeight="1" x14ac:dyDescent="0.2">
      <c r="C1885"/>
      <c r="M1885"/>
    </row>
    <row r="1886" spans="3:13" ht="12.75" customHeight="1" x14ac:dyDescent="0.2">
      <c r="C1886"/>
      <c r="M1886"/>
    </row>
    <row r="1887" spans="3:13" ht="12.75" customHeight="1" x14ac:dyDescent="0.2">
      <c r="C1887"/>
      <c r="M1887"/>
    </row>
    <row r="1888" spans="3:13" ht="12.75" customHeight="1" x14ac:dyDescent="0.2">
      <c r="C1888"/>
      <c r="M1888"/>
    </row>
    <row r="1889" spans="3:13" ht="12.75" customHeight="1" x14ac:dyDescent="0.2">
      <c r="C1889"/>
      <c r="M1889"/>
    </row>
    <row r="1890" spans="3:13" ht="12.75" customHeight="1" x14ac:dyDescent="0.2">
      <c r="C1890"/>
      <c r="M1890"/>
    </row>
    <row r="1891" spans="3:13" ht="12.75" customHeight="1" x14ac:dyDescent="0.2">
      <c r="C1891"/>
      <c r="M1891"/>
    </row>
    <row r="1892" spans="3:13" ht="12.75" customHeight="1" x14ac:dyDescent="0.2">
      <c r="C1892"/>
      <c r="M1892"/>
    </row>
    <row r="1893" spans="3:13" ht="12.75" customHeight="1" x14ac:dyDescent="0.2">
      <c r="C1893"/>
      <c r="M1893"/>
    </row>
    <row r="1894" spans="3:13" ht="12.75" customHeight="1" x14ac:dyDescent="0.2">
      <c r="C1894"/>
      <c r="M1894"/>
    </row>
    <row r="1895" spans="3:13" ht="12.75" customHeight="1" x14ac:dyDescent="0.2">
      <c r="C1895"/>
      <c r="M1895"/>
    </row>
    <row r="1896" spans="3:13" ht="12.75" customHeight="1" x14ac:dyDescent="0.2">
      <c r="C1896"/>
      <c r="M1896"/>
    </row>
    <row r="1897" spans="3:13" ht="12.75" customHeight="1" x14ac:dyDescent="0.2">
      <c r="C1897"/>
      <c r="M1897"/>
    </row>
    <row r="1898" spans="3:13" ht="12.75" customHeight="1" x14ac:dyDescent="0.2">
      <c r="C1898"/>
      <c r="M1898"/>
    </row>
    <row r="1899" spans="3:13" ht="12.75" customHeight="1" x14ac:dyDescent="0.2">
      <c r="C1899"/>
      <c r="M1899"/>
    </row>
    <row r="1900" spans="3:13" ht="12.75" customHeight="1" x14ac:dyDescent="0.2">
      <c r="C1900"/>
      <c r="M1900"/>
    </row>
    <row r="1901" spans="3:13" ht="12.75" customHeight="1" x14ac:dyDescent="0.2">
      <c r="C1901"/>
      <c r="M1901"/>
    </row>
    <row r="1902" spans="3:13" ht="12.75" customHeight="1" x14ac:dyDescent="0.2">
      <c r="C1902"/>
      <c r="M1902"/>
    </row>
    <row r="1903" spans="3:13" ht="12.75" customHeight="1" x14ac:dyDescent="0.2">
      <c r="C1903"/>
      <c r="M1903"/>
    </row>
    <row r="1904" spans="3:13" ht="12.75" customHeight="1" x14ac:dyDescent="0.2">
      <c r="C1904"/>
      <c r="M1904"/>
    </row>
    <row r="1905" spans="3:13" ht="12.75" customHeight="1" x14ac:dyDescent="0.2">
      <c r="C1905"/>
      <c r="M1905"/>
    </row>
    <row r="1906" spans="3:13" ht="12.75" customHeight="1" x14ac:dyDescent="0.2">
      <c r="C1906"/>
      <c r="M1906"/>
    </row>
    <row r="1907" spans="3:13" ht="12.75" customHeight="1" x14ac:dyDescent="0.2">
      <c r="C1907"/>
      <c r="M1907"/>
    </row>
    <row r="1908" spans="3:13" ht="12.75" customHeight="1" x14ac:dyDescent="0.2">
      <c r="C1908"/>
      <c r="M1908"/>
    </row>
    <row r="1909" spans="3:13" ht="12.75" customHeight="1" x14ac:dyDescent="0.2">
      <c r="C1909"/>
      <c r="M1909"/>
    </row>
    <row r="1910" spans="3:13" ht="12.75" customHeight="1" x14ac:dyDescent="0.2">
      <c r="C1910"/>
      <c r="M1910"/>
    </row>
    <row r="1911" spans="3:13" ht="12.75" customHeight="1" x14ac:dyDescent="0.2">
      <c r="C1911"/>
      <c r="M1911"/>
    </row>
    <row r="1912" spans="3:13" ht="12.75" customHeight="1" x14ac:dyDescent="0.2">
      <c r="C1912"/>
      <c r="M1912"/>
    </row>
    <row r="1913" spans="3:13" ht="12.75" customHeight="1" x14ac:dyDescent="0.2">
      <c r="C1913"/>
      <c r="M1913"/>
    </row>
    <row r="1914" spans="3:13" ht="12.75" customHeight="1" x14ac:dyDescent="0.2">
      <c r="C1914"/>
      <c r="M1914"/>
    </row>
    <row r="1915" spans="3:13" ht="12.75" customHeight="1" x14ac:dyDescent="0.2">
      <c r="C1915"/>
      <c r="M1915"/>
    </row>
    <row r="1916" spans="3:13" ht="12.75" customHeight="1" x14ac:dyDescent="0.2">
      <c r="C1916"/>
      <c r="M1916"/>
    </row>
    <row r="1917" spans="3:13" ht="12.75" customHeight="1" x14ac:dyDescent="0.2">
      <c r="C1917"/>
      <c r="M1917"/>
    </row>
    <row r="1918" spans="3:13" ht="12.75" customHeight="1" x14ac:dyDescent="0.2">
      <c r="C1918"/>
      <c r="M1918"/>
    </row>
    <row r="1919" spans="3:13" ht="12.75" customHeight="1" x14ac:dyDescent="0.2">
      <c r="C1919"/>
      <c r="M1919"/>
    </row>
    <row r="1920" spans="3:13" ht="12.75" customHeight="1" x14ac:dyDescent="0.2">
      <c r="C1920"/>
      <c r="M1920"/>
    </row>
    <row r="1921" spans="3:13" ht="12.75" customHeight="1" x14ac:dyDescent="0.2">
      <c r="C1921"/>
      <c r="M1921"/>
    </row>
    <row r="1922" spans="3:13" ht="12.75" customHeight="1" x14ac:dyDescent="0.2">
      <c r="C1922"/>
      <c r="M1922"/>
    </row>
    <row r="1923" spans="3:13" ht="12.75" customHeight="1" x14ac:dyDescent="0.2">
      <c r="C1923"/>
      <c r="M1923"/>
    </row>
    <row r="1924" spans="3:13" ht="12.75" customHeight="1" x14ac:dyDescent="0.2">
      <c r="C1924"/>
      <c r="M1924"/>
    </row>
    <row r="1925" spans="3:13" ht="12.75" customHeight="1" x14ac:dyDescent="0.2">
      <c r="C1925"/>
      <c r="M1925"/>
    </row>
    <row r="1926" spans="3:13" ht="12.75" customHeight="1" x14ac:dyDescent="0.2">
      <c r="C1926"/>
      <c r="M1926"/>
    </row>
    <row r="1927" spans="3:13" ht="12.75" customHeight="1" x14ac:dyDescent="0.2">
      <c r="C1927"/>
      <c r="M1927"/>
    </row>
    <row r="1928" spans="3:13" ht="12.75" customHeight="1" x14ac:dyDescent="0.2">
      <c r="C1928"/>
      <c r="M1928"/>
    </row>
    <row r="1929" spans="3:13" ht="12.75" customHeight="1" x14ac:dyDescent="0.2">
      <c r="C1929"/>
      <c r="M1929"/>
    </row>
    <row r="1930" spans="3:13" ht="12.75" customHeight="1" x14ac:dyDescent="0.2">
      <c r="C1930"/>
      <c r="M1930"/>
    </row>
    <row r="1931" spans="3:13" ht="12.75" customHeight="1" x14ac:dyDescent="0.2">
      <c r="C1931"/>
      <c r="M1931"/>
    </row>
    <row r="1932" spans="3:13" ht="12.75" customHeight="1" x14ac:dyDescent="0.2">
      <c r="C1932"/>
      <c r="M1932"/>
    </row>
    <row r="1933" spans="3:13" ht="12.75" customHeight="1" x14ac:dyDescent="0.2">
      <c r="C1933"/>
      <c r="M1933"/>
    </row>
    <row r="1934" spans="3:13" ht="12.75" customHeight="1" x14ac:dyDescent="0.2">
      <c r="C1934"/>
      <c r="M1934"/>
    </row>
    <row r="1935" spans="3:13" ht="12.75" customHeight="1" x14ac:dyDescent="0.2">
      <c r="C1935"/>
      <c r="M1935"/>
    </row>
    <row r="1936" spans="3:13" ht="12.75" customHeight="1" x14ac:dyDescent="0.2">
      <c r="C1936"/>
      <c r="M1936"/>
    </row>
    <row r="1937" spans="3:13" ht="12.75" customHeight="1" x14ac:dyDescent="0.2">
      <c r="C1937"/>
      <c r="M1937"/>
    </row>
    <row r="1938" spans="3:13" ht="12.75" customHeight="1" x14ac:dyDescent="0.2">
      <c r="C1938"/>
      <c r="M1938"/>
    </row>
    <row r="1939" spans="3:13" ht="12.75" customHeight="1" x14ac:dyDescent="0.2">
      <c r="C1939"/>
      <c r="M1939"/>
    </row>
    <row r="1940" spans="3:13" ht="12.75" customHeight="1" x14ac:dyDescent="0.2">
      <c r="C1940"/>
      <c r="M1940"/>
    </row>
    <row r="1941" spans="3:13" ht="12.75" customHeight="1" x14ac:dyDescent="0.2">
      <c r="C1941"/>
      <c r="M1941"/>
    </row>
    <row r="1942" spans="3:13" ht="12.75" customHeight="1" x14ac:dyDescent="0.2">
      <c r="C1942"/>
      <c r="M1942"/>
    </row>
    <row r="1943" spans="3:13" ht="12.75" customHeight="1" x14ac:dyDescent="0.2">
      <c r="C1943"/>
      <c r="M1943"/>
    </row>
    <row r="1944" spans="3:13" ht="12.75" customHeight="1" x14ac:dyDescent="0.2">
      <c r="C1944"/>
      <c r="M1944"/>
    </row>
    <row r="1945" spans="3:13" ht="12.75" customHeight="1" x14ac:dyDescent="0.2">
      <c r="C1945"/>
      <c r="M1945"/>
    </row>
    <row r="1946" spans="3:13" ht="12.75" customHeight="1" x14ac:dyDescent="0.2">
      <c r="C1946"/>
      <c r="M1946"/>
    </row>
    <row r="1947" spans="3:13" ht="12.75" customHeight="1" x14ac:dyDescent="0.2">
      <c r="C1947"/>
      <c r="M1947"/>
    </row>
    <row r="1948" spans="3:13" ht="12.75" customHeight="1" x14ac:dyDescent="0.2">
      <c r="C1948"/>
      <c r="M1948"/>
    </row>
    <row r="1949" spans="3:13" ht="12.75" customHeight="1" x14ac:dyDescent="0.2">
      <c r="C1949"/>
      <c r="M1949"/>
    </row>
    <row r="1950" spans="3:13" ht="12.75" customHeight="1" x14ac:dyDescent="0.2">
      <c r="C1950"/>
      <c r="M1950"/>
    </row>
    <row r="1951" spans="3:13" ht="12.75" customHeight="1" x14ac:dyDescent="0.2">
      <c r="C1951"/>
      <c r="M1951"/>
    </row>
    <row r="1952" spans="3:13" ht="12.75" customHeight="1" x14ac:dyDescent="0.2">
      <c r="C1952"/>
      <c r="M1952"/>
    </row>
    <row r="1953" spans="3:13" ht="12.75" customHeight="1" x14ac:dyDescent="0.2">
      <c r="C1953"/>
      <c r="M1953"/>
    </row>
    <row r="1954" spans="3:13" ht="12.75" customHeight="1" x14ac:dyDescent="0.2">
      <c r="C1954"/>
      <c r="M1954"/>
    </row>
    <row r="1955" spans="3:13" ht="12.75" customHeight="1" x14ac:dyDescent="0.2">
      <c r="C1955"/>
      <c r="M1955"/>
    </row>
    <row r="1956" spans="3:13" ht="12.75" customHeight="1" x14ac:dyDescent="0.2">
      <c r="C1956"/>
      <c r="M1956"/>
    </row>
    <row r="1957" spans="3:13" ht="12.75" customHeight="1" x14ac:dyDescent="0.2">
      <c r="C1957"/>
      <c r="M1957"/>
    </row>
    <row r="1958" spans="3:13" ht="12.75" customHeight="1" x14ac:dyDescent="0.2">
      <c r="C1958"/>
      <c r="M1958"/>
    </row>
    <row r="1959" spans="3:13" ht="12.75" customHeight="1" x14ac:dyDescent="0.2">
      <c r="C1959"/>
      <c r="M1959"/>
    </row>
    <row r="1960" spans="3:13" ht="12.75" customHeight="1" x14ac:dyDescent="0.2">
      <c r="C1960"/>
      <c r="M1960"/>
    </row>
    <row r="1961" spans="3:13" ht="12.75" customHeight="1" x14ac:dyDescent="0.2">
      <c r="C1961"/>
      <c r="M1961"/>
    </row>
    <row r="1962" spans="3:13" ht="12.75" customHeight="1" x14ac:dyDescent="0.2">
      <c r="C1962"/>
      <c r="M1962"/>
    </row>
    <row r="1963" spans="3:13" ht="12.75" customHeight="1" x14ac:dyDescent="0.2">
      <c r="C1963"/>
      <c r="M1963"/>
    </row>
    <row r="1964" spans="3:13" ht="12.75" customHeight="1" x14ac:dyDescent="0.2">
      <c r="C1964"/>
      <c r="M1964"/>
    </row>
    <row r="1965" spans="3:13" ht="12.75" customHeight="1" x14ac:dyDescent="0.2">
      <c r="C1965"/>
      <c r="M1965"/>
    </row>
    <row r="1966" spans="3:13" ht="12.75" customHeight="1" x14ac:dyDescent="0.2">
      <c r="C1966"/>
      <c r="M1966"/>
    </row>
    <row r="1967" spans="3:13" ht="12.75" customHeight="1" x14ac:dyDescent="0.2">
      <c r="C1967"/>
      <c r="M1967"/>
    </row>
    <row r="1968" spans="3:13" ht="12.75" customHeight="1" x14ac:dyDescent="0.2">
      <c r="C1968"/>
      <c r="M1968"/>
    </row>
    <row r="1969" spans="3:13" ht="12.75" customHeight="1" x14ac:dyDescent="0.2">
      <c r="C1969"/>
      <c r="M1969"/>
    </row>
    <row r="1970" spans="3:13" ht="12.75" customHeight="1" x14ac:dyDescent="0.2">
      <c r="C1970"/>
      <c r="M1970"/>
    </row>
    <row r="1971" spans="3:13" ht="12.75" customHeight="1" x14ac:dyDescent="0.2">
      <c r="C1971"/>
      <c r="M1971"/>
    </row>
    <row r="1972" spans="3:13" ht="12.75" customHeight="1" x14ac:dyDescent="0.2">
      <c r="C1972"/>
      <c r="M1972"/>
    </row>
    <row r="1973" spans="3:13" ht="12.75" customHeight="1" x14ac:dyDescent="0.2">
      <c r="C1973"/>
      <c r="M1973"/>
    </row>
    <row r="1974" spans="3:13" ht="12.75" customHeight="1" x14ac:dyDescent="0.2">
      <c r="C1974"/>
      <c r="M1974"/>
    </row>
    <row r="1975" spans="3:13" ht="12.75" customHeight="1" x14ac:dyDescent="0.2">
      <c r="C1975"/>
      <c r="M1975"/>
    </row>
    <row r="1976" spans="3:13" ht="12.75" customHeight="1" x14ac:dyDescent="0.2">
      <c r="C1976"/>
      <c r="M1976"/>
    </row>
    <row r="1977" spans="3:13" ht="12.75" customHeight="1" x14ac:dyDescent="0.2">
      <c r="C1977"/>
      <c r="M1977"/>
    </row>
    <row r="1978" spans="3:13" ht="12.75" customHeight="1" x14ac:dyDescent="0.2">
      <c r="C1978"/>
      <c r="M1978"/>
    </row>
    <row r="1979" spans="3:13" ht="12.75" customHeight="1" x14ac:dyDescent="0.2">
      <c r="C1979"/>
      <c r="M1979"/>
    </row>
    <row r="1980" spans="3:13" ht="12.75" customHeight="1" x14ac:dyDescent="0.2">
      <c r="C1980"/>
      <c r="M1980"/>
    </row>
    <row r="1981" spans="3:13" ht="12.75" customHeight="1" x14ac:dyDescent="0.2">
      <c r="C1981"/>
      <c r="M1981"/>
    </row>
    <row r="1982" spans="3:13" ht="12.75" customHeight="1" x14ac:dyDescent="0.2">
      <c r="C1982"/>
      <c r="M1982"/>
    </row>
    <row r="1983" spans="3:13" ht="12.75" customHeight="1" x14ac:dyDescent="0.2">
      <c r="C1983"/>
      <c r="M1983"/>
    </row>
    <row r="1984" spans="3:13" ht="12.75" customHeight="1" x14ac:dyDescent="0.2">
      <c r="C1984"/>
      <c r="M1984"/>
    </row>
    <row r="1985" spans="3:13" ht="12.75" customHeight="1" x14ac:dyDescent="0.2">
      <c r="C1985"/>
      <c r="M1985"/>
    </row>
    <row r="1986" spans="3:13" ht="12.75" customHeight="1" x14ac:dyDescent="0.2">
      <c r="C1986"/>
      <c r="M1986"/>
    </row>
    <row r="1987" spans="3:13" ht="12.75" customHeight="1" x14ac:dyDescent="0.2">
      <c r="C1987"/>
      <c r="M1987"/>
    </row>
    <row r="1988" spans="3:13" ht="12.75" customHeight="1" x14ac:dyDescent="0.2">
      <c r="C1988"/>
      <c r="M1988"/>
    </row>
    <row r="1989" spans="3:13" ht="12.75" customHeight="1" x14ac:dyDescent="0.2">
      <c r="C1989"/>
      <c r="M1989"/>
    </row>
    <row r="1990" spans="3:13" ht="12.75" customHeight="1" x14ac:dyDescent="0.2">
      <c r="C1990"/>
      <c r="M1990"/>
    </row>
    <row r="1991" spans="3:13" ht="12.75" customHeight="1" x14ac:dyDescent="0.2">
      <c r="C1991"/>
      <c r="M1991"/>
    </row>
    <row r="1992" spans="3:13" ht="12.75" customHeight="1" x14ac:dyDescent="0.2">
      <c r="C1992"/>
      <c r="M1992"/>
    </row>
    <row r="1993" spans="3:13" ht="12.75" customHeight="1" x14ac:dyDescent="0.2">
      <c r="C1993"/>
      <c r="M1993"/>
    </row>
    <row r="1994" spans="3:13" ht="12.75" customHeight="1" x14ac:dyDescent="0.2">
      <c r="C1994"/>
      <c r="M1994"/>
    </row>
    <row r="1995" spans="3:13" ht="12.75" customHeight="1" x14ac:dyDescent="0.2">
      <c r="C1995"/>
      <c r="M1995"/>
    </row>
    <row r="1996" spans="3:13" ht="12.75" customHeight="1" x14ac:dyDescent="0.2">
      <c r="C1996"/>
      <c r="M1996"/>
    </row>
    <row r="1997" spans="3:13" ht="12.75" customHeight="1" x14ac:dyDescent="0.2">
      <c r="C1997"/>
      <c r="M1997"/>
    </row>
    <row r="1998" spans="3:13" ht="12.75" customHeight="1" x14ac:dyDescent="0.2">
      <c r="C1998"/>
      <c r="M1998"/>
    </row>
    <row r="1999" spans="3:13" ht="12.75" customHeight="1" x14ac:dyDescent="0.2">
      <c r="C1999"/>
      <c r="M1999"/>
    </row>
    <row r="2000" spans="3:13" ht="12.75" customHeight="1" x14ac:dyDescent="0.2">
      <c r="C2000"/>
      <c r="M2000"/>
    </row>
    <row r="2001" spans="3:13" ht="12.75" customHeight="1" x14ac:dyDescent="0.2">
      <c r="C2001"/>
      <c r="M2001"/>
    </row>
    <row r="2002" spans="3:13" ht="12.75" customHeight="1" x14ac:dyDescent="0.2">
      <c r="C2002"/>
      <c r="M2002"/>
    </row>
    <row r="2003" spans="3:13" ht="12.75" customHeight="1" x14ac:dyDescent="0.2">
      <c r="C2003"/>
      <c r="M2003"/>
    </row>
    <row r="2004" spans="3:13" ht="12.75" customHeight="1" x14ac:dyDescent="0.2">
      <c r="C2004"/>
      <c r="M2004"/>
    </row>
    <row r="2005" spans="3:13" ht="12.75" customHeight="1" x14ac:dyDescent="0.2">
      <c r="C2005"/>
      <c r="M2005"/>
    </row>
    <row r="2006" spans="3:13" ht="12.75" customHeight="1" x14ac:dyDescent="0.2">
      <c r="C2006"/>
      <c r="M2006"/>
    </row>
    <row r="2007" spans="3:13" ht="12.75" customHeight="1" x14ac:dyDescent="0.2">
      <c r="C2007"/>
      <c r="M2007"/>
    </row>
    <row r="2008" spans="3:13" ht="12.75" customHeight="1" x14ac:dyDescent="0.2">
      <c r="C2008"/>
      <c r="M2008"/>
    </row>
    <row r="2009" spans="3:13" ht="12.75" customHeight="1" x14ac:dyDescent="0.2">
      <c r="C2009"/>
      <c r="M2009"/>
    </row>
    <row r="2010" spans="3:13" ht="12.75" customHeight="1" x14ac:dyDescent="0.2">
      <c r="C2010"/>
      <c r="M2010"/>
    </row>
    <row r="2011" spans="3:13" ht="12.75" customHeight="1" x14ac:dyDescent="0.2">
      <c r="C2011"/>
      <c r="M2011"/>
    </row>
    <row r="2012" spans="3:13" ht="12.75" customHeight="1" x14ac:dyDescent="0.2">
      <c r="C2012"/>
      <c r="M2012"/>
    </row>
    <row r="2013" spans="3:13" ht="12.75" customHeight="1" x14ac:dyDescent="0.2">
      <c r="C2013"/>
      <c r="M2013"/>
    </row>
    <row r="2014" spans="3:13" ht="12.75" customHeight="1" x14ac:dyDescent="0.2">
      <c r="C2014"/>
      <c r="M2014"/>
    </row>
    <row r="2015" spans="3:13" ht="12.75" customHeight="1" x14ac:dyDescent="0.2">
      <c r="C2015"/>
      <c r="M2015"/>
    </row>
    <row r="2016" spans="3:13" ht="12.75" customHeight="1" x14ac:dyDescent="0.2">
      <c r="C2016"/>
      <c r="M2016"/>
    </row>
    <row r="2017" spans="3:13" ht="12.75" customHeight="1" x14ac:dyDescent="0.2">
      <c r="C2017"/>
      <c r="M2017"/>
    </row>
    <row r="2018" spans="3:13" ht="12.75" customHeight="1" x14ac:dyDescent="0.2">
      <c r="C2018"/>
      <c r="M2018"/>
    </row>
    <row r="2019" spans="3:13" ht="12.75" customHeight="1" x14ac:dyDescent="0.2">
      <c r="C2019"/>
      <c r="M2019"/>
    </row>
    <row r="2020" spans="3:13" ht="12.75" customHeight="1" x14ac:dyDescent="0.2">
      <c r="C2020"/>
      <c r="M2020"/>
    </row>
    <row r="2021" spans="3:13" ht="12.75" customHeight="1" x14ac:dyDescent="0.2">
      <c r="C2021"/>
      <c r="M2021"/>
    </row>
    <row r="2022" spans="3:13" ht="12.75" customHeight="1" x14ac:dyDescent="0.2">
      <c r="C2022"/>
      <c r="M2022"/>
    </row>
    <row r="2023" spans="3:13" ht="12.75" customHeight="1" x14ac:dyDescent="0.2">
      <c r="C2023"/>
      <c r="M2023"/>
    </row>
    <row r="2024" spans="3:13" ht="12.75" customHeight="1" x14ac:dyDescent="0.2">
      <c r="C2024"/>
      <c r="M2024"/>
    </row>
    <row r="2025" spans="3:13" ht="12.75" customHeight="1" x14ac:dyDescent="0.2">
      <c r="C2025"/>
      <c r="M2025"/>
    </row>
    <row r="2026" spans="3:13" ht="12.75" customHeight="1" x14ac:dyDescent="0.2">
      <c r="C2026"/>
      <c r="M2026"/>
    </row>
    <row r="2027" spans="3:13" ht="12.75" customHeight="1" x14ac:dyDescent="0.2">
      <c r="C2027"/>
      <c r="M2027"/>
    </row>
    <row r="2028" spans="3:13" ht="12.75" customHeight="1" x14ac:dyDescent="0.2">
      <c r="C2028"/>
      <c r="M2028"/>
    </row>
    <row r="2029" spans="3:13" ht="12.75" customHeight="1" x14ac:dyDescent="0.2">
      <c r="C2029"/>
      <c r="M2029"/>
    </row>
    <row r="2030" spans="3:13" ht="12.75" customHeight="1" x14ac:dyDescent="0.2">
      <c r="C2030"/>
      <c r="M2030"/>
    </row>
    <row r="2031" spans="3:13" ht="12.75" customHeight="1" x14ac:dyDescent="0.2">
      <c r="C2031"/>
      <c r="M2031"/>
    </row>
    <row r="2032" spans="3:13" ht="12.75" customHeight="1" x14ac:dyDescent="0.2">
      <c r="C2032"/>
      <c r="M2032"/>
    </row>
    <row r="2033" spans="3:13" ht="12.75" customHeight="1" x14ac:dyDescent="0.2">
      <c r="C2033"/>
      <c r="M2033"/>
    </row>
    <row r="2034" spans="3:13" ht="12.75" customHeight="1" x14ac:dyDescent="0.2">
      <c r="C2034"/>
      <c r="M2034"/>
    </row>
    <row r="2035" spans="3:13" ht="12.75" customHeight="1" x14ac:dyDescent="0.2">
      <c r="C2035"/>
      <c r="M2035"/>
    </row>
    <row r="2036" spans="3:13" ht="12.75" customHeight="1" x14ac:dyDescent="0.2">
      <c r="C2036"/>
      <c r="M2036"/>
    </row>
    <row r="2037" spans="3:13" ht="12.75" customHeight="1" x14ac:dyDescent="0.2">
      <c r="C2037"/>
      <c r="M2037"/>
    </row>
    <row r="2038" spans="3:13" ht="12.75" customHeight="1" x14ac:dyDescent="0.2">
      <c r="C2038"/>
      <c r="M2038"/>
    </row>
    <row r="2039" spans="3:13" ht="12.75" customHeight="1" x14ac:dyDescent="0.2">
      <c r="C2039"/>
      <c r="M2039"/>
    </row>
    <row r="2040" spans="3:13" ht="12.75" customHeight="1" x14ac:dyDescent="0.2">
      <c r="C2040"/>
      <c r="M2040"/>
    </row>
    <row r="2041" spans="3:13" ht="12.75" customHeight="1" x14ac:dyDescent="0.2">
      <c r="C2041"/>
      <c r="M2041"/>
    </row>
    <row r="2042" spans="3:13" ht="12.75" customHeight="1" x14ac:dyDescent="0.2">
      <c r="C2042"/>
      <c r="M2042"/>
    </row>
    <row r="2043" spans="3:13" ht="12.75" customHeight="1" x14ac:dyDescent="0.2">
      <c r="C2043"/>
      <c r="M2043"/>
    </row>
    <row r="2044" spans="3:13" ht="12.75" customHeight="1" x14ac:dyDescent="0.2">
      <c r="C2044"/>
      <c r="M2044"/>
    </row>
    <row r="2045" spans="3:13" ht="12.75" customHeight="1" x14ac:dyDescent="0.2">
      <c r="C2045"/>
      <c r="M2045"/>
    </row>
    <row r="2046" spans="3:13" ht="12.75" customHeight="1" x14ac:dyDescent="0.2">
      <c r="C2046"/>
      <c r="M2046"/>
    </row>
    <row r="2047" spans="3:13" ht="12.75" customHeight="1" x14ac:dyDescent="0.2">
      <c r="C2047"/>
      <c r="M2047"/>
    </row>
    <row r="2048" spans="3:13" ht="12.75" customHeight="1" x14ac:dyDescent="0.2">
      <c r="C2048"/>
      <c r="M2048"/>
    </row>
    <row r="2049" spans="3:13" ht="12.75" customHeight="1" x14ac:dyDescent="0.2">
      <c r="C2049"/>
      <c r="M2049"/>
    </row>
    <row r="2050" spans="3:13" ht="12.75" customHeight="1" x14ac:dyDescent="0.2">
      <c r="C2050"/>
      <c r="M2050"/>
    </row>
    <row r="2051" spans="3:13" ht="12.75" customHeight="1" x14ac:dyDescent="0.2">
      <c r="C2051"/>
      <c r="M2051"/>
    </row>
    <row r="2052" spans="3:13" ht="12.75" customHeight="1" x14ac:dyDescent="0.2">
      <c r="C2052"/>
      <c r="M2052"/>
    </row>
    <row r="2053" spans="3:13" ht="12.75" customHeight="1" x14ac:dyDescent="0.2">
      <c r="C2053"/>
      <c r="M2053"/>
    </row>
    <row r="2054" spans="3:13" ht="12.75" customHeight="1" x14ac:dyDescent="0.2">
      <c r="C2054"/>
      <c r="M2054"/>
    </row>
    <row r="2055" spans="3:13" ht="12.75" customHeight="1" x14ac:dyDescent="0.2">
      <c r="C2055"/>
      <c r="M2055"/>
    </row>
    <row r="2056" spans="3:13" ht="12.75" customHeight="1" x14ac:dyDescent="0.2">
      <c r="C2056"/>
      <c r="M2056"/>
    </row>
    <row r="2057" spans="3:13" ht="12.75" customHeight="1" x14ac:dyDescent="0.2">
      <c r="C2057"/>
      <c r="M2057"/>
    </row>
    <row r="2058" spans="3:13" ht="12.75" customHeight="1" x14ac:dyDescent="0.2">
      <c r="C2058"/>
      <c r="M2058"/>
    </row>
    <row r="2059" spans="3:13" ht="12.75" customHeight="1" x14ac:dyDescent="0.2">
      <c r="C2059"/>
      <c r="M2059"/>
    </row>
    <row r="2060" spans="3:13" ht="12.75" customHeight="1" x14ac:dyDescent="0.2">
      <c r="C2060"/>
      <c r="M2060"/>
    </row>
    <row r="2061" spans="3:13" ht="12.75" customHeight="1" x14ac:dyDescent="0.2">
      <c r="C2061"/>
      <c r="M2061"/>
    </row>
    <row r="2062" spans="3:13" ht="12.75" customHeight="1" x14ac:dyDescent="0.2">
      <c r="C2062"/>
      <c r="M2062"/>
    </row>
    <row r="2063" spans="3:13" ht="12.75" customHeight="1" x14ac:dyDescent="0.2">
      <c r="C2063"/>
      <c r="M2063"/>
    </row>
    <row r="2064" spans="3:13" ht="12.75" customHeight="1" x14ac:dyDescent="0.2">
      <c r="C2064"/>
      <c r="M2064"/>
    </row>
    <row r="2065" spans="3:13" ht="12.75" customHeight="1" x14ac:dyDescent="0.2">
      <c r="C2065"/>
      <c r="M2065"/>
    </row>
    <row r="2066" spans="3:13" ht="12.75" customHeight="1" x14ac:dyDescent="0.2">
      <c r="C2066"/>
      <c r="M2066"/>
    </row>
    <row r="2067" spans="3:13" ht="12.75" customHeight="1" x14ac:dyDescent="0.2">
      <c r="C2067"/>
      <c r="M2067"/>
    </row>
    <row r="2068" spans="3:13" ht="12.75" customHeight="1" x14ac:dyDescent="0.2">
      <c r="C2068"/>
      <c r="M2068"/>
    </row>
    <row r="2069" spans="3:13" ht="12.75" customHeight="1" x14ac:dyDescent="0.2">
      <c r="C2069"/>
      <c r="M2069"/>
    </row>
    <row r="2070" spans="3:13" ht="12.75" customHeight="1" x14ac:dyDescent="0.2">
      <c r="C2070"/>
      <c r="M2070"/>
    </row>
    <row r="2071" spans="3:13" ht="12.75" customHeight="1" x14ac:dyDescent="0.2">
      <c r="C2071"/>
      <c r="M2071"/>
    </row>
    <row r="2072" spans="3:13" ht="12.75" customHeight="1" x14ac:dyDescent="0.2">
      <c r="C2072"/>
      <c r="M2072"/>
    </row>
    <row r="2073" spans="3:13" ht="12.75" customHeight="1" x14ac:dyDescent="0.2">
      <c r="C2073"/>
      <c r="M2073"/>
    </row>
    <row r="2074" spans="3:13" ht="12.75" customHeight="1" x14ac:dyDescent="0.2">
      <c r="C2074"/>
      <c r="M2074"/>
    </row>
    <row r="2075" spans="3:13" ht="12.75" customHeight="1" x14ac:dyDescent="0.2">
      <c r="C2075"/>
      <c r="M2075"/>
    </row>
    <row r="2076" spans="3:13" ht="12.75" customHeight="1" x14ac:dyDescent="0.2">
      <c r="C2076"/>
      <c r="M2076"/>
    </row>
    <row r="2077" spans="3:13" ht="12.75" customHeight="1" x14ac:dyDescent="0.2">
      <c r="C2077"/>
      <c r="M2077"/>
    </row>
    <row r="2078" spans="3:13" ht="12.75" customHeight="1" x14ac:dyDescent="0.2">
      <c r="C2078"/>
      <c r="M2078"/>
    </row>
    <row r="2079" spans="3:13" ht="12.75" customHeight="1" x14ac:dyDescent="0.2">
      <c r="C2079"/>
      <c r="M2079"/>
    </row>
    <row r="2080" spans="3:13" ht="12.75" customHeight="1" x14ac:dyDescent="0.2">
      <c r="C2080"/>
      <c r="M2080"/>
    </row>
    <row r="2081" spans="3:13" ht="12.75" customHeight="1" x14ac:dyDescent="0.2">
      <c r="C2081"/>
      <c r="M2081"/>
    </row>
    <row r="2082" spans="3:13" ht="12.75" customHeight="1" x14ac:dyDescent="0.2">
      <c r="C2082"/>
      <c r="M2082"/>
    </row>
    <row r="2083" spans="3:13" ht="12.75" customHeight="1" x14ac:dyDescent="0.2">
      <c r="C2083"/>
      <c r="M2083"/>
    </row>
    <row r="2084" spans="3:13" ht="12.75" customHeight="1" x14ac:dyDescent="0.2">
      <c r="C2084"/>
      <c r="M2084"/>
    </row>
    <row r="2085" spans="3:13" ht="12.75" customHeight="1" x14ac:dyDescent="0.2">
      <c r="C2085"/>
      <c r="M2085"/>
    </row>
    <row r="2086" spans="3:13" ht="12.75" customHeight="1" x14ac:dyDescent="0.2">
      <c r="C2086"/>
      <c r="M2086"/>
    </row>
    <row r="2087" spans="3:13" ht="12.75" customHeight="1" x14ac:dyDescent="0.2">
      <c r="C2087"/>
      <c r="M2087"/>
    </row>
    <row r="2088" spans="3:13" ht="12.75" customHeight="1" x14ac:dyDescent="0.2">
      <c r="C2088"/>
      <c r="M2088"/>
    </row>
    <row r="2089" spans="3:13" ht="12.75" customHeight="1" x14ac:dyDescent="0.2">
      <c r="C2089"/>
      <c r="M2089"/>
    </row>
    <row r="2090" spans="3:13" ht="12.75" customHeight="1" x14ac:dyDescent="0.2">
      <c r="C2090"/>
      <c r="M2090"/>
    </row>
    <row r="2091" spans="3:13" ht="12.75" customHeight="1" x14ac:dyDescent="0.2">
      <c r="C2091"/>
      <c r="M2091"/>
    </row>
    <row r="2092" spans="3:13" ht="12.75" customHeight="1" x14ac:dyDescent="0.2">
      <c r="C2092"/>
      <c r="M2092"/>
    </row>
    <row r="2093" spans="3:13" ht="12.75" customHeight="1" x14ac:dyDescent="0.2">
      <c r="C2093"/>
      <c r="M2093"/>
    </row>
    <row r="2094" spans="3:13" ht="12.75" customHeight="1" x14ac:dyDescent="0.2">
      <c r="C2094"/>
      <c r="M2094"/>
    </row>
    <row r="2095" spans="3:13" ht="12.75" customHeight="1" x14ac:dyDescent="0.2">
      <c r="C2095"/>
      <c r="M2095"/>
    </row>
    <row r="2096" spans="3:13" ht="12.75" customHeight="1" x14ac:dyDescent="0.2">
      <c r="C2096"/>
      <c r="M2096"/>
    </row>
    <row r="2097" spans="3:13" ht="12.75" customHeight="1" x14ac:dyDescent="0.2">
      <c r="C2097"/>
      <c r="M2097"/>
    </row>
    <row r="2098" spans="3:13" ht="12.75" customHeight="1" x14ac:dyDescent="0.2">
      <c r="C2098"/>
      <c r="M2098"/>
    </row>
    <row r="2099" spans="3:13" ht="12.75" customHeight="1" x14ac:dyDescent="0.2">
      <c r="C2099"/>
      <c r="M2099"/>
    </row>
    <row r="2100" spans="3:13" ht="12.75" customHeight="1" x14ac:dyDescent="0.2">
      <c r="C2100"/>
      <c r="M2100"/>
    </row>
    <row r="2101" spans="3:13" ht="12.75" customHeight="1" x14ac:dyDescent="0.2">
      <c r="C2101"/>
      <c r="M2101"/>
    </row>
    <row r="2102" spans="3:13" ht="12.75" customHeight="1" x14ac:dyDescent="0.2">
      <c r="C2102"/>
      <c r="M2102"/>
    </row>
    <row r="2103" spans="3:13" ht="12.75" customHeight="1" x14ac:dyDescent="0.2">
      <c r="C2103"/>
      <c r="M2103"/>
    </row>
    <row r="2104" spans="3:13" ht="12.75" customHeight="1" x14ac:dyDescent="0.2">
      <c r="C2104"/>
      <c r="M2104"/>
    </row>
    <row r="2105" spans="3:13" ht="12.75" customHeight="1" x14ac:dyDescent="0.2">
      <c r="C2105"/>
      <c r="M2105"/>
    </row>
    <row r="2106" spans="3:13" ht="12.75" customHeight="1" x14ac:dyDescent="0.2">
      <c r="C2106"/>
      <c r="M2106"/>
    </row>
    <row r="2107" spans="3:13" ht="12.75" customHeight="1" x14ac:dyDescent="0.2">
      <c r="C2107"/>
      <c r="M2107"/>
    </row>
    <row r="2108" spans="3:13" ht="12.75" customHeight="1" x14ac:dyDescent="0.2">
      <c r="C2108"/>
      <c r="M2108"/>
    </row>
    <row r="2109" spans="3:13" ht="12.75" customHeight="1" x14ac:dyDescent="0.2">
      <c r="C2109"/>
      <c r="M2109"/>
    </row>
    <row r="2110" spans="3:13" ht="12.75" customHeight="1" x14ac:dyDescent="0.2">
      <c r="C2110"/>
      <c r="M2110"/>
    </row>
    <row r="2111" spans="3:13" ht="12.75" customHeight="1" x14ac:dyDescent="0.2">
      <c r="C2111"/>
      <c r="M2111"/>
    </row>
    <row r="2112" spans="3:13" ht="12.75" customHeight="1" x14ac:dyDescent="0.2">
      <c r="C2112"/>
      <c r="M2112"/>
    </row>
    <row r="2113" spans="3:13" ht="12.75" customHeight="1" x14ac:dyDescent="0.2">
      <c r="C2113"/>
      <c r="M2113"/>
    </row>
    <row r="2114" spans="3:13" ht="12.75" customHeight="1" x14ac:dyDescent="0.2">
      <c r="C2114"/>
      <c r="M2114"/>
    </row>
    <row r="2115" spans="3:13" ht="12.75" customHeight="1" x14ac:dyDescent="0.2">
      <c r="C2115"/>
      <c r="M2115"/>
    </row>
    <row r="2116" spans="3:13" ht="12.75" customHeight="1" x14ac:dyDescent="0.2">
      <c r="C2116"/>
      <c r="M2116"/>
    </row>
    <row r="2117" spans="3:13" ht="12.75" customHeight="1" x14ac:dyDescent="0.2">
      <c r="C2117"/>
      <c r="M2117"/>
    </row>
    <row r="2118" spans="3:13" ht="12.75" customHeight="1" x14ac:dyDescent="0.2">
      <c r="C2118"/>
      <c r="M2118"/>
    </row>
    <row r="2119" spans="3:13" ht="12.75" customHeight="1" x14ac:dyDescent="0.2">
      <c r="C2119"/>
      <c r="M2119"/>
    </row>
    <row r="2120" spans="3:13" ht="12.75" customHeight="1" x14ac:dyDescent="0.2">
      <c r="C2120"/>
      <c r="M2120"/>
    </row>
    <row r="2121" spans="3:13" ht="12.75" customHeight="1" x14ac:dyDescent="0.2">
      <c r="C2121"/>
      <c r="M2121"/>
    </row>
    <row r="2122" spans="3:13" ht="12.75" customHeight="1" x14ac:dyDescent="0.2">
      <c r="C2122"/>
      <c r="M2122"/>
    </row>
    <row r="2123" spans="3:13" ht="12.75" customHeight="1" x14ac:dyDescent="0.2">
      <c r="C2123"/>
      <c r="M2123"/>
    </row>
    <row r="2124" spans="3:13" ht="12.75" customHeight="1" x14ac:dyDescent="0.2">
      <c r="C2124"/>
      <c r="M2124"/>
    </row>
    <row r="2125" spans="3:13" ht="12.75" customHeight="1" x14ac:dyDescent="0.2">
      <c r="C2125"/>
      <c r="M2125"/>
    </row>
    <row r="2126" spans="3:13" ht="12.75" customHeight="1" x14ac:dyDescent="0.2">
      <c r="C2126"/>
      <c r="M2126"/>
    </row>
    <row r="2127" spans="3:13" ht="12.75" customHeight="1" x14ac:dyDescent="0.2">
      <c r="C2127"/>
      <c r="M2127"/>
    </row>
    <row r="2128" spans="3:13" ht="12.75" customHeight="1" x14ac:dyDescent="0.2">
      <c r="C2128"/>
      <c r="M2128"/>
    </row>
    <row r="2129" spans="3:13" ht="12.75" customHeight="1" x14ac:dyDescent="0.2">
      <c r="C2129"/>
      <c r="M2129"/>
    </row>
    <row r="2130" spans="3:13" ht="12.75" customHeight="1" x14ac:dyDescent="0.2">
      <c r="C2130"/>
      <c r="M2130"/>
    </row>
    <row r="2131" spans="3:13" ht="12.75" customHeight="1" x14ac:dyDescent="0.2">
      <c r="C2131"/>
      <c r="M2131"/>
    </row>
    <row r="2132" spans="3:13" ht="12.75" customHeight="1" x14ac:dyDescent="0.2">
      <c r="C2132"/>
      <c r="M2132"/>
    </row>
    <row r="2133" spans="3:13" ht="12.75" customHeight="1" x14ac:dyDescent="0.2">
      <c r="C2133"/>
      <c r="M2133"/>
    </row>
    <row r="2134" spans="3:13" ht="12.75" customHeight="1" x14ac:dyDescent="0.2">
      <c r="C2134"/>
      <c r="M2134"/>
    </row>
    <row r="2135" spans="3:13" ht="12.75" customHeight="1" x14ac:dyDescent="0.2">
      <c r="C2135"/>
      <c r="M2135"/>
    </row>
    <row r="2136" spans="3:13" ht="12.75" customHeight="1" x14ac:dyDescent="0.2">
      <c r="C2136"/>
      <c r="M2136"/>
    </row>
    <row r="2137" spans="3:13" ht="12.75" customHeight="1" x14ac:dyDescent="0.2">
      <c r="C2137"/>
      <c r="M2137"/>
    </row>
    <row r="2138" spans="3:13" ht="12.75" customHeight="1" x14ac:dyDescent="0.2">
      <c r="C2138"/>
      <c r="M2138"/>
    </row>
    <row r="2139" spans="3:13" ht="12.75" customHeight="1" x14ac:dyDescent="0.2">
      <c r="C2139"/>
      <c r="M2139"/>
    </row>
    <row r="2140" spans="3:13" ht="12.75" customHeight="1" x14ac:dyDescent="0.2">
      <c r="C2140"/>
      <c r="M2140"/>
    </row>
    <row r="2141" spans="3:13" ht="12.75" customHeight="1" x14ac:dyDescent="0.2">
      <c r="C2141"/>
      <c r="M2141"/>
    </row>
    <row r="2142" spans="3:13" ht="12.75" customHeight="1" x14ac:dyDescent="0.2">
      <c r="C2142"/>
      <c r="M2142"/>
    </row>
    <row r="2143" spans="3:13" ht="12.75" customHeight="1" x14ac:dyDescent="0.2">
      <c r="C2143"/>
      <c r="M2143"/>
    </row>
    <row r="2144" spans="3:13" ht="12.75" customHeight="1" x14ac:dyDescent="0.2">
      <c r="C2144"/>
      <c r="M2144"/>
    </row>
    <row r="2145" spans="3:13" ht="12.75" customHeight="1" x14ac:dyDescent="0.2">
      <c r="C2145"/>
      <c r="M2145"/>
    </row>
    <row r="2146" spans="3:13" ht="12.75" customHeight="1" x14ac:dyDescent="0.2">
      <c r="C2146"/>
      <c r="M2146"/>
    </row>
    <row r="2147" spans="3:13" ht="12.75" customHeight="1" x14ac:dyDescent="0.2">
      <c r="C2147"/>
      <c r="M2147"/>
    </row>
    <row r="2148" spans="3:13" ht="12.75" customHeight="1" x14ac:dyDescent="0.2">
      <c r="C2148"/>
      <c r="M2148"/>
    </row>
    <row r="2149" spans="3:13" ht="12.75" customHeight="1" x14ac:dyDescent="0.2">
      <c r="C2149"/>
      <c r="M2149"/>
    </row>
    <row r="2150" spans="3:13" ht="12.75" customHeight="1" x14ac:dyDescent="0.2">
      <c r="C2150"/>
      <c r="M2150"/>
    </row>
    <row r="2151" spans="3:13" ht="12.75" customHeight="1" x14ac:dyDescent="0.2">
      <c r="C2151"/>
      <c r="M2151"/>
    </row>
    <row r="2152" spans="3:13" ht="12.75" customHeight="1" x14ac:dyDescent="0.2">
      <c r="C2152"/>
      <c r="M2152"/>
    </row>
    <row r="2153" spans="3:13" ht="12.75" customHeight="1" x14ac:dyDescent="0.2">
      <c r="C2153"/>
      <c r="M2153"/>
    </row>
    <row r="2154" spans="3:13" ht="12.75" customHeight="1" x14ac:dyDescent="0.2">
      <c r="C2154"/>
      <c r="M2154"/>
    </row>
    <row r="2155" spans="3:13" ht="12.75" customHeight="1" x14ac:dyDescent="0.2">
      <c r="C2155"/>
      <c r="M2155"/>
    </row>
    <row r="2156" spans="3:13" ht="12.75" customHeight="1" x14ac:dyDescent="0.2">
      <c r="C2156"/>
      <c r="M2156"/>
    </row>
    <row r="2157" spans="3:13" ht="12.75" customHeight="1" x14ac:dyDescent="0.2">
      <c r="C2157"/>
      <c r="M2157"/>
    </row>
    <row r="2158" spans="3:13" ht="12.75" customHeight="1" x14ac:dyDescent="0.2">
      <c r="C2158"/>
      <c r="M2158"/>
    </row>
    <row r="2159" spans="3:13" ht="12.75" customHeight="1" x14ac:dyDescent="0.2">
      <c r="C2159"/>
      <c r="M2159"/>
    </row>
    <row r="2160" spans="3:13" ht="12.75" customHeight="1" x14ac:dyDescent="0.2">
      <c r="C2160"/>
      <c r="M2160"/>
    </row>
    <row r="2161" spans="3:13" ht="12.75" customHeight="1" x14ac:dyDescent="0.2">
      <c r="C2161"/>
      <c r="M2161"/>
    </row>
    <row r="2162" spans="3:13" ht="12.75" customHeight="1" x14ac:dyDescent="0.2">
      <c r="C2162"/>
      <c r="M2162"/>
    </row>
    <row r="2163" spans="3:13" ht="12.75" customHeight="1" x14ac:dyDescent="0.2">
      <c r="C2163"/>
      <c r="M2163"/>
    </row>
    <row r="2164" spans="3:13" ht="12.75" customHeight="1" x14ac:dyDescent="0.2">
      <c r="C2164"/>
      <c r="M2164"/>
    </row>
    <row r="2165" spans="3:13" ht="12.75" customHeight="1" x14ac:dyDescent="0.2">
      <c r="C2165"/>
      <c r="M2165"/>
    </row>
    <row r="2166" spans="3:13" ht="12.75" customHeight="1" x14ac:dyDescent="0.2">
      <c r="C2166"/>
      <c r="M2166"/>
    </row>
    <row r="2167" spans="3:13" ht="12.75" customHeight="1" x14ac:dyDescent="0.2">
      <c r="C2167"/>
      <c r="M2167"/>
    </row>
    <row r="2168" spans="3:13" ht="12.75" customHeight="1" x14ac:dyDescent="0.2">
      <c r="C2168"/>
      <c r="M2168"/>
    </row>
    <row r="2169" spans="3:13" ht="12.75" customHeight="1" x14ac:dyDescent="0.2">
      <c r="C2169"/>
      <c r="M2169"/>
    </row>
    <row r="2170" spans="3:13" ht="12.75" customHeight="1" x14ac:dyDescent="0.2">
      <c r="C2170"/>
      <c r="M2170"/>
    </row>
    <row r="2171" spans="3:13" ht="12.75" customHeight="1" x14ac:dyDescent="0.2">
      <c r="C2171"/>
      <c r="M2171"/>
    </row>
    <row r="2172" spans="3:13" ht="12.75" customHeight="1" x14ac:dyDescent="0.2">
      <c r="C2172"/>
      <c r="M2172"/>
    </row>
    <row r="2173" spans="3:13" ht="12.75" customHeight="1" x14ac:dyDescent="0.2">
      <c r="C2173"/>
      <c r="M2173"/>
    </row>
    <row r="2174" spans="3:13" ht="12.75" customHeight="1" x14ac:dyDescent="0.2">
      <c r="C2174"/>
      <c r="M2174"/>
    </row>
    <row r="2175" spans="3:13" ht="12.75" customHeight="1" x14ac:dyDescent="0.2">
      <c r="C2175"/>
      <c r="M2175"/>
    </row>
    <row r="2176" spans="3:13" ht="12.75" customHeight="1" x14ac:dyDescent="0.2">
      <c r="C2176"/>
      <c r="M2176"/>
    </row>
    <row r="2177" spans="3:13" ht="12.75" customHeight="1" x14ac:dyDescent="0.2">
      <c r="C2177"/>
      <c r="M2177"/>
    </row>
    <row r="2178" spans="3:13" ht="12.75" customHeight="1" x14ac:dyDescent="0.2">
      <c r="C2178"/>
      <c r="M2178"/>
    </row>
    <row r="2179" spans="3:13" ht="12.75" customHeight="1" x14ac:dyDescent="0.2">
      <c r="C2179"/>
      <c r="M2179"/>
    </row>
    <row r="2180" spans="3:13" ht="12.75" customHeight="1" x14ac:dyDescent="0.2">
      <c r="C2180"/>
      <c r="M2180"/>
    </row>
    <row r="2181" spans="3:13" ht="12.75" customHeight="1" x14ac:dyDescent="0.2">
      <c r="C2181"/>
      <c r="M2181"/>
    </row>
    <row r="2182" spans="3:13" ht="12.75" customHeight="1" x14ac:dyDescent="0.2">
      <c r="C2182"/>
      <c r="M2182"/>
    </row>
    <row r="2183" spans="3:13" ht="12.75" customHeight="1" x14ac:dyDescent="0.2">
      <c r="C2183"/>
      <c r="M2183"/>
    </row>
    <row r="2184" spans="3:13" ht="12.75" customHeight="1" x14ac:dyDescent="0.2">
      <c r="C2184"/>
      <c r="M2184"/>
    </row>
    <row r="2185" spans="3:13" ht="12.75" customHeight="1" x14ac:dyDescent="0.2">
      <c r="C2185"/>
      <c r="M2185"/>
    </row>
    <row r="2186" spans="3:13" ht="12.75" customHeight="1" x14ac:dyDescent="0.2">
      <c r="C2186"/>
      <c r="M2186"/>
    </row>
    <row r="2187" spans="3:13" ht="12.75" customHeight="1" x14ac:dyDescent="0.2">
      <c r="C2187"/>
      <c r="M2187"/>
    </row>
    <row r="2188" spans="3:13" ht="12.75" customHeight="1" x14ac:dyDescent="0.2">
      <c r="C2188"/>
      <c r="M2188"/>
    </row>
    <row r="2189" spans="3:13" ht="12.75" customHeight="1" x14ac:dyDescent="0.2">
      <c r="C2189"/>
      <c r="M2189"/>
    </row>
    <row r="2190" spans="3:13" ht="12.75" customHeight="1" x14ac:dyDescent="0.2">
      <c r="C2190"/>
      <c r="M2190"/>
    </row>
    <row r="2191" spans="3:13" ht="12.75" customHeight="1" x14ac:dyDescent="0.2">
      <c r="C2191"/>
      <c r="M2191"/>
    </row>
    <row r="2192" spans="3:13" ht="12.75" customHeight="1" x14ac:dyDescent="0.2">
      <c r="C2192"/>
      <c r="M2192"/>
    </row>
    <row r="2193" spans="3:13" ht="12.75" customHeight="1" x14ac:dyDescent="0.2">
      <c r="C2193"/>
      <c r="M2193"/>
    </row>
    <row r="2194" spans="3:13" ht="12.75" customHeight="1" x14ac:dyDescent="0.2">
      <c r="C2194"/>
      <c r="M2194"/>
    </row>
    <row r="2195" spans="3:13" ht="12.75" customHeight="1" x14ac:dyDescent="0.2">
      <c r="C2195"/>
      <c r="M2195"/>
    </row>
    <row r="2196" spans="3:13" ht="12.75" customHeight="1" x14ac:dyDescent="0.2">
      <c r="C2196"/>
      <c r="M2196"/>
    </row>
    <row r="2197" spans="3:13" ht="12.75" customHeight="1" x14ac:dyDescent="0.2">
      <c r="C2197"/>
      <c r="M2197"/>
    </row>
    <row r="2198" spans="3:13" ht="12.75" customHeight="1" x14ac:dyDescent="0.2">
      <c r="C2198"/>
      <c r="M2198"/>
    </row>
    <row r="2199" spans="3:13" ht="12.75" customHeight="1" x14ac:dyDescent="0.2">
      <c r="C2199"/>
      <c r="M2199"/>
    </row>
    <row r="2200" spans="3:13" ht="12.75" customHeight="1" x14ac:dyDescent="0.2">
      <c r="C2200"/>
      <c r="M2200"/>
    </row>
    <row r="2201" spans="3:13" ht="12.75" customHeight="1" x14ac:dyDescent="0.2">
      <c r="C2201"/>
      <c r="M2201"/>
    </row>
    <row r="2202" spans="3:13" ht="12.75" customHeight="1" x14ac:dyDescent="0.2">
      <c r="C2202"/>
      <c r="M2202"/>
    </row>
    <row r="2203" spans="3:13" ht="12.75" customHeight="1" x14ac:dyDescent="0.2">
      <c r="C2203"/>
      <c r="M2203"/>
    </row>
    <row r="2204" spans="3:13" ht="12.75" customHeight="1" x14ac:dyDescent="0.2">
      <c r="C2204"/>
      <c r="M2204"/>
    </row>
    <row r="2205" spans="3:13" ht="12.75" customHeight="1" x14ac:dyDescent="0.2">
      <c r="C2205"/>
      <c r="M2205"/>
    </row>
    <row r="2206" spans="3:13" ht="12.75" customHeight="1" x14ac:dyDescent="0.2">
      <c r="C2206"/>
      <c r="M2206"/>
    </row>
    <row r="2207" spans="3:13" ht="12.75" customHeight="1" x14ac:dyDescent="0.2">
      <c r="C2207"/>
      <c r="M2207"/>
    </row>
    <row r="2208" spans="3:13" ht="12.75" customHeight="1" x14ac:dyDescent="0.2">
      <c r="C2208"/>
      <c r="M2208"/>
    </row>
    <row r="2209" spans="3:13" ht="12.75" customHeight="1" x14ac:dyDescent="0.2">
      <c r="C2209"/>
      <c r="M2209"/>
    </row>
    <row r="2210" spans="3:13" ht="12.75" customHeight="1" x14ac:dyDescent="0.2">
      <c r="C2210"/>
      <c r="M2210"/>
    </row>
    <row r="2211" spans="3:13" ht="12.75" customHeight="1" x14ac:dyDescent="0.2">
      <c r="C2211"/>
      <c r="M2211"/>
    </row>
    <row r="2212" spans="3:13" ht="12.75" customHeight="1" x14ac:dyDescent="0.2">
      <c r="C2212"/>
      <c r="M2212"/>
    </row>
    <row r="2213" spans="3:13" ht="12.75" customHeight="1" x14ac:dyDescent="0.2">
      <c r="C2213"/>
      <c r="M2213"/>
    </row>
    <row r="2214" spans="3:13" ht="12.75" customHeight="1" x14ac:dyDescent="0.2">
      <c r="C2214"/>
      <c r="M2214"/>
    </row>
    <row r="2215" spans="3:13" ht="12.75" customHeight="1" x14ac:dyDescent="0.2">
      <c r="C2215"/>
      <c r="M2215"/>
    </row>
    <row r="2216" spans="3:13" ht="12.75" customHeight="1" x14ac:dyDescent="0.2">
      <c r="C2216"/>
      <c r="M2216"/>
    </row>
    <row r="2217" spans="3:13" ht="12.75" customHeight="1" x14ac:dyDescent="0.2">
      <c r="C2217"/>
      <c r="M2217"/>
    </row>
    <row r="2218" spans="3:13" ht="12.75" customHeight="1" x14ac:dyDescent="0.2">
      <c r="C2218"/>
      <c r="M2218"/>
    </row>
    <row r="2219" spans="3:13" ht="12.75" customHeight="1" x14ac:dyDescent="0.2">
      <c r="C2219"/>
      <c r="M2219"/>
    </row>
    <row r="2220" spans="3:13" ht="12.75" customHeight="1" x14ac:dyDescent="0.2">
      <c r="C2220"/>
      <c r="M2220"/>
    </row>
    <row r="2221" spans="3:13" ht="12.75" customHeight="1" x14ac:dyDescent="0.2">
      <c r="C2221"/>
      <c r="M2221"/>
    </row>
    <row r="2222" spans="3:13" ht="12.75" customHeight="1" x14ac:dyDescent="0.2">
      <c r="C2222"/>
      <c r="M2222"/>
    </row>
    <row r="2223" spans="3:13" ht="12.75" customHeight="1" x14ac:dyDescent="0.2">
      <c r="C2223"/>
      <c r="M2223"/>
    </row>
    <row r="2224" spans="3:13" ht="12.75" customHeight="1" x14ac:dyDescent="0.2">
      <c r="C2224"/>
      <c r="M2224"/>
    </row>
    <row r="2225" spans="3:13" ht="12.75" customHeight="1" x14ac:dyDescent="0.2">
      <c r="C2225"/>
      <c r="M2225"/>
    </row>
    <row r="2226" spans="3:13" ht="12.75" customHeight="1" x14ac:dyDescent="0.2">
      <c r="C2226"/>
      <c r="M2226"/>
    </row>
    <row r="2227" spans="3:13" ht="12.75" customHeight="1" x14ac:dyDescent="0.2">
      <c r="C2227"/>
      <c r="M2227"/>
    </row>
    <row r="2228" spans="3:13" ht="12.75" customHeight="1" x14ac:dyDescent="0.2">
      <c r="C2228"/>
      <c r="M2228"/>
    </row>
    <row r="2229" spans="3:13" ht="12.75" customHeight="1" x14ac:dyDescent="0.2">
      <c r="C2229"/>
      <c r="M2229"/>
    </row>
    <row r="2230" spans="3:13" ht="12.75" customHeight="1" x14ac:dyDescent="0.2">
      <c r="C2230"/>
      <c r="M2230"/>
    </row>
    <row r="2231" spans="3:13" ht="12.75" customHeight="1" x14ac:dyDescent="0.2">
      <c r="C2231"/>
      <c r="M2231"/>
    </row>
    <row r="2232" spans="3:13" ht="12.75" customHeight="1" x14ac:dyDescent="0.2">
      <c r="C2232"/>
      <c r="M2232"/>
    </row>
    <row r="2233" spans="3:13" ht="12.75" customHeight="1" x14ac:dyDescent="0.2">
      <c r="C2233"/>
      <c r="M2233"/>
    </row>
    <row r="2234" spans="3:13" ht="12.75" customHeight="1" x14ac:dyDescent="0.2">
      <c r="C2234"/>
      <c r="M2234"/>
    </row>
    <row r="2235" spans="3:13" ht="12.75" customHeight="1" x14ac:dyDescent="0.2">
      <c r="C2235"/>
      <c r="M2235"/>
    </row>
    <row r="2236" spans="3:13" ht="12.75" customHeight="1" x14ac:dyDescent="0.2">
      <c r="C2236"/>
      <c r="M2236"/>
    </row>
    <row r="2237" spans="3:13" ht="12.75" customHeight="1" x14ac:dyDescent="0.2">
      <c r="C2237"/>
      <c r="M2237"/>
    </row>
    <row r="2238" spans="3:13" ht="12.75" customHeight="1" x14ac:dyDescent="0.2">
      <c r="C2238"/>
      <c r="M2238"/>
    </row>
    <row r="2239" spans="3:13" ht="12.75" customHeight="1" x14ac:dyDescent="0.2">
      <c r="C2239"/>
      <c r="M2239"/>
    </row>
    <row r="2240" spans="3:13" ht="12.75" customHeight="1" x14ac:dyDescent="0.2">
      <c r="C2240"/>
      <c r="M2240"/>
    </row>
    <row r="2241" spans="3:13" ht="12.75" customHeight="1" x14ac:dyDescent="0.2">
      <c r="C2241"/>
      <c r="M2241"/>
    </row>
    <row r="2242" spans="3:13" ht="12.75" customHeight="1" x14ac:dyDescent="0.2">
      <c r="C2242"/>
      <c r="M2242"/>
    </row>
    <row r="2243" spans="3:13" ht="12.75" customHeight="1" x14ac:dyDescent="0.2">
      <c r="C2243"/>
      <c r="M2243"/>
    </row>
    <row r="2244" spans="3:13" ht="12.75" customHeight="1" x14ac:dyDescent="0.2">
      <c r="C2244"/>
      <c r="M2244"/>
    </row>
    <row r="2245" spans="3:13" ht="12.75" customHeight="1" x14ac:dyDescent="0.2">
      <c r="C2245"/>
      <c r="M2245"/>
    </row>
    <row r="2246" spans="3:13" ht="12.75" customHeight="1" x14ac:dyDescent="0.2">
      <c r="C2246"/>
      <c r="M2246"/>
    </row>
    <row r="2247" spans="3:13" ht="12.75" customHeight="1" x14ac:dyDescent="0.2">
      <c r="C2247"/>
      <c r="M2247"/>
    </row>
    <row r="2248" spans="3:13" ht="12.75" customHeight="1" x14ac:dyDescent="0.2">
      <c r="C2248"/>
      <c r="M2248"/>
    </row>
    <row r="2249" spans="3:13" ht="12.75" customHeight="1" x14ac:dyDescent="0.2">
      <c r="C2249"/>
      <c r="M2249"/>
    </row>
    <row r="2250" spans="3:13" ht="12.75" customHeight="1" x14ac:dyDescent="0.2">
      <c r="C2250"/>
      <c r="M2250"/>
    </row>
    <row r="2251" spans="3:13" ht="12.75" customHeight="1" x14ac:dyDescent="0.2">
      <c r="C2251"/>
      <c r="M2251"/>
    </row>
    <row r="2252" spans="3:13" ht="12.75" customHeight="1" x14ac:dyDescent="0.2">
      <c r="C2252"/>
      <c r="M2252"/>
    </row>
    <row r="2253" spans="3:13" ht="12.75" customHeight="1" x14ac:dyDescent="0.2">
      <c r="C2253"/>
      <c r="M2253"/>
    </row>
    <row r="2254" spans="3:13" ht="12.75" customHeight="1" x14ac:dyDescent="0.2">
      <c r="C2254"/>
      <c r="M2254"/>
    </row>
    <row r="2255" spans="3:13" ht="12.75" customHeight="1" x14ac:dyDescent="0.2">
      <c r="C2255"/>
      <c r="M2255"/>
    </row>
    <row r="2256" spans="3:13" ht="12.75" customHeight="1" x14ac:dyDescent="0.2">
      <c r="C2256"/>
      <c r="M2256"/>
    </row>
    <row r="2257" spans="3:13" ht="12.75" customHeight="1" x14ac:dyDescent="0.2">
      <c r="C2257"/>
      <c r="M2257"/>
    </row>
    <row r="2258" spans="3:13" ht="12.75" customHeight="1" x14ac:dyDescent="0.2">
      <c r="C2258"/>
      <c r="M2258"/>
    </row>
    <row r="2259" spans="3:13" ht="12.75" customHeight="1" x14ac:dyDescent="0.2">
      <c r="C2259"/>
      <c r="M2259"/>
    </row>
    <row r="2260" spans="3:13" ht="12.75" customHeight="1" x14ac:dyDescent="0.2">
      <c r="C2260"/>
      <c r="M2260"/>
    </row>
    <row r="2261" spans="3:13" ht="12.75" customHeight="1" x14ac:dyDescent="0.2">
      <c r="C2261"/>
      <c r="M2261"/>
    </row>
    <row r="2262" spans="3:13" ht="12.75" customHeight="1" x14ac:dyDescent="0.2">
      <c r="C2262"/>
      <c r="M2262"/>
    </row>
    <row r="2263" spans="3:13" ht="12.75" customHeight="1" x14ac:dyDescent="0.2">
      <c r="C2263"/>
      <c r="M2263"/>
    </row>
    <row r="2264" spans="3:13" ht="12.75" customHeight="1" x14ac:dyDescent="0.2">
      <c r="C2264"/>
      <c r="M2264"/>
    </row>
    <row r="2265" spans="3:13" ht="12.75" customHeight="1" x14ac:dyDescent="0.2">
      <c r="C2265"/>
      <c r="M2265"/>
    </row>
    <row r="2266" spans="3:13" ht="12.75" customHeight="1" x14ac:dyDescent="0.2">
      <c r="C2266"/>
      <c r="M2266"/>
    </row>
    <row r="2267" spans="3:13" ht="12.75" customHeight="1" x14ac:dyDescent="0.2">
      <c r="C2267"/>
      <c r="M2267"/>
    </row>
    <row r="2268" spans="3:13" ht="12.75" customHeight="1" x14ac:dyDescent="0.2">
      <c r="C2268"/>
      <c r="M2268"/>
    </row>
    <row r="2269" spans="3:13" ht="12.75" customHeight="1" x14ac:dyDescent="0.2">
      <c r="C2269"/>
      <c r="M2269"/>
    </row>
    <row r="2270" spans="3:13" ht="12.75" customHeight="1" x14ac:dyDescent="0.2">
      <c r="C2270"/>
      <c r="M2270"/>
    </row>
    <row r="2271" spans="3:13" ht="12.75" customHeight="1" x14ac:dyDescent="0.2">
      <c r="C2271"/>
      <c r="M2271"/>
    </row>
    <row r="2272" spans="3:13" ht="12.75" customHeight="1" x14ac:dyDescent="0.2">
      <c r="C2272"/>
      <c r="M2272"/>
    </row>
    <row r="2273" spans="3:13" ht="12.75" customHeight="1" x14ac:dyDescent="0.2">
      <c r="C2273"/>
      <c r="M2273"/>
    </row>
    <row r="2274" spans="3:13" ht="12.75" customHeight="1" x14ac:dyDescent="0.2">
      <c r="C2274"/>
      <c r="M2274"/>
    </row>
    <row r="2275" spans="3:13" ht="12.75" customHeight="1" x14ac:dyDescent="0.2">
      <c r="C2275"/>
      <c r="M2275"/>
    </row>
    <row r="2276" spans="3:13" ht="12.75" customHeight="1" x14ac:dyDescent="0.2">
      <c r="C2276"/>
      <c r="M2276"/>
    </row>
    <row r="2277" spans="3:13" ht="12.75" customHeight="1" x14ac:dyDescent="0.2">
      <c r="C2277"/>
      <c r="M2277"/>
    </row>
    <row r="2278" spans="3:13" ht="12.75" customHeight="1" x14ac:dyDescent="0.2">
      <c r="C2278"/>
      <c r="M2278"/>
    </row>
    <row r="2279" spans="3:13" ht="12.75" customHeight="1" x14ac:dyDescent="0.2">
      <c r="C2279"/>
      <c r="M2279"/>
    </row>
    <row r="2280" spans="3:13" ht="12.75" customHeight="1" x14ac:dyDescent="0.2">
      <c r="C2280"/>
      <c r="M2280"/>
    </row>
    <row r="2281" spans="3:13" ht="12.75" customHeight="1" x14ac:dyDescent="0.2">
      <c r="C2281"/>
      <c r="M2281"/>
    </row>
    <row r="2282" spans="3:13" ht="12.75" customHeight="1" x14ac:dyDescent="0.2">
      <c r="C2282"/>
      <c r="M2282"/>
    </row>
    <row r="2283" spans="3:13" ht="12.75" customHeight="1" x14ac:dyDescent="0.2">
      <c r="C2283"/>
      <c r="M2283"/>
    </row>
    <row r="2284" spans="3:13" ht="12.75" customHeight="1" x14ac:dyDescent="0.2">
      <c r="C2284"/>
      <c r="M2284"/>
    </row>
    <row r="2285" spans="3:13" ht="12.75" customHeight="1" x14ac:dyDescent="0.2">
      <c r="C2285"/>
      <c r="M2285"/>
    </row>
    <row r="2286" spans="3:13" ht="12.75" customHeight="1" x14ac:dyDescent="0.2">
      <c r="C2286"/>
      <c r="M2286"/>
    </row>
    <row r="2287" spans="3:13" ht="12.75" customHeight="1" x14ac:dyDescent="0.2">
      <c r="C2287"/>
      <c r="M2287"/>
    </row>
    <row r="2288" spans="3:13" ht="12.75" customHeight="1" x14ac:dyDescent="0.2">
      <c r="C2288"/>
      <c r="M2288"/>
    </row>
    <row r="2289" spans="3:13" ht="12.75" customHeight="1" x14ac:dyDescent="0.2">
      <c r="C2289"/>
      <c r="M2289"/>
    </row>
    <row r="2290" spans="3:13" ht="12.75" customHeight="1" x14ac:dyDescent="0.2">
      <c r="C2290"/>
      <c r="M2290"/>
    </row>
    <row r="2291" spans="3:13" ht="12.75" customHeight="1" x14ac:dyDescent="0.2">
      <c r="C2291"/>
      <c r="M2291"/>
    </row>
    <row r="2292" spans="3:13" ht="12.75" customHeight="1" x14ac:dyDescent="0.2">
      <c r="C2292"/>
      <c r="M2292"/>
    </row>
    <row r="2293" spans="3:13" ht="12.75" customHeight="1" x14ac:dyDescent="0.2">
      <c r="C2293"/>
      <c r="M2293"/>
    </row>
    <row r="2294" spans="3:13" ht="12.75" customHeight="1" x14ac:dyDescent="0.2">
      <c r="C2294"/>
      <c r="M2294"/>
    </row>
    <row r="2295" spans="3:13" ht="12.75" customHeight="1" x14ac:dyDescent="0.2">
      <c r="C2295"/>
      <c r="M2295"/>
    </row>
    <row r="2296" spans="3:13" ht="12.75" customHeight="1" x14ac:dyDescent="0.2">
      <c r="C2296"/>
      <c r="M2296"/>
    </row>
    <row r="2297" spans="3:13" ht="12.75" customHeight="1" x14ac:dyDescent="0.2">
      <c r="C2297"/>
      <c r="M2297"/>
    </row>
    <row r="2298" spans="3:13" ht="12.75" customHeight="1" x14ac:dyDescent="0.2">
      <c r="C2298"/>
      <c r="M2298"/>
    </row>
    <row r="2299" spans="3:13" ht="12.75" customHeight="1" x14ac:dyDescent="0.2">
      <c r="C2299"/>
      <c r="M2299"/>
    </row>
    <row r="2300" spans="3:13" ht="12.75" customHeight="1" x14ac:dyDescent="0.2">
      <c r="C2300"/>
      <c r="M2300"/>
    </row>
    <row r="2301" spans="3:13" ht="12.75" customHeight="1" x14ac:dyDescent="0.2">
      <c r="C2301"/>
      <c r="M2301"/>
    </row>
    <row r="2302" spans="3:13" ht="12.75" customHeight="1" x14ac:dyDescent="0.2">
      <c r="C2302"/>
      <c r="M2302"/>
    </row>
    <row r="2303" spans="3:13" ht="12.75" customHeight="1" x14ac:dyDescent="0.2">
      <c r="C2303"/>
      <c r="M2303"/>
    </row>
    <row r="2304" spans="3:13" ht="12.75" customHeight="1" x14ac:dyDescent="0.2">
      <c r="C2304"/>
      <c r="M2304"/>
    </row>
    <row r="2305" spans="3:13" ht="12.75" customHeight="1" x14ac:dyDescent="0.2">
      <c r="C2305"/>
      <c r="M2305"/>
    </row>
    <row r="2306" spans="3:13" ht="12.75" customHeight="1" x14ac:dyDescent="0.2">
      <c r="C2306"/>
      <c r="M2306"/>
    </row>
    <row r="2307" spans="3:13" ht="12.75" customHeight="1" x14ac:dyDescent="0.2">
      <c r="C2307"/>
      <c r="M2307"/>
    </row>
    <row r="2308" spans="3:13" ht="12.75" customHeight="1" x14ac:dyDescent="0.2">
      <c r="C2308"/>
      <c r="M2308"/>
    </row>
    <row r="2309" spans="3:13" ht="12.75" customHeight="1" x14ac:dyDescent="0.2">
      <c r="C2309"/>
      <c r="M2309"/>
    </row>
    <row r="2310" spans="3:13" ht="12.75" customHeight="1" x14ac:dyDescent="0.2">
      <c r="C2310"/>
      <c r="M2310"/>
    </row>
    <row r="2311" spans="3:13" ht="12.75" customHeight="1" x14ac:dyDescent="0.2">
      <c r="C2311"/>
      <c r="M2311"/>
    </row>
    <row r="2312" spans="3:13" ht="12.75" customHeight="1" x14ac:dyDescent="0.2">
      <c r="C2312"/>
      <c r="M2312"/>
    </row>
    <row r="2313" spans="3:13" ht="12.75" customHeight="1" x14ac:dyDescent="0.2">
      <c r="C2313"/>
      <c r="M2313"/>
    </row>
    <row r="2314" spans="3:13" ht="12.75" customHeight="1" x14ac:dyDescent="0.2">
      <c r="C2314"/>
      <c r="M2314"/>
    </row>
    <row r="2315" spans="3:13" ht="12.75" customHeight="1" x14ac:dyDescent="0.2">
      <c r="C2315"/>
      <c r="M2315"/>
    </row>
    <row r="2316" spans="3:13" ht="12.75" customHeight="1" x14ac:dyDescent="0.2">
      <c r="C2316"/>
      <c r="M2316"/>
    </row>
    <row r="2317" spans="3:13" ht="12.75" customHeight="1" x14ac:dyDescent="0.2">
      <c r="C2317"/>
      <c r="M2317"/>
    </row>
    <row r="2318" spans="3:13" ht="12.75" customHeight="1" x14ac:dyDescent="0.2">
      <c r="C2318"/>
      <c r="M2318"/>
    </row>
    <row r="2319" spans="3:13" ht="12.75" customHeight="1" x14ac:dyDescent="0.2">
      <c r="C2319"/>
      <c r="M2319"/>
    </row>
    <row r="2320" spans="3:13" ht="12.75" customHeight="1" x14ac:dyDescent="0.2">
      <c r="C2320"/>
      <c r="M2320"/>
    </row>
    <row r="2321" spans="3:13" ht="12.75" customHeight="1" x14ac:dyDescent="0.2">
      <c r="C2321"/>
      <c r="M2321"/>
    </row>
    <row r="2322" spans="3:13" ht="12.75" customHeight="1" x14ac:dyDescent="0.2">
      <c r="C2322"/>
      <c r="M2322"/>
    </row>
    <row r="2323" spans="3:13" ht="12.75" customHeight="1" x14ac:dyDescent="0.2">
      <c r="C2323"/>
      <c r="M2323"/>
    </row>
    <row r="2324" spans="3:13" ht="12.75" customHeight="1" x14ac:dyDescent="0.2">
      <c r="C2324"/>
      <c r="M2324"/>
    </row>
    <row r="2325" spans="3:13" ht="12.75" customHeight="1" x14ac:dyDescent="0.2">
      <c r="C2325"/>
      <c r="M2325"/>
    </row>
    <row r="2326" spans="3:13" ht="12.75" customHeight="1" x14ac:dyDescent="0.2">
      <c r="C2326"/>
      <c r="M2326"/>
    </row>
    <row r="2327" spans="3:13" ht="12.75" customHeight="1" x14ac:dyDescent="0.2">
      <c r="C2327"/>
      <c r="M2327"/>
    </row>
    <row r="2328" spans="3:13" ht="12.75" customHeight="1" x14ac:dyDescent="0.2">
      <c r="C2328"/>
      <c r="M2328"/>
    </row>
    <row r="2329" spans="3:13" ht="12.75" customHeight="1" x14ac:dyDescent="0.2">
      <c r="C2329"/>
      <c r="M2329"/>
    </row>
    <row r="2330" spans="3:13" ht="12.75" customHeight="1" x14ac:dyDescent="0.2">
      <c r="C2330"/>
      <c r="M2330"/>
    </row>
    <row r="2331" spans="3:13" ht="12.75" customHeight="1" x14ac:dyDescent="0.2">
      <c r="C2331"/>
      <c r="M2331"/>
    </row>
    <row r="2332" spans="3:13" ht="12.75" customHeight="1" x14ac:dyDescent="0.2">
      <c r="C2332"/>
      <c r="M2332"/>
    </row>
    <row r="2333" spans="3:13" ht="12.75" customHeight="1" x14ac:dyDescent="0.2">
      <c r="C2333"/>
      <c r="M2333"/>
    </row>
    <row r="2334" spans="3:13" ht="12.75" customHeight="1" x14ac:dyDescent="0.2">
      <c r="C2334"/>
      <c r="M2334"/>
    </row>
    <row r="2335" spans="3:13" ht="12.75" customHeight="1" x14ac:dyDescent="0.2">
      <c r="C2335"/>
      <c r="M2335"/>
    </row>
    <row r="2336" spans="3:13" ht="12.75" customHeight="1" x14ac:dyDescent="0.2">
      <c r="C2336"/>
      <c r="M2336"/>
    </row>
    <row r="2337" spans="3:13" ht="12.75" customHeight="1" x14ac:dyDescent="0.2">
      <c r="C2337"/>
      <c r="M2337"/>
    </row>
    <row r="2338" spans="3:13" ht="12.75" customHeight="1" x14ac:dyDescent="0.2">
      <c r="C2338"/>
      <c r="M2338"/>
    </row>
    <row r="2339" spans="3:13" ht="12.75" customHeight="1" x14ac:dyDescent="0.2">
      <c r="C2339"/>
      <c r="M2339"/>
    </row>
    <row r="2340" spans="3:13" ht="12.75" customHeight="1" x14ac:dyDescent="0.2">
      <c r="C2340"/>
      <c r="M2340"/>
    </row>
    <row r="2341" spans="3:13" ht="12.75" customHeight="1" x14ac:dyDescent="0.2">
      <c r="C2341"/>
      <c r="M2341"/>
    </row>
    <row r="2342" spans="3:13" ht="12.75" customHeight="1" x14ac:dyDescent="0.2">
      <c r="C2342"/>
      <c r="M2342"/>
    </row>
    <row r="2343" spans="3:13" ht="12.75" customHeight="1" x14ac:dyDescent="0.2">
      <c r="C2343"/>
      <c r="M2343"/>
    </row>
    <row r="2344" spans="3:13" ht="12.75" customHeight="1" x14ac:dyDescent="0.2">
      <c r="C2344"/>
      <c r="M2344"/>
    </row>
    <row r="2345" spans="3:13" ht="12.75" customHeight="1" x14ac:dyDescent="0.2">
      <c r="C2345"/>
      <c r="M2345"/>
    </row>
    <row r="2346" spans="3:13" ht="12.75" customHeight="1" x14ac:dyDescent="0.2">
      <c r="C2346"/>
      <c r="M2346"/>
    </row>
    <row r="2347" spans="3:13" ht="12.75" customHeight="1" x14ac:dyDescent="0.2">
      <c r="C2347"/>
      <c r="M2347"/>
    </row>
    <row r="2348" spans="3:13" ht="12.75" customHeight="1" x14ac:dyDescent="0.2">
      <c r="C2348"/>
      <c r="M2348"/>
    </row>
    <row r="2349" spans="3:13" ht="12.75" customHeight="1" x14ac:dyDescent="0.2">
      <c r="C2349"/>
      <c r="M2349"/>
    </row>
    <row r="2350" spans="3:13" ht="12.75" customHeight="1" x14ac:dyDescent="0.2">
      <c r="C2350"/>
      <c r="M2350"/>
    </row>
    <row r="2351" spans="3:13" ht="12.75" customHeight="1" x14ac:dyDescent="0.2">
      <c r="C2351"/>
      <c r="M2351"/>
    </row>
    <row r="2352" spans="3:13" ht="12.75" customHeight="1" x14ac:dyDescent="0.2">
      <c r="C2352"/>
      <c r="M2352"/>
    </row>
    <row r="2353" spans="3:13" ht="12.75" customHeight="1" x14ac:dyDescent="0.2">
      <c r="C2353"/>
      <c r="M2353"/>
    </row>
    <row r="2354" spans="3:13" ht="12.75" customHeight="1" x14ac:dyDescent="0.2">
      <c r="C2354"/>
      <c r="M2354"/>
    </row>
    <row r="2355" spans="3:13" ht="12.75" customHeight="1" x14ac:dyDescent="0.2">
      <c r="C2355"/>
      <c r="M2355"/>
    </row>
    <row r="2356" spans="3:13" ht="12.75" customHeight="1" x14ac:dyDescent="0.2">
      <c r="C2356"/>
      <c r="M2356"/>
    </row>
    <row r="2357" spans="3:13" ht="12.75" customHeight="1" x14ac:dyDescent="0.2">
      <c r="C2357"/>
      <c r="M2357"/>
    </row>
    <row r="2358" spans="3:13" ht="12.75" customHeight="1" x14ac:dyDescent="0.2">
      <c r="C2358"/>
      <c r="M2358"/>
    </row>
    <row r="2359" spans="3:13" ht="12.75" customHeight="1" x14ac:dyDescent="0.2">
      <c r="C2359"/>
      <c r="M2359"/>
    </row>
    <row r="2360" spans="3:13" ht="12.75" customHeight="1" x14ac:dyDescent="0.2">
      <c r="C2360"/>
      <c r="M2360"/>
    </row>
    <row r="2361" spans="3:13" ht="12.75" customHeight="1" x14ac:dyDescent="0.2">
      <c r="C2361"/>
      <c r="M2361"/>
    </row>
    <row r="2362" spans="3:13" ht="12.75" customHeight="1" x14ac:dyDescent="0.2">
      <c r="C2362"/>
      <c r="M2362"/>
    </row>
    <row r="2363" spans="3:13" ht="12.75" customHeight="1" x14ac:dyDescent="0.2">
      <c r="C2363"/>
      <c r="M2363"/>
    </row>
    <row r="2364" spans="3:13" ht="12.75" customHeight="1" x14ac:dyDescent="0.2">
      <c r="C2364"/>
      <c r="M2364"/>
    </row>
    <row r="2365" spans="3:13" ht="12.75" customHeight="1" x14ac:dyDescent="0.2">
      <c r="C2365"/>
      <c r="M2365"/>
    </row>
    <row r="2366" spans="3:13" ht="12.75" customHeight="1" x14ac:dyDescent="0.2">
      <c r="C2366"/>
      <c r="M2366"/>
    </row>
    <row r="2367" spans="3:13" ht="12.75" customHeight="1" x14ac:dyDescent="0.2">
      <c r="C2367"/>
      <c r="M2367"/>
    </row>
    <row r="2368" spans="3:13" ht="12.75" customHeight="1" x14ac:dyDescent="0.2">
      <c r="C2368"/>
      <c r="M2368"/>
    </row>
    <row r="2369" spans="3:13" ht="12.75" customHeight="1" x14ac:dyDescent="0.2">
      <c r="C2369"/>
      <c r="M2369"/>
    </row>
    <row r="2370" spans="3:13" ht="12.75" customHeight="1" x14ac:dyDescent="0.2">
      <c r="C2370"/>
      <c r="M2370"/>
    </row>
    <row r="2371" spans="3:13" ht="12.75" customHeight="1" x14ac:dyDescent="0.2">
      <c r="C2371"/>
      <c r="M2371"/>
    </row>
    <row r="2372" spans="3:13" ht="12.75" customHeight="1" x14ac:dyDescent="0.2">
      <c r="C2372"/>
      <c r="M2372"/>
    </row>
    <row r="2373" spans="3:13" ht="12.75" customHeight="1" x14ac:dyDescent="0.2">
      <c r="C2373"/>
      <c r="M2373"/>
    </row>
    <row r="2374" spans="3:13" ht="12.75" customHeight="1" x14ac:dyDescent="0.2">
      <c r="C2374"/>
      <c r="M2374"/>
    </row>
    <row r="2375" spans="3:13" ht="12.75" customHeight="1" x14ac:dyDescent="0.2">
      <c r="C2375"/>
      <c r="M2375"/>
    </row>
    <row r="2376" spans="3:13" ht="12.75" customHeight="1" x14ac:dyDescent="0.2">
      <c r="C2376"/>
      <c r="M2376"/>
    </row>
    <row r="2377" spans="3:13" ht="12.75" customHeight="1" x14ac:dyDescent="0.2">
      <c r="C2377"/>
      <c r="M2377"/>
    </row>
    <row r="2378" spans="3:13" ht="12.75" customHeight="1" x14ac:dyDescent="0.2">
      <c r="C2378"/>
      <c r="M2378"/>
    </row>
    <row r="2379" spans="3:13" ht="12.75" customHeight="1" x14ac:dyDescent="0.2">
      <c r="C2379"/>
      <c r="M2379"/>
    </row>
    <row r="2380" spans="3:13" ht="12.75" customHeight="1" x14ac:dyDescent="0.2">
      <c r="C2380"/>
      <c r="M2380"/>
    </row>
    <row r="2381" spans="3:13" ht="12.75" customHeight="1" x14ac:dyDescent="0.2">
      <c r="C2381"/>
      <c r="M2381"/>
    </row>
    <row r="2382" spans="3:13" ht="12.75" customHeight="1" x14ac:dyDescent="0.2">
      <c r="C2382"/>
      <c r="M2382"/>
    </row>
    <row r="2383" spans="3:13" ht="12.75" customHeight="1" x14ac:dyDescent="0.2">
      <c r="C2383"/>
      <c r="M2383"/>
    </row>
    <row r="2384" spans="3:13" ht="12.75" customHeight="1" x14ac:dyDescent="0.2">
      <c r="C2384"/>
      <c r="M2384"/>
    </row>
    <row r="2385" spans="3:13" ht="12.75" customHeight="1" x14ac:dyDescent="0.2">
      <c r="C2385"/>
      <c r="M2385"/>
    </row>
    <row r="2386" spans="3:13" ht="12.75" customHeight="1" x14ac:dyDescent="0.2">
      <c r="C2386"/>
      <c r="M2386"/>
    </row>
    <row r="2387" spans="3:13" ht="12.75" customHeight="1" x14ac:dyDescent="0.2">
      <c r="C2387"/>
      <c r="M2387"/>
    </row>
    <row r="2388" spans="3:13" ht="12.75" customHeight="1" x14ac:dyDescent="0.2">
      <c r="C2388"/>
      <c r="M2388"/>
    </row>
    <row r="2389" spans="3:13" ht="12.75" customHeight="1" x14ac:dyDescent="0.2">
      <c r="C2389"/>
      <c r="M2389"/>
    </row>
    <row r="2390" spans="3:13" ht="12.75" customHeight="1" x14ac:dyDescent="0.2">
      <c r="C2390"/>
      <c r="M2390"/>
    </row>
    <row r="2391" spans="3:13" ht="12.75" customHeight="1" x14ac:dyDescent="0.2">
      <c r="C2391"/>
      <c r="M2391"/>
    </row>
    <row r="2392" spans="3:13" ht="12.75" customHeight="1" x14ac:dyDescent="0.2">
      <c r="C2392"/>
      <c r="M2392"/>
    </row>
    <row r="2393" spans="3:13" ht="12.75" customHeight="1" x14ac:dyDescent="0.2">
      <c r="C2393"/>
      <c r="M2393"/>
    </row>
    <row r="2394" spans="3:13" ht="12.75" customHeight="1" x14ac:dyDescent="0.2">
      <c r="C2394"/>
      <c r="M2394"/>
    </row>
    <row r="2395" spans="3:13" ht="12.75" customHeight="1" x14ac:dyDescent="0.2">
      <c r="C2395"/>
      <c r="M2395"/>
    </row>
    <row r="2396" spans="3:13" ht="12.75" customHeight="1" x14ac:dyDescent="0.2">
      <c r="C2396"/>
      <c r="M2396"/>
    </row>
    <row r="2397" spans="3:13" ht="12.75" customHeight="1" x14ac:dyDescent="0.2">
      <c r="C2397"/>
      <c r="M2397"/>
    </row>
    <row r="2398" spans="3:13" ht="12.75" customHeight="1" x14ac:dyDescent="0.2">
      <c r="C2398"/>
      <c r="M2398"/>
    </row>
    <row r="2399" spans="3:13" ht="12.75" customHeight="1" x14ac:dyDescent="0.2">
      <c r="C2399"/>
      <c r="M2399"/>
    </row>
    <row r="2400" spans="3:13" ht="12.75" customHeight="1" x14ac:dyDescent="0.2">
      <c r="C2400"/>
      <c r="M2400"/>
    </row>
    <row r="2401" spans="3:13" ht="12.75" customHeight="1" x14ac:dyDescent="0.2">
      <c r="C2401"/>
      <c r="M2401"/>
    </row>
    <row r="2402" spans="3:13" ht="12.75" customHeight="1" x14ac:dyDescent="0.2">
      <c r="C2402"/>
      <c r="M2402"/>
    </row>
    <row r="2403" spans="3:13" ht="12.75" customHeight="1" x14ac:dyDescent="0.2">
      <c r="C2403"/>
      <c r="M2403"/>
    </row>
    <row r="2404" spans="3:13" ht="12.75" customHeight="1" x14ac:dyDescent="0.2">
      <c r="C2404"/>
      <c r="M2404"/>
    </row>
    <row r="2405" spans="3:13" ht="12.75" customHeight="1" x14ac:dyDescent="0.2">
      <c r="C2405"/>
      <c r="M2405"/>
    </row>
    <row r="2406" spans="3:13" ht="12.75" customHeight="1" x14ac:dyDescent="0.2">
      <c r="C2406"/>
      <c r="M2406"/>
    </row>
    <row r="2407" spans="3:13" ht="12.75" customHeight="1" x14ac:dyDescent="0.2">
      <c r="C2407"/>
      <c r="M2407"/>
    </row>
    <row r="2408" spans="3:13" ht="12.75" customHeight="1" x14ac:dyDescent="0.2">
      <c r="C2408"/>
      <c r="M2408"/>
    </row>
    <row r="2409" spans="3:13" ht="12.75" customHeight="1" x14ac:dyDescent="0.2">
      <c r="C2409"/>
      <c r="M2409"/>
    </row>
    <row r="2410" spans="3:13" ht="12.75" customHeight="1" x14ac:dyDescent="0.2">
      <c r="C2410"/>
      <c r="M2410"/>
    </row>
    <row r="2411" spans="3:13" ht="12.75" customHeight="1" x14ac:dyDescent="0.2">
      <c r="C2411"/>
      <c r="M2411"/>
    </row>
    <row r="2412" spans="3:13" ht="12.75" customHeight="1" x14ac:dyDescent="0.2">
      <c r="C2412"/>
      <c r="M2412"/>
    </row>
    <row r="2413" spans="3:13" ht="12.75" customHeight="1" x14ac:dyDescent="0.2">
      <c r="C2413"/>
      <c r="M2413"/>
    </row>
    <row r="2414" spans="3:13" ht="12.75" customHeight="1" x14ac:dyDescent="0.2">
      <c r="C2414"/>
      <c r="M2414"/>
    </row>
    <row r="2415" spans="3:13" ht="12.75" customHeight="1" x14ac:dyDescent="0.2">
      <c r="C2415"/>
      <c r="M2415"/>
    </row>
    <row r="2416" spans="3:13" ht="12.75" customHeight="1" x14ac:dyDescent="0.2">
      <c r="C2416"/>
      <c r="M2416"/>
    </row>
    <row r="2417" spans="3:13" ht="12.75" customHeight="1" x14ac:dyDescent="0.2">
      <c r="C2417"/>
      <c r="M2417"/>
    </row>
    <row r="2418" spans="3:13" ht="12.75" customHeight="1" x14ac:dyDescent="0.2">
      <c r="C2418"/>
      <c r="M2418"/>
    </row>
    <row r="2419" spans="3:13" ht="12.75" customHeight="1" x14ac:dyDescent="0.2">
      <c r="C2419"/>
      <c r="M2419"/>
    </row>
    <row r="2420" spans="3:13" ht="12.75" customHeight="1" x14ac:dyDescent="0.2">
      <c r="C2420"/>
      <c r="M2420"/>
    </row>
    <row r="2421" spans="3:13" ht="12.75" customHeight="1" x14ac:dyDescent="0.2">
      <c r="C2421"/>
      <c r="M2421"/>
    </row>
    <row r="2422" spans="3:13" ht="12.75" customHeight="1" x14ac:dyDescent="0.2">
      <c r="C2422"/>
      <c r="M2422"/>
    </row>
    <row r="2423" spans="3:13" ht="12.75" customHeight="1" x14ac:dyDescent="0.2">
      <c r="C2423"/>
      <c r="M2423"/>
    </row>
    <row r="2424" spans="3:13" ht="12.75" customHeight="1" x14ac:dyDescent="0.2">
      <c r="C2424"/>
      <c r="M2424"/>
    </row>
    <row r="2425" spans="3:13" ht="12.75" customHeight="1" x14ac:dyDescent="0.2">
      <c r="C2425"/>
      <c r="M2425"/>
    </row>
    <row r="2426" spans="3:13" ht="12.75" customHeight="1" x14ac:dyDescent="0.2">
      <c r="C2426"/>
      <c r="M2426"/>
    </row>
    <row r="2427" spans="3:13" ht="12.75" customHeight="1" x14ac:dyDescent="0.2">
      <c r="C2427"/>
      <c r="M2427"/>
    </row>
    <row r="2428" spans="3:13" ht="12.75" customHeight="1" x14ac:dyDescent="0.2">
      <c r="C2428"/>
      <c r="M2428"/>
    </row>
    <row r="2429" spans="3:13" ht="12.75" customHeight="1" x14ac:dyDescent="0.2">
      <c r="C2429"/>
      <c r="M2429"/>
    </row>
    <row r="2430" spans="3:13" ht="12.75" customHeight="1" x14ac:dyDescent="0.2">
      <c r="C2430"/>
      <c r="M2430"/>
    </row>
    <row r="2431" spans="3:13" ht="12.75" customHeight="1" x14ac:dyDescent="0.2">
      <c r="C2431"/>
      <c r="M2431"/>
    </row>
    <row r="2432" spans="3:13" ht="12.75" customHeight="1" x14ac:dyDescent="0.2">
      <c r="C2432"/>
      <c r="M2432"/>
    </row>
    <row r="2433" spans="3:13" ht="12.75" customHeight="1" x14ac:dyDescent="0.2">
      <c r="C2433"/>
      <c r="M2433"/>
    </row>
    <row r="2434" spans="3:13" ht="12.75" customHeight="1" x14ac:dyDescent="0.2">
      <c r="C2434"/>
      <c r="M2434"/>
    </row>
    <row r="2435" spans="3:13" ht="12.75" customHeight="1" x14ac:dyDescent="0.2">
      <c r="C2435"/>
      <c r="M2435"/>
    </row>
    <row r="2436" spans="3:13" ht="12.75" customHeight="1" x14ac:dyDescent="0.2">
      <c r="C2436"/>
      <c r="M2436"/>
    </row>
    <row r="2437" spans="3:13" ht="12.75" customHeight="1" x14ac:dyDescent="0.2">
      <c r="C2437"/>
      <c r="M2437"/>
    </row>
    <row r="2438" spans="3:13" ht="12.75" customHeight="1" x14ac:dyDescent="0.2">
      <c r="C2438"/>
      <c r="M2438"/>
    </row>
    <row r="2439" spans="3:13" ht="12.75" customHeight="1" x14ac:dyDescent="0.2">
      <c r="C2439"/>
      <c r="M2439"/>
    </row>
    <row r="2440" spans="3:13" ht="12.75" customHeight="1" x14ac:dyDescent="0.2">
      <c r="C2440"/>
      <c r="M2440"/>
    </row>
    <row r="2441" spans="3:13" ht="12.75" customHeight="1" x14ac:dyDescent="0.2">
      <c r="C2441"/>
      <c r="M2441"/>
    </row>
    <row r="2442" spans="3:13" ht="12.75" customHeight="1" x14ac:dyDescent="0.2">
      <c r="C2442"/>
      <c r="M2442"/>
    </row>
    <row r="2443" spans="3:13" ht="12.75" customHeight="1" x14ac:dyDescent="0.2">
      <c r="C2443"/>
      <c r="M2443"/>
    </row>
    <row r="2444" spans="3:13" ht="12.75" customHeight="1" x14ac:dyDescent="0.2">
      <c r="C2444"/>
      <c r="M2444"/>
    </row>
    <row r="2445" spans="3:13" ht="12.75" customHeight="1" x14ac:dyDescent="0.2">
      <c r="C2445"/>
      <c r="M2445"/>
    </row>
    <row r="2446" spans="3:13" ht="12.75" customHeight="1" x14ac:dyDescent="0.2">
      <c r="C2446"/>
      <c r="M2446"/>
    </row>
    <row r="2447" spans="3:13" ht="12.75" customHeight="1" x14ac:dyDescent="0.2">
      <c r="C2447"/>
      <c r="M2447"/>
    </row>
    <row r="2448" spans="3:13" ht="12.75" customHeight="1" x14ac:dyDescent="0.2">
      <c r="C2448"/>
      <c r="M2448"/>
    </row>
    <row r="2449" spans="3:13" ht="12.75" customHeight="1" x14ac:dyDescent="0.2">
      <c r="C2449"/>
      <c r="M2449"/>
    </row>
    <row r="2450" spans="3:13" ht="12.75" customHeight="1" x14ac:dyDescent="0.2">
      <c r="C2450"/>
      <c r="M2450"/>
    </row>
    <row r="2451" spans="3:13" ht="12.75" customHeight="1" x14ac:dyDescent="0.2">
      <c r="C2451"/>
      <c r="M2451"/>
    </row>
    <row r="2452" spans="3:13" ht="12.75" customHeight="1" x14ac:dyDescent="0.2">
      <c r="C2452"/>
      <c r="M2452"/>
    </row>
    <row r="2453" spans="3:13" ht="12.75" customHeight="1" x14ac:dyDescent="0.2">
      <c r="C2453"/>
      <c r="M2453"/>
    </row>
    <row r="2454" spans="3:13" ht="12.75" customHeight="1" x14ac:dyDescent="0.2">
      <c r="C2454"/>
      <c r="M2454"/>
    </row>
    <row r="2455" spans="3:13" ht="12.75" customHeight="1" x14ac:dyDescent="0.2">
      <c r="C2455"/>
      <c r="M2455"/>
    </row>
    <row r="2456" spans="3:13" ht="12.75" customHeight="1" x14ac:dyDescent="0.2">
      <c r="C2456"/>
      <c r="M2456"/>
    </row>
    <row r="2457" spans="3:13" ht="12.75" customHeight="1" x14ac:dyDescent="0.2">
      <c r="C2457"/>
      <c r="M2457"/>
    </row>
    <row r="2458" spans="3:13" ht="12.75" customHeight="1" x14ac:dyDescent="0.2">
      <c r="C2458"/>
      <c r="M2458"/>
    </row>
    <row r="2459" spans="3:13" ht="12.75" customHeight="1" x14ac:dyDescent="0.2">
      <c r="C2459"/>
      <c r="M2459"/>
    </row>
    <row r="2460" spans="3:13" ht="12.75" customHeight="1" x14ac:dyDescent="0.2">
      <c r="C2460"/>
      <c r="M2460"/>
    </row>
    <row r="2461" spans="3:13" ht="12.75" customHeight="1" x14ac:dyDescent="0.2">
      <c r="C2461"/>
      <c r="M2461"/>
    </row>
    <row r="2462" spans="3:13" ht="12.75" customHeight="1" x14ac:dyDescent="0.2">
      <c r="C2462"/>
      <c r="M2462"/>
    </row>
    <row r="2463" spans="3:13" ht="12.75" customHeight="1" x14ac:dyDescent="0.2">
      <c r="C2463"/>
      <c r="M2463"/>
    </row>
    <row r="2464" spans="3:13" ht="12.75" customHeight="1" x14ac:dyDescent="0.2">
      <c r="C2464"/>
      <c r="M2464"/>
    </row>
    <row r="2465" spans="3:13" ht="12.75" customHeight="1" x14ac:dyDescent="0.2">
      <c r="C2465"/>
      <c r="M2465"/>
    </row>
    <row r="2466" spans="3:13" ht="12.75" customHeight="1" x14ac:dyDescent="0.2">
      <c r="C2466"/>
      <c r="M2466"/>
    </row>
    <row r="2467" spans="3:13" ht="12.75" customHeight="1" x14ac:dyDescent="0.2">
      <c r="C2467"/>
      <c r="M2467"/>
    </row>
    <row r="2468" spans="3:13" ht="12.75" customHeight="1" x14ac:dyDescent="0.2">
      <c r="C2468"/>
      <c r="M2468"/>
    </row>
    <row r="2469" spans="3:13" ht="12.75" customHeight="1" x14ac:dyDescent="0.2">
      <c r="C2469"/>
      <c r="M2469"/>
    </row>
    <row r="2470" spans="3:13" ht="12.75" customHeight="1" x14ac:dyDescent="0.2">
      <c r="C2470"/>
      <c r="M2470"/>
    </row>
    <row r="2471" spans="3:13" ht="12.75" customHeight="1" x14ac:dyDescent="0.2">
      <c r="C2471"/>
      <c r="M2471"/>
    </row>
    <row r="2472" spans="3:13" ht="12.75" customHeight="1" x14ac:dyDescent="0.2">
      <c r="C2472"/>
      <c r="M2472"/>
    </row>
    <row r="2473" spans="3:13" ht="12.75" customHeight="1" x14ac:dyDescent="0.2">
      <c r="C2473"/>
      <c r="M2473"/>
    </row>
    <row r="2474" spans="3:13" ht="12.75" customHeight="1" x14ac:dyDescent="0.2">
      <c r="C2474"/>
      <c r="M2474"/>
    </row>
    <row r="2475" spans="3:13" ht="12.75" customHeight="1" x14ac:dyDescent="0.2">
      <c r="C2475"/>
      <c r="M2475"/>
    </row>
    <row r="2476" spans="3:13" ht="12.75" customHeight="1" x14ac:dyDescent="0.2">
      <c r="C2476"/>
      <c r="M2476"/>
    </row>
    <row r="2477" spans="3:13" ht="12.75" customHeight="1" x14ac:dyDescent="0.2">
      <c r="C2477"/>
      <c r="M2477"/>
    </row>
    <row r="2478" spans="3:13" ht="12.75" customHeight="1" x14ac:dyDescent="0.2">
      <c r="C2478"/>
      <c r="M2478"/>
    </row>
    <row r="2479" spans="3:13" ht="12.75" customHeight="1" x14ac:dyDescent="0.2">
      <c r="C2479"/>
      <c r="M2479"/>
    </row>
    <row r="2480" spans="3:13" ht="12.75" customHeight="1" x14ac:dyDescent="0.2">
      <c r="C2480"/>
      <c r="M2480"/>
    </row>
    <row r="2481" spans="3:13" ht="12.75" customHeight="1" x14ac:dyDescent="0.2">
      <c r="C2481"/>
      <c r="M2481"/>
    </row>
    <row r="2482" spans="3:13" ht="12.75" customHeight="1" x14ac:dyDescent="0.2">
      <c r="C2482"/>
      <c r="M2482"/>
    </row>
    <row r="2483" spans="3:13" ht="12.75" customHeight="1" x14ac:dyDescent="0.2">
      <c r="C2483"/>
      <c r="M2483"/>
    </row>
    <row r="2484" spans="3:13" ht="12.75" customHeight="1" x14ac:dyDescent="0.2">
      <c r="C2484"/>
      <c r="M2484"/>
    </row>
    <row r="2485" spans="3:13" ht="12.75" customHeight="1" x14ac:dyDescent="0.2">
      <c r="C2485"/>
      <c r="M2485"/>
    </row>
    <row r="2486" spans="3:13" ht="12.75" customHeight="1" x14ac:dyDescent="0.2">
      <c r="C2486"/>
      <c r="M2486"/>
    </row>
    <row r="2487" spans="3:13" ht="12.75" customHeight="1" x14ac:dyDescent="0.2">
      <c r="C2487"/>
      <c r="M2487"/>
    </row>
    <row r="2488" spans="3:13" ht="12.75" customHeight="1" x14ac:dyDescent="0.2">
      <c r="C2488"/>
      <c r="M2488"/>
    </row>
    <row r="2489" spans="3:13" ht="12.75" customHeight="1" x14ac:dyDescent="0.2">
      <c r="C2489"/>
      <c r="M2489"/>
    </row>
    <row r="2490" spans="3:13" ht="12.75" customHeight="1" x14ac:dyDescent="0.2">
      <c r="C2490"/>
      <c r="M2490"/>
    </row>
    <row r="2491" spans="3:13" ht="12.75" customHeight="1" x14ac:dyDescent="0.2">
      <c r="C2491"/>
      <c r="M2491"/>
    </row>
    <row r="2492" spans="3:13" ht="12.75" customHeight="1" x14ac:dyDescent="0.2">
      <c r="C2492"/>
      <c r="M2492"/>
    </row>
    <row r="2493" spans="3:13" ht="12.75" customHeight="1" x14ac:dyDescent="0.2">
      <c r="C2493"/>
      <c r="M2493"/>
    </row>
    <row r="2494" spans="3:13" ht="12.75" customHeight="1" x14ac:dyDescent="0.2">
      <c r="C2494"/>
      <c r="M2494"/>
    </row>
    <row r="2495" spans="3:13" ht="12.75" customHeight="1" x14ac:dyDescent="0.2">
      <c r="C2495"/>
      <c r="M2495"/>
    </row>
    <row r="2496" spans="3:13" ht="12.75" customHeight="1" x14ac:dyDescent="0.2">
      <c r="C2496"/>
      <c r="M2496"/>
    </row>
    <row r="2497" spans="3:13" ht="12.75" customHeight="1" x14ac:dyDescent="0.2">
      <c r="C2497"/>
      <c r="M2497"/>
    </row>
    <row r="2498" spans="3:13" ht="12.75" customHeight="1" x14ac:dyDescent="0.2">
      <c r="C2498"/>
      <c r="M2498"/>
    </row>
    <row r="2499" spans="3:13" ht="12.75" customHeight="1" x14ac:dyDescent="0.2">
      <c r="C2499"/>
      <c r="M2499"/>
    </row>
    <row r="2500" spans="3:13" ht="12.75" customHeight="1" x14ac:dyDescent="0.2">
      <c r="C2500"/>
      <c r="M2500"/>
    </row>
    <row r="2501" spans="3:13" ht="12.75" customHeight="1" x14ac:dyDescent="0.2">
      <c r="C2501"/>
      <c r="M2501"/>
    </row>
    <row r="2502" spans="3:13" ht="12.75" customHeight="1" x14ac:dyDescent="0.2">
      <c r="C2502"/>
      <c r="M2502"/>
    </row>
    <row r="2503" spans="3:13" ht="12.75" customHeight="1" x14ac:dyDescent="0.2">
      <c r="C2503"/>
      <c r="M2503"/>
    </row>
    <row r="2504" spans="3:13" ht="12.75" customHeight="1" x14ac:dyDescent="0.2">
      <c r="C2504"/>
      <c r="M2504"/>
    </row>
    <row r="2505" spans="3:13" ht="12.75" customHeight="1" x14ac:dyDescent="0.2">
      <c r="C2505"/>
      <c r="M2505"/>
    </row>
    <row r="2506" spans="3:13" ht="12.75" customHeight="1" x14ac:dyDescent="0.2">
      <c r="C2506"/>
      <c r="M2506"/>
    </row>
    <row r="2507" spans="3:13" ht="12.75" customHeight="1" x14ac:dyDescent="0.2">
      <c r="C2507"/>
      <c r="M2507"/>
    </row>
    <row r="2508" spans="3:13" ht="12.75" customHeight="1" x14ac:dyDescent="0.2">
      <c r="C2508"/>
      <c r="M2508"/>
    </row>
    <row r="2509" spans="3:13" ht="12.75" customHeight="1" x14ac:dyDescent="0.2">
      <c r="C2509"/>
      <c r="M2509"/>
    </row>
    <row r="2510" spans="3:13" ht="12.75" customHeight="1" x14ac:dyDescent="0.2">
      <c r="C2510"/>
      <c r="M2510"/>
    </row>
    <row r="2511" spans="3:13" ht="12.75" customHeight="1" x14ac:dyDescent="0.2">
      <c r="C2511"/>
      <c r="M2511"/>
    </row>
    <row r="2512" spans="3:13" ht="12.75" customHeight="1" x14ac:dyDescent="0.2">
      <c r="C2512"/>
      <c r="M2512"/>
    </row>
    <row r="2513" spans="3:13" ht="12.75" customHeight="1" x14ac:dyDescent="0.2">
      <c r="C2513"/>
      <c r="M2513"/>
    </row>
    <row r="2514" spans="3:13" ht="12.75" customHeight="1" x14ac:dyDescent="0.2">
      <c r="C2514"/>
      <c r="M2514"/>
    </row>
    <row r="2515" spans="3:13" ht="12.75" customHeight="1" x14ac:dyDescent="0.2">
      <c r="C2515"/>
      <c r="M2515"/>
    </row>
    <row r="2516" spans="3:13" ht="12.75" customHeight="1" x14ac:dyDescent="0.2">
      <c r="C2516"/>
      <c r="M2516"/>
    </row>
    <row r="2517" spans="3:13" ht="12.75" customHeight="1" x14ac:dyDescent="0.2">
      <c r="C2517"/>
      <c r="M2517"/>
    </row>
    <row r="2518" spans="3:13" ht="12.75" customHeight="1" x14ac:dyDescent="0.2">
      <c r="C2518"/>
      <c r="M2518"/>
    </row>
    <row r="2519" spans="3:13" ht="12.75" customHeight="1" x14ac:dyDescent="0.2">
      <c r="C2519"/>
      <c r="M2519"/>
    </row>
    <row r="2520" spans="3:13" ht="12.75" customHeight="1" x14ac:dyDescent="0.2">
      <c r="C2520"/>
      <c r="M2520"/>
    </row>
    <row r="2521" spans="3:13" ht="12.75" customHeight="1" x14ac:dyDescent="0.2">
      <c r="C2521"/>
      <c r="M2521"/>
    </row>
    <row r="2522" spans="3:13" ht="12.75" customHeight="1" x14ac:dyDescent="0.2">
      <c r="C2522"/>
      <c r="M2522"/>
    </row>
    <row r="2523" spans="3:13" ht="12.75" customHeight="1" x14ac:dyDescent="0.2">
      <c r="C2523"/>
      <c r="M2523"/>
    </row>
    <row r="2524" spans="3:13" ht="12.75" customHeight="1" x14ac:dyDescent="0.2">
      <c r="C2524"/>
      <c r="M2524"/>
    </row>
    <row r="2525" spans="3:13" ht="12.75" customHeight="1" x14ac:dyDescent="0.2">
      <c r="C2525"/>
      <c r="M2525"/>
    </row>
    <row r="2526" spans="3:13" ht="12.75" customHeight="1" x14ac:dyDescent="0.2">
      <c r="C2526"/>
      <c r="M2526"/>
    </row>
    <row r="2527" spans="3:13" ht="12.75" customHeight="1" x14ac:dyDescent="0.2">
      <c r="C2527"/>
      <c r="M2527"/>
    </row>
    <row r="2528" spans="3:13" ht="12.75" customHeight="1" x14ac:dyDescent="0.2">
      <c r="C2528"/>
      <c r="M2528"/>
    </row>
    <row r="2529" spans="3:13" ht="12.75" customHeight="1" x14ac:dyDescent="0.2">
      <c r="C2529"/>
      <c r="M2529"/>
    </row>
    <row r="2530" spans="3:13" ht="12.75" customHeight="1" x14ac:dyDescent="0.2">
      <c r="C2530"/>
      <c r="M2530"/>
    </row>
    <row r="2531" spans="3:13" ht="12.75" customHeight="1" x14ac:dyDescent="0.2">
      <c r="C2531"/>
      <c r="M2531"/>
    </row>
    <row r="2532" spans="3:13" ht="12.75" customHeight="1" x14ac:dyDescent="0.2">
      <c r="C2532"/>
      <c r="M2532"/>
    </row>
    <row r="2533" spans="3:13" ht="12.75" customHeight="1" x14ac:dyDescent="0.2">
      <c r="C2533"/>
      <c r="M2533"/>
    </row>
    <row r="2534" spans="3:13" ht="12.75" customHeight="1" x14ac:dyDescent="0.2">
      <c r="C2534"/>
      <c r="M2534"/>
    </row>
    <row r="2535" spans="3:13" ht="12.75" customHeight="1" x14ac:dyDescent="0.2">
      <c r="C2535"/>
      <c r="M2535"/>
    </row>
    <row r="2536" spans="3:13" ht="12.75" customHeight="1" x14ac:dyDescent="0.2">
      <c r="C2536"/>
      <c r="M2536"/>
    </row>
    <row r="2537" spans="3:13" ht="12.75" customHeight="1" x14ac:dyDescent="0.2">
      <c r="C2537"/>
      <c r="M2537"/>
    </row>
    <row r="2538" spans="3:13" ht="12.75" customHeight="1" x14ac:dyDescent="0.2">
      <c r="C2538"/>
      <c r="M2538"/>
    </row>
    <row r="2539" spans="3:13" ht="12.75" customHeight="1" x14ac:dyDescent="0.2">
      <c r="C2539"/>
      <c r="M2539"/>
    </row>
    <row r="2540" spans="3:13" ht="12.75" customHeight="1" x14ac:dyDescent="0.2">
      <c r="C2540"/>
      <c r="M2540"/>
    </row>
    <row r="2541" spans="3:13" ht="12.75" customHeight="1" x14ac:dyDescent="0.2">
      <c r="C2541"/>
      <c r="M2541"/>
    </row>
    <row r="2542" spans="3:13" ht="12.75" customHeight="1" x14ac:dyDescent="0.2">
      <c r="C2542"/>
      <c r="M2542"/>
    </row>
    <row r="2543" spans="3:13" ht="12.75" customHeight="1" x14ac:dyDescent="0.2">
      <c r="C2543"/>
      <c r="M2543"/>
    </row>
    <row r="2544" spans="3:13" ht="12.75" customHeight="1" x14ac:dyDescent="0.2">
      <c r="C2544"/>
      <c r="M2544"/>
    </row>
    <row r="2545" spans="3:13" ht="12.75" customHeight="1" x14ac:dyDescent="0.2">
      <c r="C2545"/>
      <c r="M2545"/>
    </row>
    <row r="2546" spans="3:13" ht="12.75" customHeight="1" x14ac:dyDescent="0.2">
      <c r="C2546"/>
      <c r="M2546"/>
    </row>
    <row r="2547" spans="3:13" ht="12.75" customHeight="1" x14ac:dyDescent="0.2">
      <c r="C2547"/>
      <c r="M2547"/>
    </row>
    <row r="2548" spans="3:13" ht="12.75" customHeight="1" x14ac:dyDescent="0.2">
      <c r="C2548"/>
      <c r="M2548"/>
    </row>
    <row r="2549" spans="3:13" ht="12.75" customHeight="1" x14ac:dyDescent="0.2">
      <c r="C2549"/>
      <c r="M2549"/>
    </row>
    <row r="2550" spans="3:13" ht="12.75" customHeight="1" x14ac:dyDescent="0.2">
      <c r="C2550"/>
      <c r="M2550"/>
    </row>
    <row r="2551" spans="3:13" ht="12.75" customHeight="1" x14ac:dyDescent="0.2">
      <c r="C2551"/>
      <c r="M2551"/>
    </row>
    <row r="2552" spans="3:13" ht="12.75" customHeight="1" x14ac:dyDescent="0.2">
      <c r="C2552"/>
      <c r="M2552"/>
    </row>
    <row r="2553" spans="3:13" ht="12.75" customHeight="1" x14ac:dyDescent="0.2">
      <c r="C2553"/>
      <c r="M2553"/>
    </row>
    <row r="2554" spans="3:13" ht="12.75" customHeight="1" x14ac:dyDescent="0.2">
      <c r="C2554"/>
      <c r="M2554"/>
    </row>
    <row r="2555" spans="3:13" ht="12.75" customHeight="1" x14ac:dyDescent="0.2">
      <c r="C2555"/>
      <c r="M2555"/>
    </row>
    <row r="2556" spans="3:13" ht="12.75" customHeight="1" x14ac:dyDescent="0.2">
      <c r="C2556"/>
      <c r="M2556"/>
    </row>
    <row r="2557" spans="3:13" ht="12.75" customHeight="1" x14ac:dyDescent="0.2">
      <c r="C2557"/>
      <c r="M2557"/>
    </row>
    <row r="2558" spans="3:13" ht="12.75" customHeight="1" x14ac:dyDescent="0.2">
      <c r="C2558"/>
      <c r="M2558"/>
    </row>
    <row r="2559" spans="3:13" ht="12.75" customHeight="1" x14ac:dyDescent="0.2">
      <c r="C2559"/>
      <c r="M2559"/>
    </row>
    <row r="2560" spans="3:13" ht="12.75" customHeight="1" x14ac:dyDescent="0.2">
      <c r="C2560"/>
      <c r="M2560"/>
    </row>
    <row r="2561" spans="3:13" ht="12.75" customHeight="1" x14ac:dyDescent="0.2">
      <c r="C2561"/>
      <c r="M2561"/>
    </row>
    <row r="2562" spans="3:13" ht="12.75" customHeight="1" x14ac:dyDescent="0.2">
      <c r="C2562"/>
      <c r="M2562"/>
    </row>
    <row r="2563" spans="3:13" ht="12.75" customHeight="1" x14ac:dyDescent="0.2">
      <c r="C2563"/>
      <c r="M2563"/>
    </row>
    <row r="2564" spans="3:13" ht="12.75" customHeight="1" x14ac:dyDescent="0.2">
      <c r="C2564"/>
      <c r="M2564"/>
    </row>
    <row r="2565" spans="3:13" ht="12.75" customHeight="1" x14ac:dyDescent="0.2">
      <c r="C2565"/>
      <c r="M2565"/>
    </row>
    <row r="2566" spans="3:13" ht="12.75" customHeight="1" x14ac:dyDescent="0.2">
      <c r="C2566"/>
      <c r="M2566"/>
    </row>
    <row r="2567" spans="3:13" ht="12.75" customHeight="1" x14ac:dyDescent="0.2">
      <c r="C2567"/>
      <c r="M2567"/>
    </row>
    <row r="2568" spans="3:13" ht="12.75" customHeight="1" x14ac:dyDescent="0.2">
      <c r="C2568"/>
      <c r="M2568"/>
    </row>
    <row r="2569" spans="3:13" ht="12.75" customHeight="1" x14ac:dyDescent="0.2">
      <c r="C2569"/>
      <c r="M2569"/>
    </row>
    <row r="2570" spans="3:13" ht="12.75" customHeight="1" x14ac:dyDescent="0.2">
      <c r="C2570"/>
      <c r="M2570"/>
    </row>
    <row r="2571" spans="3:13" ht="12.75" customHeight="1" x14ac:dyDescent="0.2">
      <c r="C2571"/>
      <c r="M2571"/>
    </row>
    <row r="2572" spans="3:13" ht="12.75" customHeight="1" x14ac:dyDescent="0.2">
      <c r="C2572"/>
      <c r="M2572"/>
    </row>
    <row r="2573" spans="3:13" ht="12.75" customHeight="1" x14ac:dyDescent="0.2">
      <c r="C2573"/>
      <c r="M2573"/>
    </row>
    <row r="2574" spans="3:13" ht="12.75" customHeight="1" x14ac:dyDescent="0.2">
      <c r="C2574"/>
      <c r="M2574"/>
    </row>
    <row r="2575" spans="3:13" ht="12.75" customHeight="1" x14ac:dyDescent="0.2">
      <c r="C2575"/>
      <c r="M2575"/>
    </row>
    <row r="2576" spans="3:13" ht="12.75" customHeight="1" x14ac:dyDescent="0.2">
      <c r="C2576"/>
      <c r="M2576"/>
    </row>
    <row r="2577" spans="3:13" ht="12.75" customHeight="1" x14ac:dyDescent="0.2">
      <c r="C2577"/>
      <c r="M2577"/>
    </row>
    <row r="2578" spans="3:13" ht="12.75" customHeight="1" x14ac:dyDescent="0.2">
      <c r="C2578"/>
      <c r="M2578"/>
    </row>
    <row r="2579" spans="3:13" ht="12.75" customHeight="1" x14ac:dyDescent="0.2">
      <c r="C2579"/>
      <c r="M2579"/>
    </row>
    <row r="2580" spans="3:13" ht="12.75" customHeight="1" x14ac:dyDescent="0.2">
      <c r="C2580"/>
      <c r="M2580"/>
    </row>
    <row r="2581" spans="3:13" ht="12.75" customHeight="1" x14ac:dyDescent="0.2">
      <c r="C2581"/>
      <c r="M2581"/>
    </row>
    <row r="2582" spans="3:13" ht="12.75" customHeight="1" x14ac:dyDescent="0.2">
      <c r="C2582"/>
      <c r="M2582"/>
    </row>
    <row r="2583" spans="3:13" ht="12.75" customHeight="1" x14ac:dyDescent="0.2">
      <c r="C2583"/>
      <c r="M2583"/>
    </row>
    <row r="2584" spans="3:13" ht="12.75" customHeight="1" x14ac:dyDescent="0.2">
      <c r="C2584"/>
      <c r="M2584"/>
    </row>
    <row r="2585" spans="3:13" ht="12.75" customHeight="1" x14ac:dyDescent="0.2">
      <c r="C2585"/>
      <c r="M2585"/>
    </row>
    <row r="2586" spans="3:13" ht="12.75" customHeight="1" x14ac:dyDescent="0.2">
      <c r="C2586"/>
      <c r="M2586"/>
    </row>
    <row r="2587" spans="3:13" ht="12.75" customHeight="1" x14ac:dyDescent="0.2">
      <c r="C2587"/>
      <c r="M2587"/>
    </row>
    <row r="2588" spans="3:13" ht="12.75" customHeight="1" x14ac:dyDescent="0.2">
      <c r="C2588"/>
      <c r="M2588"/>
    </row>
    <row r="2589" spans="3:13" ht="12.75" customHeight="1" x14ac:dyDescent="0.2">
      <c r="C2589"/>
      <c r="M2589"/>
    </row>
    <row r="2590" spans="3:13" ht="12.75" customHeight="1" x14ac:dyDescent="0.2">
      <c r="C2590"/>
      <c r="M2590"/>
    </row>
    <row r="2591" spans="3:13" ht="12.75" customHeight="1" x14ac:dyDescent="0.2">
      <c r="C2591"/>
      <c r="M2591"/>
    </row>
    <row r="2592" spans="3:13" ht="12.75" customHeight="1" x14ac:dyDescent="0.2">
      <c r="C2592"/>
      <c r="M2592"/>
    </row>
    <row r="2593" spans="3:13" ht="12.75" customHeight="1" x14ac:dyDescent="0.2">
      <c r="C2593"/>
      <c r="M2593"/>
    </row>
    <row r="2594" spans="3:13" ht="12.75" customHeight="1" x14ac:dyDescent="0.2">
      <c r="C2594"/>
      <c r="M2594"/>
    </row>
    <row r="2595" spans="3:13" ht="12.75" customHeight="1" x14ac:dyDescent="0.2">
      <c r="C2595"/>
      <c r="M2595"/>
    </row>
    <row r="2596" spans="3:13" ht="12.75" customHeight="1" x14ac:dyDescent="0.2">
      <c r="C2596"/>
      <c r="M2596"/>
    </row>
    <row r="2597" spans="3:13" ht="12.75" customHeight="1" x14ac:dyDescent="0.2">
      <c r="C2597"/>
      <c r="M2597"/>
    </row>
    <row r="2598" spans="3:13" ht="12.75" customHeight="1" x14ac:dyDescent="0.2">
      <c r="C2598"/>
      <c r="M2598"/>
    </row>
    <row r="2599" spans="3:13" ht="12.75" customHeight="1" x14ac:dyDescent="0.2">
      <c r="C2599"/>
      <c r="M2599"/>
    </row>
    <row r="2600" spans="3:13" ht="12.75" customHeight="1" x14ac:dyDescent="0.2">
      <c r="C2600"/>
      <c r="M2600"/>
    </row>
    <row r="2601" spans="3:13" ht="12.75" customHeight="1" x14ac:dyDescent="0.2">
      <c r="C2601"/>
      <c r="M2601"/>
    </row>
    <row r="2602" spans="3:13" ht="12.75" customHeight="1" x14ac:dyDescent="0.2">
      <c r="C2602"/>
      <c r="M2602"/>
    </row>
    <row r="2603" spans="3:13" ht="12.75" customHeight="1" x14ac:dyDescent="0.2">
      <c r="C2603"/>
      <c r="M2603"/>
    </row>
    <row r="2604" spans="3:13" ht="12.75" customHeight="1" x14ac:dyDescent="0.2">
      <c r="C2604"/>
      <c r="M2604"/>
    </row>
    <row r="2605" spans="3:13" ht="12.75" customHeight="1" x14ac:dyDescent="0.2">
      <c r="C2605"/>
      <c r="M2605"/>
    </row>
    <row r="2606" spans="3:13" ht="12.75" customHeight="1" x14ac:dyDescent="0.2">
      <c r="C2606"/>
      <c r="M2606"/>
    </row>
    <row r="2607" spans="3:13" ht="12.75" customHeight="1" x14ac:dyDescent="0.2">
      <c r="C2607"/>
      <c r="M2607"/>
    </row>
    <row r="2608" spans="3:13" ht="12.75" customHeight="1" x14ac:dyDescent="0.2">
      <c r="C2608"/>
      <c r="M2608"/>
    </row>
    <row r="2609" spans="3:13" ht="12.75" customHeight="1" x14ac:dyDescent="0.2">
      <c r="C2609"/>
      <c r="M2609"/>
    </row>
    <row r="2610" spans="3:13" ht="12.75" customHeight="1" x14ac:dyDescent="0.2">
      <c r="C2610"/>
      <c r="M2610"/>
    </row>
    <row r="2611" spans="3:13" ht="12.75" customHeight="1" x14ac:dyDescent="0.2">
      <c r="C2611"/>
      <c r="M2611"/>
    </row>
    <row r="2612" spans="3:13" ht="12.75" customHeight="1" x14ac:dyDescent="0.2">
      <c r="C2612"/>
      <c r="M2612"/>
    </row>
    <row r="2613" spans="3:13" ht="12.75" customHeight="1" x14ac:dyDescent="0.2">
      <c r="C2613"/>
      <c r="M2613"/>
    </row>
    <row r="2614" spans="3:13" ht="12.75" customHeight="1" x14ac:dyDescent="0.2">
      <c r="C2614"/>
      <c r="M2614"/>
    </row>
    <row r="2615" spans="3:13" ht="12.75" customHeight="1" x14ac:dyDescent="0.2">
      <c r="C2615"/>
      <c r="M2615"/>
    </row>
    <row r="2616" spans="3:13" ht="12.75" customHeight="1" x14ac:dyDescent="0.2">
      <c r="C2616"/>
      <c r="M2616"/>
    </row>
    <row r="2617" spans="3:13" ht="12.75" customHeight="1" x14ac:dyDescent="0.2">
      <c r="C2617"/>
      <c r="M2617"/>
    </row>
    <row r="2618" spans="3:13" ht="12.75" customHeight="1" x14ac:dyDescent="0.2">
      <c r="C2618"/>
      <c r="M2618"/>
    </row>
    <row r="2619" spans="3:13" ht="12.75" customHeight="1" x14ac:dyDescent="0.2">
      <c r="C2619"/>
      <c r="M2619"/>
    </row>
    <row r="2620" spans="3:13" ht="12.75" customHeight="1" x14ac:dyDescent="0.2">
      <c r="C2620"/>
      <c r="M2620"/>
    </row>
    <row r="2621" spans="3:13" ht="12.75" customHeight="1" x14ac:dyDescent="0.2">
      <c r="C2621"/>
      <c r="M2621"/>
    </row>
    <row r="2622" spans="3:13" ht="12.75" customHeight="1" x14ac:dyDescent="0.2">
      <c r="C2622"/>
      <c r="M2622"/>
    </row>
    <row r="2623" spans="3:13" ht="12.75" customHeight="1" x14ac:dyDescent="0.2">
      <c r="C2623"/>
      <c r="M2623"/>
    </row>
    <row r="2624" spans="3:13" ht="12.75" customHeight="1" x14ac:dyDescent="0.2">
      <c r="C2624"/>
      <c r="M2624"/>
    </row>
    <row r="2625" spans="3:13" ht="12.75" customHeight="1" x14ac:dyDescent="0.2">
      <c r="C2625"/>
      <c r="M2625"/>
    </row>
    <row r="2626" spans="3:13" ht="12.75" customHeight="1" x14ac:dyDescent="0.2">
      <c r="C2626"/>
      <c r="M2626"/>
    </row>
    <row r="2627" spans="3:13" ht="12.75" customHeight="1" x14ac:dyDescent="0.2">
      <c r="C2627"/>
      <c r="M2627"/>
    </row>
    <row r="2628" spans="3:13" ht="12.75" customHeight="1" x14ac:dyDescent="0.2">
      <c r="C2628"/>
      <c r="M2628"/>
    </row>
    <row r="2629" spans="3:13" ht="12.75" customHeight="1" x14ac:dyDescent="0.2">
      <c r="C2629"/>
      <c r="M2629"/>
    </row>
    <row r="2630" spans="3:13" ht="12.75" customHeight="1" x14ac:dyDescent="0.2">
      <c r="C2630"/>
      <c r="M2630"/>
    </row>
    <row r="2631" spans="3:13" ht="12.75" customHeight="1" x14ac:dyDescent="0.2">
      <c r="C2631"/>
      <c r="M2631"/>
    </row>
    <row r="2632" spans="3:13" ht="12.75" customHeight="1" x14ac:dyDescent="0.2">
      <c r="C2632"/>
      <c r="M2632"/>
    </row>
    <row r="2633" spans="3:13" ht="12.75" customHeight="1" x14ac:dyDescent="0.2">
      <c r="C2633"/>
      <c r="M2633"/>
    </row>
    <row r="2634" spans="3:13" ht="12.75" customHeight="1" x14ac:dyDescent="0.2">
      <c r="C2634"/>
      <c r="M2634"/>
    </row>
    <row r="2635" spans="3:13" ht="12.75" customHeight="1" x14ac:dyDescent="0.2">
      <c r="C2635"/>
      <c r="M2635"/>
    </row>
    <row r="2636" spans="3:13" ht="12.75" customHeight="1" x14ac:dyDescent="0.2">
      <c r="C2636"/>
      <c r="M2636"/>
    </row>
    <row r="2637" spans="3:13" ht="12.75" customHeight="1" x14ac:dyDescent="0.2">
      <c r="C2637"/>
      <c r="M2637"/>
    </row>
    <row r="2638" spans="3:13" ht="12.75" customHeight="1" x14ac:dyDescent="0.2">
      <c r="C2638"/>
      <c r="M2638"/>
    </row>
    <row r="2639" spans="3:13" ht="12.75" customHeight="1" x14ac:dyDescent="0.2">
      <c r="C2639"/>
      <c r="M2639"/>
    </row>
    <row r="2640" spans="3:13" ht="12.75" customHeight="1" x14ac:dyDescent="0.2">
      <c r="C2640"/>
      <c r="M2640"/>
    </row>
    <row r="2641" spans="3:13" ht="12.75" customHeight="1" x14ac:dyDescent="0.2">
      <c r="C2641"/>
      <c r="M2641"/>
    </row>
    <row r="2642" spans="3:13" ht="12.75" customHeight="1" x14ac:dyDescent="0.2">
      <c r="C2642"/>
      <c r="M2642"/>
    </row>
    <row r="2643" spans="3:13" ht="12.75" customHeight="1" x14ac:dyDescent="0.2">
      <c r="C2643"/>
      <c r="M2643"/>
    </row>
    <row r="2644" spans="3:13" ht="12.75" customHeight="1" x14ac:dyDescent="0.2">
      <c r="C2644"/>
      <c r="M2644"/>
    </row>
    <row r="2645" spans="3:13" ht="12.75" customHeight="1" x14ac:dyDescent="0.2">
      <c r="C2645"/>
      <c r="M2645"/>
    </row>
    <row r="2646" spans="3:13" ht="12.75" customHeight="1" x14ac:dyDescent="0.2">
      <c r="C2646"/>
      <c r="M2646"/>
    </row>
    <row r="2647" spans="3:13" ht="12.75" customHeight="1" x14ac:dyDescent="0.2">
      <c r="C2647"/>
      <c r="M2647"/>
    </row>
    <row r="2648" spans="3:13" ht="12.75" customHeight="1" x14ac:dyDescent="0.2">
      <c r="C2648"/>
      <c r="M2648"/>
    </row>
    <row r="2649" spans="3:13" ht="12.75" customHeight="1" x14ac:dyDescent="0.2">
      <c r="C2649"/>
      <c r="M2649"/>
    </row>
    <row r="2650" spans="3:13" ht="12.75" customHeight="1" x14ac:dyDescent="0.2">
      <c r="C2650"/>
      <c r="M2650"/>
    </row>
    <row r="2651" spans="3:13" ht="12.75" customHeight="1" x14ac:dyDescent="0.2">
      <c r="C2651"/>
      <c r="M2651"/>
    </row>
    <row r="2652" spans="3:13" ht="12.75" customHeight="1" x14ac:dyDescent="0.2">
      <c r="C2652"/>
      <c r="M2652"/>
    </row>
    <row r="2653" spans="3:13" ht="12.75" customHeight="1" x14ac:dyDescent="0.2">
      <c r="C2653"/>
      <c r="M2653"/>
    </row>
    <row r="2654" spans="3:13" ht="12.75" customHeight="1" x14ac:dyDescent="0.2">
      <c r="C2654"/>
      <c r="M2654"/>
    </row>
    <row r="2655" spans="3:13" ht="12.75" customHeight="1" x14ac:dyDescent="0.2">
      <c r="C2655"/>
      <c r="M2655"/>
    </row>
    <row r="2656" spans="3:13" ht="12.75" customHeight="1" x14ac:dyDescent="0.2">
      <c r="C2656"/>
      <c r="M2656"/>
    </row>
    <row r="2657" spans="3:13" ht="12.75" customHeight="1" x14ac:dyDescent="0.2">
      <c r="C2657"/>
      <c r="M2657"/>
    </row>
    <row r="2658" spans="3:13" ht="12.75" customHeight="1" x14ac:dyDescent="0.2">
      <c r="C2658"/>
      <c r="M2658"/>
    </row>
    <row r="2659" spans="3:13" ht="12.75" customHeight="1" x14ac:dyDescent="0.2">
      <c r="C2659"/>
      <c r="M2659"/>
    </row>
    <row r="2660" spans="3:13" ht="12.75" customHeight="1" x14ac:dyDescent="0.2">
      <c r="C2660"/>
      <c r="M2660"/>
    </row>
    <row r="2661" spans="3:13" ht="12.75" customHeight="1" x14ac:dyDescent="0.2">
      <c r="C2661"/>
      <c r="M2661"/>
    </row>
    <row r="2662" spans="3:13" ht="12.75" customHeight="1" x14ac:dyDescent="0.2">
      <c r="C2662"/>
      <c r="M2662"/>
    </row>
    <row r="2663" spans="3:13" ht="12.75" customHeight="1" x14ac:dyDescent="0.2">
      <c r="C2663"/>
      <c r="M2663"/>
    </row>
    <row r="2664" spans="3:13" ht="12.75" customHeight="1" x14ac:dyDescent="0.2">
      <c r="C2664"/>
      <c r="M2664"/>
    </row>
    <row r="2665" spans="3:13" ht="12.75" customHeight="1" x14ac:dyDescent="0.2">
      <c r="C2665"/>
      <c r="M2665"/>
    </row>
    <row r="2666" spans="3:13" ht="12.75" customHeight="1" x14ac:dyDescent="0.2">
      <c r="C2666"/>
      <c r="M2666"/>
    </row>
    <row r="2667" spans="3:13" ht="12.75" customHeight="1" x14ac:dyDescent="0.2">
      <c r="C2667"/>
      <c r="M2667"/>
    </row>
    <row r="2668" spans="3:13" ht="12.75" customHeight="1" x14ac:dyDescent="0.2">
      <c r="C2668"/>
      <c r="M2668"/>
    </row>
    <row r="2669" spans="3:13" ht="12.75" customHeight="1" x14ac:dyDescent="0.2">
      <c r="C2669"/>
      <c r="M2669"/>
    </row>
    <row r="2670" spans="3:13" ht="12.75" customHeight="1" x14ac:dyDescent="0.2">
      <c r="C2670"/>
      <c r="M2670"/>
    </row>
    <row r="2671" spans="3:13" ht="12.75" customHeight="1" x14ac:dyDescent="0.2">
      <c r="C2671"/>
      <c r="M2671"/>
    </row>
    <row r="2672" spans="3:13" ht="12.75" customHeight="1" x14ac:dyDescent="0.2">
      <c r="C2672"/>
      <c r="M2672"/>
    </row>
    <row r="2673" spans="3:13" ht="12.75" customHeight="1" x14ac:dyDescent="0.2">
      <c r="C2673"/>
      <c r="M2673"/>
    </row>
    <row r="2674" spans="3:13" ht="12.75" customHeight="1" x14ac:dyDescent="0.2">
      <c r="C2674"/>
      <c r="M2674"/>
    </row>
    <row r="2675" spans="3:13" ht="12.75" customHeight="1" x14ac:dyDescent="0.2">
      <c r="C2675"/>
      <c r="M2675"/>
    </row>
    <row r="2676" spans="3:13" ht="12.75" customHeight="1" x14ac:dyDescent="0.2">
      <c r="C2676"/>
      <c r="M2676"/>
    </row>
    <row r="2677" spans="3:13" ht="12.75" customHeight="1" x14ac:dyDescent="0.2">
      <c r="C2677"/>
      <c r="M2677"/>
    </row>
    <row r="2678" spans="3:13" ht="12.75" customHeight="1" x14ac:dyDescent="0.2">
      <c r="C2678"/>
      <c r="M2678"/>
    </row>
    <row r="2679" spans="3:13" ht="12.75" customHeight="1" x14ac:dyDescent="0.2">
      <c r="C2679"/>
      <c r="M2679"/>
    </row>
    <row r="2680" spans="3:13" ht="12.75" customHeight="1" x14ac:dyDescent="0.2">
      <c r="C2680"/>
      <c r="M2680"/>
    </row>
    <row r="2681" spans="3:13" ht="12.75" customHeight="1" x14ac:dyDescent="0.2">
      <c r="C2681"/>
      <c r="M2681"/>
    </row>
    <row r="2682" spans="3:13" ht="12.75" customHeight="1" x14ac:dyDescent="0.2">
      <c r="C2682"/>
      <c r="M2682"/>
    </row>
    <row r="2683" spans="3:13" ht="12.75" customHeight="1" x14ac:dyDescent="0.2">
      <c r="C2683"/>
      <c r="M2683"/>
    </row>
    <row r="2684" spans="3:13" ht="12.75" customHeight="1" x14ac:dyDescent="0.2">
      <c r="C2684"/>
      <c r="M2684"/>
    </row>
    <row r="2685" spans="3:13" ht="12.75" customHeight="1" x14ac:dyDescent="0.2">
      <c r="C2685"/>
      <c r="M2685"/>
    </row>
    <row r="2686" spans="3:13" ht="12.75" customHeight="1" x14ac:dyDescent="0.2">
      <c r="C2686"/>
      <c r="M2686"/>
    </row>
    <row r="2687" spans="3:13" ht="12.75" customHeight="1" x14ac:dyDescent="0.2">
      <c r="C2687"/>
      <c r="M2687"/>
    </row>
    <row r="2688" spans="3:13" ht="12.75" customHeight="1" x14ac:dyDescent="0.2">
      <c r="C2688"/>
      <c r="M2688"/>
    </row>
    <row r="2689" spans="3:13" ht="12.75" customHeight="1" x14ac:dyDescent="0.2">
      <c r="C2689"/>
      <c r="M2689"/>
    </row>
    <row r="2690" spans="3:13" ht="12.75" customHeight="1" x14ac:dyDescent="0.2">
      <c r="C2690"/>
      <c r="M2690"/>
    </row>
    <row r="2691" spans="3:13" ht="12.75" customHeight="1" x14ac:dyDescent="0.2">
      <c r="C2691"/>
      <c r="M2691"/>
    </row>
    <row r="2692" spans="3:13" ht="12.75" customHeight="1" x14ac:dyDescent="0.2">
      <c r="C2692"/>
      <c r="M2692"/>
    </row>
    <row r="2693" spans="3:13" ht="12.75" customHeight="1" x14ac:dyDescent="0.2">
      <c r="C2693"/>
      <c r="M2693"/>
    </row>
    <row r="2694" spans="3:13" ht="12.75" customHeight="1" x14ac:dyDescent="0.2">
      <c r="C2694"/>
      <c r="M2694"/>
    </row>
    <row r="2695" spans="3:13" ht="12.75" customHeight="1" x14ac:dyDescent="0.2">
      <c r="C2695"/>
      <c r="M2695"/>
    </row>
    <row r="2696" spans="3:13" ht="12.75" customHeight="1" x14ac:dyDescent="0.2">
      <c r="C2696"/>
      <c r="M2696"/>
    </row>
    <row r="2697" spans="3:13" ht="12.75" customHeight="1" x14ac:dyDescent="0.2">
      <c r="C2697"/>
      <c r="M2697"/>
    </row>
    <row r="2698" spans="3:13" ht="12.75" customHeight="1" x14ac:dyDescent="0.2">
      <c r="C2698"/>
      <c r="M2698"/>
    </row>
    <row r="2699" spans="3:13" ht="12.75" customHeight="1" x14ac:dyDescent="0.2">
      <c r="C2699"/>
      <c r="M2699"/>
    </row>
    <row r="2700" spans="3:13" ht="12.75" customHeight="1" x14ac:dyDescent="0.2">
      <c r="C2700"/>
      <c r="M2700"/>
    </row>
    <row r="2701" spans="3:13" ht="12.75" customHeight="1" x14ac:dyDescent="0.2">
      <c r="C2701"/>
      <c r="M2701"/>
    </row>
    <row r="2702" spans="3:13" ht="12.75" customHeight="1" x14ac:dyDescent="0.2">
      <c r="C2702"/>
      <c r="M2702"/>
    </row>
    <row r="2703" spans="3:13" ht="12.75" customHeight="1" x14ac:dyDescent="0.2">
      <c r="C2703"/>
      <c r="M2703"/>
    </row>
    <row r="2704" spans="3:13" ht="12.75" customHeight="1" x14ac:dyDescent="0.2">
      <c r="C2704"/>
      <c r="M2704"/>
    </row>
    <row r="2705" spans="3:13" ht="12.75" customHeight="1" x14ac:dyDescent="0.2">
      <c r="C2705"/>
      <c r="M2705"/>
    </row>
    <row r="2706" spans="3:13" ht="12.75" customHeight="1" x14ac:dyDescent="0.2">
      <c r="C2706"/>
      <c r="M2706"/>
    </row>
    <row r="2707" spans="3:13" ht="12.75" customHeight="1" x14ac:dyDescent="0.2">
      <c r="C2707"/>
      <c r="M2707"/>
    </row>
    <row r="2708" spans="3:13" ht="12.75" customHeight="1" x14ac:dyDescent="0.2">
      <c r="C2708"/>
      <c r="M2708"/>
    </row>
    <row r="2709" spans="3:13" ht="12.75" customHeight="1" x14ac:dyDescent="0.2">
      <c r="C2709"/>
      <c r="M2709"/>
    </row>
    <row r="2710" spans="3:13" ht="12.75" customHeight="1" x14ac:dyDescent="0.2">
      <c r="C2710"/>
      <c r="M2710"/>
    </row>
    <row r="2711" spans="3:13" ht="12.75" customHeight="1" x14ac:dyDescent="0.2">
      <c r="C2711"/>
      <c r="M2711"/>
    </row>
    <row r="2712" spans="3:13" ht="12.75" customHeight="1" x14ac:dyDescent="0.2">
      <c r="C2712"/>
      <c r="M2712"/>
    </row>
    <row r="2713" spans="3:13" ht="12.75" customHeight="1" x14ac:dyDescent="0.2">
      <c r="C2713"/>
      <c r="M2713"/>
    </row>
    <row r="2714" spans="3:13" ht="12.75" customHeight="1" x14ac:dyDescent="0.2">
      <c r="C2714"/>
      <c r="M2714"/>
    </row>
    <row r="2715" spans="3:13" ht="12.75" customHeight="1" x14ac:dyDescent="0.2">
      <c r="C2715"/>
      <c r="M2715"/>
    </row>
    <row r="2716" spans="3:13" ht="12.75" customHeight="1" x14ac:dyDescent="0.2">
      <c r="C2716"/>
      <c r="M2716"/>
    </row>
    <row r="2717" spans="3:13" ht="12.75" customHeight="1" x14ac:dyDescent="0.2">
      <c r="C2717"/>
      <c r="M2717"/>
    </row>
    <row r="2718" spans="3:13" ht="12.75" customHeight="1" x14ac:dyDescent="0.2">
      <c r="C2718"/>
      <c r="M2718"/>
    </row>
    <row r="2719" spans="3:13" ht="12.75" customHeight="1" x14ac:dyDescent="0.2">
      <c r="C2719"/>
      <c r="M2719"/>
    </row>
    <row r="2720" spans="3:13" ht="12.75" customHeight="1" x14ac:dyDescent="0.2">
      <c r="C2720"/>
      <c r="M2720"/>
    </row>
    <row r="2721" spans="3:13" ht="12.75" customHeight="1" x14ac:dyDescent="0.2">
      <c r="C2721"/>
      <c r="M2721"/>
    </row>
    <row r="2722" spans="3:13" ht="12.75" customHeight="1" x14ac:dyDescent="0.2">
      <c r="C2722"/>
      <c r="M2722"/>
    </row>
    <row r="2723" spans="3:13" ht="12.75" customHeight="1" x14ac:dyDescent="0.2">
      <c r="C2723"/>
      <c r="M2723"/>
    </row>
    <row r="2724" spans="3:13" ht="12.75" customHeight="1" x14ac:dyDescent="0.2">
      <c r="C2724"/>
      <c r="M2724"/>
    </row>
    <row r="2725" spans="3:13" ht="12.75" customHeight="1" x14ac:dyDescent="0.2">
      <c r="C2725"/>
      <c r="M2725"/>
    </row>
    <row r="2726" spans="3:13" ht="12.75" customHeight="1" x14ac:dyDescent="0.2">
      <c r="C2726"/>
      <c r="M2726"/>
    </row>
    <row r="2727" spans="3:13" ht="12.75" customHeight="1" x14ac:dyDescent="0.2">
      <c r="C2727"/>
      <c r="M2727"/>
    </row>
    <row r="2728" spans="3:13" ht="12.75" customHeight="1" x14ac:dyDescent="0.2">
      <c r="C2728"/>
      <c r="M2728"/>
    </row>
    <row r="2729" spans="3:13" ht="12.75" customHeight="1" x14ac:dyDescent="0.2">
      <c r="C2729"/>
      <c r="M2729"/>
    </row>
    <row r="2730" spans="3:13" ht="12.75" customHeight="1" x14ac:dyDescent="0.2">
      <c r="C2730"/>
      <c r="M2730"/>
    </row>
    <row r="2731" spans="3:13" ht="12.75" customHeight="1" x14ac:dyDescent="0.2">
      <c r="C2731"/>
      <c r="M2731"/>
    </row>
    <row r="2732" spans="3:13" ht="12.75" customHeight="1" x14ac:dyDescent="0.2">
      <c r="C2732"/>
      <c r="M2732"/>
    </row>
    <row r="2733" spans="3:13" ht="12.75" customHeight="1" x14ac:dyDescent="0.2">
      <c r="C2733"/>
      <c r="M2733"/>
    </row>
    <row r="2734" spans="3:13" ht="12.75" customHeight="1" x14ac:dyDescent="0.2">
      <c r="C2734"/>
      <c r="M2734"/>
    </row>
    <row r="2735" spans="3:13" ht="12.75" customHeight="1" x14ac:dyDescent="0.2">
      <c r="C2735"/>
      <c r="M2735"/>
    </row>
    <row r="2736" spans="3:13" ht="12.75" customHeight="1" x14ac:dyDescent="0.2">
      <c r="C2736"/>
      <c r="M2736"/>
    </row>
    <row r="2737" spans="3:13" ht="12.75" customHeight="1" x14ac:dyDescent="0.2">
      <c r="C2737"/>
      <c r="M2737"/>
    </row>
    <row r="2738" spans="3:13" ht="12.75" customHeight="1" x14ac:dyDescent="0.2">
      <c r="C2738"/>
      <c r="M2738"/>
    </row>
    <row r="2739" spans="3:13" ht="12.75" customHeight="1" x14ac:dyDescent="0.2">
      <c r="C2739"/>
      <c r="M2739"/>
    </row>
    <row r="2740" spans="3:13" ht="12.75" customHeight="1" x14ac:dyDescent="0.2">
      <c r="C2740"/>
      <c r="M2740"/>
    </row>
    <row r="2741" spans="3:13" ht="12.75" customHeight="1" x14ac:dyDescent="0.2">
      <c r="C2741"/>
      <c r="M2741"/>
    </row>
    <row r="2742" spans="3:13" ht="12.75" customHeight="1" x14ac:dyDescent="0.2">
      <c r="C2742"/>
      <c r="M2742"/>
    </row>
    <row r="2743" spans="3:13" ht="12.75" customHeight="1" x14ac:dyDescent="0.2">
      <c r="C2743"/>
      <c r="M2743"/>
    </row>
    <row r="2744" spans="3:13" ht="12.75" customHeight="1" x14ac:dyDescent="0.2">
      <c r="C2744"/>
      <c r="M2744"/>
    </row>
    <row r="2745" spans="3:13" ht="12.75" customHeight="1" x14ac:dyDescent="0.2">
      <c r="C2745"/>
      <c r="M2745"/>
    </row>
    <row r="2746" spans="3:13" ht="12.75" customHeight="1" x14ac:dyDescent="0.2">
      <c r="C2746"/>
      <c r="M2746"/>
    </row>
    <row r="2747" spans="3:13" ht="12.75" customHeight="1" x14ac:dyDescent="0.2">
      <c r="C2747"/>
      <c r="M2747"/>
    </row>
    <row r="2748" spans="3:13" ht="12.75" customHeight="1" x14ac:dyDescent="0.2">
      <c r="C2748"/>
      <c r="M2748"/>
    </row>
    <row r="2749" spans="3:13" ht="12.75" customHeight="1" x14ac:dyDescent="0.2">
      <c r="C2749"/>
      <c r="M2749"/>
    </row>
    <row r="2750" spans="3:13" ht="12.75" customHeight="1" x14ac:dyDescent="0.2">
      <c r="C2750"/>
      <c r="M2750"/>
    </row>
    <row r="2751" spans="3:13" ht="12.75" customHeight="1" x14ac:dyDescent="0.2">
      <c r="C2751"/>
      <c r="M2751"/>
    </row>
    <row r="2752" spans="3:13" ht="12.75" customHeight="1" x14ac:dyDescent="0.2">
      <c r="C2752"/>
      <c r="M2752"/>
    </row>
    <row r="2753" spans="3:13" ht="12.75" customHeight="1" x14ac:dyDescent="0.2">
      <c r="C2753"/>
      <c r="M2753"/>
    </row>
    <row r="2754" spans="3:13" ht="12.75" customHeight="1" x14ac:dyDescent="0.2">
      <c r="C2754"/>
      <c r="M2754"/>
    </row>
    <row r="2755" spans="3:13" ht="12.75" customHeight="1" x14ac:dyDescent="0.2">
      <c r="C2755"/>
      <c r="M2755"/>
    </row>
    <row r="2756" spans="3:13" ht="12.75" customHeight="1" x14ac:dyDescent="0.2">
      <c r="C2756"/>
      <c r="M2756"/>
    </row>
    <row r="2757" spans="3:13" ht="12.75" customHeight="1" x14ac:dyDescent="0.2">
      <c r="C2757"/>
      <c r="M2757"/>
    </row>
    <row r="2758" spans="3:13" ht="12.75" customHeight="1" x14ac:dyDescent="0.2">
      <c r="C2758"/>
      <c r="M2758"/>
    </row>
    <row r="2759" spans="3:13" ht="12.75" customHeight="1" x14ac:dyDescent="0.2">
      <c r="C2759"/>
      <c r="M2759"/>
    </row>
    <row r="2760" spans="3:13" ht="12.75" customHeight="1" x14ac:dyDescent="0.2">
      <c r="C2760"/>
      <c r="M2760"/>
    </row>
    <row r="2761" spans="3:13" ht="12.75" customHeight="1" x14ac:dyDescent="0.2">
      <c r="C2761"/>
      <c r="M2761"/>
    </row>
    <row r="2762" spans="3:13" ht="12.75" customHeight="1" x14ac:dyDescent="0.2">
      <c r="C2762"/>
      <c r="M2762"/>
    </row>
    <row r="2763" spans="3:13" ht="12.75" customHeight="1" x14ac:dyDescent="0.2">
      <c r="C2763"/>
      <c r="M2763"/>
    </row>
    <row r="2764" spans="3:13" ht="12.75" customHeight="1" x14ac:dyDescent="0.2">
      <c r="C2764"/>
      <c r="M2764"/>
    </row>
    <row r="2765" spans="3:13" ht="12.75" customHeight="1" x14ac:dyDescent="0.2">
      <c r="C2765"/>
      <c r="M2765"/>
    </row>
    <row r="2766" spans="3:13" ht="12.75" customHeight="1" x14ac:dyDescent="0.2">
      <c r="C2766"/>
      <c r="M2766"/>
    </row>
    <row r="2767" spans="3:13" ht="12.75" customHeight="1" x14ac:dyDescent="0.2">
      <c r="C2767"/>
      <c r="M2767"/>
    </row>
    <row r="2768" spans="3:13" ht="12.75" customHeight="1" x14ac:dyDescent="0.2">
      <c r="C2768"/>
      <c r="M2768"/>
    </row>
    <row r="2769" spans="3:13" ht="12.75" customHeight="1" x14ac:dyDescent="0.2">
      <c r="C2769"/>
      <c r="M2769"/>
    </row>
    <row r="2770" spans="3:13" ht="12.75" customHeight="1" x14ac:dyDescent="0.2">
      <c r="C2770"/>
      <c r="M2770"/>
    </row>
    <row r="2771" spans="3:13" ht="12.75" customHeight="1" x14ac:dyDescent="0.2">
      <c r="C2771"/>
      <c r="M2771"/>
    </row>
    <row r="2772" spans="3:13" ht="12.75" customHeight="1" x14ac:dyDescent="0.2">
      <c r="C2772"/>
      <c r="M2772"/>
    </row>
    <row r="2773" spans="3:13" ht="12.75" customHeight="1" x14ac:dyDescent="0.2">
      <c r="C2773"/>
      <c r="M2773"/>
    </row>
    <row r="2774" spans="3:13" ht="12.75" customHeight="1" x14ac:dyDescent="0.2">
      <c r="C2774"/>
      <c r="M2774"/>
    </row>
    <row r="2775" spans="3:13" ht="12.75" customHeight="1" x14ac:dyDescent="0.2">
      <c r="C2775"/>
      <c r="M2775"/>
    </row>
    <row r="2776" spans="3:13" ht="12.75" customHeight="1" x14ac:dyDescent="0.2">
      <c r="C2776"/>
      <c r="M2776"/>
    </row>
    <row r="2777" spans="3:13" ht="12.75" customHeight="1" x14ac:dyDescent="0.2">
      <c r="C2777"/>
      <c r="M2777"/>
    </row>
    <row r="2778" spans="3:13" ht="12.75" customHeight="1" x14ac:dyDescent="0.2">
      <c r="C2778"/>
      <c r="M2778"/>
    </row>
    <row r="2779" spans="3:13" ht="12.75" customHeight="1" x14ac:dyDescent="0.2">
      <c r="C2779"/>
      <c r="M2779"/>
    </row>
    <row r="2780" spans="3:13" ht="12.75" customHeight="1" x14ac:dyDescent="0.2">
      <c r="C2780"/>
      <c r="M2780"/>
    </row>
    <row r="2781" spans="3:13" ht="12.75" customHeight="1" x14ac:dyDescent="0.2">
      <c r="C2781"/>
      <c r="M2781"/>
    </row>
    <row r="2782" spans="3:13" ht="12.75" customHeight="1" x14ac:dyDescent="0.2">
      <c r="C2782"/>
      <c r="M2782"/>
    </row>
    <row r="2783" spans="3:13" ht="12.75" customHeight="1" x14ac:dyDescent="0.2">
      <c r="C2783"/>
      <c r="M2783"/>
    </row>
    <row r="2784" spans="3:13" ht="12.75" customHeight="1" x14ac:dyDescent="0.2">
      <c r="C2784"/>
      <c r="M2784"/>
    </row>
    <row r="2785" spans="3:13" ht="12.75" customHeight="1" x14ac:dyDescent="0.2">
      <c r="C2785"/>
      <c r="M2785"/>
    </row>
    <row r="2786" spans="3:13" ht="12.75" customHeight="1" x14ac:dyDescent="0.2">
      <c r="C2786"/>
      <c r="M2786"/>
    </row>
    <row r="2787" spans="3:13" ht="12.75" customHeight="1" x14ac:dyDescent="0.2">
      <c r="C2787"/>
      <c r="M2787"/>
    </row>
    <row r="2788" spans="3:13" ht="12.75" customHeight="1" x14ac:dyDescent="0.2">
      <c r="C2788"/>
      <c r="M2788"/>
    </row>
    <row r="2789" spans="3:13" ht="12.75" customHeight="1" x14ac:dyDescent="0.2">
      <c r="C2789"/>
      <c r="M2789"/>
    </row>
    <row r="2790" spans="3:13" ht="12.75" customHeight="1" x14ac:dyDescent="0.2">
      <c r="C2790"/>
      <c r="M2790"/>
    </row>
    <row r="2791" spans="3:13" ht="12.75" customHeight="1" x14ac:dyDescent="0.2">
      <c r="C2791"/>
      <c r="M2791"/>
    </row>
    <row r="2792" spans="3:13" ht="12.75" customHeight="1" x14ac:dyDescent="0.2">
      <c r="C2792"/>
      <c r="M2792"/>
    </row>
    <row r="2793" spans="3:13" ht="12.75" customHeight="1" x14ac:dyDescent="0.2">
      <c r="C2793"/>
      <c r="M2793"/>
    </row>
    <row r="2794" spans="3:13" ht="12.75" customHeight="1" x14ac:dyDescent="0.2">
      <c r="C2794"/>
      <c r="M2794"/>
    </row>
    <row r="2795" spans="3:13" ht="12.75" customHeight="1" x14ac:dyDescent="0.2">
      <c r="C2795"/>
      <c r="M2795"/>
    </row>
    <row r="2796" spans="3:13" ht="12.75" customHeight="1" x14ac:dyDescent="0.2">
      <c r="C2796"/>
      <c r="M2796"/>
    </row>
    <row r="2797" spans="3:13" ht="12.75" customHeight="1" x14ac:dyDescent="0.2">
      <c r="C2797"/>
      <c r="M2797"/>
    </row>
    <row r="2798" spans="3:13" ht="12.75" customHeight="1" x14ac:dyDescent="0.2">
      <c r="C2798"/>
      <c r="M2798"/>
    </row>
    <row r="2799" spans="3:13" ht="12.75" customHeight="1" x14ac:dyDescent="0.2">
      <c r="C2799"/>
      <c r="M2799"/>
    </row>
    <row r="2800" spans="3:13" ht="12.75" customHeight="1" x14ac:dyDescent="0.2">
      <c r="C2800"/>
      <c r="M2800"/>
    </row>
    <row r="2801" spans="3:13" ht="12.75" customHeight="1" x14ac:dyDescent="0.2">
      <c r="C2801"/>
      <c r="M2801"/>
    </row>
    <row r="2802" spans="3:13" ht="12.75" customHeight="1" x14ac:dyDescent="0.2">
      <c r="C2802"/>
      <c r="M2802"/>
    </row>
    <row r="2803" spans="3:13" ht="12.75" customHeight="1" x14ac:dyDescent="0.2">
      <c r="C2803"/>
      <c r="M2803"/>
    </row>
    <row r="2804" spans="3:13" ht="12.75" customHeight="1" x14ac:dyDescent="0.2">
      <c r="C2804"/>
      <c r="M2804"/>
    </row>
    <row r="2805" spans="3:13" ht="12.75" customHeight="1" x14ac:dyDescent="0.2">
      <c r="C2805"/>
      <c r="M2805"/>
    </row>
    <row r="2806" spans="3:13" ht="12.75" customHeight="1" x14ac:dyDescent="0.2">
      <c r="C2806"/>
      <c r="M2806"/>
    </row>
    <row r="2807" spans="3:13" ht="12.75" customHeight="1" x14ac:dyDescent="0.2">
      <c r="C2807"/>
      <c r="M2807"/>
    </row>
    <row r="2808" spans="3:13" ht="12.75" customHeight="1" x14ac:dyDescent="0.2">
      <c r="C2808"/>
      <c r="M2808"/>
    </row>
    <row r="2809" spans="3:13" ht="12.75" customHeight="1" x14ac:dyDescent="0.2">
      <c r="C2809"/>
      <c r="M2809"/>
    </row>
    <row r="2810" spans="3:13" ht="12.75" customHeight="1" x14ac:dyDescent="0.2">
      <c r="C2810"/>
      <c r="M2810"/>
    </row>
    <row r="2811" spans="3:13" ht="12.75" customHeight="1" x14ac:dyDescent="0.2">
      <c r="C2811"/>
      <c r="M2811"/>
    </row>
    <row r="2812" spans="3:13" ht="12.75" customHeight="1" x14ac:dyDescent="0.2">
      <c r="C2812"/>
      <c r="M2812"/>
    </row>
    <row r="2813" spans="3:13" ht="12.75" customHeight="1" x14ac:dyDescent="0.2">
      <c r="C2813"/>
      <c r="M2813"/>
    </row>
    <row r="2814" spans="3:13" ht="12.75" customHeight="1" x14ac:dyDescent="0.2">
      <c r="C2814"/>
      <c r="M2814"/>
    </row>
    <row r="2815" spans="3:13" ht="12.75" customHeight="1" x14ac:dyDescent="0.2">
      <c r="C2815"/>
      <c r="M2815"/>
    </row>
    <row r="2816" spans="3:13" ht="12.75" customHeight="1" x14ac:dyDescent="0.2">
      <c r="C2816"/>
      <c r="M2816"/>
    </row>
    <row r="2817" spans="3:13" ht="12.75" customHeight="1" x14ac:dyDescent="0.2">
      <c r="C2817"/>
      <c r="M2817"/>
    </row>
    <row r="2818" spans="3:13" ht="12.75" customHeight="1" x14ac:dyDescent="0.2">
      <c r="C2818"/>
      <c r="M2818"/>
    </row>
    <row r="2819" spans="3:13" ht="12.75" customHeight="1" x14ac:dyDescent="0.2">
      <c r="C2819"/>
      <c r="M2819"/>
    </row>
    <row r="2820" spans="3:13" ht="12.75" customHeight="1" x14ac:dyDescent="0.2">
      <c r="C2820"/>
      <c r="M2820"/>
    </row>
    <row r="2821" spans="3:13" ht="12.75" customHeight="1" x14ac:dyDescent="0.2">
      <c r="C2821"/>
      <c r="M2821"/>
    </row>
    <row r="2822" spans="3:13" ht="12.75" customHeight="1" x14ac:dyDescent="0.2">
      <c r="C2822"/>
      <c r="M2822"/>
    </row>
    <row r="2823" spans="3:13" ht="12.75" customHeight="1" x14ac:dyDescent="0.2">
      <c r="C2823"/>
      <c r="M2823"/>
    </row>
    <row r="2824" spans="3:13" ht="12.75" customHeight="1" x14ac:dyDescent="0.2">
      <c r="C2824"/>
      <c r="M2824"/>
    </row>
    <row r="2825" spans="3:13" ht="12.75" customHeight="1" x14ac:dyDescent="0.2">
      <c r="C2825"/>
      <c r="M2825"/>
    </row>
    <row r="2826" spans="3:13" ht="12.75" customHeight="1" x14ac:dyDescent="0.2">
      <c r="C2826"/>
      <c r="M2826"/>
    </row>
    <row r="2827" spans="3:13" ht="12.75" customHeight="1" x14ac:dyDescent="0.2">
      <c r="C2827"/>
      <c r="M2827"/>
    </row>
    <row r="2828" spans="3:13" ht="12.75" customHeight="1" x14ac:dyDescent="0.2">
      <c r="C2828"/>
      <c r="M2828"/>
    </row>
    <row r="2829" spans="3:13" ht="12.75" customHeight="1" x14ac:dyDescent="0.2">
      <c r="C2829"/>
      <c r="M2829"/>
    </row>
    <row r="2830" spans="3:13" ht="12.75" customHeight="1" x14ac:dyDescent="0.2">
      <c r="C2830"/>
      <c r="M2830"/>
    </row>
    <row r="2831" spans="3:13" ht="12.75" customHeight="1" x14ac:dyDescent="0.2">
      <c r="C2831"/>
      <c r="M2831"/>
    </row>
    <row r="2832" spans="3:13" ht="12.75" customHeight="1" x14ac:dyDescent="0.2">
      <c r="C2832"/>
      <c r="M2832"/>
    </row>
    <row r="2833" spans="3:13" ht="12.75" customHeight="1" x14ac:dyDescent="0.2">
      <c r="C2833"/>
      <c r="M2833"/>
    </row>
    <row r="2834" spans="3:13" ht="12.75" customHeight="1" x14ac:dyDescent="0.2">
      <c r="C2834"/>
      <c r="M2834"/>
    </row>
    <row r="2835" spans="3:13" ht="12.75" customHeight="1" x14ac:dyDescent="0.2">
      <c r="C2835"/>
      <c r="M2835"/>
    </row>
    <row r="2836" spans="3:13" ht="12.75" customHeight="1" x14ac:dyDescent="0.2">
      <c r="C2836"/>
      <c r="M2836"/>
    </row>
    <row r="2837" spans="3:13" ht="12.75" customHeight="1" x14ac:dyDescent="0.2">
      <c r="C2837"/>
      <c r="M2837"/>
    </row>
    <row r="2838" spans="3:13" ht="12.75" customHeight="1" x14ac:dyDescent="0.2">
      <c r="C2838"/>
      <c r="M2838"/>
    </row>
    <row r="2839" spans="3:13" ht="12.75" customHeight="1" x14ac:dyDescent="0.2">
      <c r="C2839"/>
      <c r="M2839"/>
    </row>
    <row r="2840" spans="3:13" ht="12.75" customHeight="1" x14ac:dyDescent="0.2">
      <c r="C2840"/>
      <c r="M2840"/>
    </row>
    <row r="2841" spans="3:13" ht="12.75" customHeight="1" x14ac:dyDescent="0.2">
      <c r="C2841"/>
      <c r="M2841"/>
    </row>
    <row r="2842" spans="3:13" ht="12.75" customHeight="1" x14ac:dyDescent="0.2">
      <c r="C2842"/>
      <c r="M2842"/>
    </row>
    <row r="2843" spans="3:13" ht="12.75" customHeight="1" x14ac:dyDescent="0.2">
      <c r="C2843"/>
      <c r="M2843"/>
    </row>
    <row r="2844" spans="3:13" ht="12.75" customHeight="1" x14ac:dyDescent="0.2">
      <c r="C2844"/>
      <c r="M2844"/>
    </row>
    <row r="2845" spans="3:13" ht="12.75" customHeight="1" x14ac:dyDescent="0.2">
      <c r="C2845"/>
      <c r="M2845"/>
    </row>
    <row r="2846" spans="3:13" ht="12.75" customHeight="1" x14ac:dyDescent="0.2">
      <c r="C2846"/>
      <c r="M2846"/>
    </row>
    <row r="2847" spans="3:13" ht="12.75" customHeight="1" x14ac:dyDescent="0.2">
      <c r="C2847"/>
      <c r="M2847"/>
    </row>
    <row r="2848" spans="3:13" ht="12.75" customHeight="1" x14ac:dyDescent="0.2">
      <c r="C2848"/>
      <c r="M2848"/>
    </row>
    <row r="2849" spans="3:13" ht="12.75" customHeight="1" x14ac:dyDescent="0.2">
      <c r="C2849"/>
      <c r="M2849"/>
    </row>
    <row r="2850" spans="3:13" ht="12.75" customHeight="1" x14ac:dyDescent="0.2">
      <c r="C2850"/>
      <c r="M2850"/>
    </row>
    <row r="2851" spans="3:13" ht="12.75" customHeight="1" x14ac:dyDescent="0.2">
      <c r="C2851"/>
      <c r="M2851"/>
    </row>
    <row r="2852" spans="3:13" ht="12.75" customHeight="1" x14ac:dyDescent="0.2">
      <c r="C2852"/>
      <c r="M2852"/>
    </row>
    <row r="2853" spans="3:13" ht="12.75" customHeight="1" x14ac:dyDescent="0.2">
      <c r="C2853"/>
      <c r="M2853"/>
    </row>
    <row r="2854" spans="3:13" ht="12.75" customHeight="1" x14ac:dyDescent="0.2">
      <c r="C2854"/>
      <c r="M2854"/>
    </row>
    <row r="2855" spans="3:13" ht="12.75" customHeight="1" x14ac:dyDescent="0.2">
      <c r="C2855"/>
      <c r="M2855"/>
    </row>
    <row r="2856" spans="3:13" ht="12.75" customHeight="1" x14ac:dyDescent="0.2">
      <c r="C2856"/>
      <c r="M2856"/>
    </row>
    <row r="2857" spans="3:13" ht="12.75" customHeight="1" x14ac:dyDescent="0.2">
      <c r="C2857"/>
      <c r="M2857"/>
    </row>
    <row r="2858" spans="3:13" ht="12.75" customHeight="1" x14ac:dyDescent="0.2">
      <c r="C2858"/>
      <c r="M2858"/>
    </row>
    <row r="2859" spans="3:13" ht="12.75" customHeight="1" x14ac:dyDescent="0.2">
      <c r="C2859"/>
      <c r="M2859"/>
    </row>
    <row r="2860" spans="3:13" ht="12.75" customHeight="1" x14ac:dyDescent="0.2">
      <c r="C2860"/>
      <c r="M2860"/>
    </row>
    <row r="2861" spans="3:13" ht="12.75" customHeight="1" x14ac:dyDescent="0.2">
      <c r="C2861"/>
      <c r="M2861"/>
    </row>
    <row r="2862" spans="3:13" ht="12.75" customHeight="1" x14ac:dyDescent="0.2">
      <c r="C2862"/>
      <c r="M2862"/>
    </row>
    <row r="2863" spans="3:13" ht="12.75" customHeight="1" x14ac:dyDescent="0.2">
      <c r="C2863"/>
      <c r="M2863"/>
    </row>
    <row r="2864" spans="3:13" ht="12.75" customHeight="1" x14ac:dyDescent="0.2">
      <c r="C2864"/>
      <c r="M2864"/>
    </row>
    <row r="2865" spans="3:13" ht="12.75" customHeight="1" x14ac:dyDescent="0.2">
      <c r="C2865"/>
      <c r="M2865"/>
    </row>
    <row r="2866" spans="3:13" ht="12.75" customHeight="1" x14ac:dyDescent="0.2">
      <c r="C2866"/>
      <c r="M2866"/>
    </row>
    <row r="2867" spans="3:13" ht="12.75" customHeight="1" x14ac:dyDescent="0.2">
      <c r="C2867"/>
      <c r="M2867"/>
    </row>
    <row r="2868" spans="3:13" ht="12.75" customHeight="1" x14ac:dyDescent="0.2">
      <c r="C2868"/>
      <c r="M2868"/>
    </row>
    <row r="2869" spans="3:13" ht="12.75" customHeight="1" x14ac:dyDescent="0.2">
      <c r="C2869"/>
      <c r="M2869"/>
    </row>
    <row r="2870" spans="3:13" ht="12.75" customHeight="1" x14ac:dyDescent="0.2">
      <c r="C2870"/>
      <c r="M2870"/>
    </row>
    <row r="2871" spans="3:13" ht="12.75" customHeight="1" x14ac:dyDescent="0.2">
      <c r="C2871"/>
      <c r="M2871"/>
    </row>
    <row r="2872" spans="3:13" ht="12.75" customHeight="1" x14ac:dyDescent="0.2">
      <c r="C2872"/>
      <c r="M2872"/>
    </row>
    <row r="2873" spans="3:13" ht="12.75" customHeight="1" x14ac:dyDescent="0.2">
      <c r="C2873"/>
      <c r="M2873"/>
    </row>
    <row r="2874" spans="3:13" ht="12.75" customHeight="1" x14ac:dyDescent="0.2">
      <c r="C2874"/>
      <c r="M2874"/>
    </row>
    <row r="2875" spans="3:13" ht="12.75" customHeight="1" x14ac:dyDescent="0.2">
      <c r="C2875"/>
      <c r="M2875"/>
    </row>
    <row r="2876" spans="3:13" ht="12.75" customHeight="1" x14ac:dyDescent="0.2">
      <c r="C2876"/>
      <c r="M2876"/>
    </row>
    <row r="2877" spans="3:13" ht="12.75" customHeight="1" x14ac:dyDescent="0.2">
      <c r="C2877"/>
      <c r="M2877"/>
    </row>
    <row r="2878" spans="3:13" ht="12.75" customHeight="1" x14ac:dyDescent="0.2">
      <c r="C2878"/>
      <c r="M2878"/>
    </row>
    <row r="2879" spans="3:13" ht="12.75" customHeight="1" x14ac:dyDescent="0.2">
      <c r="C2879"/>
      <c r="M2879"/>
    </row>
    <row r="2880" spans="3:13" ht="12.75" customHeight="1" x14ac:dyDescent="0.2">
      <c r="C2880"/>
      <c r="M2880"/>
    </row>
    <row r="2881" spans="3:13" ht="12.75" customHeight="1" x14ac:dyDescent="0.2">
      <c r="C2881"/>
      <c r="M2881"/>
    </row>
    <row r="2882" spans="3:13" ht="12.75" customHeight="1" x14ac:dyDescent="0.2">
      <c r="C2882"/>
      <c r="M2882"/>
    </row>
    <row r="2883" spans="3:13" ht="12.75" customHeight="1" x14ac:dyDescent="0.2">
      <c r="C2883"/>
      <c r="M2883"/>
    </row>
    <row r="2884" spans="3:13" ht="12.75" customHeight="1" x14ac:dyDescent="0.2">
      <c r="C2884"/>
      <c r="M2884"/>
    </row>
    <row r="2885" spans="3:13" ht="12.75" customHeight="1" x14ac:dyDescent="0.2">
      <c r="C2885"/>
      <c r="M2885"/>
    </row>
    <row r="2886" spans="3:13" ht="12.75" customHeight="1" x14ac:dyDescent="0.2">
      <c r="C2886"/>
      <c r="M2886"/>
    </row>
    <row r="2887" spans="3:13" ht="12.75" customHeight="1" x14ac:dyDescent="0.2">
      <c r="C2887"/>
      <c r="M2887"/>
    </row>
    <row r="2888" spans="3:13" ht="12.75" customHeight="1" x14ac:dyDescent="0.2">
      <c r="C2888"/>
      <c r="M2888"/>
    </row>
    <row r="2889" spans="3:13" ht="12.75" customHeight="1" x14ac:dyDescent="0.2">
      <c r="C2889"/>
      <c r="M2889"/>
    </row>
    <row r="2890" spans="3:13" ht="12.75" customHeight="1" x14ac:dyDescent="0.2">
      <c r="C2890"/>
      <c r="M2890"/>
    </row>
    <row r="2891" spans="3:13" ht="12.75" customHeight="1" x14ac:dyDescent="0.2">
      <c r="C2891"/>
      <c r="M2891"/>
    </row>
    <row r="2892" spans="3:13" ht="12.75" customHeight="1" x14ac:dyDescent="0.2">
      <c r="C2892"/>
      <c r="M2892"/>
    </row>
    <row r="2893" spans="3:13" ht="12.75" customHeight="1" x14ac:dyDescent="0.2">
      <c r="C2893"/>
      <c r="M2893"/>
    </row>
    <row r="2894" spans="3:13" ht="12.75" customHeight="1" x14ac:dyDescent="0.2">
      <c r="C2894"/>
      <c r="M2894"/>
    </row>
    <row r="2895" spans="3:13" ht="12.75" customHeight="1" x14ac:dyDescent="0.2">
      <c r="C2895"/>
      <c r="M2895"/>
    </row>
    <row r="2896" spans="3:13" ht="12.75" customHeight="1" x14ac:dyDescent="0.2">
      <c r="C2896"/>
      <c r="M2896"/>
    </row>
    <row r="2897" spans="3:13" ht="12.75" customHeight="1" x14ac:dyDescent="0.2">
      <c r="C2897"/>
      <c r="M2897"/>
    </row>
    <row r="2898" spans="3:13" ht="12.75" customHeight="1" x14ac:dyDescent="0.2">
      <c r="C2898"/>
      <c r="M2898"/>
    </row>
    <row r="2899" spans="3:13" ht="12.75" customHeight="1" x14ac:dyDescent="0.2">
      <c r="C2899"/>
      <c r="M2899"/>
    </row>
    <row r="2900" spans="3:13" ht="12.75" customHeight="1" x14ac:dyDescent="0.2">
      <c r="C2900"/>
      <c r="M2900"/>
    </row>
    <row r="2901" spans="3:13" ht="12.75" customHeight="1" x14ac:dyDescent="0.2">
      <c r="C2901"/>
      <c r="M2901"/>
    </row>
    <row r="2902" spans="3:13" ht="12.75" customHeight="1" x14ac:dyDescent="0.2">
      <c r="C2902"/>
      <c r="M2902"/>
    </row>
    <row r="2903" spans="3:13" ht="12.75" customHeight="1" x14ac:dyDescent="0.2">
      <c r="C2903"/>
      <c r="M2903"/>
    </row>
    <row r="2904" spans="3:13" ht="12.75" customHeight="1" x14ac:dyDescent="0.2">
      <c r="C2904"/>
      <c r="M2904"/>
    </row>
    <row r="2905" spans="3:13" ht="12.75" customHeight="1" x14ac:dyDescent="0.2">
      <c r="C2905"/>
      <c r="M2905"/>
    </row>
    <row r="2906" spans="3:13" ht="12.75" customHeight="1" x14ac:dyDescent="0.2">
      <c r="C2906"/>
      <c r="M2906"/>
    </row>
    <row r="2907" spans="3:13" ht="12.75" customHeight="1" x14ac:dyDescent="0.2">
      <c r="C2907"/>
      <c r="M2907"/>
    </row>
    <row r="2908" spans="3:13" ht="12.75" customHeight="1" x14ac:dyDescent="0.2">
      <c r="C2908"/>
      <c r="M2908"/>
    </row>
    <row r="2909" spans="3:13" ht="12.75" customHeight="1" x14ac:dyDescent="0.2">
      <c r="C2909"/>
      <c r="M2909"/>
    </row>
    <row r="2910" spans="3:13" ht="12.75" customHeight="1" x14ac:dyDescent="0.2">
      <c r="C2910"/>
      <c r="M2910"/>
    </row>
    <row r="2911" spans="3:13" ht="12.75" customHeight="1" x14ac:dyDescent="0.2">
      <c r="C2911"/>
      <c r="M2911"/>
    </row>
    <row r="2912" spans="3:13" ht="12.75" customHeight="1" x14ac:dyDescent="0.2">
      <c r="C2912"/>
      <c r="M2912"/>
    </row>
    <row r="2913" spans="3:13" ht="12.75" customHeight="1" x14ac:dyDescent="0.2">
      <c r="C2913"/>
      <c r="M2913"/>
    </row>
    <row r="2914" spans="3:13" ht="12.75" customHeight="1" x14ac:dyDescent="0.2">
      <c r="C2914"/>
      <c r="M2914"/>
    </row>
    <row r="2915" spans="3:13" ht="12.75" customHeight="1" x14ac:dyDescent="0.2">
      <c r="C2915"/>
      <c r="M2915"/>
    </row>
    <row r="2916" spans="3:13" ht="12.75" customHeight="1" x14ac:dyDescent="0.2">
      <c r="C2916"/>
      <c r="M2916"/>
    </row>
    <row r="2917" spans="3:13" ht="12.75" customHeight="1" x14ac:dyDescent="0.2">
      <c r="C2917"/>
      <c r="M2917"/>
    </row>
    <row r="2918" spans="3:13" ht="12.75" customHeight="1" x14ac:dyDescent="0.2">
      <c r="C2918"/>
      <c r="M2918"/>
    </row>
    <row r="2919" spans="3:13" ht="12.75" customHeight="1" x14ac:dyDescent="0.2">
      <c r="C2919"/>
      <c r="M2919"/>
    </row>
    <row r="2920" spans="3:13" ht="12.75" customHeight="1" x14ac:dyDescent="0.2">
      <c r="C2920"/>
      <c r="M2920"/>
    </row>
    <row r="2921" spans="3:13" ht="12.75" customHeight="1" x14ac:dyDescent="0.2">
      <c r="C2921"/>
      <c r="M2921"/>
    </row>
    <row r="2922" spans="3:13" ht="12.75" customHeight="1" x14ac:dyDescent="0.2">
      <c r="C2922"/>
      <c r="M2922"/>
    </row>
    <row r="2923" spans="3:13" ht="12.75" customHeight="1" x14ac:dyDescent="0.2">
      <c r="C2923"/>
      <c r="M2923"/>
    </row>
    <row r="2924" spans="3:13" ht="12.75" customHeight="1" x14ac:dyDescent="0.2">
      <c r="C2924"/>
      <c r="M2924"/>
    </row>
    <row r="2925" spans="3:13" ht="12.75" customHeight="1" x14ac:dyDescent="0.2">
      <c r="C2925"/>
      <c r="M2925"/>
    </row>
    <row r="2926" spans="3:13" ht="12.75" customHeight="1" x14ac:dyDescent="0.2">
      <c r="C2926"/>
      <c r="M2926"/>
    </row>
    <row r="2927" spans="3:13" ht="12.75" customHeight="1" x14ac:dyDescent="0.2">
      <c r="C2927"/>
      <c r="M2927"/>
    </row>
    <row r="2928" spans="3:13" ht="12.75" customHeight="1" x14ac:dyDescent="0.2">
      <c r="C2928"/>
      <c r="M2928"/>
    </row>
    <row r="2929" spans="3:13" ht="12.75" customHeight="1" x14ac:dyDescent="0.2">
      <c r="C2929"/>
      <c r="M2929"/>
    </row>
    <row r="2930" spans="3:13" ht="12.75" customHeight="1" x14ac:dyDescent="0.2">
      <c r="C2930"/>
      <c r="M2930"/>
    </row>
    <row r="2931" spans="3:13" ht="12.75" customHeight="1" x14ac:dyDescent="0.2">
      <c r="C2931"/>
      <c r="M2931"/>
    </row>
    <row r="2932" spans="3:13" ht="12.75" customHeight="1" x14ac:dyDescent="0.2">
      <c r="C2932"/>
      <c r="M2932"/>
    </row>
    <row r="2933" spans="3:13" ht="12.75" customHeight="1" x14ac:dyDescent="0.2">
      <c r="C2933"/>
      <c r="M2933"/>
    </row>
    <row r="2934" spans="3:13" ht="12.75" customHeight="1" x14ac:dyDescent="0.2">
      <c r="C2934"/>
      <c r="M2934"/>
    </row>
    <row r="2935" spans="3:13" ht="12.75" customHeight="1" x14ac:dyDescent="0.2">
      <c r="C2935"/>
      <c r="M2935"/>
    </row>
    <row r="2936" spans="3:13" ht="12.75" customHeight="1" x14ac:dyDescent="0.2">
      <c r="C2936"/>
      <c r="M2936"/>
    </row>
    <row r="2937" spans="3:13" ht="12.75" customHeight="1" x14ac:dyDescent="0.2">
      <c r="C2937"/>
      <c r="M2937"/>
    </row>
    <row r="2938" spans="3:13" ht="12.75" customHeight="1" x14ac:dyDescent="0.2">
      <c r="C2938"/>
      <c r="M2938"/>
    </row>
    <row r="2939" spans="3:13" ht="12.75" customHeight="1" x14ac:dyDescent="0.2">
      <c r="C2939"/>
      <c r="M2939"/>
    </row>
    <row r="2940" spans="3:13" ht="12.75" customHeight="1" x14ac:dyDescent="0.2">
      <c r="C2940"/>
      <c r="M2940"/>
    </row>
    <row r="2941" spans="3:13" ht="12.75" customHeight="1" x14ac:dyDescent="0.2">
      <c r="C2941"/>
      <c r="M2941"/>
    </row>
    <row r="2942" spans="3:13" ht="12.75" customHeight="1" x14ac:dyDescent="0.2">
      <c r="C2942"/>
      <c r="M2942"/>
    </row>
    <row r="2943" spans="3:13" ht="12.75" customHeight="1" x14ac:dyDescent="0.2">
      <c r="C2943"/>
      <c r="M2943"/>
    </row>
    <row r="2944" spans="3:13" ht="12.75" customHeight="1" x14ac:dyDescent="0.2">
      <c r="C2944"/>
      <c r="M2944"/>
    </row>
    <row r="2945" spans="3:13" ht="12.75" customHeight="1" x14ac:dyDescent="0.2">
      <c r="C2945"/>
      <c r="M2945"/>
    </row>
    <row r="2946" spans="3:13" ht="12.75" customHeight="1" x14ac:dyDescent="0.2">
      <c r="C2946"/>
      <c r="M2946"/>
    </row>
    <row r="2947" spans="3:13" ht="12.75" customHeight="1" x14ac:dyDescent="0.2">
      <c r="C2947"/>
      <c r="M2947"/>
    </row>
    <row r="2948" spans="3:13" ht="12.75" customHeight="1" x14ac:dyDescent="0.2">
      <c r="C2948"/>
      <c r="M2948"/>
    </row>
    <row r="2949" spans="3:13" ht="12.75" customHeight="1" x14ac:dyDescent="0.2">
      <c r="C2949"/>
      <c r="M2949"/>
    </row>
    <row r="2950" spans="3:13" ht="12.75" customHeight="1" x14ac:dyDescent="0.2">
      <c r="C2950"/>
      <c r="M2950"/>
    </row>
    <row r="2951" spans="3:13" ht="12.75" customHeight="1" x14ac:dyDescent="0.2">
      <c r="C2951"/>
      <c r="M2951"/>
    </row>
    <row r="2952" spans="3:13" ht="12.75" customHeight="1" x14ac:dyDescent="0.2">
      <c r="C2952"/>
      <c r="M2952"/>
    </row>
    <row r="2953" spans="3:13" ht="12.75" customHeight="1" x14ac:dyDescent="0.2">
      <c r="C2953"/>
      <c r="M2953"/>
    </row>
    <row r="2954" spans="3:13" ht="12.75" customHeight="1" x14ac:dyDescent="0.2">
      <c r="C2954"/>
      <c r="M2954"/>
    </row>
    <row r="2955" spans="3:13" ht="12.75" customHeight="1" x14ac:dyDescent="0.2">
      <c r="C2955"/>
      <c r="M2955"/>
    </row>
    <row r="2956" spans="3:13" ht="12.75" customHeight="1" x14ac:dyDescent="0.2">
      <c r="C2956"/>
      <c r="M2956"/>
    </row>
    <row r="2957" spans="3:13" ht="12.75" customHeight="1" x14ac:dyDescent="0.2">
      <c r="C2957"/>
      <c r="M2957"/>
    </row>
    <row r="2958" spans="3:13" ht="12.75" customHeight="1" x14ac:dyDescent="0.2">
      <c r="C2958"/>
      <c r="M2958"/>
    </row>
    <row r="2959" spans="3:13" ht="12.75" customHeight="1" x14ac:dyDescent="0.2">
      <c r="C2959"/>
      <c r="M2959"/>
    </row>
    <row r="2960" spans="3:13" ht="12.75" customHeight="1" x14ac:dyDescent="0.2">
      <c r="C2960"/>
      <c r="M2960"/>
    </row>
    <row r="2961" spans="3:13" ht="12.75" customHeight="1" x14ac:dyDescent="0.2">
      <c r="C2961"/>
      <c r="M2961"/>
    </row>
    <row r="2962" spans="3:13" ht="12.75" customHeight="1" x14ac:dyDescent="0.2">
      <c r="C2962"/>
      <c r="M2962"/>
    </row>
    <row r="2963" spans="3:13" ht="12.75" customHeight="1" x14ac:dyDescent="0.2">
      <c r="C2963"/>
      <c r="M2963"/>
    </row>
    <row r="2964" spans="3:13" ht="12.75" customHeight="1" x14ac:dyDescent="0.2">
      <c r="C2964"/>
      <c r="M2964"/>
    </row>
    <row r="2965" spans="3:13" ht="12.75" customHeight="1" x14ac:dyDescent="0.2">
      <c r="C2965"/>
      <c r="M2965"/>
    </row>
    <row r="2966" spans="3:13" ht="12.75" customHeight="1" x14ac:dyDescent="0.2">
      <c r="C2966"/>
      <c r="M2966"/>
    </row>
    <row r="2967" spans="3:13" ht="12.75" customHeight="1" x14ac:dyDescent="0.2">
      <c r="C2967"/>
      <c r="M2967"/>
    </row>
    <row r="2968" spans="3:13" ht="12.75" customHeight="1" x14ac:dyDescent="0.2">
      <c r="C2968"/>
      <c r="M2968"/>
    </row>
    <row r="2969" spans="3:13" ht="12.75" customHeight="1" x14ac:dyDescent="0.2">
      <c r="C2969"/>
      <c r="M2969"/>
    </row>
    <row r="2970" spans="3:13" ht="12.75" customHeight="1" x14ac:dyDescent="0.2">
      <c r="C2970"/>
      <c r="M2970"/>
    </row>
    <row r="2971" spans="3:13" ht="12.75" customHeight="1" x14ac:dyDescent="0.2">
      <c r="C2971"/>
      <c r="M2971"/>
    </row>
    <row r="2972" spans="3:13" ht="12.75" customHeight="1" x14ac:dyDescent="0.2">
      <c r="C2972"/>
      <c r="M2972"/>
    </row>
    <row r="2973" spans="3:13" ht="12.75" customHeight="1" x14ac:dyDescent="0.2">
      <c r="C2973"/>
      <c r="M2973"/>
    </row>
    <row r="2974" spans="3:13" ht="12.75" customHeight="1" x14ac:dyDescent="0.2">
      <c r="C2974"/>
      <c r="M2974"/>
    </row>
    <row r="2975" spans="3:13" ht="12.75" customHeight="1" x14ac:dyDescent="0.2">
      <c r="C2975"/>
      <c r="M2975"/>
    </row>
    <row r="2976" spans="3:13" ht="12.75" customHeight="1" x14ac:dyDescent="0.2">
      <c r="C2976"/>
      <c r="M2976"/>
    </row>
    <row r="2977" spans="3:13" ht="12.75" customHeight="1" x14ac:dyDescent="0.2">
      <c r="C2977"/>
      <c r="M2977"/>
    </row>
    <row r="2978" spans="3:13" ht="12.75" customHeight="1" x14ac:dyDescent="0.2">
      <c r="C2978"/>
      <c r="M2978"/>
    </row>
    <row r="2979" spans="3:13" ht="12.75" customHeight="1" x14ac:dyDescent="0.2">
      <c r="C2979"/>
      <c r="M2979"/>
    </row>
    <row r="2980" spans="3:13" ht="12.75" customHeight="1" x14ac:dyDescent="0.2">
      <c r="C2980"/>
      <c r="M2980"/>
    </row>
    <row r="2981" spans="3:13" ht="12.75" customHeight="1" x14ac:dyDescent="0.2">
      <c r="C2981"/>
      <c r="M2981"/>
    </row>
    <row r="2982" spans="3:13" ht="12.75" customHeight="1" x14ac:dyDescent="0.2">
      <c r="C2982"/>
      <c r="M2982"/>
    </row>
    <row r="2983" spans="3:13" ht="12.75" customHeight="1" x14ac:dyDescent="0.2">
      <c r="C2983"/>
      <c r="M2983"/>
    </row>
    <row r="2984" spans="3:13" ht="12.75" customHeight="1" x14ac:dyDescent="0.2">
      <c r="C2984"/>
      <c r="M2984"/>
    </row>
    <row r="2985" spans="3:13" ht="12.75" customHeight="1" x14ac:dyDescent="0.2">
      <c r="C2985"/>
      <c r="M2985"/>
    </row>
    <row r="2986" spans="3:13" ht="12.75" customHeight="1" x14ac:dyDescent="0.2">
      <c r="C2986"/>
      <c r="M2986"/>
    </row>
    <row r="2987" spans="3:13" ht="12.75" customHeight="1" x14ac:dyDescent="0.2">
      <c r="C2987"/>
      <c r="M2987"/>
    </row>
    <row r="2988" spans="3:13" ht="12.75" customHeight="1" x14ac:dyDescent="0.2">
      <c r="C2988"/>
      <c r="M2988"/>
    </row>
    <row r="2989" spans="3:13" ht="12.75" customHeight="1" x14ac:dyDescent="0.2">
      <c r="C2989"/>
      <c r="M2989"/>
    </row>
    <row r="2990" spans="3:13" ht="12.75" customHeight="1" x14ac:dyDescent="0.2">
      <c r="C2990"/>
      <c r="M2990"/>
    </row>
    <row r="2991" spans="3:13" ht="12.75" customHeight="1" x14ac:dyDescent="0.2">
      <c r="C2991"/>
      <c r="M2991"/>
    </row>
    <row r="2992" spans="3:13" ht="12.75" customHeight="1" x14ac:dyDescent="0.2">
      <c r="C2992"/>
      <c r="M2992"/>
    </row>
    <row r="2993" spans="3:13" ht="12.75" customHeight="1" x14ac:dyDescent="0.2">
      <c r="C2993"/>
      <c r="M2993"/>
    </row>
    <row r="2994" spans="3:13" ht="12.75" customHeight="1" x14ac:dyDescent="0.2">
      <c r="C2994"/>
      <c r="M2994"/>
    </row>
    <row r="2995" spans="3:13" ht="12.75" customHeight="1" x14ac:dyDescent="0.2">
      <c r="C2995"/>
      <c r="M2995"/>
    </row>
    <row r="2996" spans="3:13" ht="12.75" customHeight="1" x14ac:dyDescent="0.2">
      <c r="C2996"/>
      <c r="M2996"/>
    </row>
    <row r="2997" spans="3:13" ht="12.75" customHeight="1" x14ac:dyDescent="0.2">
      <c r="C2997"/>
      <c r="M2997"/>
    </row>
    <row r="2998" spans="3:13" ht="12.75" customHeight="1" x14ac:dyDescent="0.2">
      <c r="C2998"/>
      <c r="M2998"/>
    </row>
    <row r="2999" spans="3:13" ht="12.75" customHeight="1" x14ac:dyDescent="0.2">
      <c r="C2999"/>
      <c r="M2999"/>
    </row>
    <row r="3000" spans="3:13" ht="12.75" customHeight="1" x14ac:dyDescent="0.2">
      <c r="C3000"/>
      <c r="M3000"/>
    </row>
    <row r="3001" spans="3:13" ht="12.75" customHeight="1" x14ac:dyDescent="0.2">
      <c r="C3001"/>
      <c r="M3001"/>
    </row>
    <row r="3002" spans="3:13" ht="12.75" customHeight="1" x14ac:dyDescent="0.2">
      <c r="C3002"/>
      <c r="M3002"/>
    </row>
    <row r="3003" spans="3:13" ht="12.75" customHeight="1" x14ac:dyDescent="0.2">
      <c r="C3003"/>
      <c r="M3003"/>
    </row>
    <row r="3004" spans="3:13" ht="12.75" customHeight="1" x14ac:dyDescent="0.2">
      <c r="C3004"/>
      <c r="M3004"/>
    </row>
    <row r="3005" spans="3:13" ht="12.75" customHeight="1" x14ac:dyDescent="0.2">
      <c r="C3005"/>
      <c r="M3005"/>
    </row>
    <row r="3006" spans="3:13" ht="12.75" customHeight="1" x14ac:dyDescent="0.2">
      <c r="C3006"/>
      <c r="M3006"/>
    </row>
    <row r="3007" spans="3:13" ht="12.75" customHeight="1" x14ac:dyDescent="0.2">
      <c r="C3007"/>
      <c r="M3007"/>
    </row>
    <row r="3008" spans="3:13" ht="12.75" customHeight="1" x14ac:dyDescent="0.2">
      <c r="C3008"/>
      <c r="M3008"/>
    </row>
    <row r="3009" spans="3:13" ht="12.75" customHeight="1" x14ac:dyDescent="0.2">
      <c r="C3009"/>
      <c r="M3009"/>
    </row>
    <row r="3010" spans="3:13" ht="12.75" customHeight="1" x14ac:dyDescent="0.2">
      <c r="C3010"/>
      <c r="M3010"/>
    </row>
    <row r="3011" spans="3:13" ht="12.75" customHeight="1" x14ac:dyDescent="0.2">
      <c r="C3011"/>
      <c r="M3011"/>
    </row>
    <row r="3012" spans="3:13" ht="12.75" customHeight="1" x14ac:dyDescent="0.2">
      <c r="C3012"/>
      <c r="M3012"/>
    </row>
    <row r="3013" spans="3:13" ht="12.75" customHeight="1" x14ac:dyDescent="0.2">
      <c r="C3013"/>
      <c r="M3013"/>
    </row>
    <row r="3014" spans="3:13" ht="12.75" customHeight="1" x14ac:dyDescent="0.2">
      <c r="C3014"/>
      <c r="M3014"/>
    </row>
    <row r="3015" spans="3:13" ht="12.75" customHeight="1" x14ac:dyDescent="0.2">
      <c r="C3015"/>
      <c r="M3015"/>
    </row>
    <row r="3016" spans="3:13" ht="12.75" customHeight="1" x14ac:dyDescent="0.2">
      <c r="C3016"/>
      <c r="M3016"/>
    </row>
    <row r="3017" spans="3:13" ht="12.75" customHeight="1" x14ac:dyDescent="0.2">
      <c r="C3017"/>
      <c r="M3017"/>
    </row>
    <row r="3018" spans="3:13" ht="12.75" customHeight="1" x14ac:dyDescent="0.2">
      <c r="C3018"/>
      <c r="M3018"/>
    </row>
    <row r="3019" spans="3:13" ht="12.75" customHeight="1" x14ac:dyDescent="0.2">
      <c r="C3019"/>
      <c r="M3019"/>
    </row>
    <row r="3020" spans="3:13" ht="12.75" customHeight="1" x14ac:dyDescent="0.2">
      <c r="C3020"/>
      <c r="M3020"/>
    </row>
    <row r="3021" spans="3:13" ht="12.75" customHeight="1" x14ac:dyDescent="0.2">
      <c r="C3021"/>
      <c r="M3021"/>
    </row>
    <row r="3022" spans="3:13" ht="12.75" customHeight="1" x14ac:dyDescent="0.2">
      <c r="C3022"/>
      <c r="M3022"/>
    </row>
    <row r="3023" spans="3:13" ht="12.75" customHeight="1" x14ac:dyDescent="0.2">
      <c r="C3023"/>
      <c r="M3023"/>
    </row>
    <row r="3024" spans="3:13" ht="12.75" customHeight="1" x14ac:dyDescent="0.2">
      <c r="C3024"/>
      <c r="M3024"/>
    </row>
    <row r="3025" spans="3:13" ht="12.75" customHeight="1" x14ac:dyDescent="0.2">
      <c r="C3025"/>
      <c r="M3025"/>
    </row>
    <row r="3026" spans="3:13" ht="12.75" customHeight="1" x14ac:dyDescent="0.2">
      <c r="C3026"/>
      <c r="M3026"/>
    </row>
    <row r="3027" spans="3:13" ht="12.75" customHeight="1" x14ac:dyDescent="0.2">
      <c r="C3027"/>
      <c r="M3027"/>
    </row>
    <row r="3028" spans="3:13" ht="12.75" customHeight="1" x14ac:dyDescent="0.2">
      <c r="C3028"/>
      <c r="M3028"/>
    </row>
    <row r="3029" spans="3:13" ht="12.75" customHeight="1" x14ac:dyDescent="0.2">
      <c r="C3029"/>
      <c r="M3029"/>
    </row>
    <row r="3030" spans="3:13" ht="12.75" customHeight="1" x14ac:dyDescent="0.2">
      <c r="C3030"/>
      <c r="M3030"/>
    </row>
    <row r="3031" spans="3:13" ht="12.75" customHeight="1" x14ac:dyDescent="0.2">
      <c r="C3031"/>
      <c r="M3031"/>
    </row>
    <row r="3032" spans="3:13" ht="12.75" customHeight="1" x14ac:dyDescent="0.2">
      <c r="C3032"/>
      <c r="M3032"/>
    </row>
    <row r="3033" spans="3:13" ht="12.75" customHeight="1" x14ac:dyDescent="0.2">
      <c r="C3033"/>
      <c r="M3033"/>
    </row>
    <row r="3034" spans="3:13" ht="12.75" customHeight="1" x14ac:dyDescent="0.2">
      <c r="C3034"/>
      <c r="M3034"/>
    </row>
    <row r="3035" spans="3:13" ht="12.75" customHeight="1" x14ac:dyDescent="0.2">
      <c r="C3035"/>
      <c r="M3035"/>
    </row>
    <row r="3036" spans="3:13" ht="12.75" customHeight="1" x14ac:dyDescent="0.2">
      <c r="C3036"/>
      <c r="M3036"/>
    </row>
    <row r="3037" spans="3:13" ht="12.75" customHeight="1" x14ac:dyDescent="0.2">
      <c r="C3037"/>
      <c r="M3037"/>
    </row>
    <row r="3038" spans="3:13" ht="12.75" customHeight="1" x14ac:dyDescent="0.2">
      <c r="C3038"/>
      <c r="M3038"/>
    </row>
    <row r="3039" spans="3:13" ht="12.75" customHeight="1" x14ac:dyDescent="0.2">
      <c r="C3039"/>
      <c r="M3039"/>
    </row>
    <row r="3040" spans="3:13" ht="12.75" customHeight="1" x14ac:dyDescent="0.2">
      <c r="C3040"/>
      <c r="M3040"/>
    </row>
    <row r="3041" spans="3:13" ht="12.75" customHeight="1" x14ac:dyDescent="0.2">
      <c r="C3041"/>
      <c r="M3041"/>
    </row>
    <row r="3042" spans="3:13" ht="12.75" customHeight="1" x14ac:dyDescent="0.2">
      <c r="C3042"/>
      <c r="M3042"/>
    </row>
    <row r="3043" spans="3:13" ht="12.75" customHeight="1" x14ac:dyDescent="0.2">
      <c r="C3043"/>
      <c r="M3043"/>
    </row>
    <row r="3044" spans="3:13" ht="12.75" customHeight="1" x14ac:dyDescent="0.2">
      <c r="C3044"/>
      <c r="M3044"/>
    </row>
    <row r="3045" spans="3:13" ht="12.75" customHeight="1" x14ac:dyDescent="0.2">
      <c r="C3045"/>
      <c r="M3045"/>
    </row>
    <row r="3046" spans="3:13" ht="12.75" customHeight="1" x14ac:dyDescent="0.2">
      <c r="C3046"/>
      <c r="M3046"/>
    </row>
    <row r="3047" spans="3:13" ht="12.75" customHeight="1" x14ac:dyDescent="0.2">
      <c r="C3047"/>
      <c r="M3047"/>
    </row>
    <row r="3048" spans="3:13" ht="12.75" customHeight="1" x14ac:dyDescent="0.2">
      <c r="C3048"/>
      <c r="M3048"/>
    </row>
    <row r="3049" spans="3:13" ht="12.75" customHeight="1" x14ac:dyDescent="0.2">
      <c r="C3049"/>
      <c r="M3049"/>
    </row>
    <row r="3050" spans="3:13" ht="12.75" customHeight="1" x14ac:dyDescent="0.2">
      <c r="C3050"/>
      <c r="M3050"/>
    </row>
    <row r="3051" spans="3:13" ht="12.75" customHeight="1" x14ac:dyDescent="0.2">
      <c r="C3051"/>
      <c r="M3051"/>
    </row>
    <row r="3052" spans="3:13" ht="12.75" customHeight="1" x14ac:dyDescent="0.2">
      <c r="C3052"/>
      <c r="M3052"/>
    </row>
    <row r="3053" spans="3:13" ht="12.75" customHeight="1" x14ac:dyDescent="0.2">
      <c r="C3053"/>
      <c r="M3053"/>
    </row>
    <row r="3054" spans="3:13" ht="12.75" customHeight="1" x14ac:dyDescent="0.2">
      <c r="C3054"/>
      <c r="M3054"/>
    </row>
    <row r="3055" spans="3:13" ht="12.75" customHeight="1" x14ac:dyDescent="0.2">
      <c r="C3055"/>
      <c r="M3055"/>
    </row>
    <row r="3056" spans="3:13" ht="12.75" customHeight="1" x14ac:dyDescent="0.2">
      <c r="C3056"/>
      <c r="M3056"/>
    </row>
    <row r="3057" spans="3:13" ht="12.75" customHeight="1" x14ac:dyDescent="0.2">
      <c r="C3057"/>
      <c r="M3057"/>
    </row>
    <row r="3058" spans="3:13" ht="12.75" customHeight="1" x14ac:dyDescent="0.2">
      <c r="C3058"/>
      <c r="M3058"/>
    </row>
    <row r="3059" spans="3:13" ht="12.75" customHeight="1" x14ac:dyDescent="0.2">
      <c r="C3059"/>
      <c r="M3059"/>
    </row>
    <row r="3060" spans="3:13" ht="12.75" customHeight="1" x14ac:dyDescent="0.2">
      <c r="C3060"/>
      <c r="M3060"/>
    </row>
    <row r="3061" spans="3:13" ht="12.75" customHeight="1" x14ac:dyDescent="0.2">
      <c r="C3061"/>
      <c r="M3061"/>
    </row>
    <row r="3062" spans="3:13" ht="12.75" customHeight="1" x14ac:dyDescent="0.2">
      <c r="C3062"/>
      <c r="M3062"/>
    </row>
    <row r="3063" spans="3:13" ht="12.75" customHeight="1" x14ac:dyDescent="0.2">
      <c r="C3063"/>
      <c r="M3063"/>
    </row>
    <row r="3064" spans="3:13" ht="12.75" customHeight="1" x14ac:dyDescent="0.2">
      <c r="C3064"/>
      <c r="M3064"/>
    </row>
    <row r="3065" spans="3:13" ht="12.75" customHeight="1" x14ac:dyDescent="0.2">
      <c r="C3065"/>
      <c r="M3065"/>
    </row>
    <row r="3066" spans="3:13" ht="12.75" customHeight="1" x14ac:dyDescent="0.2">
      <c r="C3066"/>
      <c r="M3066"/>
    </row>
    <row r="3067" spans="3:13" ht="12.75" customHeight="1" x14ac:dyDescent="0.2">
      <c r="C3067"/>
      <c r="M3067"/>
    </row>
    <row r="3068" spans="3:13" ht="12.75" customHeight="1" x14ac:dyDescent="0.2">
      <c r="C3068"/>
      <c r="M3068"/>
    </row>
    <row r="3069" spans="3:13" ht="12.75" customHeight="1" x14ac:dyDescent="0.2">
      <c r="C3069"/>
      <c r="M3069"/>
    </row>
    <row r="3070" spans="3:13" ht="12.75" customHeight="1" x14ac:dyDescent="0.2">
      <c r="C3070"/>
      <c r="M3070"/>
    </row>
    <row r="3071" spans="3:13" ht="12.75" customHeight="1" x14ac:dyDescent="0.2">
      <c r="C3071"/>
      <c r="M3071"/>
    </row>
    <row r="3072" spans="3:13" ht="12.75" customHeight="1" x14ac:dyDescent="0.2">
      <c r="C3072"/>
      <c r="M3072"/>
    </row>
    <row r="3073" spans="3:13" ht="12.75" customHeight="1" x14ac:dyDescent="0.2">
      <c r="C3073"/>
      <c r="M3073"/>
    </row>
    <row r="3074" spans="3:13" ht="12.75" customHeight="1" x14ac:dyDescent="0.2">
      <c r="C3074"/>
      <c r="M3074"/>
    </row>
    <row r="3075" spans="3:13" ht="12.75" customHeight="1" x14ac:dyDescent="0.2">
      <c r="C3075"/>
      <c r="M3075"/>
    </row>
    <row r="3076" spans="3:13" ht="12.75" customHeight="1" x14ac:dyDescent="0.2">
      <c r="C3076"/>
      <c r="M3076"/>
    </row>
    <row r="3077" spans="3:13" ht="12.75" customHeight="1" x14ac:dyDescent="0.2">
      <c r="C3077"/>
      <c r="M3077"/>
    </row>
    <row r="3078" spans="3:13" ht="12.75" customHeight="1" x14ac:dyDescent="0.2">
      <c r="C3078"/>
      <c r="M3078"/>
    </row>
    <row r="3079" spans="3:13" ht="12.75" customHeight="1" x14ac:dyDescent="0.2">
      <c r="C3079"/>
      <c r="M3079"/>
    </row>
    <row r="3080" spans="3:13" ht="12.75" customHeight="1" x14ac:dyDescent="0.2">
      <c r="C3080"/>
      <c r="M3080"/>
    </row>
    <row r="3081" spans="3:13" ht="12.75" customHeight="1" x14ac:dyDescent="0.2">
      <c r="C3081"/>
      <c r="M3081"/>
    </row>
    <row r="3082" spans="3:13" ht="12.75" customHeight="1" x14ac:dyDescent="0.2">
      <c r="C3082"/>
      <c r="M3082"/>
    </row>
    <row r="3083" spans="3:13" ht="12.75" customHeight="1" x14ac:dyDescent="0.2">
      <c r="C3083"/>
      <c r="M3083"/>
    </row>
    <row r="3084" spans="3:13" ht="12.75" customHeight="1" x14ac:dyDescent="0.2">
      <c r="C3084"/>
      <c r="M3084"/>
    </row>
    <row r="3085" spans="3:13" ht="12.75" customHeight="1" x14ac:dyDescent="0.2">
      <c r="C3085"/>
      <c r="M3085"/>
    </row>
    <row r="3086" spans="3:13" ht="12.75" customHeight="1" x14ac:dyDescent="0.2">
      <c r="C3086"/>
      <c r="M3086"/>
    </row>
    <row r="3087" spans="3:13" ht="12.75" customHeight="1" x14ac:dyDescent="0.2">
      <c r="C3087"/>
      <c r="M3087"/>
    </row>
    <row r="3088" spans="3:13" ht="12.75" customHeight="1" x14ac:dyDescent="0.2">
      <c r="C3088"/>
      <c r="M3088"/>
    </row>
    <row r="3089" spans="3:13" ht="12.75" customHeight="1" x14ac:dyDescent="0.2">
      <c r="C3089"/>
      <c r="M3089"/>
    </row>
    <row r="3090" spans="3:13" ht="12.75" customHeight="1" x14ac:dyDescent="0.2">
      <c r="C3090"/>
      <c r="M3090"/>
    </row>
    <row r="3091" spans="3:13" ht="12.75" customHeight="1" x14ac:dyDescent="0.2">
      <c r="C3091"/>
      <c r="M3091"/>
    </row>
    <row r="3092" spans="3:13" ht="12.75" customHeight="1" x14ac:dyDescent="0.2">
      <c r="C3092"/>
      <c r="M3092"/>
    </row>
    <row r="3093" spans="3:13" ht="12.75" customHeight="1" x14ac:dyDescent="0.2">
      <c r="C3093"/>
      <c r="M3093"/>
    </row>
    <row r="3094" spans="3:13" ht="12.75" customHeight="1" x14ac:dyDescent="0.2">
      <c r="C3094"/>
      <c r="M3094"/>
    </row>
    <row r="3095" spans="3:13" ht="12.75" customHeight="1" x14ac:dyDescent="0.2">
      <c r="C3095"/>
      <c r="M3095"/>
    </row>
    <row r="3096" spans="3:13" ht="12.75" customHeight="1" x14ac:dyDescent="0.2">
      <c r="C3096"/>
      <c r="M3096"/>
    </row>
    <row r="3097" spans="3:13" ht="12.75" customHeight="1" x14ac:dyDescent="0.2">
      <c r="C3097"/>
      <c r="M3097"/>
    </row>
    <row r="3098" spans="3:13" ht="12.75" customHeight="1" x14ac:dyDescent="0.2">
      <c r="C3098"/>
      <c r="M3098"/>
    </row>
    <row r="3099" spans="3:13" ht="12.75" customHeight="1" x14ac:dyDescent="0.2">
      <c r="C3099"/>
      <c r="M3099"/>
    </row>
    <row r="3100" spans="3:13" ht="12.75" customHeight="1" x14ac:dyDescent="0.2">
      <c r="C3100"/>
      <c r="M3100"/>
    </row>
    <row r="3101" spans="3:13" ht="12.75" customHeight="1" x14ac:dyDescent="0.2">
      <c r="C3101"/>
      <c r="M3101"/>
    </row>
    <row r="3102" spans="3:13" ht="12.75" customHeight="1" x14ac:dyDescent="0.2">
      <c r="C3102"/>
      <c r="M3102"/>
    </row>
    <row r="3103" spans="3:13" ht="12.75" customHeight="1" x14ac:dyDescent="0.2">
      <c r="C3103"/>
      <c r="M3103"/>
    </row>
    <row r="3104" spans="3:13" ht="12.75" customHeight="1" x14ac:dyDescent="0.2">
      <c r="C3104"/>
      <c r="M3104"/>
    </row>
    <row r="3105" spans="3:13" ht="12.75" customHeight="1" x14ac:dyDescent="0.2">
      <c r="C3105"/>
      <c r="M3105"/>
    </row>
    <row r="3106" spans="3:13" ht="12.75" customHeight="1" x14ac:dyDescent="0.2">
      <c r="C3106"/>
      <c r="M3106"/>
    </row>
    <row r="3107" spans="3:13" ht="12.75" customHeight="1" x14ac:dyDescent="0.2">
      <c r="C3107"/>
      <c r="M3107"/>
    </row>
    <row r="3108" spans="3:13" ht="12.75" customHeight="1" x14ac:dyDescent="0.2">
      <c r="C3108"/>
      <c r="M3108"/>
    </row>
    <row r="3109" spans="3:13" ht="12.75" customHeight="1" x14ac:dyDescent="0.2">
      <c r="C3109"/>
      <c r="M3109"/>
    </row>
    <row r="3110" spans="3:13" ht="12.75" customHeight="1" x14ac:dyDescent="0.2">
      <c r="C3110"/>
      <c r="M3110"/>
    </row>
    <row r="3111" spans="3:13" ht="12.75" customHeight="1" x14ac:dyDescent="0.2">
      <c r="C3111"/>
      <c r="M3111"/>
    </row>
    <row r="3112" spans="3:13" ht="12.75" customHeight="1" x14ac:dyDescent="0.2">
      <c r="C3112"/>
      <c r="M3112"/>
    </row>
    <row r="3113" spans="3:13" ht="12.75" customHeight="1" x14ac:dyDescent="0.2">
      <c r="C3113"/>
      <c r="M3113"/>
    </row>
    <row r="3114" spans="3:13" ht="12.75" customHeight="1" x14ac:dyDescent="0.2">
      <c r="C3114"/>
      <c r="M3114"/>
    </row>
    <row r="3115" spans="3:13" ht="12.75" customHeight="1" x14ac:dyDescent="0.2">
      <c r="C3115"/>
      <c r="M3115"/>
    </row>
    <row r="3116" spans="3:13" ht="12.75" customHeight="1" x14ac:dyDescent="0.2">
      <c r="C3116"/>
      <c r="M3116"/>
    </row>
    <row r="3117" spans="3:13" ht="12.75" customHeight="1" x14ac:dyDescent="0.2">
      <c r="C3117"/>
      <c r="M3117"/>
    </row>
    <row r="3118" spans="3:13" ht="12.75" customHeight="1" x14ac:dyDescent="0.2">
      <c r="C3118"/>
      <c r="M3118"/>
    </row>
    <row r="3119" spans="3:13" ht="12.75" customHeight="1" x14ac:dyDescent="0.2">
      <c r="C3119"/>
      <c r="M3119"/>
    </row>
    <row r="3120" spans="3:13" ht="12.75" customHeight="1" x14ac:dyDescent="0.2">
      <c r="C3120"/>
      <c r="M3120"/>
    </row>
    <row r="3121" spans="3:13" ht="12.75" customHeight="1" x14ac:dyDescent="0.2">
      <c r="C3121"/>
      <c r="M3121"/>
    </row>
    <row r="3122" spans="3:13" ht="12.75" customHeight="1" x14ac:dyDescent="0.2">
      <c r="C3122"/>
      <c r="M3122"/>
    </row>
    <row r="3123" spans="3:13" ht="12.75" customHeight="1" x14ac:dyDescent="0.2">
      <c r="C3123"/>
      <c r="M3123"/>
    </row>
    <row r="3124" spans="3:13" ht="12.75" customHeight="1" x14ac:dyDescent="0.2">
      <c r="C3124"/>
      <c r="M3124"/>
    </row>
    <row r="3125" spans="3:13" ht="12.75" customHeight="1" x14ac:dyDescent="0.2">
      <c r="C3125"/>
      <c r="M3125"/>
    </row>
    <row r="3126" spans="3:13" ht="12.75" customHeight="1" x14ac:dyDescent="0.2">
      <c r="C3126"/>
      <c r="M3126"/>
    </row>
    <row r="3127" spans="3:13" ht="12.75" customHeight="1" x14ac:dyDescent="0.2">
      <c r="C3127"/>
      <c r="M3127"/>
    </row>
    <row r="3128" spans="3:13" ht="12.75" customHeight="1" x14ac:dyDescent="0.2">
      <c r="C3128"/>
      <c r="M3128"/>
    </row>
    <row r="3129" spans="3:13" ht="12.75" customHeight="1" x14ac:dyDescent="0.2">
      <c r="C3129"/>
      <c r="M3129"/>
    </row>
    <row r="3130" spans="3:13" ht="12.75" customHeight="1" x14ac:dyDescent="0.2">
      <c r="C3130"/>
      <c r="M3130"/>
    </row>
    <row r="3131" spans="3:13" ht="12.75" customHeight="1" x14ac:dyDescent="0.2">
      <c r="C3131"/>
      <c r="M3131"/>
    </row>
    <row r="3132" spans="3:13" ht="12.75" customHeight="1" x14ac:dyDescent="0.2">
      <c r="C3132"/>
      <c r="M3132"/>
    </row>
    <row r="3133" spans="3:13" ht="12.75" customHeight="1" x14ac:dyDescent="0.2">
      <c r="C3133"/>
      <c r="M3133"/>
    </row>
    <row r="3134" spans="3:13" ht="12.75" customHeight="1" x14ac:dyDescent="0.2">
      <c r="C3134"/>
      <c r="M3134"/>
    </row>
    <row r="3135" spans="3:13" ht="12.75" customHeight="1" x14ac:dyDescent="0.2">
      <c r="C3135"/>
      <c r="M3135"/>
    </row>
    <row r="3136" spans="3:13" ht="12.75" customHeight="1" x14ac:dyDescent="0.2">
      <c r="C3136"/>
      <c r="M3136"/>
    </row>
    <row r="3137" spans="3:13" ht="12.75" customHeight="1" x14ac:dyDescent="0.2">
      <c r="C3137"/>
      <c r="M3137"/>
    </row>
    <row r="3138" spans="3:13" ht="12.75" customHeight="1" x14ac:dyDescent="0.2">
      <c r="C3138"/>
      <c r="M3138"/>
    </row>
    <row r="3139" spans="3:13" ht="12.75" customHeight="1" x14ac:dyDescent="0.2">
      <c r="C3139"/>
      <c r="M3139"/>
    </row>
    <row r="3140" spans="3:13" ht="12.75" customHeight="1" x14ac:dyDescent="0.2">
      <c r="C3140"/>
      <c r="M3140"/>
    </row>
    <row r="3141" spans="3:13" ht="12.75" customHeight="1" x14ac:dyDescent="0.2">
      <c r="C3141"/>
      <c r="M3141"/>
    </row>
    <row r="3142" spans="3:13" ht="12.75" customHeight="1" x14ac:dyDescent="0.2">
      <c r="C3142"/>
      <c r="M3142"/>
    </row>
    <row r="3143" spans="3:13" ht="12.75" customHeight="1" x14ac:dyDescent="0.2">
      <c r="C3143"/>
      <c r="M3143"/>
    </row>
    <row r="3144" spans="3:13" ht="12.75" customHeight="1" x14ac:dyDescent="0.2">
      <c r="C3144"/>
      <c r="M3144"/>
    </row>
    <row r="3145" spans="3:13" ht="12.75" customHeight="1" x14ac:dyDescent="0.2">
      <c r="C3145"/>
      <c r="M3145"/>
    </row>
    <row r="3146" spans="3:13" ht="12.75" customHeight="1" x14ac:dyDescent="0.2">
      <c r="C3146"/>
      <c r="M3146"/>
    </row>
    <row r="3147" spans="3:13" ht="12.75" customHeight="1" x14ac:dyDescent="0.2">
      <c r="C3147"/>
      <c r="M3147"/>
    </row>
    <row r="3148" spans="3:13" ht="12.75" customHeight="1" x14ac:dyDescent="0.2">
      <c r="C3148"/>
      <c r="M3148"/>
    </row>
    <row r="3149" spans="3:13" ht="12.75" customHeight="1" x14ac:dyDescent="0.2">
      <c r="C3149"/>
      <c r="M3149"/>
    </row>
    <row r="3150" spans="3:13" ht="12.75" customHeight="1" x14ac:dyDescent="0.2">
      <c r="C3150"/>
      <c r="M3150"/>
    </row>
    <row r="3151" spans="3:13" ht="12.75" customHeight="1" x14ac:dyDescent="0.2">
      <c r="C3151"/>
      <c r="M3151"/>
    </row>
    <row r="3152" spans="3:13" ht="12.75" customHeight="1" x14ac:dyDescent="0.2">
      <c r="C3152"/>
      <c r="M3152"/>
    </row>
    <row r="3153" spans="3:13" ht="12.75" customHeight="1" x14ac:dyDescent="0.2">
      <c r="C3153"/>
      <c r="M3153"/>
    </row>
    <row r="3154" spans="3:13" ht="12.75" customHeight="1" x14ac:dyDescent="0.2">
      <c r="C3154"/>
      <c r="M3154"/>
    </row>
    <row r="3155" spans="3:13" ht="12.75" customHeight="1" x14ac:dyDescent="0.2">
      <c r="C3155"/>
      <c r="M3155"/>
    </row>
    <row r="3156" spans="3:13" ht="12.75" customHeight="1" x14ac:dyDescent="0.2">
      <c r="C3156"/>
      <c r="M3156"/>
    </row>
    <row r="3157" spans="3:13" ht="12.75" customHeight="1" x14ac:dyDescent="0.2">
      <c r="C3157"/>
      <c r="M3157"/>
    </row>
    <row r="3158" spans="3:13" ht="12.75" customHeight="1" x14ac:dyDescent="0.2">
      <c r="C3158"/>
      <c r="M3158"/>
    </row>
    <row r="3159" spans="3:13" ht="12.75" customHeight="1" x14ac:dyDescent="0.2">
      <c r="C3159"/>
      <c r="M3159"/>
    </row>
    <row r="3160" spans="3:13" ht="12.75" customHeight="1" x14ac:dyDescent="0.2">
      <c r="C3160"/>
      <c r="M3160"/>
    </row>
    <row r="3161" spans="3:13" ht="12.75" customHeight="1" x14ac:dyDescent="0.2">
      <c r="C3161"/>
      <c r="M3161"/>
    </row>
    <row r="3162" spans="3:13" ht="12.75" customHeight="1" x14ac:dyDescent="0.2">
      <c r="C3162"/>
      <c r="M3162"/>
    </row>
    <row r="3163" spans="3:13" ht="12.75" customHeight="1" x14ac:dyDescent="0.2">
      <c r="C3163"/>
      <c r="M3163"/>
    </row>
    <row r="3164" spans="3:13" ht="12.75" customHeight="1" x14ac:dyDescent="0.2">
      <c r="C3164"/>
      <c r="M3164"/>
    </row>
    <row r="3165" spans="3:13" ht="12.75" customHeight="1" x14ac:dyDescent="0.2">
      <c r="C3165"/>
      <c r="M3165"/>
    </row>
    <row r="3166" spans="3:13" ht="12.75" customHeight="1" x14ac:dyDescent="0.2">
      <c r="C3166"/>
      <c r="M3166"/>
    </row>
    <row r="3167" spans="3:13" ht="12.75" customHeight="1" x14ac:dyDescent="0.2">
      <c r="C3167"/>
      <c r="M3167"/>
    </row>
    <row r="3168" spans="3:13" ht="12.75" customHeight="1" x14ac:dyDescent="0.2">
      <c r="C3168"/>
      <c r="M3168"/>
    </row>
    <row r="3169" spans="3:13" ht="12.75" customHeight="1" x14ac:dyDescent="0.2">
      <c r="C3169"/>
      <c r="M3169"/>
    </row>
    <row r="3170" spans="3:13" ht="12.75" customHeight="1" x14ac:dyDescent="0.2">
      <c r="C3170"/>
      <c r="M3170"/>
    </row>
    <row r="3171" spans="3:13" ht="12.75" customHeight="1" x14ac:dyDescent="0.2">
      <c r="C3171"/>
      <c r="M3171"/>
    </row>
    <row r="3172" spans="3:13" ht="12.75" customHeight="1" x14ac:dyDescent="0.2">
      <c r="C3172"/>
      <c r="M3172"/>
    </row>
    <row r="3173" spans="3:13" ht="12.75" customHeight="1" x14ac:dyDescent="0.2">
      <c r="C3173"/>
      <c r="M3173"/>
    </row>
    <row r="3174" spans="3:13" ht="12.75" customHeight="1" x14ac:dyDescent="0.2">
      <c r="C3174"/>
      <c r="M3174"/>
    </row>
    <row r="3175" spans="3:13" ht="12.75" customHeight="1" x14ac:dyDescent="0.2">
      <c r="C3175"/>
      <c r="M3175"/>
    </row>
    <row r="3176" spans="3:13" ht="12.75" customHeight="1" x14ac:dyDescent="0.2">
      <c r="C3176"/>
      <c r="M3176"/>
    </row>
    <row r="3177" spans="3:13" ht="12.75" customHeight="1" x14ac:dyDescent="0.2">
      <c r="C3177"/>
      <c r="M3177"/>
    </row>
    <row r="3178" spans="3:13" ht="12.75" customHeight="1" x14ac:dyDescent="0.2">
      <c r="C3178"/>
      <c r="M3178"/>
    </row>
    <row r="3179" spans="3:13" ht="12.75" customHeight="1" x14ac:dyDescent="0.2">
      <c r="C3179"/>
      <c r="M3179"/>
    </row>
    <row r="3180" spans="3:13" ht="12.75" customHeight="1" x14ac:dyDescent="0.2">
      <c r="C3180"/>
      <c r="M3180"/>
    </row>
    <row r="3181" spans="3:13" ht="12.75" customHeight="1" x14ac:dyDescent="0.2">
      <c r="C3181"/>
      <c r="M3181"/>
    </row>
    <row r="3182" spans="3:13" ht="12.75" customHeight="1" x14ac:dyDescent="0.2">
      <c r="C3182"/>
      <c r="M3182"/>
    </row>
    <row r="3183" spans="3:13" ht="12.75" customHeight="1" x14ac:dyDescent="0.2">
      <c r="C3183"/>
      <c r="M3183"/>
    </row>
    <row r="3184" spans="3:13" ht="12.75" customHeight="1" x14ac:dyDescent="0.2">
      <c r="C3184"/>
      <c r="M3184"/>
    </row>
    <row r="3185" spans="3:13" ht="12.75" customHeight="1" x14ac:dyDescent="0.2">
      <c r="C3185"/>
      <c r="M3185"/>
    </row>
    <row r="3186" spans="3:13" ht="12.75" customHeight="1" x14ac:dyDescent="0.2">
      <c r="C3186"/>
      <c r="M3186"/>
    </row>
    <row r="3187" spans="3:13" ht="12.75" customHeight="1" x14ac:dyDescent="0.2">
      <c r="C3187"/>
      <c r="M3187"/>
    </row>
    <row r="3188" spans="3:13" ht="12.75" customHeight="1" x14ac:dyDescent="0.2">
      <c r="C3188"/>
      <c r="M3188"/>
    </row>
    <row r="3189" spans="3:13" ht="12.75" customHeight="1" x14ac:dyDescent="0.2">
      <c r="C3189"/>
      <c r="M3189"/>
    </row>
    <row r="3190" spans="3:13" ht="12.75" customHeight="1" x14ac:dyDescent="0.2">
      <c r="C3190"/>
      <c r="M3190"/>
    </row>
    <row r="3191" spans="3:13" ht="12.75" customHeight="1" x14ac:dyDescent="0.2">
      <c r="C3191"/>
      <c r="M3191"/>
    </row>
    <row r="3192" spans="3:13" ht="12.75" customHeight="1" x14ac:dyDescent="0.2">
      <c r="C3192"/>
      <c r="M3192"/>
    </row>
    <row r="3193" spans="3:13" ht="12.75" customHeight="1" x14ac:dyDescent="0.2">
      <c r="C3193"/>
      <c r="M3193"/>
    </row>
    <row r="3194" spans="3:13" ht="12.75" customHeight="1" x14ac:dyDescent="0.2">
      <c r="C3194"/>
      <c r="M3194"/>
    </row>
    <row r="3195" spans="3:13" ht="12.75" customHeight="1" x14ac:dyDescent="0.2">
      <c r="C3195"/>
      <c r="M3195"/>
    </row>
    <row r="3196" spans="3:13" ht="12.75" customHeight="1" x14ac:dyDescent="0.2">
      <c r="C3196"/>
      <c r="M3196"/>
    </row>
    <row r="3197" spans="3:13" ht="12.75" customHeight="1" x14ac:dyDescent="0.2">
      <c r="C3197"/>
      <c r="M3197"/>
    </row>
    <row r="3198" spans="3:13" ht="12.75" customHeight="1" x14ac:dyDescent="0.2">
      <c r="C3198"/>
      <c r="M3198"/>
    </row>
    <row r="3199" spans="3:13" ht="12.75" customHeight="1" x14ac:dyDescent="0.2">
      <c r="C3199"/>
      <c r="M3199"/>
    </row>
    <row r="3200" spans="3:13" ht="12.75" customHeight="1" x14ac:dyDescent="0.2">
      <c r="C3200"/>
      <c r="M3200"/>
    </row>
    <row r="3201" spans="3:13" ht="12.75" customHeight="1" x14ac:dyDescent="0.2">
      <c r="C3201"/>
      <c r="M3201"/>
    </row>
    <row r="3202" spans="3:13" ht="12.75" customHeight="1" x14ac:dyDescent="0.2">
      <c r="C3202"/>
      <c r="M3202"/>
    </row>
    <row r="3203" spans="3:13" ht="12.75" customHeight="1" x14ac:dyDescent="0.2">
      <c r="C3203"/>
      <c r="M3203"/>
    </row>
    <row r="3204" spans="3:13" ht="12.75" customHeight="1" x14ac:dyDescent="0.2">
      <c r="C3204"/>
      <c r="M3204"/>
    </row>
    <row r="3205" spans="3:13" ht="12.75" customHeight="1" x14ac:dyDescent="0.2">
      <c r="C3205"/>
      <c r="M3205"/>
    </row>
    <row r="3206" spans="3:13" ht="12.75" customHeight="1" x14ac:dyDescent="0.2">
      <c r="C3206"/>
      <c r="M3206"/>
    </row>
    <row r="3207" spans="3:13" ht="12.75" customHeight="1" x14ac:dyDescent="0.2">
      <c r="C3207"/>
      <c r="M3207"/>
    </row>
    <row r="3208" spans="3:13" ht="12.75" customHeight="1" x14ac:dyDescent="0.2">
      <c r="C3208"/>
      <c r="M3208"/>
    </row>
    <row r="3209" spans="3:13" ht="12.75" customHeight="1" x14ac:dyDescent="0.2">
      <c r="C3209"/>
      <c r="M3209"/>
    </row>
    <row r="3210" spans="3:13" ht="12.75" customHeight="1" x14ac:dyDescent="0.2">
      <c r="C3210"/>
      <c r="M3210"/>
    </row>
    <row r="3211" spans="3:13" ht="12.75" customHeight="1" x14ac:dyDescent="0.2">
      <c r="C3211"/>
      <c r="M3211"/>
    </row>
    <row r="3212" spans="3:13" ht="12.75" customHeight="1" x14ac:dyDescent="0.2">
      <c r="C3212"/>
      <c r="M3212"/>
    </row>
    <row r="3213" spans="3:13" ht="12.75" customHeight="1" x14ac:dyDescent="0.2">
      <c r="C3213"/>
      <c r="M3213"/>
    </row>
    <row r="3214" spans="3:13" ht="12.75" customHeight="1" x14ac:dyDescent="0.2">
      <c r="C3214"/>
      <c r="M3214"/>
    </row>
    <row r="3215" spans="3:13" ht="12.75" customHeight="1" x14ac:dyDescent="0.2">
      <c r="C3215"/>
      <c r="M3215"/>
    </row>
    <row r="3216" spans="3:13" ht="12.75" customHeight="1" x14ac:dyDescent="0.2">
      <c r="C3216"/>
      <c r="M3216"/>
    </row>
    <row r="3217" spans="3:13" ht="12.75" customHeight="1" x14ac:dyDescent="0.2">
      <c r="C3217"/>
      <c r="M3217"/>
    </row>
    <row r="3218" spans="3:13" ht="12.75" customHeight="1" x14ac:dyDescent="0.2">
      <c r="C3218"/>
      <c r="M3218"/>
    </row>
    <row r="3219" spans="3:13" ht="12.75" customHeight="1" x14ac:dyDescent="0.2">
      <c r="C3219"/>
      <c r="M3219"/>
    </row>
    <row r="3220" spans="3:13" ht="12.75" customHeight="1" x14ac:dyDescent="0.2">
      <c r="C3220"/>
      <c r="M3220"/>
    </row>
    <row r="3221" spans="3:13" ht="12.75" customHeight="1" x14ac:dyDescent="0.2">
      <c r="C3221"/>
      <c r="M3221"/>
    </row>
    <row r="3222" spans="3:13" ht="12.75" customHeight="1" x14ac:dyDescent="0.2">
      <c r="C3222"/>
      <c r="M3222"/>
    </row>
    <row r="3223" spans="3:13" ht="12.75" customHeight="1" x14ac:dyDescent="0.2">
      <c r="C3223"/>
      <c r="M3223"/>
    </row>
    <row r="3224" spans="3:13" ht="12.75" customHeight="1" x14ac:dyDescent="0.2">
      <c r="C3224"/>
      <c r="M3224"/>
    </row>
    <row r="3225" spans="3:13" ht="12.75" customHeight="1" x14ac:dyDescent="0.2">
      <c r="C3225"/>
      <c r="M3225"/>
    </row>
    <row r="3226" spans="3:13" ht="12.75" customHeight="1" x14ac:dyDescent="0.2">
      <c r="C3226"/>
      <c r="M3226"/>
    </row>
    <row r="3227" spans="3:13" ht="12.75" customHeight="1" x14ac:dyDescent="0.2">
      <c r="C3227"/>
      <c r="M3227"/>
    </row>
    <row r="3228" spans="3:13" ht="12.75" customHeight="1" x14ac:dyDescent="0.2">
      <c r="C3228"/>
      <c r="M3228"/>
    </row>
    <row r="3229" spans="3:13" ht="12.75" customHeight="1" x14ac:dyDescent="0.2">
      <c r="C3229"/>
      <c r="M3229"/>
    </row>
    <row r="3230" spans="3:13" ht="12.75" customHeight="1" x14ac:dyDescent="0.2">
      <c r="C3230"/>
      <c r="M3230"/>
    </row>
    <row r="3231" spans="3:13" ht="12.75" customHeight="1" x14ac:dyDescent="0.2">
      <c r="C3231"/>
      <c r="M3231"/>
    </row>
    <row r="3232" spans="3:13" ht="12.75" customHeight="1" x14ac:dyDescent="0.2">
      <c r="C3232"/>
      <c r="M3232"/>
    </row>
    <row r="3233" spans="3:13" ht="12.75" customHeight="1" x14ac:dyDescent="0.2">
      <c r="C3233"/>
      <c r="M3233"/>
    </row>
    <row r="3234" spans="3:13" ht="12.75" customHeight="1" x14ac:dyDescent="0.2">
      <c r="C3234"/>
      <c r="M3234"/>
    </row>
    <row r="3235" spans="3:13" ht="12.75" customHeight="1" x14ac:dyDescent="0.2">
      <c r="C3235"/>
      <c r="M3235"/>
    </row>
    <row r="3236" spans="3:13" ht="12.75" customHeight="1" x14ac:dyDescent="0.2">
      <c r="C3236"/>
      <c r="M3236"/>
    </row>
    <row r="3237" spans="3:13" ht="12.75" customHeight="1" x14ac:dyDescent="0.2">
      <c r="C3237"/>
      <c r="M3237"/>
    </row>
    <row r="3238" spans="3:13" ht="12.75" customHeight="1" x14ac:dyDescent="0.2">
      <c r="C3238"/>
      <c r="M3238"/>
    </row>
    <row r="3239" spans="3:13" ht="12.75" customHeight="1" x14ac:dyDescent="0.2">
      <c r="C3239"/>
      <c r="M3239"/>
    </row>
    <row r="3240" spans="3:13" ht="12.75" customHeight="1" x14ac:dyDescent="0.2">
      <c r="C3240"/>
      <c r="M3240"/>
    </row>
    <row r="3241" spans="3:13" ht="12.75" customHeight="1" x14ac:dyDescent="0.2">
      <c r="C3241"/>
      <c r="M3241"/>
    </row>
    <row r="3242" spans="3:13" ht="12.75" customHeight="1" x14ac:dyDescent="0.2">
      <c r="C3242"/>
      <c r="M3242"/>
    </row>
    <row r="3243" spans="3:13" ht="12.75" customHeight="1" x14ac:dyDescent="0.2">
      <c r="C3243"/>
      <c r="M3243"/>
    </row>
    <row r="3244" spans="3:13" ht="12.75" customHeight="1" x14ac:dyDescent="0.2">
      <c r="C3244"/>
      <c r="M3244"/>
    </row>
    <row r="3245" spans="3:13" ht="12.75" customHeight="1" x14ac:dyDescent="0.2">
      <c r="C3245"/>
      <c r="M3245"/>
    </row>
    <row r="3246" spans="3:13" ht="12.75" customHeight="1" x14ac:dyDescent="0.2">
      <c r="C3246"/>
      <c r="M3246"/>
    </row>
    <row r="3247" spans="3:13" ht="12.75" customHeight="1" x14ac:dyDescent="0.2">
      <c r="C3247"/>
      <c r="M3247"/>
    </row>
    <row r="3248" spans="3:13" ht="12.75" customHeight="1" x14ac:dyDescent="0.2">
      <c r="C3248"/>
      <c r="M3248"/>
    </row>
    <row r="3249" spans="3:13" ht="12.75" customHeight="1" x14ac:dyDescent="0.2">
      <c r="C3249"/>
      <c r="M3249"/>
    </row>
    <row r="3250" spans="3:13" ht="12.75" customHeight="1" x14ac:dyDescent="0.2">
      <c r="C3250"/>
      <c r="M3250"/>
    </row>
    <row r="3251" spans="3:13" ht="12.75" customHeight="1" x14ac:dyDescent="0.2">
      <c r="C3251"/>
      <c r="M3251"/>
    </row>
    <row r="3252" spans="3:13" ht="12.75" customHeight="1" x14ac:dyDescent="0.2">
      <c r="C3252"/>
      <c r="M3252"/>
    </row>
    <row r="3253" spans="3:13" ht="12.75" customHeight="1" x14ac:dyDescent="0.2">
      <c r="C3253"/>
      <c r="M3253"/>
    </row>
    <row r="3254" spans="3:13" ht="12.75" customHeight="1" x14ac:dyDescent="0.2">
      <c r="C3254"/>
      <c r="M3254"/>
    </row>
    <row r="3255" spans="3:13" ht="12.75" customHeight="1" x14ac:dyDescent="0.2">
      <c r="C3255"/>
      <c r="M3255"/>
    </row>
    <row r="3256" spans="3:13" ht="12.75" customHeight="1" x14ac:dyDescent="0.2">
      <c r="C3256"/>
      <c r="M3256"/>
    </row>
    <row r="3257" spans="3:13" ht="12.75" customHeight="1" x14ac:dyDescent="0.2">
      <c r="C3257"/>
      <c r="M3257"/>
    </row>
    <row r="3258" spans="3:13" ht="12.75" customHeight="1" x14ac:dyDescent="0.2">
      <c r="C3258"/>
      <c r="M3258"/>
    </row>
    <row r="3259" spans="3:13" ht="12.75" customHeight="1" x14ac:dyDescent="0.2">
      <c r="C3259"/>
      <c r="M3259"/>
    </row>
    <row r="3260" spans="3:13" ht="12.75" customHeight="1" x14ac:dyDescent="0.2">
      <c r="C3260"/>
      <c r="M3260"/>
    </row>
    <row r="3261" spans="3:13" ht="12.75" customHeight="1" x14ac:dyDescent="0.2">
      <c r="C3261"/>
      <c r="M3261"/>
    </row>
    <row r="3262" spans="3:13" ht="12.75" customHeight="1" x14ac:dyDescent="0.2">
      <c r="C3262"/>
      <c r="M3262"/>
    </row>
    <row r="3263" spans="3:13" ht="12.75" customHeight="1" x14ac:dyDescent="0.2">
      <c r="C3263"/>
      <c r="M3263"/>
    </row>
    <row r="3264" spans="3:13" ht="12.75" customHeight="1" x14ac:dyDescent="0.2">
      <c r="C3264"/>
      <c r="M3264"/>
    </row>
    <row r="3265" spans="3:13" ht="12.75" customHeight="1" x14ac:dyDescent="0.2">
      <c r="C3265"/>
      <c r="M3265"/>
    </row>
    <row r="3266" spans="3:13" ht="12.75" customHeight="1" x14ac:dyDescent="0.2">
      <c r="C3266"/>
      <c r="M3266"/>
    </row>
    <row r="3267" spans="3:13" ht="12.75" customHeight="1" x14ac:dyDescent="0.2">
      <c r="C3267"/>
      <c r="M3267"/>
    </row>
    <row r="3268" spans="3:13" ht="12.75" customHeight="1" x14ac:dyDescent="0.2">
      <c r="C3268"/>
      <c r="M3268"/>
    </row>
    <row r="3269" spans="3:13" ht="12.75" customHeight="1" x14ac:dyDescent="0.2">
      <c r="C3269"/>
      <c r="M3269"/>
    </row>
    <row r="3270" spans="3:13" ht="12.75" customHeight="1" x14ac:dyDescent="0.2">
      <c r="C3270"/>
      <c r="M3270"/>
    </row>
    <row r="3271" spans="3:13" ht="12.75" customHeight="1" x14ac:dyDescent="0.2">
      <c r="C3271"/>
      <c r="M3271"/>
    </row>
    <row r="3272" spans="3:13" ht="12.75" customHeight="1" x14ac:dyDescent="0.2">
      <c r="C3272"/>
      <c r="M3272"/>
    </row>
    <row r="3273" spans="3:13" ht="12.75" customHeight="1" x14ac:dyDescent="0.2">
      <c r="C3273"/>
      <c r="M3273"/>
    </row>
    <row r="3274" spans="3:13" ht="12.75" customHeight="1" x14ac:dyDescent="0.2">
      <c r="C3274"/>
      <c r="M3274"/>
    </row>
    <row r="3275" spans="3:13" ht="12.75" customHeight="1" x14ac:dyDescent="0.2">
      <c r="C3275"/>
      <c r="M3275"/>
    </row>
    <row r="3276" spans="3:13" ht="12.75" customHeight="1" x14ac:dyDescent="0.2">
      <c r="C3276"/>
      <c r="M3276"/>
    </row>
    <row r="3277" spans="3:13" ht="12.75" customHeight="1" x14ac:dyDescent="0.2">
      <c r="C3277"/>
      <c r="M3277"/>
    </row>
    <row r="3278" spans="3:13" ht="12.75" customHeight="1" x14ac:dyDescent="0.2">
      <c r="C3278"/>
      <c r="M3278"/>
    </row>
    <row r="3279" spans="3:13" ht="12.75" customHeight="1" x14ac:dyDescent="0.2">
      <c r="C3279"/>
      <c r="M3279"/>
    </row>
    <row r="3280" spans="3:13" ht="12.75" customHeight="1" x14ac:dyDescent="0.2">
      <c r="C3280"/>
      <c r="M3280"/>
    </row>
    <row r="3281" spans="3:13" ht="12.75" customHeight="1" x14ac:dyDescent="0.2">
      <c r="C3281"/>
      <c r="M3281"/>
    </row>
    <row r="3282" spans="3:13" ht="12.75" customHeight="1" x14ac:dyDescent="0.2">
      <c r="C3282"/>
      <c r="M3282"/>
    </row>
    <row r="3283" spans="3:13" ht="12.75" customHeight="1" x14ac:dyDescent="0.2">
      <c r="C3283"/>
      <c r="M3283"/>
    </row>
    <row r="3284" spans="3:13" ht="12.75" customHeight="1" x14ac:dyDescent="0.2">
      <c r="C3284"/>
      <c r="M3284"/>
    </row>
    <row r="3285" spans="3:13" ht="12.75" customHeight="1" x14ac:dyDescent="0.2">
      <c r="C3285"/>
      <c r="M3285"/>
    </row>
    <row r="3286" spans="3:13" ht="12.75" customHeight="1" x14ac:dyDescent="0.2">
      <c r="C3286"/>
      <c r="M3286"/>
    </row>
    <row r="3287" spans="3:13" ht="12.75" customHeight="1" x14ac:dyDescent="0.2">
      <c r="C3287"/>
      <c r="M3287"/>
    </row>
    <row r="3288" spans="3:13" ht="12.75" customHeight="1" x14ac:dyDescent="0.2">
      <c r="C3288"/>
      <c r="M3288"/>
    </row>
    <row r="3289" spans="3:13" ht="12.75" customHeight="1" x14ac:dyDescent="0.2">
      <c r="C3289"/>
      <c r="M3289"/>
    </row>
    <row r="3290" spans="3:13" ht="12.75" customHeight="1" x14ac:dyDescent="0.2">
      <c r="C3290"/>
      <c r="M3290"/>
    </row>
    <row r="3291" spans="3:13" ht="12.75" customHeight="1" x14ac:dyDescent="0.2">
      <c r="C3291"/>
      <c r="M3291"/>
    </row>
    <row r="3292" spans="3:13" ht="12.75" customHeight="1" x14ac:dyDescent="0.2">
      <c r="C3292"/>
      <c r="M3292"/>
    </row>
    <row r="3293" spans="3:13" ht="12.75" customHeight="1" x14ac:dyDescent="0.2">
      <c r="C3293"/>
      <c r="M3293"/>
    </row>
    <row r="3294" spans="3:13" ht="12.75" customHeight="1" x14ac:dyDescent="0.2">
      <c r="C3294"/>
      <c r="M3294"/>
    </row>
    <row r="3295" spans="3:13" ht="12.75" customHeight="1" x14ac:dyDescent="0.2">
      <c r="C3295"/>
      <c r="M3295"/>
    </row>
    <row r="3296" spans="3:13" ht="12.75" customHeight="1" x14ac:dyDescent="0.2">
      <c r="C3296"/>
      <c r="M3296"/>
    </row>
    <row r="3297" spans="3:13" ht="12.75" customHeight="1" x14ac:dyDescent="0.2">
      <c r="C3297"/>
      <c r="M3297"/>
    </row>
    <row r="3298" spans="3:13" ht="12.75" customHeight="1" x14ac:dyDescent="0.2">
      <c r="C3298"/>
      <c r="M3298"/>
    </row>
    <row r="3299" spans="3:13" ht="12.75" customHeight="1" x14ac:dyDescent="0.2">
      <c r="C3299"/>
      <c r="M3299"/>
    </row>
    <row r="3300" spans="3:13" ht="12.75" customHeight="1" x14ac:dyDescent="0.2">
      <c r="C3300"/>
      <c r="M3300"/>
    </row>
    <row r="3301" spans="3:13" ht="12.75" customHeight="1" x14ac:dyDescent="0.2">
      <c r="C3301"/>
      <c r="M3301"/>
    </row>
    <row r="3302" spans="3:13" ht="12.75" customHeight="1" x14ac:dyDescent="0.2">
      <c r="C3302"/>
      <c r="M3302"/>
    </row>
    <row r="3303" spans="3:13" ht="12.75" customHeight="1" x14ac:dyDescent="0.2">
      <c r="C3303"/>
      <c r="M3303"/>
    </row>
    <row r="3304" spans="3:13" ht="12.75" customHeight="1" x14ac:dyDescent="0.2">
      <c r="C3304"/>
      <c r="M3304"/>
    </row>
    <row r="3305" spans="3:13" ht="12.75" customHeight="1" x14ac:dyDescent="0.2">
      <c r="C3305"/>
      <c r="M3305"/>
    </row>
    <row r="3306" spans="3:13" ht="12.75" customHeight="1" x14ac:dyDescent="0.2">
      <c r="C3306"/>
      <c r="M3306"/>
    </row>
    <row r="3307" spans="3:13" ht="12.75" customHeight="1" x14ac:dyDescent="0.2">
      <c r="C3307"/>
      <c r="M3307"/>
    </row>
    <row r="3308" spans="3:13" ht="12.75" customHeight="1" x14ac:dyDescent="0.2">
      <c r="C3308"/>
      <c r="M3308"/>
    </row>
    <row r="3309" spans="3:13" ht="12.75" customHeight="1" x14ac:dyDescent="0.2">
      <c r="C3309"/>
      <c r="M3309"/>
    </row>
    <row r="3310" spans="3:13" ht="12.75" customHeight="1" x14ac:dyDescent="0.2">
      <c r="C3310"/>
      <c r="M3310"/>
    </row>
    <row r="3311" spans="3:13" ht="12.75" customHeight="1" x14ac:dyDescent="0.2">
      <c r="C3311"/>
      <c r="M3311"/>
    </row>
    <row r="3312" spans="3:13" ht="12.75" customHeight="1" x14ac:dyDescent="0.2">
      <c r="C3312"/>
      <c r="M3312"/>
    </row>
    <row r="3313" spans="3:13" ht="12.75" customHeight="1" x14ac:dyDescent="0.2">
      <c r="C3313"/>
      <c r="M3313"/>
    </row>
    <row r="3314" spans="3:13" ht="12.75" customHeight="1" x14ac:dyDescent="0.2">
      <c r="C3314"/>
      <c r="M3314"/>
    </row>
    <row r="3315" spans="3:13" ht="12.75" customHeight="1" x14ac:dyDescent="0.2">
      <c r="C3315"/>
      <c r="M3315"/>
    </row>
    <row r="3316" spans="3:13" ht="12.75" customHeight="1" x14ac:dyDescent="0.2">
      <c r="C3316"/>
      <c r="M3316"/>
    </row>
    <row r="3317" spans="3:13" ht="12.75" customHeight="1" x14ac:dyDescent="0.2">
      <c r="C3317"/>
      <c r="M3317"/>
    </row>
    <row r="3318" spans="3:13" ht="12.75" customHeight="1" x14ac:dyDescent="0.2">
      <c r="C3318"/>
      <c r="M3318"/>
    </row>
    <row r="3319" spans="3:13" ht="12.75" customHeight="1" x14ac:dyDescent="0.2">
      <c r="C3319"/>
      <c r="M3319"/>
    </row>
    <row r="3320" spans="3:13" ht="12.75" customHeight="1" x14ac:dyDescent="0.2">
      <c r="C3320"/>
      <c r="M3320"/>
    </row>
    <row r="3321" spans="3:13" ht="12.75" customHeight="1" x14ac:dyDescent="0.2">
      <c r="C3321"/>
      <c r="M3321"/>
    </row>
    <row r="3322" spans="3:13" ht="12.75" customHeight="1" x14ac:dyDescent="0.2">
      <c r="C3322"/>
      <c r="M3322"/>
    </row>
    <row r="3323" spans="3:13" ht="12.75" customHeight="1" x14ac:dyDescent="0.2">
      <c r="C3323"/>
      <c r="M3323"/>
    </row>
    <row r="3324" spans="3:13" ht="12.75" customHeight="1" x14ac:dyDescent="0.2">
      <c r="C3324"/>
      <c r="M3324"/>
    </row>
    <row r="3325" spans="3:13" ht="12.75" customHeight="1" x14ac:dyDescent="0.2">
      <c r="C3325"/>
      <c r="M3325"/>
    </row>
    <row r="3326" spans="3:13" ht="12.75" customHeight="1" x14ac:dyDescent="0.2">
      <c r="C3326"/>
      <c r="M3326"/>
    </row>
    <row r="3327" spans="3:13" ht="12.75" customHeight="1" x14ac:dyDescent="0.2">
      <c r="C3327"/>
      <c r="M3327"/>
    </row>
    <row r="3328" spans="3:13" ht="12.75" customHeight="1" x14ac:dyDescent="0.2">
      <c r="C3328"/>
      <c r="M3328"/>
    </row>
    <row r="3329" spans="3:13" ht="12.75" customHeight="1" x14ac:dyDescent="0.2">
      <c r="C3329"/>
      <c r="M3329"/>
    </row>
    <row r="3330" spans="3:13" ht="12.75" customHeight="1" x14ac:dyDescent="0.2">
      <c r="C3330"/>
      <c r="M3330"/>
    </row>
    <row r="3331" spans="3:13" ht="12.75" customHeight="1" x14ac:dyDescent="0.2">
      <c r="C3331"/>
      <c r="M3331"/>
    </row>
    <row r="3332" spans="3:13" ht="12.75" customHeight="1" x14ac:dyDescent="0.2">
      <c r="C3332"/>
      <c r="M3332"/>
    </row>
    <row r="3333" spans="3:13" ht="12.75" customHeight="1" x14ac:dyDescent="0.2">
      <c r="C3333"/>
      <c r="M3333"/>
    </row>
    <row r="3334" spans="3:13" ht="12.75" customHeight="1" x14ac:dyDescent="0.2">
      <c r="C3334"/>
      <c r="M3334"/>
    </row>
    <row r="3335" spans="3:13" ht="12.75" customHeight="1" x14ac:dyDescent="0.2">
      <c r="C3335"/>
      <c r="M3335"/>
    </row>
    <row r="3336" spans="3:13" ht="12.75" customHeight="1" x14ac:dyDescent="0.2">
      <c r="C3336"/>
      <c r="M3336"/>
    </row>
    <row r="3337" spans="3:13" ht="12.75" customHeight="1" x14ac:dyDescent="0.2">
      <c r="C3337"/>
      <c r="M3337"/>
    </row>
    <row r="3338" spans="3:13" ht="12.75" customHeight="1" x14ac:dyDescent="0.2">
      <c r="C3338"/>
      <c r="M3338"/>
    </row>
    <row r="3339" spans="3:13" ht="12.75" customHeight="1" x14ac:dyDescent="0.2">
      <c r="C3339"/>
      <c r="M3339"/>
    </row>
    <row r="3340" spans="3:13" ht="12.75" customHeight="1" x14ac:dyDescent="0.2">
      <c r="C3340"/>
      <c r="M3340"/>
    </row>
    <row r="3341" spans="3:13" ht="12.75" customHeight="1" x14ac:dyDescent="0.2">
      <c r="C3341"/>
      <c r="M3341"/>
    </row>
    <row r="3342" spans="3:13" ht="12.75" customHeight="1" x14ac:dyDescent="0.2">
      <c r="C3342"/>
      <c r="M3342"/>
    </row>
    <row r="3343" spans="3:13" ht="12.75" customHeight="1" x14ac:dyDescent="0.2">
      <c r="C3343"/>
      <c r="M3343"/>
    </row>
    <row r="3344" spans="3:13" ht="12.75" customHeight="1" x14ac:dyDescent="0.2">
      <c r="C3344"/>
      <c r="M3344"/>
    </row>
    <row r="3345" spans="3:13" ht="12.75" customHeight="1" x14ac:dyDescent="0.2">
      <c r="C3345"/>
      <c r="M3345"/>
    </row>
    <row r="3346" spans="3:13" ht="12.75" customHeight="1" x14ac:dyDescent="0.2">
      <c r="C3346"/>
      <c r="M3346"/>
    </row>
    <row r="3347" spans="3:13" ht="12.75" customHeight="1" x14ac:dyDescent="0.2">
      <c r="C3347"/>
      <c r="M3347"/>
    </row>
    <row r="3348" spans="3:13" ht="12.75" customHeight="1" x14ac:dyDescent="0.2">
      <c r="C3348"/>
      <c r="M3348"/>
    </row>
    <row r="3349" spans="3:13" ht="12.75" customHeight="1" x14ac:dyDescent="0.2">
      <c r="C3349"/>
      <c r="M3349"/>
    </row>
    <row r="3350" spans="3:13" ht="12.75" customHeight="1" x14ac:dyDescent="0.2">
      <c r="C3350"/>
      <c r="M3350"/>
    </row>
    <row r="3351" spans="3:13" ht="12.75" customHeight="1" x14ac:dyDescent="0.2">
      <c r="C3351"/>
      <c r="M3351"/>
    </row>
    <row r="3352" spans="3:13" ht="12.75" customHeight="1" x14ac:dyDescent="0.2">
      <c r="C3352"/>
      <c r="M3352"/>
    </row>
    <row r="3353" spans="3:13" ht="12.75" customHeight="1" x14ac:dyDescent="0.2">
      <c r="C3353"/>
      <c r="M3353"/>
    </row>
    <row r="3354" spans="3:13" ht="12.75" customHeight="1" x14ac:dyDescent="0.2">
      <c r="C3354"/>
      <c r="M3354"/>
    </row>
    <row r="3355" spans="3:13" ht="12.75" customHeight="1" x14ac:dyDescent="0.2">
      <c r="C3355"/>
      <c r="M3355"/>
    </row>
    <row r="3356" spans="3:13" ht="12.75" customHeight="1" x14ac:dyDescent="0.2">
      <c r="C3356"/>
      <c r="M3356"/>
    </row>
    <row r="3357" spans="3:13" ht="12.75" customHeight="1" x14ac:dyDescent="0.2">
      <c r="C3357"/>
      <c r="M3357"/>
    </row>
    <row r="3358" spans="3:13" ht="12.75" customHeight="1" x14ac:dyDescent="0.2">
      <c r="C3358"/>
      <c r="M3358"/>
    </row>
    <row r="3359" spans="3:13" ht="12.75" customHeight="1" x14ac:dyDescent="0.2">
      <c r="C3359"/>
      <c r="M3359"/>
    </row>
    <row r="3360" spans="3:13" ht="12.75" customHeight="1" x14ac:dyDescent="0.2">
      <c r="C3360"/>
      <c r="M3360"/>
    </row>
    <row r="3361" spans="3:13" ht="12.75" customHeight="1" x14ac:dyDescent="0.2">
      <c r="C3361"/>
      <c r="M3361"/>
    </row>
    <row r="3362" spans="3:13" ht="12.75" customHeight="1" x14ac:dyDescent="0.2">
      <c r="C3362"/>
      <c r="M3362"/>
    </row>
    <row r="3363" spans="3:13" ht="12.75" customHeight="1" x14ac:dyDescent="0.2">
      <c r="C3363"/>
      <c r="M3363"/>
    </row>
    <row r="3364" spans="3:13" ht="12.75" customHeight="1" x14ac:dyDescent="0.2">
      <c r="C3364"/>
      <c r="M3364"/>
    </row>
    <row r="3365" spans="3:13" ht="12.75" customHeight="1" x14ac:dyDescent="0.2">
      <c r="C3365"/>
      <c r="M3365"/>
    </row>
    <row r="3366" spans="3:13" ht="12.75" customHeight="1" x14ac:dyDescent="0.2">
      <c r="C3366"/>
      <c r="M3366"/>
    </row>
    <row r="3367" spans="3:13" ht="12.75" customHeight="1" x14ac:dyDescent="0.2">
      <c r="C3367"/>
      <c r="M3367"/>
    </row>
    <row r="3368" spans="3:13" ht="12.75" customHeight="1" x14ac:dyDescent="0.2">
      <c r="C3368"/>
      <c r="M3368"/>
    </row>
    <row r="3369" spans="3:13" ht="12.75" customHeight="1" x14ac:dyDescent="0.2">
      <c r="C3369"/>
      <c r="M3369"/>
    </row>
    <row r="3370" spans="3:13" ht="12.75" customHeight="1" x14ac:dyDescent="0.2">
      <c r="C3370"/>
      <c r="M3370"/>
    </row>
    <row r="3371" spans="3:13" ht="12.75" customHeight="1" x14ac:dyDescent="0.2">
      <c r="C3371"/>
      <c r="M3371"/>
    </row>
    <row r="3372" spans="3:13" ht="12.75" customHeight="1" x14ac:dyDescent="0.2">
      <c r="C3372"/>
      <c r="M3372"/>
    </row>
    <row r="3373" spans="3:13" ht="12.75" customHeight="1" x14ac:dyDescent="0.2">
      <c r="C3373"/>
      <c r="M3373"/>
    </row>
    <row r="3374" spans="3:13" ht="12.75" customHeight="1" x14ac:dyDescent="0.2">
      <c r="C3374"/>
      <c r="M3374"/>
    </row>
    <row r="3375" spans="3:13" ht="12.75" customHeight="1" x14ac:dyDescent="0.2">
      <c r="C3375"/>
      <c r="M3375"/>
    </row>
    <row r="3376" spans="3:13" ht="12.75" customHeight="1" x14ac:dyDescent="0.2">
      <c r="C3376"/>
      <c r="M3376"/>
    </row>
    <row r="3377" spans="3:13" ht="12.75" customHeight="1" x14ac:dyDescent="0.2">
      <c r="C3377"/>
      <c r="M3377"/>
    </row>
    <row r="3378" spans="3:13" ht="12.75" customHeight="1" x14ac:dyDescent="0.2">
      <c r="C3378"/>
      <c r="M3378"/>
    </row>
    <row r="3379" spans="3:13" ht="12.75" customHeight="1" x14ac:dyDescent="0.2">
      <c r="C3379"/>
      <c r="M3379"/>
    </row>
    <row r="3380" spans="3:13" ht="12.75" customHeight="1" x14ac:dyDescent="0.2">
      <c r="C3380"/>
      <c r="M3380"/>
    </row>
    <row r="3381" spans="3:13" ht="12.75" customHeight="1" x14ac:dyDescent="0.2">
      <c r="C3381"/>
      <c r="M3381"/>
    </row>
    <row r="3382" spans="3:13" ht="12.75" customHeight="1" x14ac:dyDescent="0.2">
      <c r="C3382"/>
      <c r="M3382"/>
    </row>
    <row r="3383" spans="3:13" ht="12.75" customHeight="1" x14ac:dyDescent="0.2">
      <c r="C3383"/>
      <c r="M3383"/>
    </row>
    <row r="3384" spans="3:13" ht="12.75" customHeight="1" x14ac:dyDescent="0.2">
      <c r="C3384"/>
      <c r="M3384"/>
    </row>
    <row r="3385" spans="3:13" ht="12.75" customHeight="1" x14ac:dyDescent="0.2">
      <c r="C3385"/>
      <c r="M3385"/>
    </row>
    <row r="3386" spans="3:13" ht="12.75" customHeight="1" x14ac:dyDescent="0.2">
      <c r="C3386"/>
      <c r="M3386"/>
    </row>
    <row r="3387" spans="3:13" ht="12.75" customHeight="1" x14ac:dyDescent="0.2">
      <c r="C3387"/>
      <c r="M3387"/>
    </row>
    <row r="3388" spans="3:13" ht="12.75" customHeight="1" x14ac:dyDescent="0.2">
      <c r="C3388"/>
      <c r="M3388"/>
    </row>
    <row r="3389" spans="3:13" ht="12.75" customHeight="1" x14ac:dyDescent="0.2">
      <c r="C3389"/>
      <c r="M3389"/>
    </row>
    <row r="3390" spans="3:13" ht="12.75" customHeight="1" x14ac:dyDescent="0.2">
      <c r="C3390"/>
      <c r="M3390"/>
    </row>
    <row r="3391" spans="3:13" ht="12.75" customHeight="1" x14ac:dyDescent="0.2">
      <c r="C3391"/>
      <c r="M3391"/>
    </row>
    <row r="3392" spans="3:13" ht="12.75" customHeight="1" x14ac:dyDescent="0.2">
      <c r="C3392"/>
      <c r="M3392"/>
    </row>
    <row r="3393" spans="3:13" ht="12.75" customHeight="1" x14ac:dyDescent="0.2">
      <c r="C3393"/>
      <c r="M3393"/>
    </row>
    <row r="3394" spans="3:13" ht="12.75" customHeight="1" x14ac:dyDescent="0.2">
      <c r="C3394"/>
      <c r="M3394"/>
    </row>
    <row r="3395" spans="3:13" ht="12.75" customHeight="1" x14ac:dyDescent="0.2">
      <c r="C3395"/>
      <c r="M3395"/>
    </row>
    <row r="3396" spans="3:13" ht="12.75" customHeight="1" x14ac:dyDescent="0.2">
      <c r="C3396"/>
      <c r="M3396"/>
    </row>
    <row r="3397" spans="3:13" ht="12.75" customHeight="1" x14ac:dyDescent="0.2">
      <c r="C3397"/>
      <c r="M3397"/>
    </row>
    <row r="3398" spans="3:13" ht="12.75" customHeight="1" x14ac:dyDescent="0.2">
      <c r="C3398"/>
      <c r="M3398"/>
    </row>
    <row r="3399" spans="3:13" ht="12.75" customHeight="1" x14ac:dyDescent="0.2">
      <c r="C3399"/>
      <c r="M3399"/>
    </row>
    <row r="3400" spans="3:13" ht="12.75" customHeight="1" x14ac:dyDescent="0.2">
      <c r="C3400"/>
      <c r="M3400"/>
    </row>
    <row r="3401" spans="3:13" ht="12.75" customHeight="1" x14ac:dyDescent="0.2">
      <c r="C3401"/>
      <c r="M3401"/>
    </row>
    <row r="3402" spans="3:13" ht="12.75" customHeight="1" x14ac:dyDescent="0.2">
      <c r="C3402"/>
      <c r="M3402"/>
    </row>
    <row r="3403" spans="3:13" ht="12.75" customHeight="1" x14ac:dyDescent="0.2">
      <c r="C3403"/>
      <c r="M3403"/>
    </row>
    <row r="3404" spans="3:13" ht="12.75" customHeight="1" x14ac:dyDescent="0.2">
      <c r="C3404"/>
      <c r="M3404"/>
    </row>
    <row r="3405" spans="3:13" ht="12.75" customHeight="1" x14ac:dyDescent="0.2">
      <c r="C3405"/>
      <c r="M3405"/>
    </row>
    <row r="3406" spans="3:13" ht="12.75" customHeight="1" x14ac:dyDescent="0.2">
      <c r="C3406"/>
      <c r="M3406"/>
    </row>
    <row r="3407" spans="3:13" ht="12.75" customHeight="1" x14ac:dyDescent="0.2">
      <c r="C3407"/>
      <c r="M3407"/>
    </row>
    <row r="3408" spans="3:13" ht="12.75" customHeight="1" x14ac:dyDescent="0.2">
      <c r="C3408"/>
      <c r="M3408"/>
    </row>
    <row r="3409" spans="3:13" ht="12.75" customHeight="1" x14ac:dyDescent="0.2">
      <c r="C3409"/>
      <c r="M3409"/>
    </row>
    <row r="3410" spans="3:13" ht="12.75" customHeight="1" x14ac:dyDescent="0.2">
      <c r="C3410"/>
      <c r="M3410"/>
    </row>
    <row r="3411" spans="3:13" ht="12.75" customHeight="1" x14ac:dyDescent="0.2">
      <c r="C3411"/>
      <c r="M3411"/>
    </row>
    <row r="3412" spans="3:13" ht="12.75" customHeight="1" x14ac:dyDescent="0.2">
      <c r="C3412"/>
      <c r="M3412"/>
    </row>
    <row r="3413" spans="3:13" ht="12.75" customHeight="1" x14ac:dyDescent="0.2">
      <c r="C3413"/>
      <c r="M3413"/>
    </row>
    <row r="3414" spans="3:13" ht="12.75" customHeight="1" x14ac:dyDescent="0.2">
      <c r="C3414"/>
      <c r="M3414"/>
    </row>
    <row r="3415" spans="3:13" ht="12.75" customHeight="1" x14ac:dyDescent="0.2">
      <c r="C3415"/>
      <c r="M3415"/>
    </row>
    <row r="3416" spans="3:13" ht="12.75" customHeight="1" x14ac:dyDescent="0.2">
      <c r="C3416"/>
      <c r="M3416"/>
    </row>
    <row r="3417" spans="3:13" ht="12.75" customHeight="1" x14ac:dyDescent="0.2">
      <c r="C3417"/>
      <c r="M3417"/>
    </row>
    <row r="3418" spans="3:13" ht="12.75" customHeight="1" x14ac:dyDescent="0.2">
      <c r="C3418"/>
      <c r="M3418"/>
    </row>
    <row r="3419" spans="3:13" ht="12.75" customHeight="1" x14ac:dyDescent="0.2">
      <c r="C3419"/>
      <c r="M3419"/>
    </row>
    <row r="3420" spans="3:13" ht="12.75" customHeight="1" x14ac:dyDescent="0.2">
      <c r="C3420"/>
      <c r="M3420"/>
    </row>
    <row r="3421" spans="3:13" ht="12.75" customHeight="1" x14ac:dyDescent="0.2">
      <c r="C3421"/>
      <c r="M3421"/>
    </row>
    <row r="3422" spans="3:13" ht="12.75" customHeight="1" x14ac:dyDescent="0.2">
      <c r="C3422"/>
      <c r="M3422"/>
    </row>
    <row r="3423" spans="3:13" ht="12.75" customHeight="1" x14ac:dyDescent="0.2">
      <c r="C3423"/>
      <c r="M3423"/>
    </row>
    <row r="3424" spans="3:13" ht="12.75" customHeight="1" x14ac:dyDescent="0.2">
      <c r="C3424"/>
      <c r="M3424"/>
    </row>
    <row r="3425" spans="3:13" ht="12.75" customHeight="1" x14ac:dyDescent="0.2">
      <c r="C3425"/>
      <c r="M3425"/>
    </row>
    <row r="3426" spans="3:13" ht="12.75" customHeight="1" x14ac:dyDescent="0.2">
      <c r="C3426"/>
      <c r="M3426"/>
    </row>
    <row r="3427" spans="3:13" ht="12.75" customHeight="1" x14ac:dyDescent="0.2">
      <c r="C3427"/>
      <c r="M3427"/>
    </row>
    <row r="3428" spans="3:13" ht="12.75" customHeight="1" x14ac:dyDescent="0.2">
      <c r="C3428"/>
      <c r="M3428"/>
    </row>
    <row r="3429" spans="3:13" ht="12.75" customHeight="1" x14ac:dyDescent="0.2">
      <c r="C3429"/>
      <c r="M3429"/>
    </row>
    <row r="3430" spans="3:13" ht="12.75" customHeight="1" x14ac:dyDescent="0.2">
      <c r="C3430"/>
      <c r="M3430"/>
    </row>
    <row r="3431" spans="3:13" ht="12.75" customHeight="1" x14ac:dyDescent="0.2">
      <c r="C3431"/>
      <c r="M3431"/>
    </row>
    <row r="3432" spans="3:13" ht="12.75" customHeight="1" x14ac:dyDescent="0.2">
      <c r="C3432"/>
      <c r="M3432"/>
    </row>
    <row r="3433" spans="3:13" ht="12.75" customHeight="1" x14ac:dyDescent="0.2">
      <c r="C3433"/>
      <c r="M3433"/>
    </row>
    <row r="3434" spans="3:13" ht="12.75" customHeight="1" x14ac:dyDescent="0.2">
      <c r="C3434"/>
      <c r="M3434"/>
    </row>
    <row r="3435" spans="3:13" ht="12.75" customHeight="1" x14ac:dyDescent="0.2">
      <c r="C3435"/>
      <c r="M3435"/>
    </row>
    <row r="3436" spans="3:13" ht="12.75" customHeight="1" x14ac:dyDescent="0.2">
      <c r="C3436"/>
      <c r="M3436"/>
    </row>
    <row r="3437" spans="3:13" ht="12.75" customHeight="1" x14ac:dyDescent="0.2">
      <c r="C3437"/>
      <c r="M3437"/>
    </row>
    <row r="3438" spans="3:13" ht="12.75" customHeight="1" x14ac:dyDescent="0.2">
      <c r="C3438"/>
      <c r="M3438"/>
    </row>
    <row r="3439" spans="3:13" ht="12.75" customHeight="1" x14ac:dyDescent="0.2">
      <c r="C3439"/>
      <c r="M3439"/>
    </row>
    <row r="3440" spans="3:13" ht="12.75" customHeight="1" x14ac:dyDescent="0.2">
      <c r="C3440"/>
      <c r="M3440"/>
    </row>
    <row r="3441" spans="3:13" ht="12.75" customHeight="1" x14ac:dyDescent="0.2">
      <c r="C3441"/>
      <c r="M3441"/>
    </row>
    <row r="3442" spans="3:13" ht="12.75" customHeight="1" x14ac:dyDescent="0.2">
      <c r="C3442"/>
      <c r="M3442"/>
    </row>
    <row r="3443" spans="3:13" ht="12.75" customHeight="1" x14ac:dyDescent="0.2">
      <c r="C3443"/>
      <c r="M3443"/>
    </row>
    <row r="3444" spans="3:13" ht="12.75" customHeight="1" x14ac:dyDescent="0.2">
      <c r="C3444"/>
      <c r="M3444"/>
    </row>
    <row r="3445" spans="3:13" ht="12.75" customHeight="1" x14ac:dyDescent="0.2">
      <c r="C3445"/>
      <c r="M3445"/>
    </row>
    <row r="3446" spans="3:13" ht="12.75" customHeight="1" x14ac:dyDescent="0.2">
      <c r="C3446"/>
      <c r="M3446"/>
    </row>
    <row r="3447" spans="3:13" ht="12.75" customHeight="1" x14ac:dyDescent="0.2">
      <c r="C3447"/>
      <c r="M3447"/>
    </row>
    <row r="3448" spans="3:13" ht="12.75" customHeight="1" x14ac:dyDescent="0.2">
      <c r="C3448"/>
      <c r="M3448"/>
    </row>
    <row r="3449" spans="3:13" ht="12.75" customHeight="1" x14ac:dyDescent="0.2">
      <c r="C3449"/>
      <c r="M3449"/>
    </row>
    <row r="3450" spans="3:13" ht="12.75" customHeight="1" x14ac:dyDescent="0.2">
      <c r="C3450"/>
      <c r="M3450"/>
    </row>
    <row r="3451" spans="3:13" ht="12.75" customHeight="1" x14ac:dyDescent="0.2">
      <c r="C3451"/>
      <c r="M3451"/>
    </row>
    <row r="3452" spans="3:13" ht="12.75" customHeight="1" x14ac:dyDescent="0.2">
      <c r="C3452"/>
      <c r="M3452"/>
    </row>
    <row r="3453" spans="3:13" ht="12.75" customHeight="1" x14ac:dyDescent="0.2">
      <c r="C3453"/>
      <c r="M3453"/>
    </row>
    <row r="3454" spans="3:13" ht="12.75" customHeight="1" x14ac:dyDescent="0.2">
      <c r="C3454"/>
      <c r="M3454"/>
    </row>
    <row r="3455" spans="3:13" ht="12.75" customHeight="1" x14ac:dyDescent="0.2">
      <c r="C3455"/>
      <c r="M3455"/>
    </row>
    <row r="3456" spans="3:13" ht="12.75" customHeight="1" x14ac:dyDescent="0.2">
      <c r="C3456"/>
      <c r="M3456"/>
    </row>
    <row r="3457" spans="3:13" ht="12.75" customHeight="1" x14ac:dyDescent="0.2">
      <c r="C3457"/>
      <c r="M3457"/>
    </row>
    <row r="3458" spans="3:13" ht="12.75" customHeight="1" x14ac:dyDescent="0.2">
      <c r="C3458"/>
      <c r="M3458"/>
    </row>
    <row r="3459" spans="3:13" ht="12.75" customHeight="1" x14ac:dyDescent="0.2">
      <c r="C3459"/>
      <c r="M3459"/>
    </row>
    <row r="3460" spans="3:13" ht="12.75" customHeight="1" x14ac:dyDescent="0.2">
      <c r="C3460"/>
      <c r="M3460"/>
    </row>
    <row r="3461" spans="3:13" ht="12.75" customHeight="1" x14ac:dyDescent="0.2">
      <c r="C3461"/>
      <c r="M3461"/>
    </row>
    <row r="3462" spans="3:13" ht="12.75" customHeight="1" x14ac:dyDescent="0.2">
      <c r="C3462"/>
      <c r="M3462"/>
    </row>
    <row r="3463" spans="3:13" ht="12.75" customHeight="1" x14ac:dyDescent="0.2">
      <c r="C3463"/>
      <c r="M3463"/>
    </row>
    <row r="3464" spans="3:13" ht="12.75" customHeight="1" x14ac:dyDescent="0.2">
      <c r="C3464"/>
      <c r="M3464"/>
    </row>
    <row r="3465" spans="3:13" ht="12.75" customHeight="1" x14ac:dyDescent="0.2">
      <c r="C3465"/>
      <c r="M3465"/>
    </row>
    <row r="3466" spans="3:13" ht="12.75" customHeight="1" x14ac:dyDescent="0.2">
      <c r="C3466"/>
      <c r="M3466"/>
    </row>
    <row r="3467" spans="3:13" ht="12.75" customHeight="1" x14ac:dyDescent="0.2">
      <c r="C3467"/>
      <c r="M3467"/>
    </row>
    <row r="3468" spans="3:13" ht="12.75" customHeight="1" x14ac:dyDescent="0.2">
      <c r="C3468"/>
      <c r="M3468"/>
    </row>
    <row r="3469" spans="3:13" ht="12.75" customHeight="1" x14ac:dyDescent="0.2">
      <c r="C3469"/>
      <c r="M3469"/>
    </row>
    <row r="3470" spans="3:13" ht="12.75" customHeight="1" x14ac:dyDescent="0.2">
      <c r="C3470"/>
      <c r="M3470"/>
    </row>
    <row r="3471" spans="3:13" ht="12.75" customHeight="1" x14ac:dyDescent="0.2">
      <c r="C3471"/>
      <c r="M3471"/>
    </row>
    <row r="3472" spans="3:13" ht="12.75" customHeight="1" x14ac:dyDescent="0.2">
      <c r="C3472"/>
      <c r="M3472"/>
    </row>
    <row r="3473" spans="3:13" ht="12.75" customHeight="1" x14ac:dyDescent="0.2">
      <c r="C3473"/>
      <c r="M3473"/>
    </row>
    <row r="3474" spans="3:13" ht="12.75" customHeight="1" x14ac:dyDescent="0.2">
      <c r="C3474"/>
      <c r="M3474"/>
    </row>
    <row r="3475" spans="3:13" ht="12.75" customHeight="1" x14ac:dyDescent="0.2">
      <c r="C3475"/>
      <c r="M3475"/>
    </row>
    <row r="3476" spans="3:13" ht="12.75" customHeight="1" x14ac:dyDescent="0.2">
      <c r="C3476"/>
      <c r="M3476"/>
    </row>
    <row r="3477" spans="3:13" ht="12.75" customHeight="1" x14ac:dyDescent="0.2">
      <c r="C3477"/>
      <c r="M3477"/>
    </row>
    <row r="3478" spans="3:13" ht="12.75" customHeight="1" x14ac:dyDescent="0.2">
      <c r="C3478"/>
      <c r="M3478"/>
    </row>
    <row r="3479" spans="3:13" ht="12.75" customHeight="1" x14ac:dyDescent="0.2">
      <c r="C3479"/>
      <c r="M3479"/>
    </row>
    <row r="3480" spans="3:13" ht="12.75" customHeight="1" x14ac:dyDescent="0.2">
      <c r="C3480"/>
      <c r="M3480"/>
    </row>
    <row r="3481" spans="3:13" ht="12.75" customHeight="1" x14ac:dyDescent="0.2">
      <c r="C3481"/>
      <c r="M3481"/>
    </row>
    <row r="3482" spans="3:13" ht="12.75" customHeight="1" x14ac:dyDescent="0.2">
      <c r="C3482"/>
      <c r="M3482"/>
    </row>
    <row r="3483" spans="3:13" ht="12.75" customHeight="1" x14ac:dyDescent="0.2">
      <c r="C3483"/>
      <c r="M3483"/>
    </row>
    <row r="3484" spans="3:13" ht="12.75" customHeight="1" x14ac:dyDescent="0.2">
      <c r="C3484"/>
      <c r="M3484"/>
    </row>
    <row r="3485" spans="3:13" ht="12.75" customHeight="1" x14ac:dyDescent="0.2">
      <c r="C3485"/>
      <c r="M3485"/>
    </row>
    <row r="3486" spans="3:13" ht="12.75" customHeight="1" x14ac:dyDescent="0.2">
      <c r="C3486"/>
      <c r="M3486"/>
    </row>
    <row r="3487" spans="3:13" ht="12.75" customHeight="1" x14ac:dyDescent="0.2">
      <c r="C3487"/>
      <c r="M3487"/>
    </row>
    <row r="3488" spans="3:13" ht="12.75" customHeight="1" x14ac:dyDescent="0.2">
      <c r="C3488"/>
      <c r="M3488"/>
    </row>
    <row r="3489" spans="3:13" ht="12.75" customHeight="1" x14ac:dyDescent="0.2">
      <c r="C3489"/>
      <c r="M3489"/>
    </row>
    <row r="3490" spans="3:13" ht="12.75" customHeight="1" x14ac:dyDescent="0.2">
      <c r="C3490"/>
      <c r="M3490"/>
    </row>
    <row r="3491" spans="3:13" ht="12.75" customHeight="1" x14ac:dyDescent="0.2">
      <c r="C3491"/>
      <c r="M3491"/>
    </row>
    <row r="3492" spans="3:13" ht="12.75" customHeight="1" x14ac:dyDescent="0.2">
      <c r="C3492"/>
      <c r="M3492"/>
    </row>
    <row r="3493" spans="3:13" ht="12.75" customHeight="1" x14ac:dyDescent="0.2">
      <c r="C3493"/>
      <c r="M3493"/>
    </row>
    <row r="3494" spans="3:13" ht="12.75" customHeight="1" x14ac:dyDescent="0.2">
      <c r="C3494"/>
      <c r="M3494"/>
    </row>
    <row r="3495" spans="3:13" ht="12.75" customHeight="1" x14ac:dyDescent="0.2">
      <c r="C3495"/>
      <c r="M3495"/>
    </row>
    <row r="3496" spans="3:13" ht="12.75" customHeight="1" x14ac:dyDescent="0.2">
      <c r="C3496"/>
      <c r="M3496"/>
    </row>
    <row r="3497" spans="3:13" ht="12.75" customHeight="1" x14ac:dyDescent="0.2">
      <c r="C3497"/>
      <c r="M3497"/>
    </row>
    <row r="3498" spans="3:13" ht="12.75" customHeight="1" x14ac:dyDescent="0.2">
      <c r="C3498"/>
      <c r="M3498"/>
    </row>
    <row r="3499" spans="3:13" ht="12.75" customHeight="1" x14ac:dyDescent="0.2">
      <c r="C3499"/>
      <c r="M3499"/>
    </row>
    <row r="3500" spans="3:13" ht="12.75" customHeight="1" x14ac:dyDescent="0.2">
      <c r="C3500"/>
      <c r="M3500"/>
    </row>
    <row r="3501" spans="3:13" ht="12.75" customHeight="1" x14ac:dyDescent="0.2">
      <c r="C3501"/>
      <c r="M3501"/>
    </row>
    <row r="3502" spans="3:13" ht="12.75" customHeight="1" x14ac:dyDescent="0.2">
      <c r="C3502"/>
      <c r="M3502"/>
    </row>
    <row r="3503" spans="3:13" ht="12.75" customHeight="1" x14ac:dyDescent="0.2">
      <c r="C3503"/>
      <c r="M3503"/>
    </row>
    <row r="3504" spans="3:13" ht="12.75" customHeight="1" x14ac:dyDescent="0.2">
      <c r="C3504"/>
      <c r="M3504"/>
    </row>
    <row r="3505" spans="3:13" ht="12.75" customHeight="1" x14ac:dyDescent="0.2">
      <c r="C3505"/>
      <c r="M3505"/>
    </row>
    <row r="3506" spans="3:13" ht="12.75" customHeight="1" x14ac:dyDescent="0.2">
      <c r="C3506"/>
      <c r="M3506"/>
    </row>
    <row r="3507" spans="3:13" ht="12.75" customHeight="1" x14ac:dyDescent="0.2">
      <c r="C3507"/>
      <c r="M3507"/>
    </row>
    <row r="3508" spans="3:13" ht="12.75" customHeight="1" x14ac:dyDescent="0.2">
      <c r="C3508"/>
      <c r="M3508"/>
    </row>
    <row r="3509" spans="3:13" ht="12.75" customHeight="1" x14ac:dyDescent="0.2">
      <c r="C3509"/>
      <c r="M3509"/>
    </row>
    <row r="3510" spans="3:13" ht="12.75" customHeight="1" x14ac:dyDescent="0.2">
      <c r="C3510"/>
      <c r="M3510"/>
    </row>
    <row r="3511" spans="3:13" ht="12.75" customHeight="1" x14ac:dyDescent="0.2">
      <c r="C3511"/>
      <c r="M3511"/>
    </row>
    <row r="3512" spans="3:13" ht="12.75" customHeight="1" x14ac:dyDescent="0.2">
      <c r="C3512"/>
      <c r="M3512"/>
    </row>
    <row r="3513" spans="3:13" ht="12.75" customHeight="1" x14ac:dyDescent="0.2">
      <c r="C3513"/>
      <c r="M3513"/>
    </row>
    <row r="3514" spans="3:13" ht="12.75" customHeight="1" x14ac:dyDescent="0.2">
      <c r="C3514"/>
      <c r="M3514"/>
    </row>
    <row r="3515" spans="3:13" ht="12.75" customHeight="1" x14ac:dyDescent="0.2">
      <c r="C3515"/>
      <c r="M3515"/>
    </row>
    <row r="3516" spans="3:13" ht="12.75" customHeight="1" x14ac:dyDescent="0.2">
      <c r="C3516"/>
      <c r="M3516"/>
    </row>
    <row r="3517" spans="3:13" ht="12.75" customHeight="1" x14ac:dyDescent="0.2">
      <c r="C3517"/>
      <c r="M3517"/>
    </row>
    <row r="3518" spans="3:13" ht="12.75" customHeight="1" x14ac:dyDescent="0.2">
      <c r="C3518"/>
      <c r="M3518"/>
    </row>
    <row r="3519" spans="3:13" ht="12.75" customHeight="1" x14ac:dyDescent="0.2">
      <c r="C3519"/>
      <c r="M3519"/>
    </row>
    <row r="3520" spans="3:13" ht="12.75" customHeight="1" x14ac:dyDescent="0.2">
      <c r="C3520"/>
      <c r="M3520"/>
    </row>
    <row r="3521" spans="3:13" ht="12.75" customHeight="1" x14ac:dyDescent="0.2">
      <c r="C3521"/>
      <c r="M3521"/>
    </row>
    <row r="3522" spans="3:13" ht="12.75" customHeight="1" x14ac:dyDescent="0.2">
      <c r="C3522"/>
      <c r="M3522"/>
    </row>
    <row r="3523" spans="3:13" ht="12.75" customHeight="1" x14ac:dyDescent="0.2">
      <c r="C3523"/>
      <c r="M3523"/>
    </row>
    <row r="3524" spans="3:13" ht="12.75" customHeight="1" x14ac:dyDescent="0.2">
      <c r="C3524"/>
      <c r="M3524"/>
    </row>
    <row r="3525" spans="3:13" ht="12.75" customHeight="1" x14ac:dyDescent="0.2">
      <c r="C3525"/>
      <c r="M3525"/>
    </row>
    <row r="3526" spans="3:13" ht="12.75" customHeight="1" x14ac:dyDescent="0.2">
      <c r="C3526"/>
      <c r="M3526"/>
    </row>
    <row r="3527" spans="3:13" ht="12.75" customHeight="1" x14ac:dyDescent="0.2">
      <c r="C3527"/>
      <c r="M3527"/>
    </row>
    <row r="3528" spans="3:13" ht="12.75" customHeight="1" x14ac:dyDescent="0.2">
      <c r="C3528"/>
      <c r="M3528"/>
    </row>
    <row r="3529" spans="3:13" ht="12.75" customHeight="1" x14ac:dyDescent="0.2">
      <c r="C3529"/>
      <c r="M3529"/>
    </row>
    <row r="3530" spans="3:13" ht="12.75" customHeight="1" x14ac:dyDescent="0.2">
      <c r="C3530"/>
      <c r="M3530"/>
    </row>
    <row r="3531" spans="3:13" ht="12.75" customHeight="1" x14ac:dyDescent="0.2">
      <c r="C3531"/>
      <c r="M3531"/>
    </row>
    <row r="3532" spans="3:13" ht="12.75" customHeight="1" x14ac:dyDescent="0.2">
      <c r="C3532"/>
      <c r="M3532"/>
    </row>
    <row r="3533" spans="3:13" ht="12.75" customHeight="1" x14ac:dyDescent="0.2">
      <c r="C3533"/>
      <c r="M3533"/>
    </row>
    <row r="3534" spans="3:13" ht="12.75" customHeight="1" x14ac:dyDescent="0.2">
      <c r="C3534"/>
      <c r="M3534"/>
    </row>
    <row r="3535" spans="3:13" ht="12.75" customHeight="1" x14ac:dyDescent="0.2">
      <c r="C3535"/>
      <c r="M3535"/>
    </row>
    <row r="3536" spans="3:13" ht="12.75" customHeight="1" x14ac:dyDescent="0.2">
      <c r="C3536"/>
      <c r="M3536"/>
    </row>
    <row r="3537" spans="3:13" ht="12.75" customHeight="1" x14ac:dyDescent="0.2">
      <c r="C3537"/>
      <c r="M3537"/>
    </row>
    <row r="3538" spans="3:13" ht="12.75" customHeight="1" x14ac:dyDescent="0.2">
      <c r="C3538"/>
      <c r="M3538"/>
    </row>
    <row r="3539" spans="3:13" ht="12.75" customHeight="1" x14ac:dyDescent="0.2">
      <c r="C3539"/>
      <c r="M3539"/>
    </row>
    <row r="3540" spans="3:13" ht="12.75" customHeight="1" x14ac:dyDescent="0.2">
      <c r="C3540"/>
      <c r="M3540"/>
    </row>
    <row r="3541" spans="3:13" ht="12.75" customHeight="1" x14ac:dyDescent="0.2">
      <c r="C3541"/>
      <c r="M3541"/>
    </row>
    <row r="3542" spans="3:13" ht="12.75" customHeight="1" x14ac:dyDescent="0.2">
      <c r="C3542"/>
      <c r="M3542"/>
    </row>
    <row r="3543" spans="3:13" ht="12.75" customHeight="1" x14ac:dyDescent="0.2">
      <c r="C3543"/>
      <c r="M3543"/>
    </row>
    <row r="3544" spans="3:13" ht="12.75" customHeight="1" x14ac:dyDescent="0.2">
      <c r="C3544"/>
      <c r="M3544"/>
    </row>
    <row r="3545" spans="3:13" ht="12.75" customHeight="1" x14ac:dyDescent="0.2">
      <c r="C3545"/>
      <c r="M3545"/>
    </row>
    <row r="3546" spans="3:13" ht="12.75" customHeight="1" x14ac:dyDescent="0.2">
      <c r="C3546"/>
      <c r="M3546"/>
    </row>
    <row r="3547" spans="3:13" ht="12.75" customHeight="1" x14ac:dyDescent="0.2">
      <c r="C3547"/>
      <c r="M3547"/>
    </row>
    <row r="3548" spans="3:13" ht="12.75" customHeight="1" x14ac:dyDescent="0.2">
      <c r="C3548"/>
      <c r="M3548"/>
    </row>
    <row r="3549" spans="3:13" ht="12.75" customHeight="1" x14ac:dyDescent="0.2">
      <c r="C3549"/>
      <c r="M3549"/>
    </row>
    <row r="3550" spans="3:13" ht="12.75" customHeight="1" x14ac:dyDescent="0.2">
      <c r="C3550"/>
      <c r="M3550"/>
    </row>
    <row r="3551" spans="3:13" ht="12.75" customHeight="1" x14ac:dyDescent="0.2">
      <c r="C3551"/>
      <c r="M3551"/>
    </row>
    <row r="3552" spans="3:13" ht="12.75" customHeight="1" x14ac:dyDescent="0.2">
      <c r="C3552"/>
      <c r="M3552"/>
    </row>
    <row r="3553" spans="3:13" ht="12.75" customHeight="1" x14ac:dyDescent="0.2">
      <c r="C3553"/>
      <c r="M3553"/>
    </row>
    <row r="3554" spans="3:13" ht="12.75" customHeight="1" x14ac:dyDescent="0.2">
      <c r="C3554"/>
      <c r="M3554"/>
    </row>
    <row r="3555" spans="3:13" ht="12.75" customHeight="1" x14ac:dyDescent="0.2">
      <c r="C3555"/>
      <c r="M3555"/>
    </row>
    <row r="3556" spans="3:13" ht="12.75" customHeight="1" x14ac:dyDescent="0.2">
      <c r="C3556"/>
      <c r="M3556"/>
    </row>
    <row r="3557" spans="3:13" ht="12.75" customHeight="1" x14ac:dyDescent="0.2">
      <c r="C3557"/>
      <c r="M3557"/>
    </row>
    <row r="3558" spans="3:13" ht="12.75" customHeight="1" x14ac:dyDescent="0.2">
      <c r="C3558"/>
      <c r="M3558"/>
    </row>
    <row r="3559" spans="3:13" ht="12.75" customHeight="1" x14ac:dyDescent="0.2">
      <c r="C3559"/>
      <c r="M3559"/>
    </row>
    <row r="3560" spans="3:13" ht="12.75" customHeight="1" x14ac:dyDescent="0.2">
      <c r="C3560"/>
      <c r="M3560"/>
    </row>
    <row r="3561" spans="3:13" ht="12.75" customHeight="1" x14ac:dyDescent="0.2">
      <c r="C3561"/>
      <c r="M3561"/>
    </row>
    <row r="3562" spans="3:13" ht="12.75" customHeight="1" x14ac:dyDescent="0.2">
      <c r="C3562"/>
      <c r="M3562"/>
    </row>
    <row r="3563" spans="3:13" ht="12.75" customHeight="1" x14ac:dyDescent="0.2">
      <c r="C3563"/>
      <c r="M3563"/>
    </row>
    <row r="3564" spans="3:13" ht="12.75" customHeight="1" x14ac:dyDescent="0.2">
      <c r="C3564"/>
      <c r="M3564"/>
    </row>
    <row r="3565" spans="3:13" ht="12.75" customHeight="1" x14ac:dyDescent="0.2">
      <c r="C3565"/>
      <c r="M3565"/>
    </row>
    <row r="3566" spans="3:13" ht="12.75" customHeight="1" x14ac:dyDescent="0.2">
      <c r="C3566"/>
      <c r="M3566"/>
    </row>
    <row r="3567" spans="3:13" ht="12.75" customHeight="1" x14ac:dyDescent="0.2">
      <c r="C3567"/>
      <c r="M3567"/>
    </row>
    <row r="3568" spans="3:13" ht="12.75" customHeight="1" x14ac:dyDescent="0.2">
      <c r="C3568"/>
      <c r="M3568"/>
    </row>
    <row r="3569" spans="3:13" ht="12.75" customHeight="1" x14ac:dyDescent="0.2">
      <c r="C3569"/>
      <c r="M3569"/>
    </row>
    <row r="3570" spans="3:13" ht="12.75" customHeight="1" x14ac:dyDescent="0.2">
      <c r="C3570"/>
      <c r="M3570"/>
    </row>
    <row r="3571" spans="3:13" ht="12.75" customHeight="1" x14ac:dyDescent="0.2">
      <c r="C3571"/>
      <c r="M3571"/>
    </row>
    <row r="3572" spans="3:13" ht="12.75" customHeight="1" x14ac:dyDescent="0.2">
      <c r="C3572"/>
      <c r="M3572"/>
    </row>
    <row r="3573" spans="3:13" ht="12.75" customHeight="1" x14ac:dyDescent="0.2">
      <c r="C3573"/>
      <c r="M3573"/>
    </row>
    <row r="3574" spans="3:13" ht="12.75" customHeight="1" x14ac:dyDescent="0.2">
      <c r="C3574"/>
      <c r="M3574"/>
    </row>
    <row r="3575" spans="3:13" ht="12.75" customHeight="1" x14ac:dyDescent="0.2">
      <c r="C3575"/>
      <c r="M3575"/>
    </row>
    <row r="3576" spans="3:13" ht="12.75" customHeight="1" x14ac:dyDescent="0.2">
      <c r="C3576"/>
      <c r="M3576"/>
    </row>
    <row r="3577" spans="3:13" ht="12.75" customHeight="1" x14ac:dyDescent="0.2">
      <c r="C3577"/>
      <c r="M3577"/>
    </row>
    <row r="3578" spans="3:13" ht="12.75" customHeight="1" x14ac:dyDescent="0.2">
      <c r="C3578"/>
      <c r="M3578"/>
    </row>
    <row r="3579" spans="3:13" ht="12.75" customHeight="1" x14ac:dyDescent="0.2">
      <c r="C3579"/>
      <c r="M3579"/>
    </row>
    <row r="3580" spans="3:13" ht="12.75" customHeight="1" x14ac:dyDescent="0.2">
      <c r="C3580"/>
      <c r="M3580"/>
    </row>
    <row r="3581" spans="3:13" ht="12.75" customHeight="1" x14ac:dyDescent="0.2">
      <c r="C3581"/>
      <c r="M3581"/>
    </row>
    <row r="3582" spans="3:13" ht="12.75" customHeight="1" x14ac:dyDescent="0.2">
      <c r="C3582"/>
      <c r="M3582"/>
    </row>
    <row r="3583" spans="3:13" ht="12.75" customHeight="1" x14ac:dyDescent="0.2">
      <c r="C3583"/>
      <c r="M3583"/>
    </row>
    <row r="3584" spans="3:13" ht="12.75" customHeight="1" x14ac:dyDescent="0.2">
      <c r="C3584"/>
      <c r="M3584"/>
    </row>
    <row r="3585" spans="3:13" ht="12.75" customHeight="1" x14ac:dyDescent="0.2">
      <c r="C3585"/>
      <c r="M3585"/>
    </row>
    <row r="3586" spans="3:13" ht="12.75" customHeight="1" x14ac:dyDescent="0.2">
      <c r="C3586"/>
      <c r="M3586"/>
    </row>
    <row r="3587" spans="3:13" ht="12.75" customHeight="1" x14ac:dyDescent="0.2">
      <c r="C3587"/>
      <c r="M3587"/>
    </row>
    <row r="3588" spans="3:13" ht="12.75" customHeight="1" x14ac:dyDescent="0.2">
      <c r="C3588"/>
      <c r="M3588"/>
    </row>
    <row r="3589" spans="3:13" ht="12.75" customHeight="1" x14ac:dyDescent="0.2">
      <c r="C3589"/>
      <c r="M3589"/>
    </row>
    <row r="3590" spans="3:13" ht="12.75" customHeight="1" x14ac:dyDescent="0.2">
      <c r="C3590"/>
      <c r="M3590"/>
    </row>
    <row r="3591" spans="3:13" ht="12.75" customHeight="1" x14ac:dyDescent="0.2">
      <c r="C3591"/>
      <c r="M3591"/>
    </row>
    <row r="3592" spans="3:13" ht="12.75" customHeight="1" x14ac:dyDescent="0.2">
      <c r="C3592"/>
      <c r="M3592"/>
    </row>
    <row r="3593" spans="3:13" ht="12.75" customHeight="1" x14ac:dyDescent="0.2">
      <c r="C3593"/>
      <c r="M3593"/>
    </row>
    <row r="3594" spans="3:13" ht="12.75" customHeight="1" x14ac:dyDescent="0.2">
      <c r="C3594"/>
      <c r="M3594"/>
    </row>
    <row r="3595" spans="3:13" ht="12.75" customHeight="1" x14ac:dyDescent="0.2">
      <c r="C3595"/>
      <c r="M3595"/>
    </row>
    <row r="3596" spans="3:13" ht="12.75" customHeight="1" x14ac:dyDescent="0.2">
      <c r="C3596"/>
      <c r="M3596"/>
    </row>
    <row r="3597" spans="3:13" ht="12.75" customHeight="1" x14ac:dyDescent="0.2">
      <c r="C3597"/>
      <c r="M3597"/>
    </row>
    <row r="3598" spans="3:13" ht="12.75" customHeight="1" x14ac:dyDescent="0.2">
      <c r="C3598"/>
      <c r="M3598"/>
    </row>
    <row r="3599" spans="3:13" ht="12.75" customHeight="1" x14ac:dyDescent="0.2">
      <c r="C3599"/>
      <c r="M3599"/>
    </row>
    <row r="3600" spans="3:13" ht="12.75" customHeight="1" x14ac:dyDescent="0.2">
      <c r="C3600"/>
      <c r="M3600"/>
    </row>
    <row r="3601" spans="3:13" ht="12.75" customHeight="1" x14ac:dyDescent="0.2">
      <c r="C3601"/>
      <c r="M3601"/>
    </row>
    <row r="3602" spans="3:13" ht="12.75" customHeight="1" x14ac:dyDescent="0.2">
      <c r="C3602"/>
      <c r="M3602"/>
    </row>
    <row r="3603" spans="3:13" ht="12.75" customHeight="1" x14ac:dyDescent="0.2">
      <c r="C3603"/>
      <c r="M3603"/>
    </row>
    <row r="3604" spans="3:13" ht="12.75" customHeight="1" x14ac:dyDescent="0.2">
      <c r="C3604"/>
      <c r="M3604"/>
    </row>
    <row r="3605" spans="3:13" ht="12.75" customHeight="1" x14ac:dyDescent="0.2">
      <c r="C3605"/>
      <c r="M3605"/>
    </row>
    <row r="3606" spans="3:13" ht="12.75" customHeight="1" x14ac:dyDescent="0.2">
      <c r="C3606"/>
      <c r="M3606"/>
    </row>
    <row r="3607" spans="3:13" ht="12.75" customHeight="1" x14ac:dyDescent="0.2">
      <c r="C3607"/>
      <c r="M3607"/>
    </row>
    <row r="3608" spans="3:13" ht="12.75" customHeight="1" x14ac:dyDescent="0.2">
      <c r="C3608"/>
      <c r="M3608"/>
    </row>
    <row r="3609" spans="3:13" ht="12.75" customHeight="1" x14ac:dyDescent="0.2">
      <c r="C3609"/>
      <c r="M3609"/>
    </row>
    <row r="3610" spans="3:13" ht="12.75" customHeight="1" x14ac:dyDescent="0.2">
      <c r="C3610"/>
      <c r="M3610"/>
    </row>
    <row r="3611" spans="3:13" ht="12.75" customHeight="1" x14ac:dyDescent="0.2">
      <c r="C3611"/>
      <c r="M3611"/>
    </row>
    <row r="3612" spans="3:13" ht="12.75" customHeight="1" x14ac:dyDescent="0.2">
      <c r="C3612"/>
      <c r="M3612"/>
    </row>
    <row r="3613" spans="3:13" ht="12.75" customHeight="1" x14ac:dyDescent="0.2">
      <c r="C3613"/>
      <c r="M3613"/>
    </row>
    <row r="3614" spans="3:13" ht="12.75" customHeight="1" x14ac:dyDescent="0.2">
      <c r="C3614"/>
      <c r="M3614"/>
    </row>
    <row r="3615" spans="3:13" ht="12.75" customHeight="1" x14ac:dyDescent="0.2">
      <c r="C3615"/>
      <c r="M3615"/>
    </row>
    <row r="3616" spans="3:13" ht="12.75" customHeight="1" x14ac:dyDescent="0.2">
      <c r="C3616"/>
      <c r="M3616"/>
    </row>
    <row r="3617" spans="3:13" ht="12.75" customHeight="1" x14ac:dyDescent="0.2">
      <c r="C3617"/>
      <c r="M3617"/>
    </row>
    <row r="3618" spans="3:13" ht="12.75" customHeight="1" x14ac:dyDescent="0.2">
      <c r="C3618"/>
      <c r="M3618"/>
    </row>
    <row r="3619" spans="3:13" ht="12.75" customHeight="1" x14ac:dyDescent="0.2">
      <c r="C3619"/>
      <c r="M3619"/>
    </row>
    <row r="3620" spans="3:13" ht="12.75" customHeight="1" x14ac:dyDescent="0.2">
      <c r="C3620"/>
      <c r="M3620"/>
    </row>
    <row r="3621" spans="3:13" ht="12.75" customHeight="1" x14ac:dyDescent="0.2">
      <c r="C3621"/>
      <c r="M3621"/>
    </row>
    <row r="3622" spans="3:13" ht="12.75" customHeight="1" x14ac:dyDescent="0.2">
      <c r="C3622"/>
      <c r="M3622"/>
    </row>
    <row r="3623" spans="3:13" ht="12.75" customHeight="1" x14ac:dyDescent="0.2">
      <c r="C3623"/>
      <c r="M3623"/>
    </row>
    <row r="3624" spans="3:13" ht="12.75" customHeight="1" x14ac:dyDescent="0.2">
      <c r="C3624"/>
      <c r="M3624"/>
    </row>
    <row r="3625" spans="3:13" ht="12.75" customHeight="1" x14ac:dyDescent="0.2">
      <c r="C3625"/>
      <c r="M3625"/>
    </row>
    <row r="3626" spans="3:13" ht="12.75" customHeight="1" x14ac:dyDescent="0.2">
      <c r="C3626"/>
      <c r="M3626"/>
    </row>
    <row r="3627" spans="3:13" ht="12.75" customHeight="1" x14ac:dyDescent="0.2">
      <c r="C3627"/>
      <c r="M3627"/>
    </row>
    <row r="3628" spans="3:13" ht="12.75" customHeight="1" x14ac:dyDescent="0.2">
      <c r="C3628"/>
      <c r="M3628"/>
    </row>
    <row r="3629" spans="3:13" ht="12.75" customHeight="1" x14ac:dyDescent="0.2">
      <c r="C3629"/>
      <c r="M3629"/>
    </row>
    <row r="3630" spans="3:13" ht="12.75" customHeight="1" x14ac:dyDescent="0.2">
      <c r="C3630"/>
      <c r="M3630"/>
    </row>
    <row r="3631" spans="3:13" ht="12.75" customHeight="1" x14ac:dyDescent="0.2">
      <c r="C3631"/>
      <c r="M3631"/>
    </row>
    <row r="3632" spans="3:13" ht="12.75" customHeight="1" x14ac:dyDescent="0.2">
      <c r="C3632"/>
      <c r="M3632"/>
    </row>
    <row r="3633" spans="3:13" ht="12.75" customHeight="1" x14ac:dyDescent="0.2">
      <c r="C3633"/>
      <c r="M3633"/>
    </row>
    <row r="3634" spans="3:13" ht="12.75" customHeight="1" x14ac:dyDescent="0.2">
      <c r="C3634"/>
      <c r="M3634"/>
    </row>
    <row r="3635" spans="3:13" ht="12.75" customHeight="1" x14ac:dyDescent="0.2">
      <c r="C3635"/>
      <c r="M3635"/>
    </row>
    <row r="3636" spans="3:13" ht="12.75" customHeight="1" x14ac:dyDescent="0.2">
      <c r="C3636"/>
      <c r="M3636"/>
    </row>
    <row r="3637" spans="3:13" ht="12.75" customHeight="1" x14ac:dyDescent="0.2">
      <c r="C3637"/>
      <c r="M3637"/>
    </row>
    <row r="3638" spans="3:13" ht="12.75" customHeight="1" x14ac:dyDescent="0.2">
      <c r="C3638"/>
      <c r="M3638"/>
    </row>
    <row r="3639" spans="3:13" ht="12.75" customHeight="1" x14ac:dyDescent="0.2">
      <c r="C3639"/>
      <c r="M3639"/>
    </row>
    <row r="3640" spans="3:13" ht="12.75" customHeight="1" x14ac:dyDescent="0.2">
      <c r="C3640"/>
      <c r="M3640"/>
    </row>
    <row r="3641" spans="3:13" ht="12.75" customHeight="1" x14ac:dyDescent="0.2">
      <c r="C3641"/>
      <c r="M3641"/>
    </row>
    <row r="3642" spans="3:13" ht="12.75" customHeight="1" x14ac:dyDescent="0.2">
      <c r="C3642"/>
      <c r="M3642"/>
    </row>
    <row r="3643" spans="3:13" ht="12.75" customHeight="1" x14ac:dyDescent="0.2">
      <c r="C3643"/>
      <c r="M3643"/>
    </row>
    <row r="3644" spans="3:13" ht="12.75" customHeight="1" x14ac:dyDescent="0.2">
      <c r="C3644"/>
      <c r="M3644"/>
    </row>
    <row r="3645" spans="3:13" ht="12.75" customHeight="1" x14ac:dyDescent="0.2">
      <c r="C3645"/>
      <c r="M3645"/>
    </row>
    <row r="3646" spans="3:13" ht="12.75" customHeight="1" x14ac:dyDescent="0.2">
      <c r="C3646"/>
      <c r="M3646"/>
    </row>
    <row r="3647" spans="3:13" ht="12.75" customHeight="1" x14ac:dyDescent="0.2">
      <c r="C3647"/>
      <c r="M3647"/>
    </row>
    <row r="3648" spans="3:13" ht="12.75" customHeight="1" x14ac:dyDescent="0.2">
      <c r="C3648"/>
      <c r="M3648"/>
    </row>
    <row r="3649" spans="3:13" ht="12.75" customHeight="1" x14ac:dyDescent="0.2">
      <c r="C3649"/>
      <c r="M3649"/>
    </row>
    <row r="3650" spans="3:13" ht="12.75" customHeight="1" x14ac:dyDescent="0.2">
      <c r="C3650"/>
      <c r="M3650"/>
    </row>
    <row r="3651" spans="3:13" ht="12.75" customHeight="1" x14ac:dyDescent="0.2">
      <c r="C3651"/>
      <c r="M3651"/>
    </row>
    <row r="3652" spans="3:13" ht="12.75" customHeight="1" x14ac:dyDescent="0.2">
      <c r="C3652"/>
      <c r="M3652"/>
    </row>
    <row r="3653" spans="3:13" ht="12.75" customHeight="1" x14ac:dyDescent="0.2">
      <c r="C3653"/>
      <c r="M3653"/>
    </row>
    <row r="3654" spans="3:13" ht="12.75" customHeight="1" x14ac:dyDescent="0.2">
      <c r="C3654"/>
      <c r="M3654"/>
    </row>
    <row r="3655" spans="3:13" ht="12.75" customHeight="1" x14ac:dyDescent="0.2">
      <c r="C3655"/>
      <c r="M3655"/>
    </row>
    <row r="3656" spans="3:13" ht="12.75" customHeight="1" x14ac:dyDescent="0.2">
      <c r="C3656"/>
      <c r="M3656"/>
    </row>
    <row r="3657" spans="3:13" ht="12.75" customHeight="1" x14ac:dyDescent="0.2">
      <c r="C3657"/>
      <c r="M3657"/>
    </row>
    <row r="3658" spans="3:13" ht="12.75" customHeight="1" x14ac:dyDescent="0.2">
      <c r="C3658"/>
      <c r="M3658"/>
    </row>
    <row r="3659" spans="3:13" ht="12.75" customHeight="1" x14ac:dyDescent="0.2">
      <c r="C3659"/>
      <c r="M3659"/>
    </row>
    <row r="3660" spans="3:13" ht="12.75" customHeight="1" x14ac:dyDescent="0.2">
      <c r="C3660"/>
      <c r="M3660"/>
    </row>
    <row r="3661" spans="3:13" ht="12.75" customHeight="1" x14ac:dyDescent="0.2">
      <c r="C3661"/>
      <c r="M3661"/>
    </row>
    <row r="3662" spans="3:13" ht="12.75" customHeight="1" x14ac:dyDescent="0.2">
      <c r="C3662"/>
      <c r="M3662"/>
    </row>
    <row r="3663" spans="3:13" ht="12.75" customHeight="1" x14ac:dyDescent="0.2">
      <c r="C3663"/>
      <c r="M3663"/>
    </row>
    <row r="3664" spans="3:13" ht="12.75" customHeight="1" x14ac:dyDescent="0.2">
      <c r="C3664"/>
      <c r="M3664"/>
    </row>
    <row r="3665" spans="3:13" ht="12.75" customHeight="1" x14ac:dyDescent="0.2">
      <c r="C3665"/>
      <c r="M3665"/>
    </row>
    <row r="3666" spans="3:13" ht="12.75" customHeight="1" x14ac:dyDescent="0.2">
      <c r="C3666"/>
      <c r="M3666"/>
    </row>
    <row r="3667" spans="3:13" ht="12.75" customHeight="1" x14ac:dyDescent="0.2">
      <c r="C3667"/>
      <c r="M3667"/>
    </row>
    <row r="3668" spans="3:13" ht="12.75" customHeight="1" x14ac:dyDescent="0.2">
      <c r="C3668"/>
      <c r="M3668"/>
    </row>
    <row r="3669" spans="3:13" ht="12.75" customHeight="1" x14ac:dyDescent="0.2">
      <c r="C3669"/>
      <c r="M3669"/>
    </row>
    <row r="3670" spans="3:13" ht="12.75" customHeight="1" x14ac:dyDescent="0.2">
      <c r="C3670"/>
      <c r="M3670"/>
    </row>
    <row r="3671" spans="3:13" ht="12.75" customHeight="1" x14ac:dyDescent="0.2">
      <c r="C3671"/>
      <c r="M3671"/>
    </row>
    <row r="3672" spans="3:13" ht="12.75" customHeight="1" x14ac:dyDescent="0.2">
      <c r="C3672"/>
      <c r="M3672"/>
    </row>
    <row r="3673" spans="3:13" ht="12.75" customHeight="1" x14ac:dyDescent="0.2">
      <c r="C3673"/>
      <c r="M3673"/>
    </row>
    <row r="3674" spans="3:13" ht="12.75" customHeight="1" x14ac:dyDescent="0.2">
      <c r="C3674"/>
      <c r="M3674"/>
    </row>
    <row r="3675" spans="3:13" ht="12.75" customHeight="1" x14ac:dyDescent="0.2">
      <c r="C3675"/>
      <c r="M3675"/>
    </row>
    <row r="3676" spans="3:13" ht="12.75" customHeight="1" x14ac:dyDescent="0.2">
      <c r="C3676"/>
      <c r="M3676"/>
    </row>
    <row r="3677" spans="3:13" ht="12.75" customHeight="1" x14ac:dyDescent="0.2">
      <c r="C3677"/>
      <c r="M3677"/>
    </row>
    <row r="3678" spans="3:13" ht="12.75" customHeight="1" x14ac:dyDescent="0.2">
      <c r="C3678"/>
      <c r="M3678"/>
    </row>
    <row r="3679" spans="3:13" ht="12.75" customHeight="1" x14ac:dyDescent="0.2">
      <c r="C3679"/>
      <c r="M3679"/>
    </row>
    <row r="3680" spans="3:13" ht="12.75" customHeight="1" x14ac:dyDescent="0.2">
      <c r="C3680"/>
      <c r="M3680"/>
    </row>
    <row r="3681" spans="3:13" ht="12.75" customHeight="1" x14ac:dyDescent="0.2">
      <c r="C3681"/>
      <c r="M3681"/>
    </row>
    <row r="3682" spans="3:13" ht="12.75" customHeight="1" x14ac:dyDescent="0.2">
      <c r="C3682"/>
      <c r="M3682"/>
    </row>
    <row r="3683" spans="3:13" ht="12.75" customHeight="1" x14ac:dyDescent="0.2">
      <c r="C3683"/>
      <c r="M3683"/>
    </row>
    <row r="3684" spans="3:13" ht="12.75" customHeight="1" x14ac:dyDescent="0.2">
      <c r="C3684"/>
      <c r="M3684"/>
    </row>
    <row r="3685" spans="3:13" ht="12.75" customHeight="1" x14ac:dyDescent="0.2">
      <c r="C3685"/>
      <c r="M3685"/>
    </row>
    <row r="3686" spans="3:13" ht="12.75" customHeight="1" x14ac:dyDescent="0.2">
      <c r="C3686"/>
      <c r="M3686"/>
    </row>
    <row r="3687" spans="3:13" ht="12.75" customHeight="1" x14ac:dyDescent="0.2">
      <c r="C3687"/>
      <c r="M3687"/>
    </row>
    <row r="3688" spans="3:13" ht="12.75" customHeight="1" x14ac:dyDescent="0.2">
      <c r="C3688"/>
      <c r="M3688"/>
    </row>
    <row r="3689" spans="3:13" ht="12.75" customHeight="1" x14ac:dyDescent="0.2">
      <c r="C3689"/>
      <c r="M3689"/>
    </row>
    <row r="3690" spans="3:13" ht="12.75" customHeight="1" x14ac:dyDescent="0.2">
      <c r="C3690"/>
      <c r="M3690"/>
    </row>
    <row r="3691" spans="3:13" ht="12.75" customHeight="1" x14ac:dyDescent="0.2">
      <c r="C3691"/>
      <c r="M3691"/>
    </row>
    <row r="3692" spans="3:13" ht="12.75" customHeight="1" x14ac:dyDescent="0.2">
      <c r="C3692"/>
      <c r="M3692"/>
    </row>
    <row r="3693" spans="3:13" ht="12.75" customHeight="1" x14ac:dyDescent="0.2">
      <c r="C3693"/>
      <c r="M3693"/>
    </row>
    <row r="3694" spans="3:13" ht="12.75" customHeight="1" x14ac:dyDescent="0.2">
      <c r="C3694"/>
      <c r="M3694"/>
    </row>
    <row r="3695" spans="3:13" ht="12.75" customHeight="1" x14ac:dyDescent="0.2">
      <c r="C3695"/>
      <c r="M3695"/>
    </row>
    <row r="3696" spans="3:13" ht="12.75" customHeight="1" x14ac:dyDescent="0.2">
      <c r="C3696"/>
      <c r="M3696"/>
    </row>
    <row r="3697" spans="3:13" ht="12.75" customHeight="1" x14ac:dyDescent="0.2">
      <c r="C3697"/>
      <c r="M3697"/>
    </row>
    <row r="3698" spans="3:13" ht="12.75" customHeight="1" x14ac:dyDescent="0.2">
      <c r="C3698"/>
      <c r="M3698"/>
    </row>
    <row r="3699" spans="3:13" ht="12.75" customHeight="1" x14ac:dyDescent="0.2">
      <c r="C3699"/>
      <c r="M3699"/>
    </row>
    <row r="3700" spans="3:13" ht="12.75" customHeight="1" x14ac:dyDescent="0.2">
      <c r="C3700"/>
      <c r="M3700"/>
    </row>
    <row r="3701" spans="3:13" ht="12.75" customHeight="1" x14ac:dyDescent="0.2">
      <c r="C3701"/>
      <c r="M3701"/>
    </row>
    <row r="3702" spans="3:13" ht="12.75" customHeight="1" x14ac:dyDescent="0.2">
      <c r="C3702"/>
      <c r="M3702"/>
    </row>
    <row r="3703" spans="3:13" ht="12.75" customHeight="1" x14ac:dyDescent="0.2">
      <c r="C3703"/>
      <c r="M3703"/>
    </row>
    <row r="3704" spans="3:13" ht="12.75" customHeight="1" x14ac:dyDescent="0.2">
      <c r="C3704"/>
      <c r="M3704"/>
    </row>
    <row r="3705" spans="3:13" ht="12.75" customHeight="1" x14ac:dyDescent="0.2">
      <c r="C3705"/>
      <c r="M3705"/>
    </row>
    <row r="3706" spans="3:13" ht="12.75" customHeight="1" x14ac:dyDescent="0.2">
      <c r="C3706"/>
      <c r="M3706"/>
    </row>
    <row r="3707" spans="3:13" ht="12.75" customHeight="1" x14ac:dyDescent="0.2">
      <c r="C3707"/>
      <c r="M3707"/>
    </row>
    <row r="3708" spans="3:13" ht="12.75" customHeight="1" x14ac:dyDescent="0.2">
      <c r="C3708"/>
      <c r="M3708"/>
    </row>
    <row r="3709" spans="3:13" ht="12.75" customHeight="1" x14ac:dyDescent="0.2">
      <c r="C3709"/>
      <c r="M3709"/>
    </row>
    <row r="3710" spans="3:13" ht="12.75" customHeight="1" x14ac:dyDescent="0.2">
      <c r="C3710"/>
      <c r="M3710"/>
    </row>
    <row r="3711" spans="3:13" ht="12.75" customHeight="1" x14ac:dyDescent="0.2">
      <c r="C3711"/>
      <c r="M3711"/>
    </row>
    <row r="3712" spans="3:13" ht="12.75" customHeight="1" x14ac:dyDescent="0.2">
      <c r="C3712"/>
      <c r="M3712"/>
    </row>
    <row r="3713" spans="3:13" ht="12.75" customHeight="1" x14ac:dyDescent="0.2">
      <c r="C3713"/>
      <c r="M3713"/>
    </row>
    <row r="3714" spans="3:13" ht="12.75" customHeight="1" x14ac:dyDescent="0.2">
      <c r="C3714"/>
      <c r="M3714"/>
    </row>
    <row r="3715" spans="3:13" ht="12.75" customHeight="1" x14ac:dyDescent="0.2">
      <c r="C3715"/>
      <c r="M3715"/>
    </row>
    <row r="3716" spans="3:13" ht="12.75" customHeight="1" x14ac:dyDescent="0.2">
      <c r="C3716"/>
      <c r="M3716"/>
    </row>
    <row r="3717" spans="3:13" ht="12.75" customHeight="1" x14ac:dyDescent="0.2">
      <c r="C3717"/>
      <c r="M3717"/>
    </row>
    <row r="3718" spans="3:13" ht="12.75" customHeight="1" x14ac:dyDescent="0.2">
      <c r="C3718"/>
      <c r="M3718"/>
    </row>
    <row r="3719" spans="3:13" ht="12.75" customHeight="1" x14ac:dyDescent="0.2">
      <c r="C3719"/>
      <c r="M3719"/>
    </row>
    <row r="3720" spans="3:13" ht="12.75" customHeight="1" x14ac:dyDescent="0.2">
      <c r="C3720"/>
      <c r="M3720"/>
    </row>
    <row r="3721" spans="3:13" ht="12.75" customHeight="1" x14ac:dyDescent="0.2">
      <c r="C3721"/>
      <c r="M3721"/>
    </row>
    <row r="3722" spans="3:13" ht="12.75" customHeight="1" x14ac:dyDescent="0.2">
      <c r="C3722"/>
      <c r="M3722"/>
    </row>
    <row r="3723" spans="3:13" ht="12.75" customHeight="1" x14ac:dyDescent="0.2">
      <c r="C3723"/>
      <c r="M3723"/>
    </row>
    <row r="3724" spans="3:13" ht="12.75" customHeight="1" x14ac:dyDescent="0.2">
      <c r="C3724"/>
      <c r="M3724"/>
    </row>
    <row r="3725" spans="3:13" ht="12.75" customHeight="1" x14ac:dyDescent="0.2">
      <c r="C3725"/>
      <c r="M3725"/>
    </row>
    <row r="3726" spans="3:13" ht="12.75" customHeight="1" x14ac:dyDescent="0.2">
      <c r="C3726"/>
      <c r="M3726"/>
    </row>
    <row r="3727" spans="3:13" ht="12.75" customHeight="1" x14ac:dyDescent="0.2">
      <c r="C3727"/>
      <c r="M3727"/>
    </row>
    <row r="3728" spans="3:13" ht="12.75" customHeight="1" x14ac:dyDescent="0.2">
      <c r="C3728"/>
      <c r="M3728"/>
    </row>
    <row r="3729" spans="3:13" ht="12.75" customHeight="1" x14ac:dyDescent="0.2">
      <c r="C3729"/>
      <c r="M3729"/>
    </row>
    <row r="3730" spans="3:13" ht="12.75" customHeight="1" x14ac:dyDescent="0.2">
      <c r="C3730"/>
      <c r="M3730"/>
    </row>
    <row r="3731" spans="3:13" ht="12.75" customHeight="1" x14ac:dyDescent="0.2">
      <c r="C3731"/>
      <c r="M3731"/>
    </row>
    <row r="3732" spans="3:13" ht="12.75" customHeight="1" x14ac:dyDescent="0.2">
      <c r="C3732"/>
      <c r="M3732"/>
    </row>
    <row r="3733" spans="3:13" ht="12.75" customHeight="1" x14ac:dyDescent="0.2">
      <c r="C3733"/>
      <c r="M3733"/>
    </row>
    <row r="3734" spans="3:13" ht="12.75" customHeight="1" x14ac:dyDescent="0.2">
      <c r="C3734"/>
      <c r="M3734"/>
    </row>
    <row r="3735" spans="3:13" ht="12.75" customHeight="1" x14ac:dyDescent="0.2">
      <c r="C3735"/>
      <c r="M3735"/>
    </row>
    <row r="3736" spans="3:13" ht="12.75" customHeight="1" x14ac:dyDescent="0.2">
      <c r="C3736"/>
      <c r="M3736"/>
    </row>
    <row r="3737" spans="3:13" ht="12.75" customHeight="1" x14ac:dyDescent="0.2">
      <c r="C3737"/>
      <c r="M3737"/>
    </row>
    <row r="3738" spans="3:13" ht="12.75" customHeight="1" x14ac:dyDescent="0.2">
      <c r="C3738"/>
      <c r="M3738"/>
    </row>
    <row r="3739" spans="3:13" ht="12.75" customHeight="1" x14ac:dyDescent="0.2">
      <c r="C3739"/>
      <c r="M3739"/>
    </row>
    <row r="3740" spans="3:13" ht="12.75" customHeight="1" x14ac:dyDescent="0.2">
      <c r="C3740"/>
      <c r="M3740"/>
    </row>
    <row r="3741" spans="3:13" ht="12.75" customHeight="1" x14ac:dyDescent="0.2">
      <c r="C3741"/>
      <c r="M3741"/>
    </row>
    <row r="3742" spans="3:13" ht="12.75" customHeight="1" x14ac:dyDescent="0.2">
      <c r="C3742"/>
      <c r="M3742"/>
    </row>
    <row r="3743" spans="3:13" ht="12.75" customHeight="1" x14ac:dyDescent="0.2">
      <c r="C3743"/>
      <c r="M3743"/>
    </row>
    <row r="3744" spans="3:13" ht="12.75" customHeight="1" x14ac:dyDescent="0.2">
      <c r="C3744"/>
      <c r="M3744"/>
    </row>
    <row r="3745" spans="3:13" ht="12.75" customHeight="1" x14ac:dyDescent="0.2">
      <c r="C3745"/>
      <c r="M3745"/>
    </row>
    <row r="3746" spans="3:13" ht="12.75" customHeight="1" x14ac:dyDescent="0.2">
      <c r="C3746"/>
      <c r="M3746"/>
    </row>
    <row r="3747" spans="3:13" ht="12.75" customHeight="1" x14ac:dyDescent="0.2">
      <c r="C3747"/>
      <c r="M3747"/>
    </row>
    <row r="3748" spans="3:13" ht="12.75" customHeight="1" x14ac:dyDescent="0.2">
      <c r="C3748"/>
      <c r="M3748"/>
    </row>
    <row r="3749" spans="3:13" ht="12.75" customHeight="1" x14ac:dyDescent="0.2">
      <c r="C3749"/>
      <c r="M3749"/>
    </row>
    <row r="3750" spans="3:13" ht="12.75" customHeight="1" x14ac:dyDescent="0.2">
      <c r="C3750"/>
      <c r="M3750"/>
    </row>
    <row r="3751" spans="3:13" ht="12.75" customHeight="1" x14ac:dyDescent="0.2">
      <c r="C3751"/>
      <c r="M3751"/>
    </row>
    <row r="3752" spans="3:13" ht="12.75" customHeight="1" x14ac:dyDescent="0.2">
      <c r="C3752"/>
      <c r="M3752"/>
    </row>
    <row r="3753" spans="3:13" ht="12.75" customHeight="1" x14ac:dyDescent="0.2">
      <c r="C3753"/>
      <c r="M3753"/>
    </row>
    <row r="3754" spans="3:13" ht="12.75" customHeight="1" x14ac:dyDescent="0.2">
      <c r="C3754"/>
      <c r="M3754"/>
    </row>
    <row r="3755" spans="3:13" ht="12.75" customHeight="1" x14ac:dyDescent="0.2">
      <c r="C3755"/>
      <c r="M3755"/>
    </row>
    <row r="3756" spans="3:13" ht="12.75" customHeight="1" x14ac:dyDescent="0.2">
      <c r="C3756"/>
      <c r="M3756"/>
    </row>
    <row r="3757" spans="3:13" ht="12.75" customHeight="1" x14ac:dyDescent="0.2">
      <c r="C3757"/>
      <c r="M3757"/>
    </row>
    <row r="3758" spans="3:13" ht="12.75" customHeight="1" x14ac:dyDescent="0.2">
      <c r="C3758"/>
      <c r="M3758"/>
    </row>
    <row r="3759" spans="3:13" ht="12.75" customHeight="1" x14ac:dyDescent="0.2">
      <c r="C3759"/>
      <c r="M3759"/>
    </row>
    <row r="3760" spans="3:13" ht="12.75" customHeight="1" x14ac:dyDescent="0.2">
      <c r="C3760"/>
      <c r="M3760"/>
    </row>
    <row r="3761" spans="3:13" ht="12.75" customHeight="1" x14ac:dyDescent="0.2">
      <c r="C3761"/>
      <c r="M3761"/>
    </row>
    <row r="3762" spans="3:13" ht="12.75" customHeight="1" x14ac:dyDescent="0.2">
      <c r="C3762"/>
      <c r="M3762"/>
    </row>
    <row r="3763" spans="3:13" ht="12.75" customHeight="1" x14ac:dyDescent="0.2">
      <c r="C3763"/>
      <c r="M3763"/>
    </row>
    <row r="3764" spans="3:13" ht="12.75" customHeight="1" x14ac:dyDescent="0.2">
      <c r="C3764"/>
      <c r="M3764"/>
    </row>
    <row r="3765" spans="3:13" ht="12.75" customHeight="1" x14ac:dyDescent="0.2">
      <c r="C3765"/>
      <c r="M3765"/>
    </row>
    <row r="3766" spans="3:13" ht="12.75" customHeight="1" x14ac:dyDescent="0.2">
      <c r="C3766"/>
      <c r="M3766"/>
    </row>
    <row r="3767" spans="3:13" ht="12.75" customHeight="1" x14ac:dyDescent="0.2">
      <c r="C3767"/>
      <c r="M3767"/>
    </row>
    <row r="3768" spans="3:13" ht="12.75" customHeight="1" x14ac:dyDescent="0.2">
      <c r="C3768"/>
      <c r="M3768"/>
    </row>
    <row r="3769" spans="3:13" ht="12.75" customHeight="1" x14ac:dyDescent="0.2">
      <c r="C3769"/>
      <c r="M3769"/>
    </row>
    <row r="3770" spans="3:13" ht="12.75" customHeight="1" x14ac:dyDescent="0.2">
      <c r="C3770"/>
      <c r="M3770"/>
    </row>
    <row r="3771" spans="3:13" ht="12.75" customHeight="1" x14ac:dyDescent="0.2">
      <c r="C3771"/>
      <c r="M3771"/>
    </row>
    <row r="3772" spans="3:13" ht="12.75" customHeight="1" x14ac:dyDescent="0.2">
      <c r="C3772"/>
      <c r="M3772"/>
    </row>
    <row r="3773" spans="3:13" ht="12.75" customHeight="1" x14ac:dyDescent="0.2">
      <c r="C3773"/>
      <c r="M3773"/>
    </row>
    <row r="3774" spans="3:13" ht="12.75" customHeight="1" x14ac:dyDescent="0.2">
      <c r="C3774"/>
      <c r="M3774"/>
    </row>
    <row r="3775" spans="3:13" ht="12.75" customHeight="1" x14ac:dyDescent="0.2">
      <c r="C3775"/>
      <c r="M3775"/>
    </row>
    <row r="3776" spans="3:13" ht="12.75" customHeight="1" x14ac:dyDescent="0.2">
      <c r="C3776"/>
      <c r="M3776"/>
    </row>
    <row r="3777" spans="3:13" ht="12.75" customHeight="1" x14ac:dyDescent="0.2">
      <c r="C3777"/>
      <c r="M3777"/>
    </row>
    <row r="3778" spans="3:13" ht="12.75" customHeight="1" x14ac:dyDescent="0.2">
      <c r="C3778"/>
      <c r="M3778"/>
    </row>
    <row r="3779" spans="3:13" ht="12.75" customHeight="1" x14ac:dyDescent="0.2">
      <c r="C3779"/>
      <c r="M3779"/>
    </row>
    <row r="3780" spans="3:13" ht="12.75" customHeight="1" x14ac:dyDescent="0.2">
      <c r="C3780"/>
      <c r="M3780"/>
    </row>
    <row r="3781" spans="3:13" ht="12.75" customHeight="1" x14ac:dyDescent="0.2">
      <c r="C3781"/>
      <c r="M3781"/>
    </row>
    <row r="3782" spans="3:13" ht="12.75" customHeight="1" x14ac:dyDescent="0.2">
      <c r="C3782"/>
      <c r="M3782"/>
    </row>
    <row r="3783" spans="3:13" ht="12.75" customHeight="1" x14ac:dyDescent="0.2">
      <c r="C3783"/>
      <c r="M3783"/>
    </row>
    <row r="3784" spans="3:13" ht="12.75" customHeight="1" x14ac:dyDescent="0.2">
      <c r="C3784"/>
      <c r="M3784"/>
    </row>
    <row r="3785" spans="3:13" ht="12.75" customHeight="1" x14ac:dyDescent="0.2">
      <c r="C3785"/>
      <c r="M3785"/>
    </row>
    <row r="3786" spans="3:13" ht="12.75" customHeight="1" x14ac:dyDescent="0.2">
      <c r="C3786"/>
      <c r="M3786"/>
    </row>
    <row r="3787" spans="3:13" ht="12.75" customHeight="1" x14ac:dyDescent="0.2">
      <c r="C3787"/>
      <c r="M3787"/>
    </row>
    <row r="3788" spans="3:13" ht="12.75" customHeight="1" x14ac:dyDescent="0.2">
      <c r="C3788"/>
      <c r="M3788"/>
    </row>
    <row r="3789" spans="3:13" ht="12.75" customHeight="1" x14ac:dyDescent="0.2">
      <c r="C3789"/>
      <c r="M3789"/>
    </row>
    <row r="3790" spans="3:13" ht="12.75" customHeight="1" x14ac:dyDescent="0.2">
      <c r="C3790"/>
      <c r="M3790"/>
    </row>
    <row r="3791" spans="3:13" ht="12.75" customHeight="1" x14ac:dyDescent="0.2">
      <c r="C3791"/>
      <c r="M3791"/>
    </row>
    <row r="3792" spans="3:13" ht="12.75" customHeight="1" x14ac:dyDescent="0.2">
      <c r="C3792"/>
      <c r="M3792"/>
    </row>
    <row r="3793" spans="3:13" ht="12.75" customHeight="1" x14ac:dyDescent="0.2">
      <c r="C3793"/>
      <c r="M3793"/>
    </row>
    <row r="3794" spans="3:13" ht="12.75" customHeight="1" x14ac:dyDescent="0.2">
      <c r="C3794"/>
      <c r="M3794"/>
    </row>
    <row r="3795" spans="3:13" ht="12.75" customHeight="1" x14ac:dyDescent="0.2">
      <c r="C3795"/>
      <c r="M3795"/>
    </row>
    <row r="3796" spans="3:13" ht="12.75" customHeight="1" x14ac:dyDescent="0.2">
      <c r="C3796"/>
      <c r="M3796"/>
    </row>
    <row r="3797" spans="3:13" ht="12.75" customHeight="1" x14ac:dyDescent="0.2">
      <c r="C3797"/>
      <c r="M3797"/>
    </row>
    <row r="3798" spans="3:13" ht="12.75" customHeight="1" x14ac:dyDescent="0.2">
      <c r="C3798"/>
      <c r="M3798"/>
    </row>
    <row r="3799" spans="3:13" ht="12.75" customHeight="1" x14ac:dyDescent="0.2">
      <c r="C3799"/>
      <c r="M3799"/>
    </row>
    <row r="3800" spans="3:13" ht="12.75" customHeight="1" x14ac:dyDescent="0.2">
      <c r="C3800"/>
      <c r="M3800"/>
    </row>
    <row r="3801" spans="3:13" ht="12.75" customHeight="1" x14ac:dyDescent="0.2">
      <c r="C3801"/>
      <c r="M3801"/>
    </row>
    <row r="3802" spans="3:13" ht="12.75" customHeight="1" x14ac:dyDescent="0.2">
      <c r="C3802"/>
      <c r="M3802"/>
    </row>
    <row r="3803" spans="3:13" ht="12.75" customHeight="1" x14ac:dyDescent="0.2">
      <c r="C3803"/>
      <c r="M3803"/>
    </row>
    <row r="3804" spans="3:13" ht="12.75" customHeight="1" x14ac:dyDescent="0.2">
      <c r="C3804"/>
      <c r="M3804"/>
    </row>
    <row r="3805" spans="3:13" ht="12.75" customHeight="1" x14ac:dyDescent="0.2">
      <c r="C3805"/>
      <c r="M3805"/>
    </row>
    <row r="3806" spans="3:13" ht="12.75" customHeight="1" x14ac:dyDescent="0.2">
      <c r="C3806"/>
      <c r="M3806"/>
    </row>
    <row r="3807" spans="3:13" ht="12.75" customHeight="1" x14ac:dyDescent="0.2">
      <c r="C3807"/>
      <c r="M3807"/>
    </row>
    <row r="3808" spans="3:13" ht="12.75" customHeight="1" x14ac:dyDescent="0.2">
      <c r="C3808"/>
      <c r="M3808"/>
    </row>
    <row r="3809" spans="3:13" ht="12.75" customHeight="1" x14ac:dyDescent="0.2">
      <c r="C3809"/>
      <c r="M3809"/>
    </row>
    <row r="3810" spans="3:13" ht="12.75" customHeight="1" x14ac:dyDescent="0.2">
      <c r="C3810"/>
      <c r="M3810"/>
    </row>
    <row r="3811" spans="3:13" ht="12.75" customHeight="1" x14ac:dyDescent="0.2">
      <c r="C3811"/>
      <c r="M3811"/>
    </row>
    <row r="3812" spans="3:13" ht="12.75" customHeight="1" x14ac:dyDescent="0.2">
      <c r="C3812"/>
      <c r="M3812"/>
    </row>
    <row r="3813" spans="3:13" ht="12.75" customHeight="1" x14ac:dyDescent="0.2">
      <c r="C3813"/>
      <c r="M3813"/>
    </row>
    <row r="3814" spans="3:13" ht="12.75" customHeight="1" x14ac:dyDescent="0.2">
      <c r="C3814"/>
      <c r="M3814"/>
    </row>
    <row r="3815" spans="3:13" ht="12.75" customHeight="1" x14ac:dyDescent="0.2">
      <c r="C3815"/>
      <c r="M3815"/>
    </row>
    <row r="3816" spans="3:13" ht="12.75" customHeight="1" x14ac:dyDescent="0.2">
      <c r="C3816"/>
      <c r="M3816"/>
    </row>
    <row r="3817" spans="3:13" ht="12.75" customHeight="1" x14ac:dyDescent="0.2">
      <c r="C3817"/>
      <c r="M3817"/>
    </row>
    <row r="3818" spans="3:13" ht="12.75" customHeight="1" x14ac:dyDescent="0.2">
      <c r="C3818"/>
      <c r="M3818"/>
    </row>
    <row r="3819" spans="3:13" ht="12.75" customHeight="1" x14ac:dyDescent="0.2">
      <c r="C3819"/>
      <c r="M3819"/>
    </row>
    <row r="3820" spans="3:13" ht="12.75" customHeight="1" x14ac:dyDescent="0.2">
      <c r="C3820"/>
      <c r="M3820"/>
    </row>
    <row r="3821" spans="3:13" ht="12.75" customHeight="1" x14ac:dyDescent="0.2">
      <c r="C3821"/>
      <c r="M3821"/>
    </row>
    <row r="3822" spans="3:13" ht="12.75" customHeight="1" x14ac:dyDescent="0.2">
      <c r="C3822"/>
      <c r="M3822"/>
    </row>
    <row r="3823" spans="3:13" ht="12.75" customHeight="1" x14ac:dyDescent="0.2">
      <c r="C3823"/>
      <c r="M3823"/>
    </row>
    <row r="3824" spans="3:13" ht="12.75" customHeight="1" x14ac:dyDescent="0.2">
      <c r="C3824"/>
      <c r="M3824"/>
    </row>
    <row r="3825" spans="3:13" ht="12.75" customHeight="1" x14ac:dyDescent="0.2">
      <c r="C3825"/>
      <c r="M3825"/>
    </row>
    <row r="3826" spans="3:13" ht="12.75" customHeight="1" x14ac:dyDescent="0.2">
      <c r="C3826"/>
      <c r="M3826"/>
    </row>
    <row r="3827" spans="3:13" ht="12.75" customHeight="1" x14ac:dyDescent="0.2">
      <c r="C3827"/>
      <c r="M3827"/>
    </row>
    <row r="3828" spans="3:13" ht="12.75" customHeight="1" x14ac:dyDescent="0.2">
      <c r="C3828"/>
      <c r="M3828"/>
    </row>
    <row r="3829" spans="3:13" ht="12.75" customHeight="1" x14ac:dyDescent="0.2">
      <c r="C3829"/>
      <c r="M3829"/>
    </row>
    <row r="3830" spans="3:13" ht="12.75" customHeight="1" x14ac:dyDescent="0.2">
      <c r="C3830"/>
      <c r="M3830"/>
    </row>
    <row r="3831" spans="3:13" ht="12.75" customHeight="1" x14ac:dyDescent="0.2">
      <c r="C3831"/>
      <c r="M3831"/>
    </row>
    <row r="3832" spans="3:13" ht="12.75" customHeight="1" x14ac:dyDescent="0.2">
      <c r="C3832"/>
      <c r="M3832"/>
    </row>
    <row r="3833" spans="3:13" ht="12.75" customHeight="1" x14ac:dyDescent="0.2">
      <c r="C3833"/>
      <c r="M3833"/>
    </row>
    <row r="3834" spans="3:13" ht="12.75" customHeight="1" x14ac:dyDescent="0.2">
      <c r="C3834"/>
      <c r="M3834"/>
    </row>
    <row r="3835" spans="3:13" ht="12.75" customHeight="1" x14ac:dyDescent="0.2">
      <c r="C3835"/>
      <c r="M3835"/>
    </row>
    <row r="3836" spans="3:13" ht="12.75" customHeight="1" x14ac:dyDescent="0.2">
      <c r="C3836"/>
      <c r="M3836"/>
    </row>
    <row r="3837" spans="3:13" ht="12.75" customHeight="1" x14ac:dyDescent="0.2">
      <c r="C3837"/>
      <c r="M3837"/>
    </row>
    <row r="3838" spans="3:13" ht="12.75" customHeight="1" x14ac:dyDescent="0.2">
      <c r="C3838"/>
      <c r="M3838"/>
    </row>
    <row r="3839" spans="3:13" ht="12.75" customHeight="1" x14ac:dyDescent="0.2">
      <c r="C3839"/>
      <c r="M3839"/>
    </row>
    <row r="3840" spans="3:13" ht="12.75" customHeight="1" x14ac:dyDescent="0.2">
      <c r="C3840"/>
      <c r="M3840"/>
    </row>
    <row r="3841" spans="3:13" ht="12.75" customHeight="1" x14ac:dyDescent="0.2">
      <c r="C3841"/>
      <c r="M3841"/>
    </row>
    <row r="3842" spans="3:13" ht="12.75" customHeight="1" x14ac:dyDescent="0.2">
      <c r="C3842"/>
      <c r="M3842"/>
    </row>
    <row r="3843" spans="3:13" ht="12.75" customHeight="1" x14ac:dyDescent="0.2">
      <c r="C3843"/>
      <c r="M3843"/>
    </row>
    <row r="3844" spans="3:13" ht="12.75" customHeight="1" x14ac:dyDescent="0.2">
      <c r="C3844"/>
      <c r="M3844"/>
    </row>
    <row r="3845" spans="3:13" ht="12.75" customHeight="1" x14ac:dyDescent="0.2">
      <c r="C3845"/>
      <c r="M3845"/>
    </row>
    <row r="3846" spans="3:13" ht="12.75" customHeight="1" x14ac:dyDescent="0.2">
      <c r="C3846"/>
      <c r="M3846"/>
    </row>
    <row r="3847" spans="3:13" ht="12.75" customHeight="1" x14ac:dyDescent="0.2">
      <c r="C3847"/>
      <c r="M3847"/>
    </row>
    <row r="3848" spans="3:13" ht="12.75" customHeight="1" x14ac:dyDescent="0.2">
      <c r="C3848"/>
      <c r="M3848"/>
    </row>
    <row r="3849" spans="3:13" ht="12.75" customHeight="1" x14ac:dyDescent="0.2">
      <c r="C3849"/>
      <c r="M3849"/>
    </row>
    <row r="3850" spans="3:13" ht="12.75" customHeight="1" x14ac:dyDescent="0.2">
      <c r="C3850"/>
      <c r="M3850"/>
    </row>
    <row r="3851" spans="3:13" ht="12.75" customHeight="1" x14ac:dyDescent="0.2">
      <c r="C3851"/>
      <c r="M3851"/>
    </row>
    <row r="3852" spans="3:13" ht="12.75" customHeight="1" x14ac:dyDescent="0.2">
      <c r="C3852"/>
      <c r="M3852"/>
    </row>
    <row r="3853" spans="3:13" ht="12.75" customHeight="1" x14ac:dyDescent="0.2">
      <c r="C3853"/>
      <c r="M3853"/>
    </row>
    <row r="3854" spans="3:13" ht="12.75" customHeight="1" x14ac:dyDescent="0.2">
      <c r="C3854"/>
      <c r="M3854"/>
    </row>
    <row r="3855" spans="3:13" ht="12.75" customHeight="1" x14ac:dyDescent="0.2">
      <c r="C3855"/>
      <c r="M3855"/>
    </row>
    <row r="3856" spans="3:13" ht="12.75" customHeight="1" x14ac:dyDescent="0.2">
      <c r="C3856"/>
      <c r="M3856"/>
    </row>
    <row r="3857" spans="3:13" ht="12.75" customHeight="1" x14ac:dyDescent="0.2">
      <c r="C3857"/>
      <c r="M3857"/>
    </row>
    <row r="3858" spans="3:13" ht="12.75" customHeight="1" x14ac:dyDescent="0.2">
      <c r="C3858"/>
      <c r="M3858"/>
    </row>
    <row r="3859" spans="3:13" ht="12.75" customHeight="1" x14ac:dyDescent="0.2">
      <c r="C3859"/>
      <c r="M3859"/>
    </row>
    <row r="3860" spans="3:13" ht="12.75" customHeight="1" x14ac:dyDescent="0.2">
      <c r="C3860"/>
      <c r="M3860"/>
    </row>
    <row r="3861" spans="3:13" ht="12.75" customHeight="1" x14ac:dyDescent="0.2">
      <c r="C3861"/>
      <c r="M3861"/>
    </row>
    <row r="3862" spans="3:13" ht="12.75" customHeight="1" x14ac:dyDescent="0.2">
      <c r="C3862"/>
      <c r="M3862"/>
    </row>
    <row r="3863" spans="3:13" ht="12.75" customHeight="1" x14ac:dyDescent="0.2">
      <c r="C3863"/>
      <c r="M3863"/>
    </row>
    <row r="3864" spans="3:13" ht="12.75" customHeight="1" x14ac:dyDescent="0.2">
      <c r="C3864"/>
      <c r="M3864"/>
    </row>
    <row r="3865" spans="3:13" ht="12.75" customHeight="1" x14ac:dyDescent="0.2">
      <c r="C3865"/>
      <c r="M3865"/>
    </row>
    <row r="3866" spans="3:13" ht="12.75" customHeight="1" x14ac:dyDescent="0.2">
      <c r="C3866"/>
      <c r="M3866"/>
    </row>
    <row r="3867" spans="3:13" ht="12.75" customHeight="1" x14ac:dyDescent="0.2">
      <c r="C3867"/>
      <c r="M3867"/>
    </row>
    <row r="3868" spans="3:13" ht="12.75" customHeight="1" x14ac:dyDescent="0.2">
      <c r="C3868"/>
      <c r="M3868"/>
    </row>
    <row r="3869" spans="3:13" ht="12.75" customHeight="1" x14ac:dyDescent="0.2">
      <c r="C3869"/>
      <c r="M3869"/>
    </row>
    <row r="3870" spans="3:13" ht="12.75" customHeight="1" x14ac:dyDescent="0.2">
      <c r="C3870"/>
      <c r="M3870"/>
    </row>
    <row r="3871" spans="3:13" ht="12.75" customHeight="1" x14ac:dyDescent="0.2">
      <c r="C3871"/>
      <c r="M3871"/>
    </row>
    <row r="3872" spans="3:13" ht="12.75" customHeight="1" x14ac:dyDescent="0.2">
      <c r="C3872"/>
      <c r="M3872"/>
    </row>
    <row r="3873" spans="3:13" ht="12.75" customHeight="1" x14ac:dyDescent="0.2">
      <c r="C3873"/>
      <c r="M3873"/>
    </row>
    <row r="3874" spans="3:13" ht="12.75" customHeight="1" x14ac:dyDescent="0.2">
      <c r="C3874"/>
      <c r="M3874"/>
    </row>
    <row r="3875" spans="3:13" ht="12.75" customHeight="1" x14ac:dyDescent="0.2">
      <c r="C3875"/>
      <c r="M3875"/>
    </row>
    <row r="3876" spans="3:13" ht="12.75" customHeight="1" x14ac:dyDescent="0.2">
      <c r="C3876"/>
      <c r="M3876"/>
    </row>
    <row r="3877" spans="3:13" ht="12.75" customHeight="1" x14ac:dyDescent="0.2">
      <c r="C3877"/>
      <c r="M3877"/>
    </row>
    <row r="3878" spans="3:13" ht="12.75" customHeight="1" x14ac:dyDescent="0.2">
      <c r="C3878"/>
      <c r="M3878"/>
    </row>
    <row r="3879" spans="3:13" ht="12.75" customHeight="1" x14ac:dyDescent="0.2">
      <c r="C3879"/>
      <c r="M3879"/>
    </row>
    <row r="3880" spans="3:13" ht="12.75" customHeight="1" x14ac:dyDescent="0.2">
      <c r="C3880"/>
      <c r="M3880"/>
    </row>
    <row r="3881" spans="3:13" ht="12.75" customHeight="1" x14ac:dyDescent="0.2">
      <c r="C3881"/>
      <c r="M3881"/>
    </row>
    <row r="3882" spans="3:13" ht="12.75" customHeight="1" x14ac:dyDescent="0.2">
      <c r="C3882"/>
      <c r="M3882"/>
    </row>
    <row r="3883" spans="3:13" ht="12.75" customHeight="1" x14ac:dyDescent="0.2">
      <c r="C3883"/>
      <c r="M3883"/>
    </row>
    <row r="3884" spans="3:13" ht="12.75" customHeight="1" x14ac:dyDescent="0.2">
      <c r="C3884"/>
      <c r="M3884"/>
    </row>
    <row r="3885" spans="3:13" ht="12.75" customHeight="1" x14ac:dyDescent="0.2">
      <c r="C3885"/>
      <c r="M3885"/>
    </row>
    <row r="3886" spans="3:13" ht="12.75" customHeight="1" x14ac:dyDescent="0.2">
      <c r="C3886"/>
      <c r="M3886"/>
    </row>
    <row r="3887" spans="3:13" ht="12.75" customHeight="1" x14ac:dyDescent="0.2">
      <c r="C3887"/>
      <c r="M3887"/>
    </row>
    <row r="3888" spans="3:13" ht="12.75" customHeight="1" x14ac:dyDescent="0.2">
      <c r="C3888"/>
      <c r="M3888"/>
    </row>
    <row r="3889" spans="3:13" ht="12.75" customHeight="1" x14ac:dyDescent="0.2">
      <c r="C3889"/>
      <c r="M3889"/>
    </row>
    <row r="3890" spans="3:13" ht="12.75" customHeight="1" x14ac:dyDescent="0.2">
      <c r="C3890"/>
      <c r="M3890"/>
    </row>
    <row r="3891" spans="3:13" ht="12.75" customHeight="1" x14ac:dyDescent="0.2">
      <c r="C3891"/>
      <c r="M3891"/>
    </row>
    <row r="3892" spans="3:13" ht="12.75" customHeight="1" x14ac:dyDescent="0.2">
      <c r="C3892"/>
      <c r="M3892"/>
    </row>
    <row r="3893" spans="3:13" ht="12.75" customHeight="1" x14ac:dyDescent="0.2">
      <c r="C3893"/>
      <c r="M3893"/>
    </row>
    <row r="3894" spans="3:13" ht="12.75" customHeight="1" x14ac:dyDescent="0.2">
      <c r="C3894"/>
      <c r="M3894"/>
    </row>
    <row r="3895" spans="3:13" ht="12.75" customHeight="1" x14ac:dyDescent="0.2">
      <c r="C3895"/>
      <c r="M3895"/>
    </row>
    <row r="3896" spans="3:13" ht="12.75" customHeight="1" x14ac:dyDescent="0.2">
      <c r="C3896"/>
      <c r="M3896"/>
    </row>
    <row r="3897" spans="3:13" ht="12.75" customHeight="1" x14ac:dyDescent="0.2">
      <c r="C3897"/>
      <c r="M3897"/>
    </row>
    <row r="3898" spans="3:13" ht="12.75" customHeight="1" x14ac:dyDescent="0.2">
      <c r="C3898"/>
      <c r="M3898"/>
    </row>
    <row r="3899" spans="3:13" ht="12.75" customHeight="1" x14ac:dyDescent="0.2">
      <c r="C3899"/>
      <c r="M3899"/>
    </row>
    <row r="3900" spans="3:13" ht="12.75" customHeight="1" x14ac:dyDescent="0.2">
      <c r="C3900"/>
      <c r="M3900"/>
    </row>
    <row r="3901" spans="3:13" ht="12.75" customHeight="1" x14ac:dyDescent="0.2">
      <c r="C3901"/>
      <c r="M3901"/>
    </row>
    <row r="3902" spans="3:13" ht="12.75" customHeight="1" x14ac:dyDescent="0.2">
      <c r="C3902"/>
      <c r="M3902"/>
    </row>
    <row r="3903" spans="3:13" ht="12.75" customHeight="1" x14ac:dyDescent="0.2">
      <c r="C3903"/>
      <c r="M3903"/>
    </row>
    <row r="3904" spans="3:13" ht="12.75" customHeight="1" x14ac:dyDescent="0.2">
      <c r="C3904"/>
      <c r="M3904"/>
    </row>
    <row r="3905" spans="3:13" ht="12.75" customHeight="1" x14ac:dyDescent="0.2">
      <c r="C3905"/>
      <c r="M3905"/>
    </row>
    <row r="3906" spans="3:13" ht="12.75" customHeight="1" x14ac:dyDescent="0.2">
      <c r="C3906"/>
      <c r="M3906"/>
    </row>
    <row r="3907" spans="3:13" ht="12.75" customHeight="1" x14ac:dyDescent="0.2">
      <c r="C3907"/>
      <c r="M3907"/>
    </row>
    <row r="3908" spans="3:13" ht="12.75" customHeight="1" x14ac:dyDescent="0.2">
      <c r="C3908"/>
      <c r="M3908"/>
    </row>
    <row r="3909" spans="3:13" ht="12.75" customHeight="1" x14ac:dyDescent="0.2">
      <c r="C3909"/>
      <c r="M3909"/>
    </row>
    <row r="3910" spans="3:13" ht="12.75" customHeight="1" x14ac:dyDescent="0.2">
      <c r="C3910"/>
      <c r="M3910"/>
    </row>
    <row r="3911" spans="3:13" ht="12.75" customHeight="1" x14ac:dyDescent="0.2">
      <c r="C3911"/>
      <c r="M3911"/>
    </row>
    <row r="3912" spans="3:13" ht="12.75" customHeight="1" x14ac:dyDescent="0.2">
      <c r="C3912"/>
      <c r="M3912"/>
    </row>
    <row r="3913" spans="3:13" ht="12.75" customHeight="1" x14ac:dyDescent="0.2">
      <c r="C3913"/>
      <c r="M3913"/>
    </row>
    <row r="3914" spans="3:13" ht="12.75" customHeight="1" x14ac:dyDescent="0.2">
      <c r="C3914"/>
      <c r="M3914"/>
    </row>
    <row r="3915" spans="3:13" ht="12.75" customHeight="1" x14ac:dyDescent="0.2">
      <c r="C3915"/>
      <c r="M3915"/>
    </row>
    <row r="3916" spans="3:13" ht="12.75" customHeight="1" x14ac:dyDescent="0.2">
      <c r="C3916"/>
      <c r="M3916"/>
    </row>
    <row r="3917" spans="3:13" ht="12.75" customHeight="1" x14ac:dyDescent="0.2">
      <c r="C3917"/>
      <c r="M3917"/>
    </row>
    <row r="3918" spans="3:13" ht="12.75" customHeight="1" x14ac:dyDescent="0.2">
      <c r="C3918"/>
      <c r="M3918"/>
    </row>
    <row r="3919" spans="3:13" ht="12.75" customHeight="1" x14ac:dyDescent="0.2">
      <c r="C3919"/>
      <c r="M3919"/>
    </row>
    <row r="3920" spans="3:13" ht="12.75" customHeight="1" x14ac:dyDescent="0.2">
      <c r="C3920"/>
      <c r="M3920"/>
    </row>
    <row r="3921" spans="3:13" ht="12.75" customHeight="1" x14ac:dyDescent="0.2">
      <c r="C3921"/>
      <c r="M3921"/>
    </row>
    <row r="3922" spans="3:13" ht="12.75" customHeight="1" x14ac:dyDescent="0.2">
      <c r="C3922"/>
      <c r="M3922"/>
    </row>
    <row r="3923" spans="3:13" ht="12.75" customHeight="1" x14ac:dyDescent="0.2">
      <c r="C3923"/>
      <c r="M3923"/>
    </row>
    <row r="3924" spans="3:13" ht="12.75" customHeight="1" x14ac:dyDescent="0.2">
      <c r="C3924"/>
      <c r="M3924"/>
    </row>
    <row r="3925" spans="3:13" ht="12.75" customHeight="1" x14ac:dyDescent="0.2">
      <c r="C3925"/>
      <c r="M3925"/>
    </row>
    <row r="3926" spans="3:13" ht="12.75" customHeight="1" x14ac:dyDescent="0.2">
      <c r="C3926"/>
      <c r="M3926"/>
    </row>
    <row r="3927" spans="3:13" ht="12.75" customHeight="1" x14ac:dyDescent="0.2">
      <c r="C3927"/>
      <c r="M3927"/>
    </row>
    <row r="3928" spans="3:13" ht="12.75" customHeight="1" x14ac:dyDescent="0.2">
      <c r="C3928"/>
      <c r="M3928"/>
    </row>
    <row r="3929" spans="3:13" ht="12.75" customHeight="1" x14ac:dyDescent="0.2">
      <c r="C3929"/>
      <c r="M3929"/>
    </row>
    <row r="3930" spans="3:13" ht="12.75" customHeight="1" x14ac:dyDescent="0.2">
      <c r="C3930"/>
      <c r="M3930"/>
    </row>
    <row r="3931" spans="3:13" ht="12.75" customHeight="1" x14ac:dyDescent="0.2">
      <c r="C3931"/>
      <c r="M3931"/>
    </row>
    <row r="3932" spans="3:13" ht="12.75" customHeight="1" x14ac:dyDescent="0.2">
      <c r="C3932"/>
      <c r="M3932"/>
    </row>
    <row r="3933" spans="3:13" ht="12.75" customHeight="1" x14ac:dyDescent="0.2">
      <c r="C3933"/>
      <c r="M3933"/>
    </row>
    <row r="3934" spans="3:13" ht="12.75" customHeight="1" x14ac:dyDescent="0.2">
      <c r="C3934"/>
      <c r="M3934"/>
    </row>
    <row r="3935" spans="3:13" ht="12.75" customHeight="1" x14ac:dyDescent="0.2">
      <c r="C3935"/>
      <c r="M3935"/>
    </row>
    <row r="3936" spans="3:13" ht="12.75" customHeight="1" x14ac:dyDescent="0.2">
      <c r="C3936"/>
      <c r="M3936"/>
    </row>
    <row r="3937" spans="3:13" ht="12.75" customHeight="1" x14ac:dyDescent="0.2">
      <c r="C3937"/>
      <c r="M3937"/>
    </row>
    <row r="3938" spans="3:13" ht="12.75" customHeight="1" x14ac:dyDescent="0.2">
      <c r="C3938"/>
      <c r="M3938"/>
    </row>
    <row r="3939" spans="3:13" ht="12.75" customHeight="1" x14ac:dyDescent="0.2">
      <c r="C3939"/>
      <c r="M3939"/>
    </row>
    <row r="3940" spans="3:13" ht="12.75" customHeight="1" x14ac:dyDescent="0.2">
      <c r="C3940"/>
      <c r="M3940"/>
    </row>
    <row r="3941" spans="3:13" ht="12.75" customHeight="1" x14ac:dyDescent="0.2">
      <c r="C3941"/>
      <c r="M3941"/>
    </row>
    <row r="3942" spans="3:13" ht="12.75" customHeight="1" x14ac:dyDescent="0.2">
      <c r="C3942"/>
      <c r="M3942"/>
    </row>
    <row r="3943" spans="3:13" ht="12.75" customHeight="1" x14ac:dyDescent="0.2">
      <c r="C3943"/>
      <c r="M3943"/>
    </row>
    <row r="3944" spans="3:13" ht="12.75" customHeight="1" x14ac:dyDescent="0.2">
      <c r="C3944"/>
      <c r="M3944"/>
    </row>
    <row r="3945" spans="3:13" ht="12.75" customHeight="1" x14ac:dyDescent="0.2">
      <c r="C3945"/>
      <c r="M3945"/>
    </row>
    <row r="3946" spans="3:13" ht="12.75" customHeight="1" x14ac:dyDescent="0.2">
      <c r="C3946"/>
      <c r="M3946"/>
    </row>
    <row r="3947" spans="3:13" ht="12.75" customHeight="1" x14ac:dyDescent="0.2">
      <c r="C3947"/>
      <c r="M3947"/>
    </row>
    <row r="3948" spans="3:13" ht="12.75" customHeight="1" x14ac:dyDescent="0.2">
      <c r="C3948"/>
      <c r="M3948"/>
    </row>
    <row r="3949" spans="3:13" ht="12.75" customHeight="1" x14ac:dyDescent="0.2">
      <c r="C3949"/>
      <c r="M3949"/>
    </row>
    <row r="3950" spans="3:13" ht="12.75" customHeight="1" x14ac:dyDescent="0.2">
      <c r="C3950"/>
      <c r="M3950"/>
    </row>
    <row r="3951" spans="3:13" ht="12.75" customHeight="1" x14ac:dyDescent="0.2">
      <c r="C3951"/>
      <c r="M3951"/>
    </row>
    <row r="3952" spans="3:13" ht="12.75" customHeight="1" x14ac:dyDescent="0.2">
      <c r="C3952"/>
      <c r="M3952"/>
    </row>
    <row r="3953" spans="3:13" ht="12.75" customHeight="1" x14ac:dyDescent="0.2">
      <c r="C3953"/>
      <c r="M3953"/>
    </row>
    <row r="3954" spans="3:13" ht="12.75" customHeight="1" x14ac:dyDescent="0.2">
      <c r="C3954"/>
      <c r="M3954"/>
    </row>
    <row r="3955" spans="3:13" ht="12.75" customHeight="1" x14ac:dyDescent="0.2">
      <c r="C3955"/>
      <c r="M3955"/>
    </row>
    <row r="3956" spans="3:13" ht="12.75" customHeight="1" x14ac:dyDescent="0.2">
      <c r="C3956"/>
      <c r="M3956"/>
    </row>
    <row r="3957" spans="3:13" ht="12.75" customHeight="1" x14ac:dyDescent="0.2">
      <c r="C3957"/>
      <c r="M3957"/>
    </row>
    <row r="3958" spans="3:13" ht="12.75" customHeight="1" x14ac:dyDescent="0.2">
      <c r="C3958"/>
      <c r="M3958"/>
    </row>
    <row r="3959" spans="3:13" ht="12.75" customHeight="1" x14ac:dyDescent="0.2">
      <c r="C3959"/>
      <c r="M3959"/>
    </row>
    <row r="3960" spans="3:13" ht="12.75" customHeight="1" x14ac:dyDescent="0.2">
      <c r="C3960"/>
      <c r="M3960"/>
    </row>
    <row r="3961" spans="3:13" ht="12.75" customHeight="1" x14ac:dyDescent="0.2">
      <c r="C3961"/>
      <c r="M3961"/>
    </row>
    <row r="3962" spans="3:13" ht="12.75" customHeight="1" x14ac:dyDescent="0.2">
      <c r="C3962"/>
      <c r="M3962"/>
    </row>
    <row r="3963" spans="3:13" ht="12.75" customHeight="1" x14ac:dyDescent="0.2">
      <c r="C3963"/>
      <c r="M3963"/>
    </row>
    <row r="3964" spans="3:13" ht="12.75" customHeight="1" x14ac:dyDescent="0.2">
      <c r="C3964"/>
      <c r="M3964"/>
    </row>
    <row r="3965" spans="3:13" ht="12.75" customHeight="1" x14ac:dyDescent="0.2">
      <c r="C3965"/>
      <c r="M3965"/>
    </row>
    <row r="3966" spans="3:13" ht="12.75" customHeight="1" x14ac:dyDescent="0.2">
      <c r="C3966"/>
      <c r="M3966"/>
    </row>
    <row r="3967" spans="3:13" ht="12.75" customHeight="1" x14ac:dyDescent="0.2">
      <c r="C3967"/>
      <c r="M3967"/>
    </row>
    <row r="3968" spans="3:13" ht="12.75" customHeight="1" x14ac:dyDescent="0.2">
      <c r="C3968"/>
      <c r="M3968"/>
    </row>
    <row r="3969" spans="3:13" ht="12.75" customHeight="1" x14ac:dyDescent="0.2">
      <c r="C3969"/>
      <c r="M3969"/>
    </row>
    <row r="3970" spans="3:13" ht="12.75" customHeight="1" x14ac:dyDescent="0.2">
      <c r="C3970"/>
      <c r="M3970"/>
    </row>
    <row r="3971" spans="3:13" ht="12.75" customHeight="1" x14ac:dyDescent="0.2">
      <c r="C3971"/>
      <c r="M3971"/>
    </row>
    <row r="3972" spans="3:13" ht="12.75" customHeight="1" x14ac:dyDescent="0.2">
      <c r="C3972"/>
      <c r="M3972"/>
    </row>
    <row r="3973" spans="3:13" ht="12.75" customHeight="1" x14ac:dyDescent="0.2">
      <c r="C3973"/>
      <c r="M3973"/>
    </row>
    <row r="3974" spans="3:13" ht="12.75" customHeight="1" x14ac:dyDescent="0.2">
      <c r="C3974"/>
      <c r="M3974"/>
    </row>
    <row r="3975" spans="3:13" ht="12.75" customHeight="1" x14ac:dyDescent="0.2">
      <c r="C3975"/>
      <c r="M3975"/>
    </row>
    <row r="3976" spans="3:13" ht="12.75" customHeight="1" x14ac:dyDescent="0.2">
      <c r="C3976"/>
      <c r="M3976"/>
    </row>
    <row r="3977" spans="3:13" ht="12.75" customHeight="1" x14ac:dyDescent="0.2">
      <c r="C3977"/>
      <c r="M3977"/>
    </row>
    <row r="3978" spans="3:13" ht="12.75" customHeight="1" x14ac:dyDescent="0.2">
      <c r="C3978"/>
      <c r="M3978"/>
    </row>
    <row r="3979" spans="3:13" ht="12.75" customHeight="1" x14ac:dyDescent="0.2">
      <c r="C3979"/>
      <c r="M3979"/>
    </row>
    <row r="3980" spans="3:13" ht="12.75" customHeight="1" x14ac:dyDescent="0.2">
      <c r="C3980"/>
      <c r="M3980"/>
    </row>
    <row r="3981" spans="3:13" ht="12.75" customHeight="1" x14ac:dyDescent="0.2">
      <c r="C3981"/>
      <c r="M3981"/>
    </row>
    <row r="3982" spans="3:13" ht="12.75" customHeight="1" x14ac:dyDescent="0.2">
      <c r="C3982"/>
      <c r="M3982"/>
    </row>
    <row r="3983" spans="3:13" ht="12.75" customHeight="1" x14ac:dyDescent="0.2">
      <c r="C3983"/>
      <c r="M3983"/>
    </row>
    <row r="3984" spans="3:13" ht="12.75" customHeight="1" x14ac:dyDescent="0.2">
      <c r="C3984"/>
      <c r="M3984"/>
    </row>
    <row r="3985" spans="3:13" ht="12.75" customHeight="1" x14ac:dyDescent="0.2">
      <c r="C3985"/>
      <c r="M3985"/>
    </row>
    <row r="3986" spans="3:13" ht="12.75" customHeight="1" x14ac:dyDescent="0.2">
      <c r="C3986"/>
      <c r="M3986"/>
    </row>
    <row r="3987" spans="3:13" ht="12.75" customHeight="1" x14ac:dyDescent="0.2">
      <c r="C3987"/>
      <c r="M3987"/>
    </row>
    <row r="3988" spans="3:13" ht="12.75" customHeight="1" x14ac:dyDescent="0.2">
      <c r="C3988"/>
      <c r="M3988"/>
    </row>
    <row r="3989" spans="3:13" ht="12.75" customHeight="1" x14ac:dyDescent="0.2">
      <c r="C3989"/>
      <c r="M3989"/>
    </row>
    <row r="3990" spans="3:13" ht="12.75" customHeight="1" x14ac:dyDescent="0.2">
      <c r="C3990"/>
      <c r="M3990"/>
    </row>
    <row r="3991" spans="3:13" ht="12.75" customHeight="1" x14ac:dyDescent="0.2">
      <c r="C3991"/>
      <c r="M3991"/>
    </row>
    <row r="3992" spans="3:13" ht="12.75" customHeight="1" x14ac:dyDescent="0.2">
      <c r="C3992"/>
      <c r="M3992"/>
    </row>
    <row r="3993" spans="3:13" ht="12.75" customHeight="1" x14ac:dyDescent="0.2">
      <c r="C3993"/>
      <c r="M3993"/>
    </row>
    <row r="3994" spans="3:13" ht="12.75" customHeight="1" x14ac:dyDescent="0.2">
      <c r="C3994"/>
      <c r="M3994"/>
    </row>
    <row r="3995" spans="3:13" ht="12.75" customHeight="1" x14ac:dyDescent="0.2">
      <c r="C3995"/>
      <c r="M3995"/>
    </row>
    <row r="3996" spans="3:13" ht="12.75" customHeight="1" x14ac:dyDescent="0.2">
      <c r="C3996"/>
      <c r="M3996"/>
    </row>
    <row r="3997" spans="3:13" ht="12.75" customHeight="1" x14ac:dyDescent="0.2">
      <c r="C3997"/>
      <c r="M3997"/>
    </row>
    <row r="3998" spans="3:13" ht="12.75" customHeight="1" x14ac:dyDescent="0.2">
      <c r="C3998"/>
      <c r="M3998"/>
    </row>
    <row r="3999" spans="3:13" ht="12.75" customHeight="1" x14ac:dyDescent="0.2">
      <c r="C3999"/>
      <c r="M3999"/>
    </row>
    <row r="4000" spans="3:13" ht="12.75" customHeight="1" x14ac:dyDescent="0.2">
      <c r="C4000"/>
      <c r="M4000"/>
    </row>
    <row r="4001" spans="3:13" ht="12.75" customHeight="1" x14ac:dyDescent="0.2">
      <c r="C4001"/>
      <c r="M4001"/>
    </row>
    <row r="4002" spans="3:13" ht="12.75" customHeight="1" x14ac:dyDescent="0.2">
      <c r="C4002"/>
      <c r="M4002"/>
    </row>
    <row r="4003" spans="3:13" ht="12.75" customHeight="1" x14ac:dyDescent="0.2">
      <c r="C4003"/>
      <c r="M4003"/>
    </row>
    <row r="4004" spans="3:13" ht="12.75" customHeight="1" x14ac:dyDescent="0.2">
      <c r="C4004"/>
      <c r="M4004"/>
    </row>
    <row r="4005" spans="3:13" ht="12.75" customHeight="1" x14ac:dyDescent="0.2">
      <c r="C4005"/>
      <c r="M4005"/>
    </row>
    <row r="4006" spans="3:13" ht="12.75" customHeight="1" x14ac:dyDescent="0.2">
      <c r="C4006"/>
      <c r="M4006"/>
    </row>
    <row r="4007" spans="3:13" ht="12.75" customHeight="1" x14ac:dyDescent="0.2">
      <c r="C4007"/>
      <c r="M4007"/>
    </row>
    <row r="4008" spans="3:13" ht="12.75" customHeight="1" x14ac:dyDescent="0.2">
      <c r="C4008"/>
      <c r="M4008"/>
    </row>
    <row r="4009" spans="3:13" ht="12.75" customHeight="1" x14ac:dyDescent="0.2">
      <c r="C4009"/>
      <c r="M4009"/>
    </row>
    <row r="4010" spans="3:13" ht="12.75" customHeight="1" x14ac:dyDescent="0.2">
      <c r="C4010"/>
      <c r="M4010"/>
    </row>
    <row r="4011" spans="3:13" ht="12.75" customHeight="1" x14ac:dyDescent="0.2">
      <c r="C4011"/>
      <c r="M4011"/>
    </row>
    <row r="4012" spans="3:13" ht="12.75" customHeight="1" x14ac:dyDescent="0.2">
      <c r="C4012"/>
      <c r="M4012"/>
    </row>
    <row r="4013" spans="3:13" ht="12.75" customHeight="1" x14ac:dyDescent="0.2">
      <c r="C4013"/>
      <c r="M4013"/>
    </row>
    <row r="4014" spans="3:13" ht="12.75" customHeight="1" x14ac:dyDescent="0.2">
      <c r="C4014"/>
      <c r="M4014"/>
    </row>
    <row r="4015" spans="3:13" ht="12.75" customHeight="1" x14ac:dyDescent="0.2">
      <c r="C4015"/>
      <c r="M4015"/>
    </row>
    <row r="4016" spans="3:13" ht="12.75" customHeight="1" x14ac:dyDescent="0.2">
      <c r="C4016"/>
      <c r="M4016"/>
    </row>
    <row r="4017" spans="3:13" ht="12.75" customHeight="1" x14ac:dyDescent="0.2">
      <c r="C4017"/>
      <c r="M4017"/>
    </row>
    <row r="4018" spans="3:13" ht="12.75" customHeight="1" x14ac:dyDescent="0.2">
      <c r="C4018"/>
      <c r="M4018"/>
    </row>
    <row r="4019" spans="3:13" ht="12.75" customHeight="1" x14ac:dyDescent="0.2">
      <c r="C4019"/>
      <c r="M4019"/>
    </row>
    <row r="4020" spans="3:13" ht="12.75" customHeight="1" x14ac:dyDescent="0.2">
      <c r="C4020"/>
      <c r="M4020"/>
    </row>
    <row r="4021" spans="3:13" ht="12.75" customHeight="1" x14ac:dyDescent="0.2">
      <c r="C4021"/>
      <c r="M4021"/>
    </row>
    <row r="4022" spans="3:13" ht="12.75" customHeight="1" x14ac:dyDescent="0.2">
      <c r="C4022"/>
      <c r="M4022"/>
    </row>
    <row r="4023" spans="3:13" ht="12.75" customHeight="1" x14ac:dyDescent="0.2">
      <c r="C4023"/>
      <c r="M4023"/>
    </row>
    <row r="4024" spans="3:13" ht="12.75" customHeight="1" x14ac:dyDescent="0.2">
      <c r="C4024"/>
      <c r="M4024"/>
    </row>
    <row r="4025" spans="3:13" ht="12.75" customHeight="1" x14ac:dyDescent="0.2">
      <c r="C4025"/>
      <c r="M4025"/>
    </row>
    <row r="4026" spans="3:13" ht="12.75" customHeight="1" x14ac:dyDescent="0.2">
      <c r="C4026"/>
      <c r="M4026"/>
    </row>
    <row r="4027" spans="3:13" ht="12.75" customHeight="1" x14ac:dyDescent="0.2">
      <c r="C4027"/>
      <c r="M4027"/>
    </row>
    <row r="4028" spans="3:13" ht="12.75" customHeight="1" x14ac:dyDescent="0.2">
      <c r="C4028"/>
      <c r="M4028"/>
    </row>
    <row r="4029" spans="3:13" ht="12.75" customHeight="1" x14ac:dyDescent="0.2">
      <c r="C4029"/>
      <c r="M4029"/>
    </row>
    <row r="4030" spans="3:13" ht="12.75" customHeight="1" x14ac:dyDescent="0.2">
      <c r="C4030"/>
      <c r="M4030"/>
    </row>
    <row r="4031" spans="3:13" ht="12.75" customHeight="1" x14ac:dyDescent="0.2">
      <c r="C4031"/>
      <c r="M4031"/>
    </row>
    <row r="4032" spans="3:13" ht="12.75" customHeight="1" x14ac:dyDescent="0.2">
      <c r="C4032"/>
      <c r="M4032"/>
    </row>
    <row r="4033" spans="3:13" ht="12.75" customHeight="1" x14ac:dyDescent="0.2">
      <c r="C4033"/>
      <c r="M4033"/>
    </row>
    <row r="4034" spans="3:13" ht="12.75" customHeight="1" x14ac:dyDescent="0.2">
      <c r="C4034"/>
      <c r="M4034"/>
    </row>
    <row r="4035" spans="3:13" ht="12.75" customHeight="1" x14ac:dyDescent="0.2">
      <c r="C4035"/>
      <c r="M4035"/>
    </row>
    <row r="4036" spans="3:13" ht="12.75" customHeight="1" x14ac:dyDescent="0.2">
      <c r="C4036"/>
      <c r="M4036"/>
    </row>
    <row r="4037" spans="3:13" ht="12.75" customHeight="1" x14ac:dyDescent="0.2">
      <c r="C4037"/>
      <c r="M4037"/>
    </row>
    <row r="4038" spans="3:13" ht="12.75" customHeight="1" x14ac:dyDescent="0.2">
      <c r="C4038"/>
      <c r="M4038"/>
    </row>
    <row r="4039" spans="3:13" ht="12.75" customHeight="1" x14ac:dyDescent="0.2">
      <c r="C4039"/>
      <c r="M4039"/>
    </row>
    <row r="4040" spans="3:13" ht="12.75" customHeight="1" x14ac:dyDescent="0.2">
      <c r="C4040"/>
      <c r="M4040"/>
    </row>
    <row r="4041" spans="3:13" ht="12.75" customHeight="1" x14ac:dyDescent="0.2">
      <c r="C4041"/>
      <c r="M4041"/>
    </row>
    <row r="4042" spans="3:13" ht="12.75" customHeight="1" x14ac:dyDescent="0.2">
      <c r="C4042"/>
      <c r="M4042"/>
    </row>
    <row r="4043" spans="3:13" ht="12.75" customHeight="1" x14ac:dyDescent="0.2">
      <c r="C4043"/>
      <c r="M4043"/>
    </row>
    <row r="4044" spans="3:13" ht="12.75" customHeight="1" x14ac:dyDescent="0.2">
      <c r="C4044"/>
      <c r="M4044"/>
    </row>
    <row r="4045" spans="3:13" ht="12.75" customHeight="1" x14ac:dyDescent="0.2">
      <c r="C4045"/>
      <c r="M4045"/>
    </row>
    <row r="4046" spans="3:13" ht="12.75" customHeight="1" x14ac:dyDescent="0.2">
      <c r="C4046"/>
      <c r="M4046"/>
    </row>
    <row r="4047" spans="3:13" ht="12.75" customHeight="1" x14ac:dyDescent="0.2">
      <c r="C4047"/>
      <c r="M4047"/>
    </row>
    <row r="4048" spans="3:13" ht="12.75" customHeight="1" x14ac:dyDescent="0.2">
      <c r="C4048"/>
      <c r="M4048"/>
    </row>
    <row r="4049" spans="3:13" ht="12.75" customHeight="1" x14ac:dyDescent="0.2">
      <c r="C4049"/>
      <c r="M4049"/>
    </row>
    <row r="4050" spans="3:13" ht="12.75" customHeight="1" x14ac:dyDescent="0.2">
      <c r="C4050"/>
      <c r="M4050"/>
    </row>
    <row r="4051" spans="3:13" ht="12.75" customHeight="1" x14ac:dyDescent="0.2">
      <c r="C4051"/>
      <c r="M4051"/>
    </row>
    <row r="4052" spans="3:13" ht="12.75" customHeight="1" x14ac:dyDescent="0.2">
      <c r="C4052"/>
      <c r="M4052"/>
    </row>
    <row r="4053" spans="3:13" ht="12.75" customHeight="1" x14ac:dyDescent="0.2">
      <c r="C4053"/>
      <c r="M4053"/>
    </row>
    <row r="4054" spans="3:13" ht="12.75" customHeight="1" x14ac:dyDescent="0.2">
      <c r="C4054"/>
      <c r="M4054"/>
    </row>
    <row r="4055" spans="3:13" ht="12.75" customHeight="1" x14ac:dyDescent="0.2">
      <c r="C4055"/>
      <c r="M4055"/>
    </row>
    <row r="4056" spans="3:13" ht="12.75" customHeight="1" x14ac:dyDescent="0.2">
      <c r="C4056"/>
      <c r="M4056"/>
    </row>
    <row r="4057" spans="3:13" ht="12.75" customHeight="1" x14ac:dyDescent="0.2">
      <c r="C4057"/>
      <c r="M4057"/>
    </row>
    <row r="4058" spans="3:13" ht="12.75" customHeight="1" x14ac:dyDescent="0.2">
      <c r="C4058"/>
      <c r="M4058"/>
    </row>
    <row r="4059" spans="3:13" ht="12.75" customHeight="1" x14ac:dyDescent="0.2">
      <c r="C4059"/>
      <c r="M4059"/>
    </row>
    <row r="4060" spans="3:13" ht="12.75" customHeight="1" x14ac:dyDescent="0.2">
      <c r="C4060"/>
      <c r="M4060"/>
    </row>
    <row r="4061" spans="3:13" ht="12.75" customHeight="1" x14ac:dyDescent="0.2">
      <c r="C4061"/>
      <c r="M4061"/>
    </row>
    <row r="4062" spans="3:13" ht="12.75" customHeight="1" x14ac:dyDescent="0.2">
      <c r="C4062"/>
      <c r="M4062"/>
    </row>
    <row r="4063" spans="3:13" ht="12.75" customHeight="1" x14ac:dyDescent="0.2">
      <c r="C4063"/>
      <c r="M4063"/>
    </row>
    <row r="4064" spans="3:13" ht="12.75" customHeight="1" x14ac:dyDescent="0.2">
      <c r="C4064"/>
      <c r="M4064"/>
    </row>
    <row r="4065" spans="3:13" ht="12.75" customHeight="1" x14ac:dyDescent="0.2">
      <c r="C4065"/>
      <c r="M4065"/>
    </row>
    <row r="4066" spans="3:13" ht="12.75" customHeight="1" x14ac:dyDescent="0.2">
      <c r="C4066"/>
      <c r="M4066"/>
    </row>
    <row r="4067" spans="3:13" ht="12.75" customHeight="1" x14ac:dyDescent="0.2">
      <c r="C4067"/>
      <c r="M4067"/>
    </row>
    <row r="4068" spans="3:13" ht="12.75" customHeight="1" x14ac:dyDescent="0.2">
      <c r="C4068"/>
      <c r="M4068"/>
    </row>
    <row r="4069" spans="3:13" ht="12.75" customHeight="1" x14ac:dyDescent="0.2">
      <c r="C4069"/>
      <c r="M4069"/>
    </row>
    <row r="4070" spans="3:13" ht="12.75" customHeight="1" x14ac:dyDescent="0.2">
      <c r="C4070"/>
      <c r="M4070"/>
    </row>
    <row r="4071" spans="3:13" ht="12.75" customHeight="1" x14ac:dyDescent="0.2">
      <c r="C4071"/>
      <c r="M4071"/>
    </row>
    <row r="4072" spans="3:13" ht="12.75" customHeight="1" x14ac:dyDescent="0.2">
      <c r="C4072"/>
      <c r="M4072"/>
    </row>
    <row r="4073" spans="3:13" ht="12.75" customHeight="1" x14ac:dyDescent="0.2">
      <c r="C4073"/>
      <c r="M4073"/>
    </row>
    <row r="4074" spans="3:13" ht="12.75" customHeight="1" x14ac:dyDescent="0.2">
      <c r="C4074"/>
      <c r="M4074"/>
    </row>
    <row r="4075" spans="3:13" ht="12.75" customHeight="1" x14ac:dyDescent="0.2">
      <c r="C4075"/>
      <c r="M4075"/>
    </row>
    <row r="4076" spans="3:13" ht="12.75" customHeight="1" x14ac:dyDescent="0.2">
      <c r="C4076"/>
      <c r="M4076"/>
    </row>
    <row r="4077" spans="3:13" ht="12.75" customHeight="1" x14ac:dyDescent="0.2">
      <c r="C4077"/>
      <c r="M4077"/>
    </row>
    <row r="4078" spans="3:13" ht="12.75" customHeight="1" x14ac:dyDescent="0.2">
      <c r="C4078"/>
      <c r="M4078"/>
    </row>
    <row r="4079" spans="3:13" ht="12.75" customHeight="1" x14ac:dyDescent="0.2">
      <c r="C4079"/>
      <c r="M4079"/>
    </row>
    <row r="4080" spans="3:13" ht="12.75" customHeight="1" x14ac:dyDescent="0.2">
      <c r="C4080"/>
      <c r="M4080"/>
    </row>
    <row r="4081" spans="3:13" ht="12.75" customHeight="1" x14ac:dyDescent="0.2">
      <c r="C4081"/>
      <c r="M4081"/>
    </row>
    <row r="4082" spans="3:13" ht="12.75" customHeight="1" x14ac:dyDescent="0.2">
      <c r="C4082"/>
      <c r="M4082"/>
    </row>
    <row r="4083" spans="3:13" ht="12.75" customHeight="1" x14ac:dyDescent="0.2">
      <c r="C4083"/>
      <c r="M4083"/>
    </row>
    <row r="4084" spans="3:13" ht="12.75" customHeight="1" x14ac:dyDescent="0.2">
      <c r="C4084"/>
      <c r="M4084"/>
    </row>
    <row r="4085" spans="3:13" ht="12.75" customHeight="1" x14ac:dyDescent="0.2">
      <c r="C4085"/>
      <c r="M4085"/>
    </row>
    <row r="4086" spans="3:13" ht="12.75" customHeight="1" x14ac:dyDescent="0.2">
      <c r="C4086"/>
      <c r="M4086"/>
    </row>
    <row r="4087" spans="3:13" ht="12.75" customHeight="1" x14ac:dyDescent="0.2">
      <c r="C4087"/>
      <c r="M4087"/>
    </row>
    <row r="4088" spans="3:13" ht="12.75" customHeight="1" x14ac:dyDescent="0.2">
      <c r="C4088"/>
      <c r="M4088"/>
    </row>
    <row r="4089" spans="3:13" ht="12.75" customHeight="1" x14ac:dyDescent="0.2">
      <c r="C4089"/>
      <c r="M4089"/>
    </row>
    <row r="4090" spans="3:13" ht="12.75" customHeight="1" x14ac:dyDescent="0.2">
      <c r="C4090"/>
      <c r="M4090"/>
    </row>
    <row r="4091" spans="3:13" ht="12.75" customHeight="1" x14ac:dyDescent="0.2">
      <c r="C4091"/>
      <c r="M4091"/>
    </row>
    <row r="4092" spans="3:13" ht="12.75" customHeight="1" x14ac:dyDescent="0.2">
      <c r="C4092"/>
      <c r="M4092"/>
    </row>
    <row r="4093" spans="3:13" ht="12.75" customHeight="1" x14ac:dyDescent="0.2">
      <c r="C4093"/>
      <c r="M4093"/>
    </row>
    <row r="4094" spans="3:13" ht="12.75" customHeight="1" x14ac:dyDescent="0.2">
      <c r="C4094"/>
      <c r="M4094"/>
    </row>
    <row r="4095" spans="3:13" ht="12.75" customHeight="1" x14ac:dyDescent="0.2">
      <c r="C4095"/>
      <c r="M4095"/>
    </row>
    <row r="4096" spans="3:13" ht="12.75" customHeight="1" x14ac:dyDescent="0.2">
      <c r="C4096"/>
      <c r="M4096"/>
    </row>
    <row r="4097" spans="3:13" ht="12.75" customHeight="1" x14ac:dyDescent="0.2">
      <c r="C4097"/>
      <c r="M4097"/>
    </row>
    <row r="4098" spans="3:13" ht="12.75" customHeight="1" x14ac:dyDescent="0.2">
      <c r="C4098"/>
      <c r="M4098"/>
    </row>
    <row r="4099" spans="3:13" ht="12.75" customHeight="1" x14ac:dyDescent="0.2">
      <c r="C4099"/>
      <c r="M4099"/>
    </row>
    <row r="4100" spans="3:13" ht="12.75" customHeight="1" x14ac:dyDescent="0.2">
      <c r="C4100"/>
      <c r="M4100"/>
    </row>
    <row r="4101" spans="3:13" ht="12.75" customHeight="1" x14ac:dyDescent="0.2">
      <c r="C4101"/>
      <c r="M4101"/>
    </row>
    <row r="4102" spans="3:13" ht="12.75" customHeight="1" x14ac:dyDescent="0.2">
      <c r="C4102"/>
      <c r="M4102"/>
    </row>
    <row r="4103" spans="3:13" ht="12.75" customHeight="1" x14ac:dyDescent="0.2">
      <c r="C4103"/>
      <c r="M4103"/>
    </row>
    <row r="4104" spans="3:13" ht="12.75" customHeight="1" x14ac:dyDescent="0.2">
      <c r="C4104"/>
      <c r="M4104"/>
    </row>
    <row r="4105" spans="3:13" ht="12.75" customHeight="1" x14ac:dyDescent="0.2">
      <c r="C4105"/>
      <c r="M4105"/>
    </row>
    <row r="4106" spans="3:13" ht="12.75" customHeight="1" x14ac:dyDescent="0.2">
      <c r="C4106"/>
      <c r="M4106"/>
    </row>
    <row r="4107" spans="3:13" ht="12.75" customHeight="1" x14ac:dyDescent="0.2">
      <c r="C4107"/>
      <c r="M4107"/>
    </row>
    <row r="4108" spans="3:13" ht="12.75" customHeight="1" x14ac:dyDescent="0.2">
      <c r="C4108"/>
      <c r="M4108"/>
    </row>
    <row r="4109" spans="3:13" ht="12.75" customHeight="1" x14ac:dyDescent="0.2">
      <c r="C4109"/>
      <c r="M4109"/>
    </row>
    <row r="4110" spans="3:13" ht="12.75" customHeight="1" x14ac:dyDescent="0.2">
      <c r="C4110"/>
      <c r="M4110"/>
    </row>
    <row r="4111" spans="3:13" ht="12.75" customHeight="1" x14ac:dyDescent="0.2">
      <c r="C4111"/>
      <c r="M4111"/>
    </row>
    <row r="4112" spans="3:13" ht="12.75" customHeight="1" x14ac:dyDescent="0.2">
      <c r="C4112"/>
      <c r="M4112"/>
    </row>
    <row r="4113" spans="3:13" ht="12.75" customHeight="1" x14ac:dyDescent="0.2">
      <c r="C4113"/>
      <c r="M4113"/>
    </row>
    <row r="4114" spans="3:13" ht="12.75" customHeight="1" x14ac:dyDescent="0.2">
      <c r="C4114"/>
      <c r="M4114"/>
    </row>
    <row r="4115" spans="3:13" ht="12.75" customHeight="1" x14ac:dyDescent="0.2">
      <c r="C4115"/>
      <c r="M4115"/>
    </row>
    <row r="4116" spans="3:13" ht="12.75" customHeight="1" x14ac:dyDescent="0.2">
      <c r="C4116"/>
      <c r="M4116"/>
    </row>
    <row r="4117" spans="3:13" ht="12.75" customHeight="1" x14ac:dyDescent="0.2">
      <c r="C4117"/>
      <c r="M4117"/>
    </row>
    <row r="4118" spans="3:13" ht="12.75" customHeight="1" x14ac:dyDescent="0.2">
      <c r="C4118"/>
      <c r="M4118"/>
    </row>
    <row r="4119" spans="3:13" ht="12.75" customHeight="1" x14ac:dyDescent="0.2">
      <c r="C4119"/>
      <c r="M4119"/>
    </row>
    <row r="4120" spans="3:13" ht="12.75" customHeight="1" x14ac:dyDescent="0.2">
      <c r="C4120"/>
      <c r="M4120"/>
    </row>
    <row r="4121" spans="3:13" ht="12.75" customHeight="1" x14ac:dyDescent="0.2">
      <c r="C4121"/>
      <c r="M4121"/>
    </row>
    <row r="4122" spans="3:13" ht="12.75" customHeight="1" x14ac:dyDescent="0.2">
      <c r="C4122"/>
      <c r="M4122"/>
    </row>
    <row r="4123" spans="3:13" ht="12.75" customHeight="1" x14ac:dyDescent="0.2">
      <c r="C4123"/>
      <c r="M4123"/>
    </row>
    <row r="4124" spans="3:13" ht="12.75" customHeight="1" x14ac:dyDescent="0.2">
      <c r="C4124"/>
      <c r="M4124"/>
    </row>
    <row r="4125" spans="3:13" ht="12.75" customHeight="1" x14ac:dyDescent="0.2">
      <c r="C4125"/>
      <c r="M4125"/>
    </row>
    <row r="4126" spans="3:13" ht="12.75" customHeight="1" x14ac:dyDescent="0.2">
      <c r="C4126"/>
      <c r="M4126"/>
    </row>
    <row r="4127" spans="3:13" ht="12.75" customHeight="1" x14ac:dyDescent="0.2">
      <c r="C4127"/>
      <c r="M4127"/>
    </row>
    <row r="4128" spans="3:13" ht="12.75" customHeight="1" x14ac:dyDescent="0.2">
      <c r="C4128"/>
      <c r="M4128"/>
    </row>
    <row r="4129" spans="3:13" ht="12.75" customHeight="1" x14ac:dyDescent="0.2">
      <c r="C4129"/>
      <c r="M4129"/>
    </row>
    <row r="4130" spans="3:13" ht="12.75" customHeight="1" x14ac:dyDescent="0.2">
      <c r="C4130"/>
      <c r="M4130"/>
    </row>
    <row r="4131" spans="3:13" ht="12.75" customHeight="1" x14ac:dyDescent="0.2">
      <c r="C4131"/>
      <c r="M4131"/>
    </row>
    <row r="4132" spans="3:13" ht="12.75" customHeight="1" x14ac:dyDescent="0.2">
      <c r="C4132"/>
      <c r="M4132"/>
    </row>
    <row r="4133" spans="3:13" ht="12.75" customHeight="1" x14ac:dyDescent="0.2">
      <c r="C4133"/>
      <c r="M4133"/>
    </row>
    <row r="4134" spans="3:13" ht="12.75" customHeight="1" x14ac:dyDescent="0.2">
      <c r="C4134"/>
      <c r="M4134"/>
    </row>
    <row r="4135" spans="3:13" ht="12.75" customHeight="1" x14ac:dyDescent="0.2">
      <c r="C4135"/>
      <c r="M4135"/>
    </row>
    <row r="4136" spans="3:13" ht="12.75" customHeight="1" x14ac:dyDescent="0.2">
      <c r="C4136"/>
      <c r="M4136"/>
    </row>
    <row r="4137" spans="3:13" ht="12.75" customHeight="1" x14ac:dyDescent="0.2">
      <c r="C4137"/>
      <c r="M4137"/>
    </row>
    <row r="4138" spans="3:13" ht="12.75" customHeight="1" x14ac:dyDescent="0.2">
      <c r="C4138"/>
      <c r="M4138"/>
    </row>
    <row r="4139" spans="3:13" ht="12.75" customHeight="1" x14ac:dyDescent="0.2">
      <c r="C4139"/>
      <c r="M4139"/>
    </row>
    <row r="4140" spans="3:13" ht="12.75" customHeight="1" x14ac:dyDescent="0.2">
      <c r="C4140"/>
      <c r="M4140"/>
    </row>
    <row r="4141" spans="3:13" ht="12.75" customHeight="1" x14ac:dyDescent="0.2">
      <c r="C4141"/>
      <c r="M4141"/>
    </row>
    <row r="4142" spans="3:13" ht="12.75" customHeight="1" x14ac:dyDescent="0.2">
      <c r="C4142"/>
      <c r="M4142"/>
    </row>
    <row r="4143" spans="3:13" ht="12.75" customHeight="1" x14ac:dyDescent="0.2">
      <c r="C4143"/>
      <c r="M4143"/>
    </row>
    <row r="4144" spans="3:13" ht="12.75" customHeight="1" x14ac:dyDescent="0.2">
      <c r="C4144"/>
      <c r="M4144"/>
    </row>
    <row r="4145" spans="3:13" ht="12.75" customHeight="1" x14ac:dyDescent="0.2">
      <c r="C4145"/>
      <c r="M4145"/>
    </row>
    <row r="4146" spans="3:13" ht="12.75" customHeight="1" x14ac:dyDescent="0.2">
      <c r="C4146"/>
      <c r="M4146"/>
    </row>
    <row r="4147" spans="3:13" ht="12.75" customHeight="1" x14ac:dyDescent="0.2">
      <c r="C4147"/>
      <c r="M4147"/>
    </row>
    <row r="4148" spans="3:13" ht="12.75" customHeight="1" x14ac:dyDescent="0.2">
      <c r="C4148"/>
      <c r="M4148"/>
    </row>
    <row r="4149" spans="3:13" ht="12.75" customHeight="1" x14ac:dyDescent="0.2">
      <c r="C4149"/>
      <c r="M4149"/>
    </row>
    <row r="4150" spans="3:13" ht="12.75" customHeight="1" x14ac:dyDescent="0.2">
      <c r="C4150"/>
      <c r="M4150"/>
    </row>
    <row r="4151" spans="3:13" ht="12.75" customHeight="1" x14ac:dyDescent="0.2">
      <c r="C4151"/>
      <c r="M4151"/>
    </row>
    <row r="4152" spans="3:13" ht="12.75" customHeight="1" x14ac:dyDescent="0.2">
      <c r="C4152"/>
      <c r="M4152"/>
    </row>
    <row r="4153" spans="3:13" ht="12.75" customHeight="1" x14ac:dyDescent="0.2">
      <c r="C4153"/>
      <c r="M4153"/>
    </row>
    <row r="4154" spans="3:13" ht="12.75" customHeight="1" x14ac:dyDescent="0.2">
      <c r="C4154"/>
      <c r="M4154"/>
    </row>
    <row r="4155" spans="3:13" ht="12.75" customHeight="1" x14ac:dyDescent="0.2">
      <c r="C4155"/>
      <c r="M4155"/>
    </row>
    <row r="4156" spans="3:13" ht="12.75" customHeight="1" x14ac:dyDescent="0.2">
      <c r="C4156"/>
      <c r="M4156"/>
    </row>
    <row r="4157" spans="3:13" ht="12.75" customHeight="1" x14ac:dyDescent="0.2">
      <c r="C4157"/>
      <c r="M4157"/>
    </row>
    <row r="4158" spans="3:13" ht="12.75" customHeight="1" x14ac:dyDescent="0.2">
      <c r="C4158"/>
      <c r="M4158"/>
    </row>
    <row r="4159" spans="3:13" ht="12.75" customHeight="1" x14ac:dyDescent="0.2">
      <c r="C4159"/>
      <c r="M4159"/>
    </row>
    <row r="4160" spans="3:13" ht="12.75" customHeight="1" x14ac:dyDescent="0.2">
      <c r="C4160"/>
      <c r="M4160"/>
    </row>
    <row r="4161" spans="3:13" ht="12.75" customHeight="1" x14ac:dyDescent="0.2">
      <c r="C4161"/>
      <c r="M4161"/>
    </row>
    <row r="4162" spans="3:13" ht="12.75" customHeight="1" x14ac:dyDescent="0.2">
      <c r="C4162"/>
      <c r="M4162"/>
    </row>
    <row r="4163" spans="3:13" ht="12.75" customHeight="1" x14ac:dyDescent="0.2">
      <c r="C4163"/>
      <c r="M4163"/>
    </row>
    <row r="4164" spans="3:13" ht="12.75" customHeight="1" x14ac:dyDescent="0.2">
      <c r="C4164"/>
      <c r="M4164"/>
    </row>
    <row r="4165" spans="3:13" ht="12.75" customHeight="1" x14ac:dyDescent="0.2">
      <c r="C4165"/>
      <c r="M4165"/>
    </row>
    <row r="4166" spans="3:13" ht="12.75" customHeight="1" x14ac:dyDescent="0.2">
      <c r="C4166"/>
      <c r="M4166"/>
    </row>
    <row r="4167" spans="3:13" ht="12.75" customHeight="1" x14ac:dyDescent="0.2">
      <c r="C4167"/>
      <c r="M4167"/>
    </row>
    <row r="4168" spans="3:13" ht="12.75" customHeight="1" x14ac:dyDescent="0.2">
      <c r="C4168"/>
      <c r="M4168"/>
    </row>
    <row r="4169" spans="3:13" ht="12.75" customHeight="1" x14ac:dyDescent="0.2">
      <c r="C4169"/>
      <c r="M4169"/>
    </row>
    <row r="4170" spans="3:13" ht="12.75" customHeight="1" x14ac:dyDescent="0.2">
      <c r="C4170"/>
      <c r="M4170"/>
    </row>
    <row r="4171" spans="3:13" ht="12.75" customHeight="1" x14ac:dyDescent="0.2">
      <c r="C4171"/>
      <c r="M4171"/>
    </row>
    <row r="4172" spans="3:13" ht="12.75" customHeight="1" x14ac:dyDescent="0.2">
      <c r="C4172"/>
      <c r="M4172"/>
    </row>
    <row r="4173" spans="3:13" ht="12.75" customHeight="1" x14ac:dyDescent="0.2">
      <c r="C4173"/>
      <c r="M4173"/>
    </row>
    <row r="4174" spans="3:13" ht="12.75" customHeight="1" x14ac:dyDescent="0.2">
      <c r="C4174"/>
      <c r="M4174"/>
    </row>
    <row r="4175" spans="3:13" ht="12.75" customHeight="1" x14ac:dyDescent="0.2">
      <c r="C4175"/>
      <c r="M4175"/>
    </row>
    <row r="4176" spans="3:13" ht="12.75" customHeight="1" x14ac:dyDescent="0.2">
      <c r="C4176"/>
      <c r="M4176"/>
    </row>
    <row r="4177" spans="3:13" ht="12.75" customHeight="1" x14ac:dyDescent="0.2">
      <c r="C4177"/>
      <c r="M4177"/>
    </row>
    <row r="4178" spans="3:13" ht="12.75" customHeight="1" x14ac:dyDescent="0.2">
      <c r="C4178"/>
      <c r="M4178"/>
    </row>
    <row r="4179" spans="3:13" ht="12.75" customHeight="1" x14ac:dyDescent="0.2">
      <c r="C4179"/>
      <c r="M4179"/>
    </row>
    <row r="4180" spans="3:13" ht="12.75" customHeight="1" x14ac:dyDescent="0.2">
      <c r="C4180"/>
      <c r="M4180"/>
    </row>
    <row r="4181" spans="3:13" ht="12.75" customHeight="1" x14ac:dyDescent="0.2">
      <c r="C4181"/>
      <c r="M4181"/>
    </row>
    <row r="4182" spans="3:13" ht="12.75" customHeight="1" x14ac:dyDescent="0.2">
      <c r="C4182"/>
      <c r="M4182"/>
    </row>
    <row r="4183" spans="3:13" ht="12.75" customHeight="1" x14ac:dyDescent="0.2">
      <c r="C4183"/>
      <c r="M4183"/>
    </row>
    <row r="4184" spans="3:13" ht="12.75" customHeight="1" x14ac:dyDescent="0.2">
      <c r="C4184"/>
      <c r="M4184"/>
    </row>
    <row r="4185" spans="3:13" ht="12.75" customHeight="1" x14ac:dyDescent="0.2">
      <c r="C4185"/>
      <c r="M4185"/>
    </row>
    <row r="4186" spans="3:13" ht="12.75" customHeight="1" x14ac:dyDescent="0.2">
      <c r="C4186"/>
      <c r="M4186"/>
    </row>
    <row r="4187" spans="3:13" ht="12.75" customHeight="1" x14ac:dyDescent="0.2">
      <c r="C4187"/>
      <c r="M4187"/>
    </row>
    <row r="4188" spans="3:13" ht="12.75" customHeight="1" x14ac:dyDescent="0.2">
      <c r="C4188"/>
      <c r="M4188"/>
    </row>
    <row r="4189" spans="3:13" ht="12.75" customHeight="1" x14ac:dyDescent="0.2">
      <c r="C4189"/>
      <c r="M4189"/>
    </row>
    <row r="4190" spans="3:13" ht="12.75" customHeight="1" x14ac:dyDescent="0.2">
      <c r="C4190"/>
      <c r="M4190"/>
    </row>
    <row r="4191" spans="3:13" ht="12.75" customHeight="1" x14ac:dyDescent="0.2">
      <c r="C4191"/>
      <c r="M4191"/>
    </row>
    <row r="4192" spans="3:13" ht="12.75" customHeight="1" x14ac:dyDescent="0.2">
      <c r="C4192"/>
      <c r="M4192"/>
    </row>
    <row r="4193" spans="3:13" ht="12.75" customHeight="1" x14ac:dyDescent="0.2">
      <c r="C4193"/>
      <c r="M4193"/>
    </row>
    <row r="4194" spans="3:13" ht="12.75" customHeight="1" x14ac:dyDescent="0.2">
      <c r="C4194"/>
      <c r="M4194"/>
    </row>
    <row r="4195" spans="3:13" ht="12.75" customHeight="1" x14ac:dyDescent="0.2">
      <c r="C4195"/>
      <c r="M4195"/>
    </row>
    <row r="4196" spans="3:13" ht="12.75" customHeight="1" x14ac:dyDescent="0.2">
      <c r="C4196"/>
      <c r="M4196"/>
    </row>
    <row r="4197" spans="3:13" ht="12.75" customHeight="1" x14ac:dyDescent="0.2">
      <c r="C4197"/>
      <c r="M4197"/>
    </row>
    <row r="4198" spans="3:13" ht="12.75" customHeight="1" x14ac:dyDescent="0.2">
      <c r="C4198"/>
      <c r="M4198"/>
    </row>
    <row r="4199" spans="3:13" ht="12.75" customHeight="1" x14ac:dyDescent="0.2">
      <c r="C4199"/>
      <c r="M4199"/>
    </row>
    <row r="4200" spans="3:13" ht="12.75" customHeight="1" x14ac:dyDescent="0.2">
      <c r="C4200"/>
      <c r="M4200"/>
    </row>
    <row r="4201" spans="3:13" ht="12.75" customHeight="1" x14ac:dyDescent="0.2">
      <c r="C4201"/>
      <c r="M4201"/>
    </row>
    <row r="4202" spans="3:13" ht="12.75" customHeight="1" x14ac:dyDescent="0.2">
      <c r="C4202"/>
      <c r="M4202"/>
    </row>
    <row r="4203" spans="3:13" ht="12.75" customHeight="1" x14ac:dyDescent="0.2">
      <c r="C4203"/>
      <c r="M4203"/>
    </row>
    <row r="4204" spans="3:13" ht="12.75" customHeight="1" x14ac:dyDescent="0.2">
      <c r="C4204"/>
      <c r="M4204"/>
    </row>
    <row r="4205" spans="3:13" ht="12.75" customHeight="1" x14ac:dyDescent="0.2">
      <c r="C4205"/>
      <c r="M4205"/>
    </row>
    <row r="4206" spans="3:13" ht="12.75" customHeight="1" x14ac:dyDescent="0.2">
      <c r="C4206"/>
      <c r="M4206"/>
    </row>
    <row r="4207" spans="3:13" ht="12.75" customHeight="1" x14ac:dyDescent="0.2">
      <c r="C4207"/>
      <c r="M4207"/>
    </row>
    <row r="4208" spans="3:13" ht="12.75" customHeight="1" x14ac:dyDescent="0.2">
      <c r="C4208"/>
      <c r="M4208"/>
    </row>
    <row r="4209" spans="3:13" ht="12.75" customHeight="1" x14ac:dyDescent="0.2">
      <c r="C4209"/>
      <c r="M4209"/>
    </row>
    <row r="4210" spans="3:13" ht="12.75" customHeight="1" x14ac:dyDescent="0.2">
      <c r="C4210"/>
      <c r="M4210"/>
    </row>
    <row r="4211" spans="3:13" ht="12.75" customHeight="1" x14ac:dyDescent="0.2">
      <c r="C4211"/>
      <c r="M4211"/>
    </row>
    <row r="4212" spans="3:13" ht="12.75" customHeight="1" x14ac:dyDescent="0.2">
      <c r="C4212"/>
      <c r="M4212"/>
    </row>
    <row r="4213" spans="3:13" ht="12.75" customHeight="1" x14ac:dyDescent="0.2">
      <c r="C4213"/>
      <c r="M4213"/>
    </row>
    <row r="4214" spans="3:13" ht="12.75" customHeight="1" x14ac:dyDescent="0.2">
      <c r="C4214"/>
      <c r="M4214"/>
    </row>
    <row r="4215" spans="3:13" ht="12.75" customHeight="1" x14ac:dyDescent="0.2">
      <c r="C4215"/>
      <c r="M4215"/>
    </row>
    <row r="4216" spans="3:13" ht="12.75" customHeight="1" x14ac:dyDescent="0.2">
      <c r="C4216"/>
      <c r="M4216"/>
    </row>
    <row r="4217" spans="3:13" ht="12.75" customHeight="1" x14ac:dyDescent="0.2">
      <c r="C4217"/>
      <c r="M4217"/>
    </row>
    <row r="4218" spans="3:13" ht="12.75" customHeight="1" x14ac:dyDescent="0.2">
      <c r="C4218"/>
      <c r="M4218"/>
    </row>
    <row r="4219" spans="3:13" ht="12.75" customHeight="1" x14ac:dyDescent="0.2">
      <c r="C4219"/>
      <c r="M4219"/>
    </row>
    <row r="4220" spans="3:13" ht="12.75" customHeight="1" x14ac:dyDescent="0.2">
      <c r="C4220"/>
      <c r="M4220"/>
    </row>
    <row r="4221" spans="3:13" ht="12.75" customHeight="1" x14ac:dyDescent="0.2">
      <c r="C4221"/>
      <c r="M4221"/>
    </row>
    <row r="4222" spans="3:13" ht="12.75" customHeight="1" x14ac:dyDescent="0.2">
      <c r="C4222"/>
      <c r="M4222"/>
    </row>
    <row r="4223" spans="3:13" ht="12.75" customHeight="1" x14ac:dyDescent="0.2">
      <c r="C4223"/>
      <c r="M4223"/>
    </row>
    <row r="4224" spans="3:13" ht="12.75" customHeight="1" x14ac:dyDescent="0.2">
      <c r="C4224"/>
      <c r="M4224"/>
    </row>
    <row r="4225" spans="3:13" ht="12.75" customHeight="1" x14ac:dyDescent="0.2">
      <c r="C4225"/>
      <c r="M4225"/>
    </row>
    <row r="4226" spans="3:13" ht="12.75" customHeight="1" x14ac:dyDescent="0.2">
      <c r="C4226"/>
      <c r="M4226"/>
    </row>
    <row r="4227" spans="3:13" ht="12.75" customHeight="1" x14ac:dyDescent="0.2">
      <c r="C4227"/>
      <c r="M4227"/>
    </row>
    <row r="4228" spans="3:13" ht="12.75" customHeight="1" x14ac:dyDescent="0.2">
      <c r="C4228"/>
      <c r="M4228"/>
    </row>
    <row r="4229" spans="3:13" ht="12.75" customHeight="1" x14ac:dyDescent="0.2">
      <c r="C4229"/>
      <c r="M4229"/>
    </row>
    <row r="4230" spans="3:13" ht="12.75" customHeight="1" x14ac:dyDescent="0.2">
      <c r="C4230"/>
      <c r="M4230"/>
    </row>
    <row r="4231" spans="3:13" ht="12.75" customHeight="1" x14ac:dyDescent="0.2">
      <c r="C4231"/>
      <c r="M4231"/>
    </row>
    <row r="4232" spans="3:13" ht="12.75" customHeight="1" x14ac:dyDescent="0.2">
      <c r="C4232"/>
      <c r="M4232"/>
    </row>
    <row r="4233" spans="3:13" ht="12.75" customHeight="1" x14ac:dyDescent="0.2">
      <c r="C4233"/>
      <c r="M4233"/>
    </row>
    <row r="4234" spans="3:13" ht="12.75" customHeight="1" x14ac:dyDescent="0.2">
      <c r="C4234"/>
      <c r="M4234"/>
    </row>
    <row r="4235" spans="3:13" ht="12.75" customHeight="1" x14ac:dyDescent="0.2">
      <c r="C4235"/>
      <c r="M4235"/>
    </row>
    <row r="4236" spans="3:13" ht="12.75" customHeight="1" x14ac:dyDescent="0.2">
      <c r="C4236"/>
      <c r="M4236"/>
    </row>
    <row r="4237" spans="3:13" ht="12.75" customHeight="1" x14ac:dyDescent="0.2">
      <c r="C4237"/>
      <c r="M4237"/>
    </row>
    <row r="4238" spans="3:13" ht="12.75" customHeight="1" x14ac:dyDescent="0.2">
      <c r="C4238"/>
      <c r="M4238"/>
    </row>
    <row r="4239" spans="3:13" ht="12.75" customHeight="1" x14ac:dyDescent="0.2">
      <c r="C4239"/>
      <c r="M4239"/>
    </row>
    <row r="4240" spans="3:13" ht="12.75" customHeight="1" x14ac:dyDescent="0.2">
      <c r="C4240"/>
      <c r="M4240"/>
    </row>
    <row r="4241" spans="3:13" ht="12.75" customHeight="1" x14ac:dyDescent="0.2">
      <c r="C4241"/>
      <c r="M4241"/>
    </row>
    <row r="4242" spans="3:13" ht="12.75" customHeight="1" x14ac:dyDescent="0.2">
      <c r="C4242"/>
      <c r="M4242"/>
    </row>
    <row r="4243" spans="3:13" ht="12.75" customHeight="1" x14ac:dyDescent="0.2">
      <c r="C4243"/>
      <c r="M4243"/>
    </row>
    <row r="4244" spans="3:13" ht="12.75" customHeight="1" x14ac:dyDescent="0.2">
      <c r="C4244"/>
      <c r="M4244"/>
    </row>
    <row r="4245" spans="3:13" ht="12.75" customHeight="1" x14ac:dyDescent="0.2">
      <c r="C4245"/>
      <c r="M4245"/>
    </row>
    <row r="4246" spans="3:13" ht="12.75" customHeight="1" x14ac:dyDescent="0.2">
      <c r="C4246"/>
      <c r="M4246"/>
    </row>
    <row r="4247" spans="3:13" ht="12.75" customHeight="1" x14ac:dyDescent="0.2">
      <c r="C4247"/>
      <c r="M4247"/>
    </row>
    <row r="4248" spans="3:13" ht="12.75" customHeight="1" x14ac:dyDescent="0.2">
      <c r="C4248"/>
      <c r="M4248"/>
    </row>
    <row r="4249" spans="3:13" ht="12.75" customHeight="1" x14ac:dyDescent="0.2">
      <c r="C4249"/>
      <c r="M4249"/>
    </row>
    <row r="4250" spans="3:13" ht="12.75" customHeight="1" x14ac:dyDescent="0.2">
      <c r="C4250"/>
      <c r="M4250"/>
    </row>
    <row r="4251" spans="3:13" ht="12.75" customHeight="1" x14ac:dyDescent="0.2">
      <c r="C4251"/>
      <c r="M4251"/>
    </row>
    <row r="4252" spans="3:13" ht="12.75" customHeight="1" x14ac:dyDescent="0.2">
      <c r="C4252"/>
      <c r="M4252"/>
    </row>
    <row r="4253" spans="3:13" ht="12.75" customHeight="1" x14ac:dyDescent="0.2">
      <c r="C4253"/>
      <c r="M4253"/>
    </row>
    <row r="4254" spans="3:13" ht="12.75" customHeight="1" x14ac:dyDescent="0.2">
      <c r="C4254"/>
      <c r="M4254"/>
    </row>
    <row r="4255" spans="3:13" ht="12.75" customHeight="1" x14ac:dyDescent="0.2">
      <c r="C4255"/>
      <c r="M4255"/>
    </row>
    <row r="4256" spans="3:13" ht="12.75" customHeight="1" x14ac:dyDescent="0.2">
      <c r="C4256"/>
      <c r="M4256"/>
    </row>
    <row r="4257" spans="3:13" ht="12.75" customHeight="1" x14ac:dyDescent="0.2">
      <c r="C4257"/>
      <c r="M4257"/>
    </row>
    <row r="4258" spans="3:13" ht="12.75" customHeight="1" x14ac:dyDescent="0.2">
      <c r="C4258"/>
      <c r="M4258"/>
    </row>
    <row r="4259" spans="3:13" ht="12.75" customHeight="1" x14ac:dyDescent="0.2">
      <c r="C4259"/>
      <c r="M4259"/>
    </row>
    <row r="4260" spans="3:13" ht="12.75" customHeight="1" x14ac:dyDescent="0.2">
      <c r="C4260"/>
      <c r="M4260"/>
    </row>
    <row r="4261" spans="3:13" ht="12.75" customHeight="1" x14ac:dyDescent="0.2">
      <c r="C4261"/>
      <c r="M4261"/>
    </row>
    <row r="4262" spans="3:13" ht="12.75" customHeight="1" x14ac:dyDescent="0.2">
      <c r="C4262"/>
      <c r="M4262"/>
    </row>
    <row r="4263" spans="3:13" ht="12.75" customHeight="1" x14ac:dyDescent="0.2">
      <c r="C4263"/>
      <c r="M4263"/>
    </row>
    <row r="4264" spans="3:13" ht="12.75" customHeight="1" x14ac:dyDescent="0.2">
      <c r="C4264"/>
      <c r="M4264"/>
    </row>
    <row r="4265" spans="3:13" ht="12.75" customHeight="1" x14ac:dyDescent="0.2">
      <c r="C4265"/>
      <c r="M4265"/>
    </row>
    <row r="4266" spans="3:13" ht="12.75" customHeight="1" x14ac:dyDescent="0.2">
      <c r="C4266"/>
      <c r="M4266"/>
    </row>
    <row r="4267" spans="3:13" ht="12.75" customHeight="1" x14ac:dyDescent="0.2">
      <c r="C4267"/>
      <c r="M4267"/>
    </row>
    <row r="4268" spans="3:13" ht="12.75" customHeight="1" x14ac:dyDescent="0.2">
      <c r="C4268"/>
      <c r="M4268"/>
    </row>
    <row r="4269" spans="3:13" ht="12.75" customHeight="1" x14ac:dyDescent="0.2">
      <c r="C4269"/>
      <c r="M4269"/>
    </row>
    <row r="4270" spans="3:13" ht="12.75" customHeight="1" x14ac:dyDescent="0.2">
      <c r="C4270"/>
      <c r="M4270"/>
    </row>
    <row r="4271" spans="3:13" ht="12.75" customHeight="1" x14ac:dyDescent="0.2">
      <c r="C4271"/>
      <c r="M4271"/>
    </row>
    <row r="4272" spans="3:13" ht="12.75" customHeight="1" x14ac:dyDescent="0.2">
      <c r="C4272"/>
      <c r="M4272"/>
    </row>
    <row r="4273" spans="3:13" ht="12.75" customHeight="1" x14ac:dyDescent="0.2">
      <c r="C4273"/>
      <c r="M4273"/>
    </row>
    <row r="4274" spans="3:13" ht="12.75" customHeight="1" x14ac:dyDescent="0.2">
      <c r="C4274"/>
      <c r="M4274"/>
    </row>
    <row r="4275" spans="3:13" ht="12.75" customHeight="1" x14ac:dyDescent="0.2">
      <c r="C4275"/>
      <c r="M4275"/>
    </row>
    <row r="4276" spans="3:13" ht="12.75" customHeight="1" x14ac:dyDescent="0.2">
      <c r="C4276"/>
      <c r="M4276"/>
    </row>
    <row r="4277" spans="3:13" ht="12.75" customHeight="1" x14ac:dyDescent="0.2">
      <c r="C4277"/>
      <c r="M4277"/>
    </row>
    <row r="4278" spans="3:13" ht="12.75" customHeight="1" x14ac:dyDescent="0.2">
      <c r="C4278"/>
      <c r="M4278"/>
    </row>
    <row r="4279" spans="3:13" ht="12.75" customHeight="1" x14ac:dyDescent="0.2">
      <c r="C4279"/>
      <c r="M4279"/>
    </row>
    <row r="4280" spans="3:13" ht="12.75" customHeight="1" x14ac:dyDescent="0.2">
      <c r="C4280"/>
      <c r="M4280"/>
    </row>
    <row r="4281" spans="3:13" ht="12.75" customHeight="1" x14ac:dyDescent="0.2">
      <c r="C4281"/>
      <c r="M4281"/>
    </row>
    <row r="4282" spans="3:13" ht="12.75" customHeight="1" x14ac:dyDescent="0.2">
      <c r="C4282"/>
      <c r="M4282"/>
    </row>
    <row r="4283" spans="3:13" ht="12.75" customHeight="1" x14ac:dyDescent="0.2">
      <c r="C4283"/>
      <c r="M4283"/>
    </row>
    <row r="4284" spans="3:13" ht="12.75" customHeight="1" x14ac:dyDescent="0.2">
      <c r="C4284"/>
      <c r="M4284"/>
    </row>
    <row r="4285" spans="3:13" ht="12.75" customHeight="1" x14ac:dyDescent="0.2">
      <c r="C4285"/>
      <c r="M4285"/>
    </row>
    <row r="4286" spans="3:13" ht="12.75" customHeight="1" x14ac:dyDescent="0.2">
      <c r="C4286"/>
      <c r="M4286"/>
    </row>
    <row r="4287" spans="3:13" ht="12.75" customHeight="1" x14ac:dyDescent="0.2">
      <c r="C4287"/>
      <c r="M4287"/>
    </row>
    <row r="4288" spans="3:13" ht="12.75" customHeight="1" x14ac:dyDescent="0.2">
      <c r="C4288"/>
      <c r="M4288"/>
    </row>
    <row r="4289" spans="3:13" ht="12.75" customHeight="1" x14ac:dyDescent="0.2">
      <c r="C4289"/>
      <c r="M4289"/>
    </row>
    <row r="4290" spans="3:13" ht="12.75" customHeight="1" x14ac:dyDescent="0.2">
      <c r="C4290"/>
      <c r="M4290"/>
    </row>
    <row r="4291" spans="3:13" ht="12.75" customHeight="1" x14ac:dyDescent="0.2">
      <c r="C4291"/>
      <c r="M4291"/>
    </row>
    <row r="4292" spans="3:13" ht="12.75" customHeight="1" x14ac:dyDescent="0.2">
      <c r="C4292"/>
      <c r="M4292"/>
    </row>
    <row r="4293" spans="3:13" ht="12.75" customHeight="1" x14ac:dyDescent="0.2">
      <c r="C4293"/>
      <c r="M4293"/>
    </row>
    <row r="4294" spans="3:13" ht="12.75" customHeight="1" x14ac:dyDescent="0.2">
      <c r="C4294"/>
      <c r="M4294"/>
    </row>
    <row r="4295" spans="3:13" ht="12.75" customHeight="1" x14ac:dyDescent="0.2">
      <c r="C4295"/>
      <c r="M4295"/>
    </row>
    <row r="4296" spans="3:13" ht="12.75" customHeight="1" x14ac:dyDescent="0.2">
      <c r="C4296"/>
      <c r="M4296"/>
    </row>
    <row r="4297" spans="3:13" ht="12.75" customHeight="1" x14ac:dyDescent="0.2">
      <c r="C4297"/>
      <c r="M4297"/>
    </row>
    <row r="4298" spans="3:13" ht="12.75" customHeight="1" x14ac:dyDescent="0.2">
      <c r="C4298"/>
      <c r="M4298"/>
    </row>
    <row r="4299" spans="3:13" ht="12.75" customHeight="1" x14ac:dyDescent="0.2">
      <c r="C4299"/>
      <c r="M4299"/>
    </row>
    <row r="4300" spans="3:13" ht="12.75" customHeight="1" x14ac:dyDescent="0.2">
      <c r="C4300"/>
      <c r="M4300"/>
    </row>
    <row r="4301" spans="3:13" ht="12.75" customHeight="1" x14ac:dyDescent="0.2">
      <c r="C4301"/>
      <c r="M4301"/>
    </row>
    <row r="4302" spans="3:13" ht="12.75" customHeight="1" x14ac:dyDescent="0.2">
      <c r="C4302"/>
      <c r="M4302"/>
    </row>
    <row r="4303" spans="3:13" ht="12.75" customHeight="1" x14ac:dyDescent="0.2">
      <c r="C4303"/>
      <c r="M4303"/>
    </row>
    <row r="4304" spans="3:13" ht="12.75" customHeight="1" x14ac:dyDescent="0.2">
      <c r="C4304"/>
      <c r="M4304"/>
    </row>
    <row r="4305" spans="3:13" ht="12.75" customHeight="1" x14ac:dyDescent="0.2">
      <c r="C4305"/>
      <c r="M4305"/>
    </row>
    <row r="4306" spans="3:13" ht="12.75" customHeight="1" x14ac:dyDescent="0.2">
      <c r="C4306"/>
      <c r="M4306"/>
    </row>
    <row r="4307" spans="3:13" ht="12.75" customHeight="1" x14ac:dyDescent="0.2">
      <c r="C4307"/>
      <c r="M4307"/>
    </row>
    <row r="4308" spans="3:13" ht="12.75" customHeight="1" x14ac:dyDescent="0.2">
      <c r="C4308"/>
      <c r="M4308"/>
    </row>
    <row r="4309" spans="3:13" ht="12.75" customHeight="1" x14ac:dyDescent="0.2">
      <c r="C4309"/>
      <c r="M4309"/>
    </row>
    <row r="4310" spans="3:13" ht="12.75" customHeight="1" x14ac:dyDescent="0.2">
      <c r="C4310"/>
      <c r="M4310"/>
    </row>
    <row r="4311" spans="3:13" ht="12.75" customHeight="1" x14ac:dyDescent="0.2">
      <c r="C4311"/>
      <c r="M4311"/>
    </row>
    <row r="4312" spans="3:13" ht="12.75" customHeight="1" x14ac:dyDescent="0.2">
      <c r="C4312"/>
      <c r="M4312"/>
    </row>
    <row r="4313" spans="3:13" ht="12.75" customHeight="1" x14ac:dyDescent="0.2">
      <c r="C4313"/>
      <c r="M4313"/>
    </row>
    <row r="4314" spans="3:13" ht="12.75" customHeight="1" x14ac:dyDescent="0.2">
      <c r="C4314"/>
      <c r="M4314"/>
    </row>
    <row r="4315" spans="3:13" ht="12.75" customHeight="1" x14ac:dyDescent="0.2">
      <c r="C4315"/>
      <c r="M4315"/>
    </row>
    <row r="4316" spans="3:13" ht="12.75" customHeight="1" x14ac:dyDescent="0.2">
      <c r="C4316"/>
      <c r="M4316"/>
    </row>
    <row r="4317" spans="3:13" ht="12.75" customHeight="1" x14ac:dyDescent="0.2">
      <c r="C4317"/>
      <c r="M4317"/>
    </row>
    <row r="4318" spans="3:13" ht="12.75" customHeight="1" x14ac:dyDescent="0.2">
      <c r="C4318"/>
      <c r="M4318"/>
    </row>
    <row r="4319" spans="3:13" ht="12.75" customHeight="1" x14ac:dyDescent="0.2">
      <c r="C4319"/>
      <c r="M4319"/>
    </row>
    <row r="4320" spans="3:13" ht="12.75" customHeight="1" x14ac:dyDescent="0.2">
      <c r="C4320"/>
      <c r="M4320"/>
    </row>
    <row r="4321" spans="3:13" ht="12.75" customHeight="1" x14ac:dyDescent="0.2">
      <c r="C4321"/>
      <c r="M4321"/>
    </row>
    <row r="4322" spans="3:13" ht="12.75" customHeight="1" x14ac:dyDescent="0.2">
      <c r="C4322"/>
      <c r="M4322"/>
    </row>
    <row r="4323" spans="3:13" ht="12.75" customHeight="1" x14ac:dyDescent="0.2">
      <c r="C4323"/>
      <c r="M4323"/>
    </row>
    <row r="4324" spans="3:13" ht="12.75" customHeight="1" x14ac:dyDescent="0.2">
      <c r="C4324"/>
      <c r="M4324"/>
    </row>
    <row r="4325" spans="3:13" ht="12.75" customHeight="1" x14ac:dyDescent="0.2">
      <c r="C4325"/>
      <c r="M4325"/>
    </row>
    <row r="4326" spans="3:13" ht="12.75" customHeight="1" x14ac:dyDescent="0.2">
      <c r="C4326"/>
      <c r="M4326"/>
    </row>
    <row r="4327" spans="3:13" ht="12.75" customHeight="1" x14ac:dyDescent="0.2">
      <c r="C4327"/>
      <c r="M4327"/>
    </row>
    <row r="4328" spans="3:13" ht="12.75" customHeight="1" x14ac:dyDescent="0.2">
      <c r="C4328"/>
      <c r="M4328"/>
    </row>
    <row r="4329" spans="3:13" ht="12.75" customHeight="1" x14ac:dyDescent="0.2">
      <c r="C4329"/>
      <c r="M4329"/>
    </row>
    <row r="4330" spans="3:13" ht="12.75" customHeight="1" x14ac:dyDescent="0.2">
      <c r="C4330"/>
      <c r="M4330"/>
    </row>
    <row r="4331" spans="3:13" ht="12.75" customHeight="1" x14ac:dyDescent="0.2">
      <c r="C4331"/>
      <c r="M4331"/>
    </row>
    <row r="4332" spans="3:13" ht="12.75" customHeight="1" x14ac:dyDescent="0.2">
      <c r="C4332"/>
      <c r="M4332"/>
    </row>
    <row r="4333" spans="3:13" ht="12.75" customHeight="1" x14ac:dyDescent="0.2">
      <c r="C4333"/>
      <c r="M4333"/>
    </row>
    <row r="4334" spans="3:13" ht="12.75" customHeight="1" x14ac:dyDescent="0.2">
      <c r="C4334"/>
      <c r="M4334"/>
    </row>
    <row r="4335" spans="3:13" ht="12.75" customHeight="1" x14ac:dyDescent="0.2">
      <c r="C4335"/>
      <c r="M4335"/>
    </row>
    <row r="4336" spans="3:13" ht="12.75" customHeight="1" x14ac:dyDescent="0.2">
      <c r="C4336"/>
      <c r="M4336"/>
    </row>
    <row r="4337" spans="3:13" ht="12.75" customHeight="1" x14ac:dyDescent="0.2">
      <c r="C4337"/>
      <c r="M4337"/>
    </row>
    <row r="4338" spans="3:13" ht="12.75" customHeight="1" x14ac:dyDescent="0.2">
      <c r="C4338"/>
      <c r="M4338"/>
    </row>
    <row r="4339" spans="3:13" ht="12.75" customHeight="1" x14ac:dyDescent="0.2">
      <c r="C4339"/>
      <c r="M4339"/>
    </row>
    <row r="4340" spans="3:13" ht="12.75" customHeight="1" x14ac:dyDescent="0.2">
      <c r="C4340"/>
      <c r="M4340"/>
    </row>
    <row r="4341" spans="3:13" ht="12.75" customHeight="1" x14ac:dyDescent="0.2">
      <c r="C4341"/>
      <c r="M4341"/>
    </row>
    <row r="4342" spans="3:13" ht="12.75" customHeight="1" x14ac:dyDescent="0.2">
      <c r="C4342"/>
      <c r="M4342"/>
    </row>
    <row r="4343" spans="3:13" ht="12.75" customHeight="1" x14ac:dyDescent="0.2">
      <c r="C4343"/>
      <c r="M4343"/>
    </row>
    <row r="4344" spans="3:13" ht="12.75" customHeight="1" x14ac:dyDescent="0.2">
      <c r="C4344"/>
      <c r="M4344"/>
    </row>
    <row r="4345" spans="3:13" ht="12.75" customHeight="1" x14ac:dyDescent="0.2">
      <c r="C4345"/>
      <c r="M4345"/>
    </row>
    <row r="4346" spans="3:13" ht="12.75" customHeight="1" x14ac:dyDescent="0.2">
      <c r="C4346"/>
      <c r="M4346"/>
    </row>
    <row r="4347" spans="3:13" ht="12.75" customHeight="1" x14ac:dyDescent="0.2">
      <c r="C4347"/>
      <c r="M4347"/>
    </row>
    <row r="4348" spans="3:13" ht="12.75" customHeight="1" x14ac:dyDescent="0.2">
      <c r="C4348"/>
      <c r="M4348"/>
    </row>
    <row r="4349" spans="3:13" ht="12.75" customHeight="1" x14ac:dyDescent="0.2">
      <c r="C4349"/>
      <c r="M4349"/>
    </row>
    <row r="4350" spans="3:13" ht="12.75" customHeight="1" x14ac:dyDescent="0.2">
      <c r="C4350"/>
      <c r="M4350"/>
    </row>
    <row r="4351" spans="3:13" ht="12.75" customHeight="1" x14ac:dyDescent="0.2">
      <c r="C4351"/>
      <c r="M4351"/>
    </row>
    <row r="4352" spans="3:13" ht="12.75" customHeight="1" x14ac:dyDescent="0.2">
      <c r="C4352"/>
      <c r="M4352"/>
    </row>
    <row r="4353" spans="3:13" ht="12.75" customHeight="1" x14ac:dyDescent="0.2">
      <c r="C4353"/>
      <c r="M4353"/>
    </row>
    <row r="4354" spans="3:13" ht="12.75" customHeight="1" x14ac:dyDescent="0.2">
      <c r="C4354"/>
      <c r="M4354"/>
    </row>
    <row r="4355" spans="3:13" ht="12.75" customHeight="1" x14ac:dyDescent="0.2">
      <c r="C4355"/>
      <c r="M4355"/>
    </row>
    <row r="4356" spans="3:13" ht="12.75" customHeight="1" x14ac:dyDescent="0.2">
      <c r="C4356"/>
      <c r="M4356"/>
    </row>
    <row r="4357" spans="3:13" ht="12.75" customHeight="1" x14ac:dyDescent="0.2">
      <c r="C4357"/>
      <c r="M4357"/>
    </row>
    <row r="4358" spans="3:13" ht="12.75" customHeight="1" x14ac:dyDescent="0.2">
      <c r="C4358"/>
      <c r="M4358"/>
    </row>
    <row r="4359" spans="3:13" ht="12.75" customHeight="1" x14ac:dyDescent="0.2">
      <c r="C4359"/>
      <c r="M4359"/>
    </row>
    <row r="4360" spans="3:13" ht="12.75" customHeight="1" x14ac:dyDescent="0.2">
      <c r="C4360"/>
      <c r="M4360"/>
    </row>
    <row r="4361" spans="3:13" ht="12.75" customHeight="1" x14ac:dyDescent="0.2">
      <c r="C4361"/>
      <c r="M4361"/>
    </row>
    <row r="4362" spans="3:13" ht="12.75" customHeight="1" x14ac:dyDescent="0.2">
      <c r="C4362"/>
      <c r="M4362"/>
    </row>
    <row r="4363" spans="3:13" ht="12.75" customHeight="1" x14ac:dyDescent="0.2">
      <c r="C4363"/>
      <c r="M4363"/>
    </row>
    <row r="4364" spans="3:13" ht="12.75" customHeight="1" x14ac:dyDescent="0.2">
      <c r="C4364"/>
      <c r="M4364"/>
    </row>
    <row r="4365" spans="3:13" ht="12.75" customHeight="1" x14ac:dyDescent="0.2">
      <c r="C4365"/>
      <c r="M4365"/>
    </row>
    <row r="4366" spans="3:13" ht="12.75" customHeight="1" x14ac:dyDescent="0.2">
      <c r="C4366"/>
      <c r="M4366"/>
    </row>
    <row r="4367" spans="3:13" ht="12.75" customHeight="1" x14ac:dyDescent="0.2">
      <c r="C4367"/>
      <c r="M4367"/>
    </row>
    <row r="4368" spans="3:13" ht="12.75" customHeight="1" x14ac:dyDescent="0.2">
      <c r="C4368"/>
      <c r="M4368"/>
    </row>
    <row r="4369" spans="3:13" ht="12.75" customHeight="1" x14ac:dyDescent="0.2">
      <c r="C4369"/>
      <c r="M4369"/>
    </row>
    <row r="4370" spans="3:13" ht="12.75" customHeight="1" x14ac:dyDescent="0.2">
      <c r="C4370"/>
      <c r="M4370"/>
    </row>
    <row r="4371" spans="3:13" ht="12.75" customHeight="1" x14ac:dyDescent="0.2">
      <c r="C4371"/>
      <c r="M4371"/>
    </row>
    <row r="4372" spans="3:13" ht="12.75" customHeight="1" x14ac:dyDescent="0.2">
      <c r="C4372"/>
      <c r="M4372"/>
    </row>
    <row r="4373" spans="3:13" ht="12.75" customHeight="1" x14ac:dyDescent="0.2">
      <c r="C4373"/>
      <c r="M4373"/>
    </row>
    <row r="4374" spans="3:13" ht="12.75" customHeight="1" x14ac:dyDescent="0.2">
      <c r="C4374"/>
      <c r="M4374"/>
    </row>
    <row r="4375" spans="3:13" ht="12.75" customHeight="1" x14ac:dyDescent="0.2">
      <c r="C4375"/>
      <c r="M4375"/>
    </row>
    <row r="4376" spans="3:13" ht="12.75" customHeight="1" x14ac:dyDescent="0.2">
      <c r="C4376"/>
      <c r="M4376"/>
    </row>
    <row r="4377" spans="3:13" ht="12.75" customHeight="1" x14ac:dyDescent="0.2">
      <c r="C4377"/>
      <c r="M4377"/>
    </row>
    <row r="4378" spans="3:13" ht="12.75" customHeight="1" x14ac:dyDescent="0.2">
      <c r="C4378"/>
      <c r="M4378"/>
    </row>
    <row r="4379" spans="3:13" ht="12.75" customHeight="1" x14ac:dyDescent="0.2">
      <c r="C4379"/>
      <c r="M4379"/>
    </row>
    <row r="4380" spans="3:13" ht="12.75" customHeight="1" x14ac:dyDescent="0.2">
      <c r="C4380"/>
      <c r="M4380"/>
    </row>
    <row r="4381" spans="3:13" ht="12.75" customHeight="1" x14ac:dyDescent="0.2">
      <c r="C4381"/>
      <c r="M4381"/>
    </row>
    <row r="4382" spans="3:13" ht="12.75" customHeight="1" x14ac:dyDescent="0.2">
      <c r="C4382"/>
      <c r="M4382"/>
    </row>
    <row r="4383" spans="3:13" ht="12.75" customHeight="1" x14ac:dyDescent="0.2">
      <c r="C4383"/>
      <c r="M4383"/>
    </row>
    <row r="4384" spans="3:13" ht="12.75" customHeight="1" x14ac:dyDescent="0.2">
      <c r="C4384"/>
      <c r="M4384"/>
    </row>
    <row r="4385" spans="3:13" ht="12.75" customHeight="1" x14ac:dyDescent="0.2">
      <c r="C4385"/>
      <c r="M4385"/>
    </row>
    <row r="4386" spans="3:13" ht="12.75" customHeight="1" x14ac:dyDescent="0.2">
      <c r="C4386"/>
      <c r="M4386"/>
    </row>
    <row r="4387" spans="3:13" ht="12.75" customHeight="1" x14ac:dyDescent="0.2">
      <c r="C4387"/>
      <c r="M4387"/>
    </row>
    <row r="4388" spans="3:13" ht="12.75" customHeight="1" x14ac:dyDescent="0.2">
      <c r="C4388"/>
      <c r="M4388"/>
    </row>
    <row r="4389" spans="3:13" ht="12.75" customHeight="1" x14ac:dyDescent="0.2">
      <c r="C4389"/>
      <c r="M4389"/>
    </row>
    <row r="4390" spans="3:13" ht="12.75" customHeight="1" x14ac:dyDescent="0.2">
      <c r="C4390"/>
      <c r="M4390"/>
    </row>
    <row r="4391" spans="3:13" ht="12.75" customHeight="1" x14ac:dyDescent="0.2">
      <c r="C4391"/>
      <c r="M4391"/>
    </row>
    <row r="4392" spans="3:13" ht="12.75" customHeight="1" x14ac:dyDescent="0.2">
      <c r="C4392"/>
      <c r="M4392"/>
    </row>
    <row r="4393" spans="3:13" ht="12.75" customHeight="1" x14ac:dyDescent="0.2">
      <c r="C4393"/>
      <c r="M4393"/>
    </row>
    <row r="4394" spans="3:13" ht="12.75" customHeight="1" x14ac:dyDescent="0.2">
      <c r="C4394"/>
      <c r="M4394"/>
    </row>
    <row r="4395" spans="3:13" ht="12.75" customHeight="1" x14ac:dyDescent="0.2">
      <c r="C4395"/>
      <c r="M4395"/>
    </row>
    <row r="4396" spans="3:13" ht="12.75" customHeight="1" x14ac:dyDescent="0.2">
      <c r="C4396"/>
      <c r="M4396"/>
    </row>
    <row r="4397" spans="3:13" ht="12.75" customHeight="1" x14ac:dyDescent="0.2">
      <c r="C4397"/>
      <c r="M4397"/>
    </row>
    <row r="4398" spans="3:13" ht="12.75" customHeight="1" x14ac:dyDescent="0.2">
      <c r="C4398"/>
      <c r="M4398"/>
    </row>
    <row r="4399" spans="3:13" ht="12.75" customHeight="1" x14ac:dyDescent="0.2">
      <c r="C4399"/>
      <c r="M4399"/>
    </row>
    <row r="4400" spans="3:13" ht="12.75" customHeight="1" x14ac:dyDescent="0.2">
      <c r="C4400"/>
      <c r="M4400"/>
    </row>
    <row r="4401" spans="3:13" ht="12.75" customHeight="1" x14ac:dyDescent="0.2">
      <c r="C4401"/>
      <c r="M4401"/>
    </row>
    <row r="4402" spans="3:13" ht="12.75" customHeight="1" x14ac:dyDescent="0.2">
      <c r="C4402"/>
      <c r="M4402"/>
    </row>
    <row r="4403" spans="3:13" ht="12.75" customHeight="1" x14ac:dyDescent="0.2">
      <c r="C4403"/>
      <c r="M4403"/>
    </row>
    <row r="4404" spans="3:13" ht="12.75" customHeight="1" x14ac:dyDescent="0.2">
      <c r="C4404"/>
      <c r="M4404"/>
    </row>
    <row r="4405" spans="3:13" ht="12.75" customHeight="1" x14ac:dyDescent="0.2">
      <c r="C4405"/>
      <c r="M4405"/>
    </row>
    <row r="4406" spans="3:13" ht="12.75" customHeight="1" x14ac:dyDescent="0.2">
      <c r="C4406"/>
      <c r="M4406"/>
    </row>
    <row r="4407" spans="3:13" ht="12.75" customHeight="1" x14ac:dyDescent="0.2">
      <c r="C4407"/>
      <c r="M4407"/>
    </row>
    <row r="4408" spans="3:13" ht="12.75" customHeight="1" x14ac:dyDescent="0.2">
      <c r="C4408"/>
      <c r="M4408"/>
    </row>
    <row r="4409" spans="3:13" ht="12.75" customHeight="1" x14ac:dyDescent="0.2">
      <c r="C4409"/>
      <c r="M4409"/>
    </row>
    <row r="4410" spans="3:13" ht="12.75" customHeight="1" x14ac:dyDescent="0.2">
      <c r="C4410"/>
      <c r="M4410"/>
    </row>
    <row r="4411" spans="3:13" ht="12.75" customHeight="1" x14ac:dyDescent="0.2">
      <c r="C4411"/>
      <c r="M4411"/>
    </row>
    <row r="4412" spans="3:13" ht="12.75" customHeight="1" x14ac:dyDescent="0.2">
      <c r="C4412"/>
      <c r="M4412"/>
    </row>
    <row r="4413" spans="3:13" ht="12.75" customHeight="1" x14ac:dyDescent="0.2">
      <c r="C4413"/>
      <c r="M4413"/>
    </row>
    <row r="4414" spans="3:13" ht="12.75" customHeight="1" x14ac:dyDescent="0.2">
      <c r="C4414"/>
      <c r="M4414"/>
    </row>
    <row r="4415" spans="3:13" ht="12.75" customHeight="1" x14ac:dyDescent="0.2">
      <c r="C4415"/>
      <c r="M4415"/>
    </row>
    <row r="4416" spans="3:13" ht="12.75" customHeight="1" x14ac:dyDescent="0.2">
      <c r="C4416"/>
      <c r="M4416"/>
    </row>
    <row r="4417" spans="3:13" ht="12.75" customHeight="1" x14ac:dyDescent="0.2">
      <c r="C4417"/>
      <c r="M4417"/>
    </row>
    <row r="4418" spans="3:13" ht="12.75" customHeight="1" x14ac:dyDescent="0.2">
      <c r="C4418"/>
      <c r="M4418"/>
    </row>
    <row r="4419" spans="3:13" ht="12.75" customHeight="1" x14ac:dyDescent="0.2">
      <c r="C4419"/>
      <c r="M4419"/>
    </row>
    <row r="4420" spans="3:13" ht="12.75" customHeight="1" x14ac:dyDescent="0.2">
      <c r="C4420"/>
      <c r="M4420"/>
    </row>
    <row r="4421" spans="3:13" ht="12.75" customHeight="1" x14ac:dyDescent="0.2">
      <c r="C4421"/>
      <c r="M4421"/>
    </row>
    <row r="4422" spans="3:13" ht="12.75" customHeight="1" x14ac:dyDescent="0.2">
      <c r="C4422"/>
      <c r="M4422"/>
    </row>
    <row r="4423" spans="3:13" ht="12.75" customHeight="1" x14ac:dyDescent="0.2">
      <c r="C4423"/>
      <c r="M4423"/>
    </row>
    <row r="4424" spans="3:13" ht="12.75" customHeight="1" x14ac:dyDescent="0.2">
      <c r="C4424"/>
      <c r="M4424"/>
    </row>
    <row r="4425" spans="3:13" ht="12.75" customHeight="1" x14ac:dyDescent="0.2">
      <c r="C4425"/>
      <c r="M4425"/>
    </row>
    <row r="4426" spans="3:13" ht="12.75" customHeight="1" x14ac:dyDescent="0.2">
      <c r="C4426"/>
      <c r="M4426"/>
    </row>
    <row r="4427" spans="3:13" ht="12.75" customHeight="1" x14ac:dyDescent="0.2">
      <c r="C4427"/>
      <c r="M4427"/>
    </row>
    <row r="4428" spans="3:13" ht="12.75" customHeight="1" x14ac:dyDescent="0.2">
      <c r="C4428"/>
      <c r="M4428"/>
    </row>
    <row r="4429" spans="3:13" ht="12.75" customHeight="1" x14ac:dyDescent="0.2">
      <c r="C4429"/>
      <c r="M4429"/>
    </row>
    <row r="4430" spans="3:13" ht="12.75" customHeight="1" x14ac:dyDescent="0.2">
      <c r="C4430"/>
      <c r="M4430"/>
    </row>
    <row r="4431" spans="3:13" ht="12.75" customHeight="1" x14ac:dyDescent="0.2">
      <c r="C4431"/>
      <c r="M4431"/>
    </row>
    <row r="4432" spans="3:13" ht="12.75" customHeight="1" x14ac:dyDescent="0.2">
      <c r="C4432"/>
      <c r="M4432"/>
    </row>
    <row r="4433" spans="3:13" ht="12.75" customHeight="1" x14ac:dyDescent="0.2">
      <c r="C4433"/>
      <c r="M4433"/>
    </row>
    <row r="4436" spans="3:13" ht="0" hidden="1" customHeight="1" x14ac:dyDescent="0.2"/>
    <row r="4437" spans="3:13" ht="0" hidden="1" customHeight="1" x14ac:dyDescent="0.2"/>
    <row r="4438" spans="3:13" ht="0" hidden="1" customHeight="1" x14ac:dyDescent="0.2"/>
    <row r="4439" spans="3:13" ht="0" hidden="1" customHeight="1" x14ac:dyDescent="0.2"/>
    <row r="4440" spans="3:13" ht="0" hidden="1" customHeight="1" x14ac:dyDescent="0.2"/>
    <row r="4441" spans="3:13" ht="0" hidden="1" customHeight="1" x14ac:dyDescent="0.2"/>
    <row r="4442" spans="3:13" ht="0" hidden="1" customHeight="1" x14ac:dyDescent="0.2"/>
    <row r="4443" spans="3:13" ht="12.75" customHeight="1" x14ac:dyDescent="0.2">
      <c r="C4443"/>
      <c r="M4443"/>
    </row>
    <row r="4444" spans="3:13" ht="12.75" customHeight="1" x14ac:dyDescent="0.2">
      <c r="C4444"/>
      <c r="M4444"/>
    </row>
    <row r="4445" spans="3:13" ht="12.75" customHeight="1" x14ac:dyDescent="0.2">
      <c r="C4445"/>
      <c r="M4445"/>
    </row>
    <row r="4446" spans="3:13" ht="12.75" customHeight="1" x14ac:dyDescent="0.2">
      <c r="C4446"/>
      <c r="M4446"/>
    </row>
    <row r="4459" ht="0" hidden="1" customHeight="1" x14ac:dyDescent="0.2"/>
    <row r="4460" ht="0" hidden="1" customHeight="1" x14ac:dyDescent="0.2"/>
    <row r="61024" ht="0" hidden="1" customHeight="1" x14ac:dyDescent="0.2"/>
    <row r="61040" ht="0" hidden="1" customHeight="1" x14ac:dyDescent="0.2"/>
    <row r="61056" ht="0" hidden="1" customHeight="1" x14ac:dyDescent="0.2"/>
    <row r="61072" ht="0" hidden="1" customHeight="1" x14ac:dyDescent="0.2"/>
    <row r="61083" ht="0" hidden="1" customHeight="1" x14ac:dyDescent="0.2"/>
    <row r="61084" ht="0" hidden="1" customHeight="1" x14ac:dyDescent="0.2"/>
    <row r="61085" ht="0" hidden="1" customHeight="1" x14ac:dyDescent="0.2"/>
    <row r="61086" ht="0" hidden="1" customHeight="1" x14ac:dyDescent="0.2"/>
    <row r="61088" ht="0" hidden="1" customHeight="1" x14ac:dyDescent="0.2"/>
    <row r="61099" spans="3:13" ht="0" hidden="1" customHeight="1" x14ac:dyDescent="0.2"/>
    <row r="61100" spans="3:13" ht="0" hidden="1" customHeight="1" x14ac:dyDescent="0.2"/>
    <row r="61101" spans="3:13" ht="0" hidden="1" customHeight="1" x14ac:dyDescent="0.2"/>
    <row r="61102" spans="3:13" ht="0" hidden="1" customHeight="1" x14ac:dyDescent="0.2"/>
    <row r="61104" spans="3:13" ht="12.75" customHeight="1" x14ac:dyDescent="0.2">
      <c r="C61104"/>
      <c r="M61104"/>
    </row>
    <row r="61115" spans="3:13" ht="0" hidden="1" customHeight="1" x14ac:dyDescent="0.2"/>
    <row r="61116" spans="3:13" ht="0" hidden="1" customHeight="1" x14ac:dyDescent="0.2"/>
    <row r="61117" spans="3:13" ht="0" hidden="1" customHeight="1" x14ac:dyDescent="0.2"/>
    <row r="61118" spans="3:13" ht="0" hidden="1" customHeight="1" x14ac:dyDescent="0.2"/>
    <row r="61120" spans="3:13" ht="12.75" customHeight="1" x14ac:dyDescent="0.2">
      <c r="C61120"/>
      <c r="M61120"/>
    </row>
    <row r="61131" spans="3:13" ht="0" hidden="1" customHeight="1" x14ac:dyDescent="0.2"/>
    <row r="61132" spans="3:13" ht="0" hidden="1" customHeight="1" x14ac:dyDescent="0.2"/>
    <row r="61133" spans="3:13" ht="0" hidden="1" customHeight="1" x14ac:dyDescent="0.2"/>
    <row r="61134" spans="3:13" ht="0" hidden="1" customHeight="1" x14ac:dyDescent="0.2"/>
    <row r="61136" spans="3:13" ht="12.75" customHeight="1" x14ac:dyDescent="0.2">
      <c r="C61136"/>
      <c r="M61136"/>
    </row>
    <row r="61147" spans="3:13" ht="0" hidden="1" customHeight="1" x14ac:dyDescent="0.2"/>
    <row r="61148" spans="3:13" ht="0" hidden="1" customHeight="1" x14ac:dyDescent="0.2"/>
    <row r="61149" spans="3:13" ht="0" hidden="1" customHeight="1" x14ac:dyDescent="0.2"/>
    <row r="61150" spans="3:13" ht="0" hidden="1" customHeight="1" x14ac:dyDescent="0.2"/>
    <row r="61152" spans="3:13" ht="12.75" customHeight="1" x14ac:dyDescent="0.2">
      <c r="C61152"/>
      <c r="M61152"/>
    </row>
    <row r="61163" spans="3:13" ht="0" hidden="1" customHeight="1" x14ac:dyDescent="0.2"/>
    <row r="61164" spans="3:13" ht="0" hidden="1" customHeight="1" x14ac:dyDescent="0.2"/>
    <row r="61165" spans="3:13" ht="12.75" customHeight="1" x14ac:dyDescent="0.2">
      <c r="C61165"/>
      <c r="M61165"/>
    </row>
    <row r="61166" spans="3:13" ht="12.75" customHeight="1" x14ac:dyDescent="0.2">
      <c r="C61166"/>
      <c r="M61166"/>
    </row>
    <row r="61168" spans="3:13" ht="12.75" customHeight="1" x14ac:dyDescent="0.2">
      <c r="C61168"/>
      <c r="M61168"/>
    </row>
    <row r="61179" spans="3:13" ht="12.75" customHeight="1" x14ac:dyDescent="0.2">
      <c r="C61179"/>
      <c r="M61179"/>
    </row>
    <row r="61180" spans="3:13" ht="12.75" customHeight="1" x14ac:dyDescent="0.2">
      <c r="C61180"/>
      <c r="M61180"/>
    </row>
    <row r="61181" spans="3:13" ht="12.75" customHeight="1" x14ac:dyDescent="0.2">
      <c r="C61181"/>
      <c r="M61181"/>
    </row>
    <row r="61182" spans="3:13" ht="12.75" customHeight="1" x14ac:dyDescent="0.2">
      <c r="C61182"/>
      <c r="M61182"/>
    </row>
    <row r="61184" spans="3:13" ht="12.75" customHeight="1" x14ac:dyDescent="0.2">
      <c r="C61184"/>
      <c r="M61184"/>
    </row>
    <row r="61195" spans="3:13" ht="12.75" customHeight="1" x14ac:dyDescent="0.2">
      <c r="C61195"/>
      <c r="M61195"/>
    </row>
    <row r="61196" spans="3:13" ht="12.75" customHeight="1" x14ac:dyDescent="0.2">
      <c r="C61196"/>
      <c r="M61196"/>
    </row>
    <row r="61197" spans="3:13" ht="12.75" customHeight="1" x14ac:dyDescent="0.2">
      <c r="C61197"/>
      <c r="M61197"/>
    </row>
    <row r="61198" spans="3:13" ht="12.75" customHeight="1" x14ac:dyDescent="0.2">
      <c r="C61198"/>
      <c r="M61198"/>
    </row>
    <row r="61200" spans="3:13" ht="12.75" customHeight="1" x14ac:dyDescent="0.2">
      <c r="C61200"/>
      <c r="M61200"/>
    </row>
    <row r="61208" spans="3:13" ht="0" hidden="1" customHeight="1" x14ac:dyDescent="0.2"/>
    <row r="61211" spans="3:13" ht="12.75" customHeight="1" x14ac:dyDescent="0.2">
      <c r="C61211"/>
      <c r="M61211"/>
    </row>
    <row r="61212" spans="3:13" ht="12.75" customHeight="1" x14ac:dyDescent="0.2">
      <c r="C61212"/>
      <c r="M61212"/>
    </row>
    <row r="61213" spans="3:13" ht="12.75" customHeight="1" x14ac:dyDescent="0.2">
      <c r="C61213"/>
      <c r="M61213"/>
    </row>
    <row r="61214" spans="3:13" ht="12.75" customHeight="1" x14ac:dyDescent="0.2">
      <c r="C61214"/>
      <c r="M61214"/>
    </row>
    <row r="61216" spans="3:13" ht="12.75" customHeight="1" x14ac:dyDescent="0.2">
      <c r="C61216"/>
      <c r="M61216"/>
    </row>
    <row r="61224" spans="3:13" ht="0" hidden="1" customHeight="1" x14ac:dyDescent="0.2"/>
    <row r="61227" spans="3:13" ht="12.75" customHeight="1" x14ac:dyDescent="0.2">
      <c r="C61227"/>
      <c r="M61227"/>
    </row>
    <row r="61228" spans="3:13" ht="12.75" customHeight="1" x14ac:dyDescent="0.2">
      <c r="C61228"/>
      <c r="M61228"/>
    </row>
    <row r="61229" spans="3:13" ht="12.75" customHeight="1" x14ac:dyDescent="0.2">
      <c r="C61229"/>
      <c r="M61229"/>
    </row>
    <row r="61230" spans="3:13" ht="12.75" customHeight="1" x14ac:dyDescent="0.2">
      <c r="C61230"/>
      <c r="M61230"/>
    </row>
    <row r="61232" spans="3:13" ht="12.75" customHeight="1" x14ac:dyDescent="0.2">
      <c r="C61232"/>
      <c r="M61232"/>
    </row>
    <row r="61240" spans="3:13" ht="0" hidden="1" customHeight="1" x14ac:dyDescent="0.2"/>
    <row r="61241" spans="3:13" ht="0" hidden="1" customHeight="1" x14ac:dyDescent="0.2"/>
    <row r="61243" spans="3:13" ht="12.75" customHeight="1" x14ac:dyDescent="0.2">
      <c r="C61243"/>
      <c r="M61243"/>
    </row>
    <row r="61244" spans="3:13" ht="12.75" customHeight="1" x14ac:dyDescent="0.2">
      <c r="C61244"/>
      <c r="M61244"/>
    </row>
    <row r="61245" spans="3:13" ht="12.75" customHeight="1" x14ac:dyDescent="0.2">
      <c r="C61245"/>
      <c r="M61245"/>
    </row>
    <row r="61246" spans="3:13" ht="12.75" customHeight="1" x14ac:dyDescent="0.2">
      <c r="C61246"/>
      <c r="M61246"/>
    </row>
    <row r="61248" spans="3:13" ht="12.75" customHeight="1" x14ac:dyDescent="0.2">
      <c r="C61248"/>
      <c r="M61248"/>
    </row>
    <row r="61256" spans="3:13" ht="0" hidden="1" customHeight="1" x14ac:dyDescent="0.2"/>
    <row r="61257" spans="3:13" ht="0" hidden="1" customHeight="1" x14ac:dyDescent="0.2"/>
    <row r="61258" spans="3:13" ht="0" hidden="1" customHeight="1" x14ac:dyDescent="0.2"/>
    <row r="61259" spans="3:13" ht="12.75" customHeight="1" x14ac:dyDescent="0.2">
      <c r="C61259"/>
      <c r="M61259"/>
    </row>
    <row r="61260" spans="3:13" ht="12.75" customHeight="1" x14ac:dyDescent="0.2">
      <c r="C61260"/>
      <c r="M61260"/>
    </row>
    <row r="61261" spans="3:13" ht="12.75" customHeight="1" x14ac:dyDescent="0.2">
      <c r="C61261"/>
      <c r="M61261"/>
    </row>
    <row r="61262" spans="3:13" ht="12.75" customHeight="1" x14ac:dyDescent="0.2">
      <c r="C61262"/>
      <c r="M61262"/>
    </row>
    <row r="61264" spans="3:13" ht="12.75" customHeight="1" x14ac:dyDescent="0.2">
      <c r="C61264"/>
      <c r="M61264"/>
    </row>
    <row r="61272" spans="3:13" ht="0" hidden="1" customHeight="1" x14ac:dyDescent="0.2"/>
    <row r="61273" spans="3:13" ht="0" hidden="1" customHeight="1" x14ac:dyDescent="0.2"/>
    <row r="61274" spans="3:13" ht="0" hidden="1" customHeight="1" x14ac:dyDescent="0.2"/>
    <row r="61275" spans="3:13" ht="12.75" customHeight="1" x14ac:dyDescent="0.2">
      <c r="C61275"/>
      <c r="M61275"/>
    </row>
    <row r="61276" spans="3:13" ht="12.75" customHeight="1" x14ac:dyDescent="0.2">
      <c r="C61276"/>
      <c r="M61276"/>
    </row>
    <row r="61277" spans="3:13" ht="12.75" customHeight="1" x14ac:dyDescent="0.2">
      <c r="C61277"/>
      <c r="M61277"/>
    </row>
    <row r="61278" spans="3:13" ht="12.75" customHeight="1" x14ac:dyDescent="0.2">
      <c r="C61278"/>
      <c r="M61278"/>
    </row>
    <row r="61280" spans="3:13" ht="12.75" customHeight="1" x14ac:dyDescent="0.2">
      <c r="C61280"/>
      <c r="M61280"/>
    </row>
    <row r="61287" spans="3:13" ht="0" hidden="1" customHeight="1" x14ac:dyDescent="0.2"/>
    <row r="61288" spans="3:13" ht="0" hidden="1" customHeight="1" x14ac:dyDescent="0.2"/>
    <row r="61289" spans="3:13" ht="0" hidden="1" customHeight="1" x14ac:dyDescent="0.2"/>
    <row r="61290" spans="3:13" ht="0" hidden="1" customHeight="1" x14ac:dyDescent="0.2"/>
    <row r="61291" spans="3:13" ht="12.75" customHeight="1" x14ac:dyDescent="0.2">
      <c r="C61291"/>
      <c r="M61291"/>
    </row>
    <row r="61292" spans="3:13" ht="12.75" customHeight="1" x14ac:dyDescent="0.2">
      <c r="C61292"/>
      <c r="M61292"/>
    </row>
    <row r="61293" spans="3:13" ht="12.75" customHeight="1" x14ac:dyDescent="0.2">
      <c r="C61293"/>
      <c r="M61293"/>
    </row>
    <row r="61294" spans="3:13" ht="12.75" customHeight="1" x14ac:dyDescent="0.2">
      <c r="C61294"/>
      <c r="M61294"/>
    </row>
    <row r="61296" spans="3:13" ht="12.75" customHeight="1" x14ac:dyDescent="0.2">
      <c r="C61296"/>
      <c r="M61296"/>
    </row>
    <row r="61302" spans="3:13" ht="0" hidden="1" customHeight="1" x14ac:dyDescent="0.2"/>
    <row r="61303" spans="3:13" ht="0" hidden="1" customHeight="1" x14ac:dyDescent="0.2"/>
    <row r="61304" spans="3:13" ht="12.75" customHeight="1" x14ac:dyDescent="0.2">
      <c r="C61304"/>
      <c r="M61304"/>
    </row>
    <row r="61305" spans="3:13" ht="0" hidden="1" customHeight="1" x14ac:dyDescent="0.2"/>
    <row r="61306" spans="3:13" ht="0" hidden="1" customHeight="1" x14ac:dyDescent="0.2"/>
    <row r="61307" spans="3:13" ht="12.75" customHeight="1" x14ac:dyDescent="0.2">
      <c r="C61307"/>
      <c r="M61307"/>
    </row>
    <row r="61308" spans="3:13" ht="12.75" customHeight="1" x14ac:dyDescent="0.2">
      <c r="C61308"/>
      <c r="M61308"/>
    </row>
    <row r="61309" spans="3:13" ht="12.75" customHeight="1" x14ac:dyDescent="0.2">
      <c r="C61309"/>
      <c r="M61309"/>
    </row>
    <row r="61310" spans="3:13" ht="12.75" customHeight="1" x14ac:dyDescent="0.2">
      <c r="C61310"/>
      <c r="M61310"/>
    </row>
    <row r="61311" spans="3:13" ht="0" hidden="1" customHeight="1" x14ac:dyDescent="0.2"/>
    <row r="61312" spans="3:13" ht="12.75" customHeight="1" x14ac:dyDescent="0.2">
      <c r="C61312"/>
      <c r="M61312"/>
    </row>
    <row r="61313" spans="3:13" ht="0" hidden="1" customHeight="1" x14ac:dyDescent="0.2"/>
    <row r="61318" spans="3:13" ht="0" hidden="1" customHeight="1" x14ac:dyDescent="0.2"/>
    <row r="61319" spans="3:13" ht="0" hidden="1" customHeight="1" x14ac:dyDescent="0.2"/>
    <row r="61320" spans="3:13" ht="12.75" customHeight="1" x14ac:dyDescent="0.2">
      <c r="C61320"/>
      <c r="M61320"/>
    </row>
    <row r="61321" spans="3:13" ht="0" hidden="1" customHeight="1" x14ac:dyDescent="0.2"/>
    <row r="61322" spans="3:13" ht="0" hidden="1" customHeight="1" x14ac:dyDescent="0.2"/>
    <row r="61323" spans="3:13" ht="12.75" customHeight="1" x14ac:dyDescent="0.2">
      <c r="C61323"/>
      <c r="M61323"/>
    </row>
    <row r="61324" spans="3:13" ht="12.75" customHeight="1" x14ac:dyDescent="0.2">
      <c r="C61324"/>
      <c r="M61324"/>
    </row>
    <row r="61325" spans="3:13" ht="12.75" customHeight="1" x14ac:dyDescent="0.2">
      <c r="C61325"/>
      <c r="M61325"/>
    </row>
    <row r="61326" spans="3:13" ht="12.75" customHeight="1" x14ac:dyDescent="0.2">
      <c r="C61326"/>
      <c r="M61326"/>
    </row>
    <row r="61327" spans="3:13" ht="0" hidden="1" customHeight="1" x14ac:dyDescent="0.2"/>
    <row r="61328" spans="3:13" ht="12.75" customHeight="1" x14ac:dyDescent="0.2">
      <c r="C61328"/>
      <c r="M61328"/>
    </row>
    <row r="61329" spans="3:13" ht="0" hidden="1" customHeight="1" x14ac:dyDescent="0.2"/>
    <row r="61334" spans="3:13" ht="0" hidden="1" customHeight="1" x14ac:dyDescent="0.2"/>
    <row r="61335" spans="3:13" ht="0" hidden="1" customHeight="1" x14ac:dyDescent="0.2"/>
    <row r="61336" spans="3:13" ht="12.75" customHeight="1" x14ac:dyDescent="0.2">
      <c r="C61336"/>
      <c r="M61336"/>
    </row>
    <row r="61337" spans="3:13" ht="12.75" customHeight="1" x14ac:dyDescent="0.2">
      <c r="C61337"/>
      <c r="M61337"/>
    </row>
    <row r="61338" spans="3:13" ht="0" hidden="1" customHeight="1" x14ac:dyDescent="0.2"/>
    <row r="61339" spans="3:13" ht="12.75" customHeight="1" x14ac:dyDescent="0.2">
      <c r="C61339"/>
      <c r="M61339"/>
    </row>
    <row r="61340" spans="3:13" ht="12.75" customHeight="1" x14ac:dyDescent="0.2">
      <c r="C61340"/>
      <c r="M61340"/>
    </row>
    <row r="61341" spans="3:13" ht="12.75" customHeight="1" x14ac:dyDescent="0.2">
      <c r="C61341"/>
      <c r="M61341"/>
    </row>
    <row r="61342" spans="3:13" ht="12.75" customHeight="1" x14ac:dyDescent="0.2">
      <c r="C61342"/>
      <c r="M61342"/>
    </row>
    <row r="61343" spans="3:13" ht="0" hidden="1" customHeight="1" x14ac:dyDescent="0.2"/>
    <row r="61344" spans="3:13" ht="12.75" customHeight="1" x14ac:dyDescent="0.2">
      <c r="C61344"/>
      <c r="M61344"/>
    </row>
    <row r="61345" spans="3:13" ht="0" hidden="1" customHeight="1" x14ac:dyDescent="0.2"/>
    <row r="61349" spans="3:13" ht="0" hidden="1" customHeight="1" x14ac:dyDescent="0.2"/>
    <row r="61350" spans="3:13" ht="0" hidden="1" customHeight="1" x14ac:dyDescent="0.2"/>
    <row r="61351" spans="3:13" ht="0" hidden="1" customHeight="1" x14ac:dyDescent="0.2"/>
    <row r="61352" spans="3:13" ht="12.75" customHeight="1" x14ac:dyDescent="0.2">
      <c r="C61352"/>
      <c r="M61352"/>
    </row>
    <row r="61353" spans="3:13" ht="12.75" customHeight="1" x14ac:dyDescent="0.2">
      <c r="C61353"/>
      <c r="M61353"/>
    </row>
    <row r="61354" spans="3:13" ht="12.75" customHeight="1" x14ac:dyDescent="0.2">
      <c r="C61354"/>
      <c r="M61354"/>
    </row>
    <row r="61355" spans="3:13" ht="12.75" customHeight="1" x14ac:dyDescent="0.2">
      <c r="C61355"/>
      <c r="M61355"/>
    </row>
    <row r="61356" spans="3:13" ht="12.75" customHeight="1" x14ac:dyDescent="0.2">
      <c r="C61356"/>
      <c r="M61356"/>
    </row>
    <row r="61357" spans="3:13" ht="12.75" customHeight="1" x14ac:dyDescent="0.2">
      <c r="C61357"/>
      <c r="M61357"/>
    </row>
    <row r="61358" spans="3:13" ht="12.75" customHeight="1" x14ac:dyDescent="0.2">
      <c r="C61358"/>
      <c r="M61358"/>
    </row>
    <row r="61359" spans="3:13" ht="0" hidden="1" customHeight="1" x14ac:dyDescent="0.2"/>
    <row r="61360" spans="3:13" ht="12.75" customHeight="1" x14ac:dyDescent="0.2">
      <c r="C61360"/>
      <c r="M61360"/>
    </row>
    <row r="61361" spans="3:13" ht="0" hidden="1" customHeight="1" x14ac:dyDescent="0.2"/>
    <row r="61365" spans="3:13" ht="0" hidden="1" customHeight="1" x14ac:dyDescent="0.2"/>
    <row r="61366" spans="3:13" ht="0" hidden="1" customHeight="1" x14ac:dyDescent="0.2"/>
    <row r="61367" spans="3:13" ht="0" hidden="1" customHeight="1" x14ac:dyDescent="0.2"/>
    <row r="61368" spans="3:13" ht="12.75" customHeight="1" x14ac:dyDescent="0.2">
      <c r="C61368"/>
      <c r="M61368"/>
    </row>
    <row r="61369" spans="3:13" ht="12.75" customHeight="1" x14ac:dyDescent="0.2">
      <c r="C61369"/>
      <c r="M61369"/>
    </row>
    <row r="61370" spans="3:13" ht="12.75" customHeight="1" x14ac:dyDescent="0.2">
      <c r="C61370"/>
      <c r="M61370"/>
    </row>
    <row r="61371" spans="3:13" ht="12.75" customHeight="1" x14ac:dyDescent="0.2">
      <c r="C61371"/>
      <c r="M61371"/>
    </row>
    <row r="61372" spans="3:13" ht="12.75" customHeight="1" x14ac:dyDescent="0.2">
      <c r="C61372"/>
      <c r="M61372"/>
    </row>
    <row r="61373" spans="3:13" ht="12.75" customHeight="1" x14ac:dyDescent="0.2">
      <c r="C61373"/>
      <c r="M61373"/>
    </row>
    <row r="61374" spans="3:13" ht="12.75" customHeight="1" x14ac:dyDescent="0.2">
      <c r="C61374"/>
      <c r="M61374"/>
    </row>
    <row r="61375" spans="3:13" ht="0" hidden="1" customHeight="1" x14ac:dyDescent="0.2"/>
    <row r="61376" spans="3:13" ht="12.75" customHeight="1" x14ac:dyDescent="0.2">
      <c r="C61376"/>
      <c r="M61376"/>
    </row>
    <row r="61377" spans="3:13" ht="0" hidden="1" customHeight="1" x14ac:dyDescent="0.2"/>
    <row r="61381" spans="3:13" ht="0" hidden="1" customHeight="1" x14ac:dyDescent="0.2"/>
    <row r="61382" spans="3:13" ht="12.75" customHeight="1" x14ac:dyDescent="0.2">
      <c r="C61382"/>
      <c r="M61382"/>
    </row>
    <row r="61383" spans="3:13" ht="12.75" customHeight="1" x14ac:dyDescent="0.2">
      <c r="C61383"/>
      <c r="M61383"/>
    </row>
    <row r="61384" spans="3:13" ht="12.75" customHeight="1" x14ac:dyDescent="0.2">
      <c r="C61384"/>
      <c r="M61384"/>
    </row>
    <row r="61385" spans="3:13" ht="12.75" customHeight="1" x14ac:dyDescent="0.2">
      <c r="C61385"/>
      <c r="M61385"/>
    </row>
    <row r="61386" spans="3:13" ht="12.75" customHeight="1" x14ac:dyDescent="0.2">
      <c r="C61386"/>
      <c r="M61386"/>
    </row>
    <row r="61387" spans="3:13" ht="12.75" customHeight="1" x14ac:dyDescent="0.2">
      <c r="C61387"/>
      <c r="M61387"/>
    </row>
    <row r="61388" spans="3:13" ht="12.75" customHeight="1" x14ac:dyDescent="0.2">
      <c r="C61388"/>
      <c r="M61388"/>
    </row>
    <row r="61389" spans="3:13" ht="12.75" customHeight="1" x14ac:dyDescent="0.2">
      <c r="C61389"/>
      <c r="M61389"/>
    </row>
    <row r="61390" spans="3:13" ht="12.75" customHeight="1" x14ac:dyDescent="0.2">
      <c r="C61390"/>
      <c r="M61390"/>
    </row>
    <row r="61391" spans="3:13" ht="12.75" customHeight="1" x14ac:dyDescent="0.2">
      <c r="C61391"/>
      <c r="M61391"/>
    </row>
    <row r="61392" spans="3:13" ht="12.75" customHeight="1" x14ac:dyDescent="0.2">
      <c r="C61392"/>
      <c r="M61392"/>
    </row>
    <row r="61393" spans="3:13" ht="12.75" customHeight="1" x14ac:dyDescent="0.2">
      <c r="C61393"/>
      <c r="M61393"/>
    </row>
    <row r="61397" spans="3:13" ht="0" hidden="1" customHeight="1" x14ac:dyDescent="0.2"/>
    <row r="61398" spans="3:13" ht="12.75" customHeight="1" x14ac:dyDescent="0.2">
      <c r="C61398"/>
      <c r="M61398"/>
    </row>
    <row r="61399" spans="3:13" ht="12.75" customHeight="1" x14ac:dyDescent="0.2">
      <c r="C61399"/>
      <c r="M61399"/>
    </row>
    <row r="61400" spans="3:13" ht="12.75" customHeight="1" x14ac:dyDescent="0.2">
      <c r="C61400"/>
      <c r="M61400"/>
    </row>
    <row r="61401" spans="3:13" ht="12.75" customHeight="1" x14ac:dyDescent="0.2">
      <c r="C61401"/>
      <c r="M61401"/>
    </row>
    <row r="61402" spans="3:13" ht="12.75" customHeight="1" x14ac:dyDescent="0.2">
      <c r="C61402"/>
      <c r="M61402"/>
    </row>
    <row r="61403" spans="3:13" ht="12.75" customHeight="1" x14ac:dyDescent="0.2">
      <c r="C61403"/>
      <c r="M61403"/>
    </row>
    <row r="61404" spans="3:13" ht="12.75" customHeight="1" x14ac:dyDescent="0.2">
      <c r="C61404"/>
      <c r="M61404"/>
    </row>
    <row r="61405" spans="3:13" ht="12.75" customHeight="1" x14ac:dyDescent="0.2">
      <c r="C61405"/>
      <c r="M61405"/>
    </row>
    <row r="61406" spans="3:13" ht="12.75" customHeight="1" x14ac:dyDescent="0.2">
      <c r="C61406"/>
      <c r="M61406"/>
    </row>
    <row r="61407" spans="3:13" ht="12.75" customHeight="1" x14ac:dyDescent="0.2">
      <c r="C61407"/>
      <c r="M61407"/>
    </row>
    <row r="61408" spans="3:13" ht="12.75" customHeight="1" x14ac:dyDescent="0.2">
      <c r="C61408"/>
      <c r="M61408"/>
    </row>
    <row r="61409" spans="3:13" ht="12.75" customHeight="1" x14ac:dyDescent="0.2">
      <c r="C61409"/>
      <c r="M61409"/>
    </row>
    <row r="61413" spans="3:13" ht="0" hidden="1" customHeight="1" x14ac:dyDescent="0.2"/>
    <row r="61414" spans="3:13" ht="12.75" customHeight="1" x14ac:dyDescent="0.2">
      <c r="C61414"/>
      <c r="M61414"/>
    </row>
    <row r="61415" spans="3:13" ht="12.75" customHeight="1" x14ac:dyDescent="0.2">
      <c r="C61415"/>
      <c r="M61415"/>
    </row>
    <row r="61416" spans="3:13" ht="12.75" customHeight="1" x14ac:dyDescent="0.2">
      <c r="C61416"/>
      <c r="M61416"/>
    </row>
    <row r="61417" spans="3:13" ht="12.75" customHeight="1" x14ac:dyDescent="0.2">
      <c r="C61417"/>
      <c r="M61417"/>
    </row>
    <row r="61418" spans="3:13" ht="12.75" customHeight="1" x14ac:dyDescent="0.2">
      <c r="C61418"/>
      <c r="M61418"/>
    </row>
    <row r="61419" spans="3:13" ht="12.75" customHeight="1" x14ac:dyDescent="0.2">
      <c r="C61419"/>
      <c r="M61419"/>
    </row>
    <row r="61420" spans="3:13" ht="12.75" customHeight="1" x14ac:dyDescent="0.2">
      <c r="C61420"/>
      <c r="M61420"/>
    </row>
    <row r="61421" spans="3:13" ht="12.75" customHeight="1" x14ac:dyDescent="0.2">
      <c r="C61421"/>
      <c r="M61421"/>
    </row>
    <row r="61422" spans="3:13" ht="12.75" customHeight="1" x14ac:dyDescent="0.2">
      <c r="C61422"/>
      <c r="M61422"/>
    </row>
    <row r="61423" spans="3:13" ht="12.75" customHeight="1" x14ac:dyDescent="0.2">
      <c r="C61423"/>
      <c r="M61423"/>
    </row>
    <row r="61424" spans="3:13" ht="12.75" customHeight="1" x14ac:dyDescent="0.2">
      <c r="C61424"/>
      <c r="M61424"/>
    </row>
    <row r="61425" spans="3:13" ht="12.75" customHeight="1" x14ac:dyDescent="0.2">
      <c r="C61425"/>
      <c r="M61425"/>
    </row>
    <row r="61429" spans="3:13" ht="0" hidden="1" customHeight="1" x14ac:dyDescent="0.2"/>
    <row r="61430" spans="3:13" ht="12.75" customHeight="1" x14ac:dyDescent="0.2">
      <c r="C61430"/>
      <c r="M61430"/>
    </row>
    <row r="61431" spans="3:13" ht="12.75" customHeight="1" x14ac:dyDescent="0.2">
      <c r="C61431"/>
      <c r="M61431"/>
    </row>
    <row r="61432" spans="3:13" ht="12.75" customHeight="1" x14ac:dyDescent="0.2">
      <c r="C61432"/>
      <c r="M61432"/>
    </row>
    <row r="61433" spans="3:13" ht="12.75" customHeight="1" x14ac:dyDescent="0.2">
      <c r="C61433"/>
      <c r="M61433"/>
    </row>
    <row r="61434" spans="3:13" ht="12.75" customHeight="1" x14ac:dyDescent="0.2">
      <c r="C61434"/>
      <c r="M61434"/>
    </row>
    <row r="61435" spans="3:13" ht="12.75" customHeight="1" x14ac:dyDescent="0.2">
      <c r="C61435"/>
      <c r="M61435"/>
    </row>
    <row r="61436" spans="3:13" ht="12.75" customHeight="1" x14ac:dyDescent="0.2">
      <c r="C61436"/>
      <c r="M61436"/>
    </row>
    <row r="61437" spans="3:13" ht="12.75" customHeight="1" x14ac:dyDescent="0.2">
      <c r="C61437"/>
      <c r="M61437"/>
    </row>
    <row r="61438" spans="3:13" ht="12.75" customHeight="1" x14ac:dyDescent="0.2">
      <c r="C61438"/>
      <c r="M61438"/>
    </row>
    <row r="61439" spans="3:13" ht="12.75" customHeight="1" x14ac:dyDescent="0.2">
      <c r="C61439"/>
      <c r="M61439"/>
    </row>
    <row r="61440" spans="3:13" ht="12.75" customHeight="1" x14ac:dyDescent="0.2">
      <c r="C61440"/>
      <c r="M61440"/>
    </row>
    <row r="61441" spans="3:13" ht="12.75" customHeight="1" x14ac:dyDescent="0.2">
      <c r="C61441"/>
      <c r="M61441"/>
    </row>
    <row r="61445" spans="3:13" ht="12.75" customHeight="1" x14ac:dyDescent="0.2">
      <c r="C61445"/>
      <c r="M61445"/>
    </row>
    <row r="61446" spans="3:13" ht="12.75" customHeight="1" x14ac:dyDescent="0.2">
      <c r="C61446"/>
      <c r="M61446"/>
    </row>
    <row r="61447" spans="3:13" ht="12.75" customHeight="1" x14ac:dyDescent="0.2">
      <c r="C61447"/>
      <c r="M61447"/>
    </row>
    <row r="61448" spans="3:13" ht="12.75" customHeight="1" x14ac:dyDescent="0.2">
      <c r="C61448"/>
      <c r="M61448"/>
    </row>
    <row r="61449" spans="3:13" ht="12.75" customHeight="1" x14ac:dyDescent="0.2">
      <c r="C61449"/>
      <c r="M61449"/>
    </row>
    <row r="61450" spans="3:13" ht="12.75" customHeight="1" x14ac:dyDescent="0.2">
      <c r="C61450"/>
      <c r="M61450"/>
    </row>
    <row r="61451" spans="3:13" ht="12.75" customHeight="1" x14ac:dyDescent="0.2">
      <c r="C61451"/>
      <c r="M61451"/>
    </row>
    <row r="61452" spans="3:13" ht="12.75" customHeight="1" x14ac:dyDescent="0.2">
      <c r="C61452"/>
      <c r="M61452"/>
    </row>
    <row r="61453" spans="3:13" ht="12.75" customHeight="1" x14ac:dyDescent="0.2">
      <c r="C61453"/>
      <c r="M61453"/>
    </row>
    <row r="61454" spans="3:13" ht="12.75" customHeight="1" x14ac:dyDescent="0.2">
      <c r="C61454"/>
      <c r="M61454"/>
    </row>
    <row r="61455" spans="3:13" ht="12.75" customHeight="1" x14ac:dyDescent="0.2">
      <c r="C61455"/>
      <c r="M61455"/>
    </row>
    <row r="61456" spans="3:13" ht="12.75" customHeight="1" x14ac:dyDescent="0.2">
      <c r="C61456"/>
      <c r="M61456"/>
    </row>
    <row r="61457" spans="3:13" ht="12.75" customHeight="1" x14ac:dyDescent="0.2">
      <c r="C61457"/>
      <c r="M61457"/>
    </row>
    <row r="61461" spans="3:13" ht="12.75" customHeight="1" x14ac:dyDescent="0.2">
      <c r="C61461"/>
      <c r="M61461"/>
    </row>
    <row r="61462" spans="3:13" ht="12.75" customHeight="1" x14ac:dyDescent="0.2">
      <c r="C61462"/>
      <c r="M61462"/>
    </row>
    <row r="61463" spans="3:13" ht="12.75" customHeight="1" x14ac:dyDescent="0.2">
      <c r="C61463"/>
      <c r="M61463"/>
    </row>
    <row r="61464" spans="3:13" ht="12.75" customHeight="1" x14ac:dyDescent="0.2">
      <c r="C61464"/>
      <c r="M61464"/>
    </row>
    <row r="61465" spans="3:13" ht="12.75" customHeight="1" x14ac:dyDescent="0.2">
      <c r="C61465"/>
      <c r="M61465"/>
    </row>
    <row r="61466" spans="3:13" ht="12.75" customHeight="1" x14ac:dyDescent="0.2">
      <c r="C61466"/>
      <c r="M61466"/>
    </row>
    <row r="61467" spans="3:13" ht="12.75" customHeight="1" x14ac:dyDescent="0.2">
      <c r="C61467"/>
      <c r="M61467"/>
    </row>
    <row r="61468" spans="3:13" ht="12.75" customHeight="1" x14ac:dyDescent="0.2">
      <c r="C61468"/>
      <c r="M61468"/>
    </row>
    <row r="61469" spans="3:13" ht="12.75" customHeight="1" x14ac:dyDescent="0.2">
      <c r="C61469"/>
      <c r="M61469"/>
    </row>
    <row r="61470" spans="3:13" ht="12.75" customHeight="1" x14ac:dyDescent="0.2">
      <c r="C61470"/>
      <c r="M61470"/>
    </row>
    <row r="61471" spans="3:13" ht="12.75" customHeight="1" x14ac:dyDescent="0.2">
      <c r="C61471"/>
      <c r="M61471"/>
    </row>
    <row r="61472" spans="3:13" ht="12.75" customHeight="1" x14ac:dyDescent="0.2">
      <c r="C61472"/>
      <c r="M61472"/>
    </row>
    <row r="61473" spans="3:13" ht="12.75" customHeight="1" x14ac:dyDescent="0.2">
      <c r="C61473"/>
      <c r="M61473"/>
    </row>
    <row r="61477" spans="3:13" ht="12.75" customHeight="1" x14ac:dyDescent="0.2">
      <c r="C61477"/>
      <c r="M61477"/>
    </row>
    <row r="61478" spans="3:13" ht="12.75" customHeight="1" x14ac:dyDescent="0.2">
      <c r="C61478"/>
      <c r="M61478"/>
    </row>
    <row r="61479" spans="3:13" ht="12.75" customHeight="1" x14ac:dyDescent="0.2">
      <c r="C61479"/>
      <c r="M61479"/>
    </row>
    <row r="61480" spans="3:13" ht="12.75" customHeight="1" x14ac:dyDescent="0.2">
      <c r="C61480"/>
      <c r="M61480"/>
    </row>
    <row r="61481" spans="3:13" ht="12.75" customHeight="1" x14ac:dyDescent="0.2">
      <c r="C61481"/>
      <c r="M61481"/>
    </row>
    <row r="61482" spans="3:13" ht="12.75" customHeight="1" x14ac:dyDescent="0.2">
      <c r="C61482"/>
      <c r="M61482"/>
    </row>
    <row r="61483" spans="3:13" ht="12.75" customHeight="1" x14ac:dyDescent="0.2">
      <c r="C61483"/>
      <c r="M61483"/>
    </row>
    <row r="61484" spans="3:13" ht="12.75" customHeight="1" x14ac:dyDescent="0.2">
      <c r="C61484"/>
      <c r="M61484"/>
    </row>
    <row r="61485" spans="3:13" ht="12.75" customHeight="1" x14ac:dyDescent="0.2">
      <c r="C61485"/>
      <c r="M61485"/>
    </row>
    <row r="61486" spans="3:13" ht="12.75" customHeight="1" x14ac:dyDescent="0.2">
      <c r="C61486"/>
      <c r="M61486"/>
    </row>
    <row r="61487" spans="3:13" ht="12.75" customHeight="1" x14ac:dyDescent="0.2">
      <c r="C61487"/>
      <c r="M61487"/>
    </row>
    <row r="61488" spans="3:13" ht="12.75" customHeight="1" x14ac:dyDescent="0.2">
      <c r="C61488"/>
      <c r="M61488"/>
    </row>
    <row r="61489" spans="3:13" ht="12.75" customHeight="1" x14ac:dyDescent="0.2">
      <c r="C61489"/>
      <c r="M61489"/>
    </row>
    <row r="61490" spans="3:13" ht="0" hidden="1" customHeight="1" x14ac:dyDescent="0.2"/>
    <row r="61493" spans="3:13" ht="12.75" customHeight="1" x14ac:dyDescent="0.2">
      <c r="C61493"/>
      <c r="M61493"/>
    </row>
    <row r="61494" spans="3:13" ht="12.75" customHeight="1" x14ac:dyDescent="0.2">
      <c r="C61494"/>
      <c r="M61494"/>
    </row>
    <row r="61495" spans="3:13" ht="12.75" customHeight="1" x14ac:dyDescent="0.2">
      <c r="C61495"/>
      <c r="M61495"/>
    </row>
    <row r="61496" spans="3:13" ht="12.75" customHeight="1" x14ac:dyDescent="0.2">
      <c r="C61496"/>
      <c r="M61496"/>
    </row>
    <row r="61497" spans="3:13" ht="12.75" customHeight="1" x14ac:dyDescent="0.2">
      <c r="C61497"/>
      <c r="M61497"/>
    </row>
    <row r="61498" spans="3:13" ht="12.75" customHeight="1" x14ac:dyDescent="0.2">
      <c r="C61498"/>
      <c r="M61498"/>
    </row>
    <row r="61499" spans="3:13" ht="12.75" customHeight="1" x14ac:dyDescent="0.2">
      <c r="C61499"/>
      <c r="M61499"/>
    </row>
    <row r="61500" spans="3:13" ht="12.75" customHeight="1" x14ac:dyDescent="0.2">
      <c r="C61500"/>
      <c r="M61500"/>
    </row>
    <row r="61501" spans="3:13" ht="12.75" customHeight="1" x14ac:dyDescent="0.2">
      <c r="C61501"/>
      <c r="M61501"/>
    </row>
    <row r="61502" spans="3:13" ht="12.75" customHeight="1" x14ac:dyDescent="0.2">
      <c r="C61502"/>
      <c r="M61502"/>
    </row>
    <row r="61503" spans="3:13" ht="12.75" customHeight="1" x14ac:dyDescent="0.2">
      <c r="C61503"/>
      <c r="M61503"/>
    </row>
    <row r="61504" spans="3:13" ht="12.75" customHeight="1" x14ac:dyDescent="0.2">
      <c r="C61504"/>
      <c r="M61504"/>
    </row>
    <row r="61505" spans="3:13" ht="12.75" customHeight="1" x14ac:dyDescent="0.2">
      <c r="C61505"/>
      <c r="M61505"/>
    </row>
    <row r="61506" spans="3:13" ht="0" hidden="1" customHeight="1" x14ac:dyDescent="0.2"/>
    <row r="61509" spans="3:13" ht="12.75" customHeight="1" x14ac:dyDescent="0.2">
      <c r="C61509"/>
      <c r="M61509"/>
    </row>
    <row r="61510" spans="3:13" ht="12.75" customHeight="1" x14ac:dyDescent="0.2">
      <c r="C61510"/>
      <c r="M61510"/>
    </row>
    <row r="61511" spans="3:13" ht="12.75" customHeight="1" x14ac:dyDescent="0.2">
      <c r="C61511"/>
      <c r="M61511"/>
    </row>
    <row r="61512" spans="3:13" ht="12.75" customHeight="1" x14ac:dyDescent="0.2">
      <c r="C61512"/>
      <c r="M61512"/>
    </row>
    <row r="61513" spans="3:13" ht="12.75" customHeight="1" x14ac:dyDescent="0.2">
      <c r="C61513"/>
      <c r="M61513"/>
    </row>
    <row r="61514" spans="3:13" ht="12.75" customHeight="1" x14ac:dyDescent="0.2">
      <c r="C61514"/>
      <c r="M61514"/>
    </row>
    <row r="61515" spans="3:13" ht="12.75" customHeight="1" x14ac:dyDescent="0.2">
      <c r="C61515"/>
      <c r="M61515"/>
    </row>
    <row r="61516" spans="3:13" ht="12.75" customHeight="1" x14ac:dyDescent="0.2">
      <c r="C61516"/>
      <c r="M61516"/>
    </row>
    <row r="61517" spans="3:13" ht="12.75" customHeight="1" x14ac:dyDescent="0.2">
      <c r="C61517"/>
      <c r="M61517"/>
    </row>
    <row r="61518" spans="3:13" ht="12.75" customHeight="1" x14ac:dyDescent="0.2">
      <c r="C61518"/>
      <c r="M61518"/>
    </row>
    <row r="61519" spans="3:13" ht="12.75" customHeight="1" x14ac:dyDescent="0.2">
      <c r="C61519"/>
      <c r="M61519"/>
    </row>
    <row r="61520" spans="3:13" ht="12.75" customHeight="1" x14ac:dyDescent="0.2">
      <c r="C61520"/>
      <c r="M61520"/>
    </row>
    <row r="61521" spans="3:13" ht="12.75" customHeight="1" x14ac:dyDescent="0.2">
      <c r="C61521"/>
      <c r="M61521"/>
    </row>
    <row r="61522" spans="3:13" ht="0" hidden="1" customHeight="1" x14ac:dyDescent="0.2"/>
    <row r="61523" spans="3:13" ht="0" hidden="1" customHeight="1" x14ac:dyDescent="0.2"/>
    <row r="61524" spans="3:13" ht="0" hidden="1" customHeight="1" x14ac:dyDescent="0.2"/>
    <row r="61525" spans="3:13" ht="12.75" customHeight="1" x14ac:dyDescent="0.2">
      <c r="C61525"/>
      <c r="M61525"/>
    </row>
    <row r="61526" spans="3:13" ht="12.75" customHeight="1" x14ac:dyDescent="0.2">
      <c r="C61526"/>
      <c r="M61526"/>
    </row>
    <row r="61527" spans="3:13" ht="12.75" customHeight="1" x14ac:dyDescent="0.2">
      <c r="C61527"/>
      <c r="M61527"/>
    </row>
    <row r="61528" spans="3:13" ht="12.75" customHeight="1" x14ac:dyDescent="0.2">
      <c r="C61528"/>
      <c r="M61528"/>
    </row>
    <row r="61529" spans="3:13" ht="12.75" customHeight="1" x14ac:dyDescent="0.2">
      <c r="C61529"/>
      <c r="M61529"/>
    </row>
    <row r="61530" spans="3:13" ht="12.75" customHeight="1" x14ac:dyDescent="0.2">
      <c r="C61530"/>
      <c r="M61530"/>
    </row>
    <row r="61531" spans="3:13" ht="12.75" customHeight="1" x14ac:dyDescent="0.2">
      <c r="C61531"/>
      <c r="M61531"/>
    </row>
    <row r="61532" spans="3:13" ht="12.75" customHeight="1" x14ac:dyDescent="0.2">
      <c r="C61532"/>
      <c r="M61532"/>
    </row>
    <row r="61533" spans="3:13" ht="12.75" customHeight="1" x14ac:dyDescent="0.2">
      <c r="C61533"/>
      <c r="M61533"/>
    </row>
    <row r="61534" spans="3:13" ht="12.75" customHeight="1" x14ac:dyDescent="0.2">
      <c r="C61534"/>
      <c r="M61534"/>
    </row>
    <row r="61535" spans="3:13" ht="12.75" customHeight="1" x14ac:dyDescent="0.2">
      <c r="C61535"/>
      <c r="M61535"/>
    </row>
    <row r="61536" spans="3:13" ht="12.75" customHeight="1" x14ac:dyDescent="0.2">
      <c r="C61536"/>
      <c r="M61536"/>
    </row>
    <row r="61537" spans="3:13" ht="12.75" customHeight="1" x14ac:dyDescent="0.2">
      <c r="C61537"/>
      <c r="M61537"/>
    </row>
    <row r="61538" spans="3:13" ht="0" hidden="1" customHeight="1" x14ac:dyDescent="0.2"/>
    <row r="61539" spans="3:13" ht="0" hidden="1" customHeight="1" x14ac:dyDescent="0.2"/>
    <row r="61540" spans="3:13" ht="0" hidden="1" customHeight="1" x14ac:dyDescent="0.2"/>
    <row r="61541" spans="3:13" ht="12.75" customHeight="1" x14ac:dyDescent="0.2">
      <c r="C61541"/>
      <c r="M61541"/>
    </row>
    <row r="61542" spans="3:13" ht="12.75" customHeight="1" x14ac:dyDescent="0.2">
      <c r="C61542"/>
      <c r="M61542"/>
    </row>
    <row r="61543" spans="3:13" ht="12.75" customHeight="1" x14ac:dyDescent="0.2">
      <c r="C61543"/>
      <c r="M61543"/>
    </row>
    <row r="61544" spans="3:13" ht="12.75" customHeight="1" x14ac:dyDescent="0.2">
      <c r="C61544"/>
      <c r="M61544"/>
    </row>
    <row r="61545" spans="3:13" ht="12.75" customHeight="1" x14ac:dyDescent="0.2">
      <c r="C61545"/>
      <c r="M61545"/>
    </row>
    <row r="61546" spans="3:13" ht="12.75" customHeight="1" x14ac:dyDescent="0.2">
      <c r="C61546"/>
      <c r="M61546"/>
    </row>
    <row r="61547" spans="3:13" ht="12.75" customHeight="1" x14ac:dyDescent="0.2">
      <c r="C61547"/>
      <c r="M61547"/>
    </row>
    <row r="61548" spans="3:13" ht="12.75" customHeight="1" x14ac:dyDescent="0.2">
      <c r="C61548"/>
      <c r="M61548"/>
    </row>
    <row r="61549" spans="3:13" ht="12.75" customHeight="1" x14ac:dyDescent="0.2">
      <c r="C61549"/>
      <c r="M61549"/>
    </row>
    <row r="61550" spans="3:13" ht="12.75" customHeight="1" x14ac:dyDescent="0.2">
      <c r="C61550"/>
      <c r="M61550"/>
    </row>
    <row r="61551" spans="3:13" ht="12.75" customHeight="1" x14ac:dyDescent="0.2">
      <c r="C61551"/>
      <c r="M61551"/>
    </row>
    <row r="61552" spans="3:13" ht="12.75" customHeight="1" x14ac:dyDescent="0.2">
      <c r="C61552"/>
      <c r="M61552"/>
    </row>
    <row r="61553" spans="3:13" ht="12.75" customHeight="1" x14ac:dyDescent="0.2">
      <c r="C61553"/>
      <c r="M61553"/>
    </row>
    <row r="61554" spans="3:13" ht="0" hidden="1" customHeight="1" x14ac:dyDescent="0.2"/>
    <row r="61555" spans="3:13" ht="0" hidden="1" customHeight="1" x14ac:dyDescent="0.2"/>
    <row r="61556" spans="3:13" ht="0" hidden="1" customHeight="1" x14ac:dyDescent="0.2"/>
    <row r="61557" spans="3:13" ht="12.75" customHeight="1" x14ac:dyDescent="0.2">
      <c r="C61557"/>
      <c r="M61557"/>
    </row>
    <row r="61558" spans="3:13" ht="12.75" customHeight="1" x14ac:dyDescent="0.2">
      <c r="C61558"/>
      <c r="M61558"/>
    </row>
    <row r="61559" spans="3:13" ht="12.75" customHeight="1" x14ac:dyDescent="0.2">
      <c r="C61559"/>
      <c r="M61559"/>
    </row>
    <row r="61560" spans="3:13" ht="12.75" customHeight="1" x14ac:dyDescent="0.2">
      <c r="C61560"/>
      <c r="M61560"/>
    </row>
    <row r="61561" spans="3:13" ht="12.75" customHeight="1" x14ac:dyDescent="0.2">
      <c r="C61561"/>
      <c r="M61561"/>
    </row>
    <row r="61562" spans="3:13" ht="12.75" customHeight="1" x14ac:dyDescent="0.2">
      <c r="C61562"/>
      <c r="M61562"/>
    </row>
    <row r="61563" spans="3:13" ht="12.75" customHeight="1" x14ac:dyDescent="0.2">
      <c r="C61563"/>
      <c r="M61563"/>
    </row>
    <row r="61564" spans="3:13" ht="12.75" customHeight="1" x14ac:dyDescent="0.2">
      <c r="C61564"/>
      <c r="M61564"/>
    </row>
    <row r="61565" spans="3:13" ht="12.75" customHeight="1" x14ac:dyDescent="0.2">
      <c r="C61565"/>
      <c r="M61565"/>
    </row>
    <row r="61566" spans="3:13" ht="12.75" customHeight="1" x14ac:dyDescent="0.2">
      <c r="C61566"/>
      <c r="M61566"/>
    </row>
    <row r="61567" spans="3:13" ht="12.75" customHeight="1" x14ac:dyDescent="0.2">
      <c r="C61567"/>
      <c r="M61567"/>
    </row>
    <row r="61568" spans="3:13" ht="12.75" customHeight="1" x14ac:dyDescent="0.2">
      <c r="C61568"/>
      <c r="M61568"/>
    </row>
    <row r="61569" spans="3:13" ht="12.75" customHeight="1" x14ac:dyDescent="0.2">
      <c r="C61569"/>
      <c r="M61569"/>
    </row>
    <row r="61570" spans="3:13" ht="12.75" customHeight="1" x14ac:dyDescent="0.2">
      <c r="C61570"/>
      <c r="M61570"/>
    </row>
    <row r="61571" spans="3:13" ht="0" hidden="1" customHeight="1" x14ac:dyDescent="0.2"/>
    <row r="61572" spans="3:13" ht="0" hidden="1" customHeight="1" x14ac:dyDescent="0.2"/>
    <row r="61573" spans="3:13" ht="12.75" customHeight="1" x14ac:dyDescent="0.2">
      <c r="C61573"/>
      <c r="M61573"/>
    </row>
    <row r="61574" spans="3:13" ht="12.75" customHeight="1" x14ac:dyDescent="0.2">
      <c r="C61574"/>
      <c r="M61574"/>
    </row>
    <row r="61575" spans="3:13" ht="12.75" customHeight="1" x14ac:dyDescent="0.2">
      <c r="C61575"/>
      <c r="M61575"/>
    </row>
    <row r="61576" spans="3:13" ht="12.75" customHeight="1" x14ac:dyDescent="0.2">
      <c r="C61576"/>
      <c r="M61576"/>
    </row>
    <row r="61577" spans="3:13" ht="12.75" customHeight="1" x14ac:dyDescent="0.2">
      <c r="C61577"/>
      <c r="M61577"/>
    </row>
    <row r="61578" spans="3:13" ht="12.75" customHeight="1" x14ac:dyDescent="0.2">
      <c r="C61578"/>
      <c r="M61578"/>
    </row>
    <row r="61579" spans="3:13" ht="12.75" customHeight="1" x14ac:dyDescent="0.2">
      <c r="C61579"/>
      <c r="M61579"/>
    </row>
    <row r="61580" spans="3:13" ht="12.75" customHeight="1" x14ac:dyDescent="0.2">
      <c r="C61580"/>
      <c r="M61580"/>
    </row>
    <row r="61581" spans="3:13" ht="12.75" customHeight="1" x14ac:dyDescent="0.2">
      <c r="C61581"/>
      <c r="M61581"/>
    </row>
    <row r="61582" spans="3:13" ht="12.75" customHeight="1" x14ac:dyDescent="0.2">
      <c r="C61582"/>
      <c r="M61582"/>
    </row>
    <row r="61583" spans="3:13" ht="12.75" customHeight="1" x14ac:dyDescent="0.2">
      <c r="C61583"/>
      <c r="M61583"/>
    </row>
    <row r="61584" spans="3:13" ht="12.75" customHeight="1" x14ac:dyDescent="0.2">
      <c r="C61584"/>
      <c r="M61584"/>
    </row>
    <row r="61585" spans="3:13" ht="12.75" customHeight="1" x14ac:dyDescent="0.2">
      <c r="C61585"/>
      <c r="M61585"/>
    </row>
    <row r="61586" spans="3:13" ht="12.75" customHeight="1" x14ac:dyDescent="0.2">
      <c r="C61586"/>
      <c r="M61586"/>
    </row>
    <row r="61587" spans="3:13" ht="0" hidden="1" customHeight="1" x14ac:dyDescent="0.2"/>
    <row r="61588" spans="3:13" ht="0" hidden="1" customHeight="1" x14ac:dyDescent="0.2"/>
    <row r="61589" spans="3:13" ht="12.75" customHeight="1" x14ac:dyDescent="0.2">
      <c r="C61589"/>
      <c r="M61589"/>
    </row>
    <row r="61590" spans="3:13" ht="12.75" customHeight="1" x14ac:dyDescent="0.2">
      <c r="C61590"/>
      <c r="M61590"/>
    </row>
    <row r="61591" spans="3:13" ht="12.75" customHeight="1" x14ac:dyDescent="0.2">
      <c r="C61591"/>
      <c r="M61591"/>
    </row>
    <row r="61592" spans="3:13" ht="12.75" customHeight="1" x14ac:dyDescent="0.2">
      <c r="C61592"/>
      <c r="M61592"/>
    </row>
    <row r="61593" spans="3:13" ht="12.75" customHeight="1" x14ac:dyDescent="0.2">
      <c r="C61593"/>
      <c r="M61593"/>
    </row>
    <row r="61594" spans="3:13" ht="12.75" customHeight="1" x14ac:dyDescent="0.2">
      <c r="C61594"/>
      <c r="M61594"/>
    </row>
    <row r="61595" spans="3:13" ht="12.75" customHeight="1" x14ac:dyDescent="0.2">
      <c r="C61595"/>
      <c r="M61595"/>
    </row>
    <row r="61596" spans="3:13" ht="12.75" customHeight="1" x14ac:dyDescent="0.2">
      <c r="C61596"/>
      <c r="M61596"/>
    </row>
    <row r="61597" spans="3:13" ht="12.75" customHeight="1" x14ac:dyDescent="0.2">
      <c r="C61597"/>
      <c r="M61597"/>
    </row>
    <row r="61598" spans="3:13" ht="12.75" customHeight="1" x14ac:dyDescent="0.2">
      <c r="C61598"/>
      <c r="M61598"/>
    </row>
    <row r="61599" spans="3:13" ht="12.75" customHeight="1" x14ac:dyDescent="0.2">
      <c r="C61599"/>
      <c r="M61599"/>
    </row>
    <row r="61600" spans="3:13" ht="12.75" customHeight="1" x14ac:dyDescent="0.2">
      <c r="C61600"/>
      <c r="M61600"/>
    </row>
    <row r="61601" spans="3:13" ht="12.75" customHeight="1" x14ac:dyDescent="0.2">
      <c r="C61601"/>
      <c r="M61601"/>
    </row>
    <row r="61602" spans="3:13" ht="12.75" customHeight="1" x14ac:dyDescent="0.2">
      <c r="C61602"/>
      <c r="M61602"/>
    </row>
    <row r="61603" spans="3:13" ht="12.75" customHeight="1" x14ac:dyDescent="0.2">
      <c r="C61603"/>
      <c r="M61603"/>
    </row>
    <row r="61604" spans="3:13" ht="0" hidden="1" customHeight="1" x14ac:dyDescent="0.2"/>
    <row r="61605" spans="3:13" ht="12.75" customHeight="1" x14ac:dyDescent="0.2">
      <c r="C61605"/>
      <c r="M61605"/>
    </row>
    <row r="61606" spans="3:13" ht="12.75" customHeight="1" x14ac:dyDescent="0.2">
      <c r="C61606"/>
      <c r="M61606"/>
    </row>
    <row r="61607" spans="3:13" ht="12.75" customHeight="1" x14ac:dyDescent="0.2">
      <c r="C61607"/>
      <c r="M61607"/>
    </row>
    <row r="61608" spans="3:13" ht="12.75" customHeight="1" x14ac:dyDescent="0.2">
      <c r="C61608"/>
      <c r="M61608"/>
    </row>
    <row r="61609" spans="3:13" ht="12.75" customHeight="1" x14ac:dyDescent="0.2">
      <c r="C61609"/>
      <c r="M61609"/>
    </row>
    <row r="61610" spans="3:13" ht="12.75" customHeight="1" x14ac:dyDescent="0.2">
      <c r="C61610"/>
      <c r="M61610"/>
    </row>
    <row r="61611" spans="3:13" ht="12.75" customHeight="1" x14ac:dyDescent="0.2">
      <c r="C61611"/>
      <c r="M61611"/>
    </row>
    <row r="61612" spans="3:13" ht="12.75" customHeight="1" x14ac:dyDescent="0.2">
      <c r="C61612"/>
      <c r="M61612"/>
    </row>
    <row r="61613" spans="3:13" ht="12.75" customHeight="1" x14ac:dyDescent="0.2">
      <c r="C61613"/>
      <c r="M61613"/>
    </row>
    <row r="61614" spans="3:13" ht="12.75" customHeight="1" x14ac:dyDescent="0.2">
      <c r="C61614"/>
      <c r="M61614"/>
    </row>
    <row r="61615" spans="3:13" ht="12.75" customHeight="1" x14ac:dyDescent="0.2">
      <c r="C61615"/>
      <c r="M61615"/>
    </row>
    <row r="61616" spans="3:13" ht="12.75" customHeight="1" x14ac:dyDescent="0.2">
      <c r="C61616"/>
      <c r="M61616"/>
    </row>
    <row r="61617" spans="3:13" ht="12.75" customHeight="1" x14ac:dyDescent="0.2">
      <c r="C61617"/>
      <c r="M61617"/>
    </row>
    <row r="61618" spans="3:13" ht="12.75" customHeight="1" x14ac:dyDescent="0.2">
      <c r="C61618"/>
      <c r="M61618"/>
    </row>
    <row r="61619" spans="3:13" ht="12.75" customHeight="1" x14ac:dyDescent="0.2">
      <c r="C61619"/>
      <c r="M61619"/>
    </row>
    <row r="61620" spans="3:13" ht="12.75" customHeight="1" x14ac:dyDescent="0.2">
      <c r="C61620"/>
      <c r="M61620"/>
    </row>
    <row r="61621" spans="3:13" ht="12.75" customHeight="1" x14ac:dyDescent="0.2">
      <c r="C61621"/>
      <c r="M61621"/>
    </row>
    <row r="61622" spans="3:13" ht="12.75" customHeight="1" x14ac:dyDescent="0.2">
      <c r="C61622"/>
      <c r="M61622"/>
    </row>
    <row r="61623" spans="3:13" ht="12.75" customHeight="1" x14ac:dyDescent="0.2">
      <c r="C61623"/>
      <c r="M61623"/>
    </row>
    <row r="61624" spans="3:13" ht="12.75" customHeight="1" x14ac:dyDescent="0.2">
      <c r="C61624"/>
      <c r="M61624"/>
    </row>
    <row r="61625" spans="3:13" ht="12.75" customHeight="1" x14ac:dyDescent="0.2">
      <c r="C61625"/>
      <c r="M61625"/>
    </row>
    <row r="61626" spans="3:13" ht="12.75" customHeight="1" x14ac:dyDescent="0.2">
      <c r="C61626"/>
      <c r="M61626"/>
    </row>
    <row r="61627" spans="3:13" ht="12.75" customHeight="1" x14ac:dyDescent="0.2">
      <c r="C61627"/>
      <c r="M61627"/>
    </row>
    <row r="61628" spans="3:13" ht="12.75" customHeight="1" x14ac:dyDescent="0.2">
      <c r="C61628"/>
      <c r="M61628"/>
    </row>
    <row r="61629" spans="3:13" ht="12.75" customHeight="1" x14ac:dyDescent="0.2">
      <c r="C61629"/>
      <c r="M61629"/>
    </row>
    <row r="61630" spans="3:13" ht="12.75" customHeight="1" x14ac:dyDescent="0.2">
      <c r="C61630"/>
      <c r="M61630"/>
    </row>
    <row r="61631" spans="3:13" ht="12.75" customHeight="1" x14ac:dyDescent="0.2">
      <c r="C61631"/>
      <c r="M61631"/>
    </row>
    <row r="61632" spans="3:13" ht="12.75" customHeight="1" x14ac:dyDescent="0.2">
      <c r="C61632"/>
      <c r="M61632"/>
    </row>
    <row r="61633" spans="3:13" ht="12.75" customHeight="1" x14ac:dyDescent="0.2">
      <c r="C61633"/>
      <c r="M61633"/>
    </row>
    <row r="61634" spans="3:13" ht="12.75" customHeight="1" x14ac:dyDescent="0.2">
      <c r="C61634"/>
      <c r="M61634"/>
    </row>
    <row r="61635" spans="3:13" ht="12.75" customHeight="1" x14ac:dyDescent="0.2">
      <c r="C61635"/>
      <c r="M61635"/>
    </row>
    <row r="61636" spans="3:13" ht="12.75" customHeight="1" x14ac:dyDescent="0.2">
      <c r="C61636"/>
      <c r="M61636"/>
    </row>
    <row r="61637" spans="3:13" ht="12.75" customHeight="1" x14ac:dyDescent="0.2">
      <c r="C61637"/>
      <c r="M61637"/>
    </row>
    <row r="61638" spans="3:13" ht="12.75" customHeight="1" x14ac:dyDescent="0.2">
      <c r="C61638"/>
      <c r="M61638"/>
    </row>
    <row r="61639" spans="3:13" ht="12.75" customHeight="1" x14ac:dyDescent="0.2">
      <c r="C61639"/>
      <c r="M61639"/>
    </row>
    <row r="61640" spans="3:13" ht="12.75" customHeight="1" x14ac:dyDescent="0.2">
      <c r="C61640"/>
      <c r="M61640"/>
    </row>
    <row r="61641" spans="3:13" ht="12.75" customHeight="1" x14ac:dyDescent="0.2">
      <c r="C61641"/>
      <c r="M61641"/>
    </row>
    <row r="61642" spans="3:13" ht="12.75" customHeight="1" x14ac:dyDescent="0.2">
      <c r="C61642"/>
      <c r="M61642"/>
    </row>
    <row r="61643" spans="3:13" ht="12.75" customHeight="1" x14ac:dyDescent="0.2">
      <c r="C61643"/>
      <c r="M61643"/>
    </row>
    <row r="61644" spans="3:13" ht="12.75" customHeight="1" x14ac:dyDescent="0.2">
      <c r="C61644"/>
      <c r="M61644"/>
    </row>
    <row r="61645" spans="3:13" ht="12.75" customHeight="1" x14ac:dyDescent="0.2">
      <c r="C61645"/>
      <c r="M61645"/>
    </row>
    <row r="61646" spans="3:13" ht="12.75" customHeight="1" x14ac:dyDescent="0.2">
      <c r="C61646"/>
      <c r="M61646"/>
    </row>
    <row r="61647" spans="3:13" ht="12.75" customHeight="1" x14ac:dyDescent="0.2">
      <c r="C61647"/>
      <c r="M61647"/>
    </row>
    <row r="61648" spans="3:13" ht="12.75" customHeight="1" x14ac:dyDescent="0.2">
      <c r="C61648"/>
      <c r="M61648"/>
    </row>
    <row r="61649" spans="3:13" ht="12.75" customHeight="1" x14ac:dyDescent="0.2">
      <c r="C61649"/>
      <c r="M61649"/>
    </row>
    <row r="61650" spans="3:13" ht="12.75" customHeight="1" x14ac:dyDescent="0.2">
      <c r="C61650"/>
      <c r="M61650"/>
    </row>
    <row r="61651" spans="3:13" ht="12.75" customHeight="1" x14ac:dyDescent="0.2">
      <c r="C61651"/>
      <c r="M61651"/>
    </row>
    <row r="61652" spans="3:13" ht="12.75" customHeight="1" x14ac:dyDescent="0.2">
      <c r="C61652"/>
      <c r="M61652"/>
    </row>
    <row r="61653" spans="3:13" ht="12.75" customHeight="1" x14ac:dyDescent="0.2">
      <c r="C61653"/>
      <c r="M61653"/>
    </row>
    <row r="61654" spans="3:13" ht="12.75" customHeight="1" x14ac:dyDescent="0.2">
      <c r="C61654"/>
      <c r="M61654"/>
    </row>
    <row r="61655" spans="3:13" ht="12.75" customHeight="1" x14ac:dyDescent="0.2">
      <c r="C61655"/>
      <c r="M61655"/>
    </row>
    <row r="61656" spans="3:13" ht="12.75" customHeight="1" x14ac:dyDescent="0.2">
      <c r="C61656"/>
      <c r="M61656"/>
    </row>
    <row r="61657" spans="3:13" ht="12.75" customHeight="1" x14ac:dyDescent="0.2">
      <c r="C61657"/>
      <c r="M61657"/>
    </row>
    <row r="61658" spans="3:13" ht="12.75" customHeight="1" x14ac:dyDescent="0.2">
      <c r="C61658"/>
      <c r="M61658"/>
    </row>
    <row r="61659" spans="3:13" ht="12.75" customHeight="1" x14ac:dyDescent="0.2">
      <c r="C61659"/>
      <c r="M61659"/>
    </row>
    <row r="61660" spans="3:13" ht="12.75" customHeight="1" x14ac:dyDescent="0.2">
      <c r="C61660"/>
      <c r="M61660"/>
    </row>
    <row r="61661" spans="3:13" ht="12.75" customHeight="1" x14ac:dyDescent="0.2">
      <c r="C61661"/>
      <c r="M61661"/>
    </row>
    <row r="61662" spans="3:13" ht="12.75" customHeight="1" x14ac:dyDescent="0.2">
      <c r="C61662"/>
      <c r="M61662"/>
    </row>
    <row r="61663" spans="3:13" ht="12.75" customHeight="1" x14ac:dyDescent="0.2">
      <c r="C61663"/>
      <c r="M61663"/>
    </row>
    <row r="61664" spans="3:13" ht="12.75" customHeight="1" x14ac:dyDescent="0.2">
      <c r="C61664"/>
      <c r="M61664"/>
    </row>
    <row r="61665" spans="3:13" ht="12.75" customHeight="1" x14ac:dyDescent="0.2">
      <c r="C61665"/>
      <c r="M61665"/>
    </row>
    <row r="61666" spans="3:13" ht="12.75" customHeight="1" x14ac:dyDescent="0.2">
      <c r="C61666"/>
      <c r="M61666"/>
    </row>
    <row r="61667" spans="3:13" ht="12.75" customHeight="1" x14ac:dyDescent="0.2">
      <c r="C61667"/>
      <c r="M61667"/>
    </row>
    <row r="61668" spans="3:13" ht="12.75" customHeight="1" x14ac:dyDescent="0.2">
      <c r="C61668"/>
      <c r="M61668"/>
    </row>
    <row r="61669" spans="3:13" ht="12.75" customHeight="1" x14ac:dyDescent="0.2">
      <c r="C61669"/>
      <c r="M61669"/>
    </row>
    <row r="61670" spans="3:13" ht="12.75" customHeight="1" x14ac:dyDescent="0.2">
      <c r="C61670"/>
      <c r="M61670"/>
    </row>
    <row r="61671" spans="3:13" ht="12.75" customHeight="1" x14ac:dyDescent="0.2">
      <c r="C61671"/>
      <c r="M61671"/>
    </row>
    <row r="61672" spans="3:13" ht="12.75" customHeight="1" x14ac:dyDescent="0.2">
      <c r="C61672"/>
      <c r="M61672"/>
    </row>
    <row r="61673" spans="3:13" ht="12.75" customHeight="1" x14ac:dyDescent="0.2">
      <c r="C61673"/>
      <c r="M61673"/>
    </row>
    <row r="61674" spans="3:13" ht="12.75" customHeight="1" x14ac:dyDescent="0.2">
      <c r="C61674"/>
      <c r="M61674"/>
    </row>
    <row r="61675" spans="3:13" ht="12.75" customHeight="1" x14ac:dyDescent="0.2">
      <c r="C61675"/>
      <c r="M61675"/>
    </row>
    <row r="61676" spans="3:13" ht="12.75" customHeight="1" x14ac:dyDescent="0.2">
      <c r="C61676"/>
      <c r="M61676"/>
    </row>
    <row r="61677" spans="3:13" ht="12.75" customHeight="1" x14ac:dyDescent="0.2">
      <c r="C61677"/>
      <c r="M61677"/>
    </row>
    <row r="61678" spans="3:13" ht="12.75" customHeight="1" x14ac:dyDescent="0.2">
      <c r="C61678"/>
      <c r="M61678"/>
    </row>
    <row r="61679" spans="3:13" ht="12.75" customHeight="1" x14ac:dyDescent="0.2">
      <c r="C61679"/>
      <c r="M61679"/>
    </row>
    <row r="61680" spans="3:13" ht="12.75" customHeight="1" x14ac:dyDescent="0.2">
      <c r="C61680"/>
      <c r="M61680"/>
    </row>
    <row r="61681" spans="3:13" ht="12.75" customHeight="1" x14ac:dyDescent="0.2">
      <c r="C61681"/>
      <c r="M61681"/>
    </row>
    <row r="61682" spans="3:13" ht="12.75" customHeight="1" x14ac:dyDescent="0.2">
      <c r="C61682"/>
      <c r="M61682"/>
    </row>
    <row r="61683" spans="3:13" ht="12.75" customHeight="1" x14ac:dyDescent="0.2">
      <c r="C61683"/>
      <c r="M61683"/>
    </row>
    <row r="61684" spans="3:13" ht="12.75" customHeight="1" x14ac:dyDescent="0.2">
      <c r="C61684"/>
      <c r="M61684"/>
    </row>
    <row r="61685" spans="3:13" ht="12.75" customHeight="1" x14ac:dyDescent="0.2">
      <c r="C61685"/>
      <c r="M61685"/>
    </row>
    <row r="61686" spans="3:13" ht="12.75" customHeight="1" x14ac:dyDescent="0.2">
      <c r="C61686"/>
      <c r="M61686"/>
    </row>
    <row r="61687" spans="3:13" ht="12.75" customHeight="1" x14ac:dyDescent="0.2">
      <c r="C61687"/>
      <c r="M61687"/>
    </row>
    <row r="61688" spans="3:13" ht="12.75" customHeight="1" x14ac:dyDescent="0.2">
      <c r="C61688"/>
      <c r="M61688"/>
    </row>
    <row r="61689" spans="3:13" ht="12.75" customHeight="1" x14ac:dyDescent="0.2">
      <c r="C61689"/>
      <c r="M61689"/>
    </row>
    <row r="61690" spans="3:13" ht="12.75" customHeight="1" x14ac:dyDescent="0.2">
      <c r="C61690"/>
      <c r="M61690"/>
    </row>
    <row r="61691" spans="3:13" ht="12.75" customHeight="1" x14ac:dyDescent="0.2">
      <c r="C61691"/>
      <c r="M61691"/>
    </row>
    <row r="61692" spans="3:13" ht="12.75" customHeight="1" x14ac:dyDescent="0.2">
      <c r="C61692"/>
      <c r="M61692"/>
    </row>
    <row r="61693" spans="3:13" ht="12.75" customHeight="1" x14ac:dyDescent="0.2">
      <c r="C61693"/>
      <c r="M61693"/>
    </row>
    <row r="61694" spans="3:13" ht="12.75" customHeight="1" x14ac:dyDescent="0.2">
      <c r="C61694"/>
      <c r="M61694"/>
    </row>
    <row r="61695" spans="3:13" ht="12.75" customHeight="1" x14ac:dyDescent="0.2">
      <c r="C61695"/>
      <c r="M61695"/>
    </row>
    <row r="61696" spans="3:13" ht="12.75" customHeight="1" x14ac:dyDescent="0.2">
      <c r="C61696"/>
      <c r="M61696"/>
    </row>
    <row r="61697" spans="3:13" ht="12.75" customHeight="1" x14ac:dyDescent="0.2">
      <c r="C61697"/>
      <c r="M61697"/>
    </row>
    <row r="61698" spans="3:13" ht="12.75" customHeight="1" x14ac:dyDescent="0.2">
      <c r="C61698"/>
      <c r="M61698"/>
    </row>
    <row r="61699" spans="3:13" ht="12.75" customHeight="1" x14ac:dyDescent="0.2">
      <c r="C61699"/>
      <c r="M61699"/>
    </row>
    <row r="61700" spans="3:13" ht="12.75" customHeight="1" x14ac:dyDescent="0.2">
      <c r="C61700"/>
      <c r="M61700"/>
    </row>
    <row r="61701" spans="3:13" ht="12.75" customHeight="1" x14ac:dyDescent="0.2">
      <c r="C61701"/>
      <c r="M61701"/>
    </row>
    <row r="61702" spans="3:13" ht="12.75" customHeight="1" x14ac:dyDescent="0.2">
      <c r="C61702"/>
      <c r="M61702"/>
    </row>
    <row r="61703" spans="3:13" ht="12.75" customHeight="1" x14ac:dyDescent="0.2">
      <c r="C61703"/>
      <c r="M61703"/>
    </row>
    <row r="61704" spans="3:13" ht="12.75" customHeight="1" x14ac:dyDescent="0.2">
      <c r="C61704"/>
      <c r="M61704"/>
    </row>
    <row r="61705" spans="3:13" ht="12.75" customHeight="1" x14ac:dyDescent="0.2">
      <c r="C61705"/>
      <c r="M61705"/>
    </row>
    <row r="61706" spans="3:13" ht="12.75" customHeight="1" x14ac:dyDescent="0.2">
      <c r="C61706"/>
      <c r="M61706"/>
    </row>
    <row r="61707" spans="3:13" ht="12.75" customHeight="1" x14ac:dyDescent="0.2">
      <c r="C61707"/>
      <c r="M61707"/>
    </row>
    <row r="61708" spans="3:13" ht="12.75" customHeight="1" x14ac:dyDescent="0.2">
      <c r="C61708"/>
      <c r="M61708"/>
    </row>
    <row r="61709" spans="3:13" ht="12.75" customHeight="1" x14ac:dyDescent="0.2">
      <c r="C61709"/>
      <c r="M61709"/>
    </row>
    <row r="61710" spans="3:13" ht="12.75" customHeight="1" x14ac:dyDescent="0.2">
      <c r="C61710"/>
      <c r="M61710"/>
    </row>
    <row r="61711" spans="3:13" ht="12.75" customHeight="1" x14ac:dyDescent="0.2">
      <c r="C61711"/>
      <c r="M61711"/>
    </row>
    <row r="61712" spans="3:13" ht="12.75" customHeight="1" x14ac:dyDescent="0.2">
      <c r="C61712"/>
      <c r="M61712"/>
    </row>
    <row r="61713" spans="3:13" ht="12.75" customHeight="1" x14ac:dyDescent="0.2">
      <c r="C61713"/>
      <c r="M61713"/>
    </row>
    <row r="61714" spans="3:13" ht="12.75" customHeight="1" x14ac:dyDescent="0.2">
      <c r="C61714"/>
      <c r="M61714"/>
    </row>
    <row r="61715" spans="3:13" ht="12.75" customHeight="1" x14ac:dyDescent="0.2">
      <c r="C61715"/>
      <c r="M61715"/>
    </row>
    <row r="61716" spans="3:13" ht="12.75" customHeight="1" x14ac:dyDescent="0.2">
      <c r="C61716"/>
      <c r="M61716"/>
    </row>
    <row r="61717" spans="3:13" ht="12.75" customHeight="1" x14ac:dyDescent="0.2">
      <c r="C61717"/>
      <c r="M61717"/>
    </row>
    <row r="61718" spans="3:13" ht="12.75" customHeight="1" x14ac:dyDescent="0.2">
      <c r="C61718"/>
      <c r="M61718"/>
    </row>
    <row r="61719" spans="3:13" ht="12.75" customHeight="1" x14ac:dyDescent="0.2">
      <c r="C61719"/>
      <c r="M61719"/>
    </row>
    <row r="61720" spans="3:13" ht="12.75" customHeight="1" x14ac:dyDescent="0.2">
      <c r="C61720"/>
      <c r="M61720"/>
    </row>
    <row r="61721" spans="3:13" ht="12.75" customHeight="1" x14ac:dyDescent="0.2">
      <c r="C61721"/>
      <c r="M61721"/>
    </row>
    <row r="61722" spans="3:13" ht="12.75" customHeight="1" x14ac:dyDescent="0.2">
      <c r="C61722"/>
      <c r="M61722"/>
    </row>
    <row r="61723" spans="3:13" ht="12.75" customHeight="1" x14ac:dyDescent="0.2">
      <c r="C61723"/>
      <c r="M61723"/>
    </row>
    <row r="61724" spans="3:13" ht="12.75" customHeight="1" x14ac:dyDescent="0.2">
      <c r="C61724"/>
      <c r="M61724"/>
    </row>
    <row r="61725" spans="3:13" ht="12.75" customHeight="1" x14ac:dyDescent="0.2">
      <c r="C61725"/>
      <c r="M61725"/>
    </row>
    <row r="61726" spans="3:13" ht="12.75" customHeight="1" x14ac:dyDescent="0.2">
      <c r="C61726"/>
      <c r="M61726"/>
    </row>
    <row r="61727" spans="3:13" ht="12.75" customHeight="1" x14ac:dyDescent="0.2">
      <c r="C61727"/>
      <c r="M61727"/>
    </row>
    <row r="61728" spans="3:13" ht="12.75" customHeight="1" x14ac:dyDescent="0.2">
      <c r="C61728"/>
      <c r="M61728"/>
    </row>
    <row r="61729" spans="3:13" ht="12.75" customHeight="1" x14ac:dyDescent="0.2">
      <c r="C61729"/>
      <c r="M61729"/>
    </row>
    <row r="61730" spans="3:13" ht="12.75" customHeight="1" x14ac:dyDescent="0.2">
      <c r="C61730"/>
      <c r="M61730"/>
    </row>
    <row r="61731" spans="3:13" ht="12.75" customHeight="1" x14ac:dyDescent="0.2">
      <c r="C61731"/>
      <c r="M61731"/>
    </row>
    <row r="61732" spans="3:13" ht="12.75" customHeight="1" x14ac:dyDescent="0.2">
      <c r="C61732"/>
      <c r="M61732"/>
    </row>
    <row r="61733" spans="3:13" ht="12.75" customHeight="1" x14ac:dyDescent="0.2">
      <c r="C61733"/>
      <c r="M61733"/>
    </row>
    <row r="61734" spans="3:13" ht="12.75" customHeight="1" x14ac:dyDescent="0.2">
      <c r="C61734"/>
      <c r="M61734"/>
    </row>
    <row r="61735" spans="3:13" ht="12.75" customHeight="1" x14ac:dyDescent="0.2">
      <c r="C61735"/>
      <c r="M61735"/>
    </row>
    <row r="61736" spans="3:13" ht="12.75" customHeight="1" x14ac:dyDescent="0.2">
      <c r="C61736"/>
      <c r="M61736"/>
    </row>
    <row r="61737" spans="3:13" ht="12.75" customHeight="1" x14ac:dyDescent="0.2">
      <c r="C61737"/>
      <c r="M61737"/>
    </row>
    <row r="61738" spans="3:13" ht="12.75" customHeight="1" x14ac:dyDescent="0.2">
      <c r="C61738"/>
      <c r="M61738"/>
    </row>
    <row r="61739" spans="3:13" ht="12.75" customHeight="1" x14ac:dyDescent="0.2">
      <c r="C61739"/>
      <c r="M61739"/>
    </row>
    <row r="61740" spans="3:13" ht="12.75" customHeight="1" x14ac:dyDescent="0.2">
      <c r="C61740"/>
      <c r="M61740"/>
    </row>
    <row r="61741" spans="3:13" ht="12.75" customHeight="1" x14ac:dyDescent="0.2">
      <c r="C61741"/>
      <c r="M61741"/>
    </row>
    <row r="61742" spans="3:13" ht="12.75" customHeight="1" x14ac:dyDescent="0.2">
      <c r="C61742"/>
      <c r="M61742"/>
    </row>
    <row r="61743" spans="3:13" ht="12.75" customHeight="1" x14ac:dyDescent="0.2">
      <c r="C61743"/>
      <c r="M61743"/>
    </row>
    <row r="61744" spans="3:13" ht="12.75" customHeight="1" x14ac:dyDescent="0.2">
      <c r="C61744"/>
      <c r="M61744"/>
    </row>
    <row r="61745" spans="3:13" ht="12.75" customHeight="1" x14ac:dyDescent="0.2">
      <c r="C61745"/>
      <c r="M61745"/>
    </row>
    <row r="61746" spans="3:13" ht="12.75" customHeight="1" x14ac:dyDescent="0.2">
      <c r="C61746"/>
      <c r="M61746"/>
    </row>
    <row r="61747" spans="3:13" ht="12.75" customHeight="1" x14ac:dyDescent="0.2">
      <c r="C61747"/>
      <c r="M61747"/>
    </row>
    <row r="61748" spans="3:13" ht="12.75" customHeight="1" x14ac:dyDescent="0.2">
      <c r="C61748"/>
      <c r="M61748"/>
    </row>
    <row r="61749" spans="3:13" ht="12.75" customHeight="1" x14ac:dyDescent="0.2">
      <c r="C61749"/>
      <c r="M61749"/>
    </row>
    <row r="61750" spans="3:13" ht="12.75" customHeight="1" x14ac:dyDescent="0.2">
      <c r="C61750"/>
      <c r="M61750"/>
    </row>
    <row r="61751" spans="3:13" ht="12.75" customHeight="1" x14ac:dyDescent="0.2">
      <c r="C61751"/>
      <c r="M61751"/>
    </row>
    <row r="61752" spans="3:13" ht="12.75" customHeight="1" x14ac:dyDescent="0.2">
      <c r="C61752"/>
      <c r="M61752"/>
    </row>
    <row r="61753" spans="3:13" ht="12.75" customHeight="1" x14ac:dyDescent="0.2">
      <c r="C61753"/>
      <c r="M61753"/>
    </row>
    <row r="61754" spans="3:13" ht="12.75" customHeight="1" x14ac:dyDescent="0.2">
      <c r="C61754"/>
      <c r="M61754"/>
    </row>
    <row r="61755" spans="3:13" ht="12.75" customHeight="1" x14ac:dyDescent="0.2">
      <c r="C61755"/>
      <c r="M61755"/>
    </row>
    <row r="61756" spans="3:13" ht="12.75" customHeight="1" x14ac:dyDescent="0.2">
      <c r="C61756"/>
      <c r="M61756"/>
    </row>
    <row r="61757" spans="3:13" ht="12.75" customHeight="1" x14ac:dyDescent="0.2">
      <c r="C61757"/>
      <c r="M61757"/>
    </row>
    <row r="61758" spans="3:13" ht="12.75" customHeight="1" x14ac:dyDescent="0.2">
      <c r="C61758"/>
      <c r="M61758"/>
    </row>
    <row r="61759" spans="3:13" ht="12.75" customHeight="1" x14ac:dyDescent="0.2">
      <c r="C61759"/>
      <c r="M61759"/>
    </row>
    <row r="61760" spans="3:13" ht="12.75" customHeight="1" x14ac:dyDescent="0.2">
      <c r="C61760"/>
      <c r="M61760"/>
    </row>
    <row r="61761" spans="3:13" ht="12.75" customHeight="1" x14ac:dyDescent="0.2">
      <c r="C61761"/>
      <c r="M61761"/>
    </row>
    <row r="61762" spans="3:13" ht="12.75" customHeight="1" x14ac:dyDescent="0.2">
      <c r="C61762"/>
      <c r="M61762"/>
    </row>
    <row r="61763" spans="3:13" ht="12.75" customHeight="1" x14ac:dyDescent="0.2">
      <c r="C61763"/>
      <c r="M61763"/>
    </row>
    <row r="61764" spans="3:13" ht="12.75" customHeight="1" x14ac:dyDescent="0.2">
      <c r="C61764"/>
      <c r="M61764"/>
    </row>
    <row r="61765" spans="3:13" ht="12.75" customHeight="1" x14ac:dyDescent="0.2">
      <c r="C61765"/>
      <c r="M61765"/>
    </row>
    <row r="61766" spans="3:13" ht="12.75" customHeight="1" x14ac:dyDescent="0.2">
      <c r="C61766"/>
      <c r="M61766"/>
    </row>
    <row r="61767" spans="3:13" ht="12.75" customHeight="1" x14ac:dyDescent="0.2">
      <c r="C61767"/>
      <c r="M61767"/>
    </row>
    <row r="61768" spans="3:13" ht="12.75" customHeight="1" x14ac:dyDescent="0.2">
      <c r="C61768"/>
      <c r="M61768"/>
    </row>
    <row r="61769" spans="3:13" ht="12.75" customHeight="1" x14ac:dyDescent="0.2">
      <c r="C61769"/>
      <c r="M61769"/>
    </row>
    <row r="61770" spans="3:13" ht="12.75" customHeight="1" x14ac:dyDescent="0.2">
      <c r="C61770"/>
      <c r="M61770"/>
    </row>
    <row r="61771" spans="3:13" ht="12.75" customHeight="1" x14ac:dyDescent="0.2">
      <c r="C61771"/>
      <c r="M61771"/>
    </row>
    <row r="61772" spans="3:13" ht="12.75" customHeight="1" x14ac:dyDescent="0.2">
      <c r="C61772"/>
      <c r="M61772"/>
    </row>
    <row r="61773" spans="3:13" ht="12.75" customHeight="1" x14ac:dyDescent="0.2">
      <c r="C61773"/>
      <c r="M61773"/>
    </row>
    <row r="61774" spans="3:13" ht="12.75" customHeight="1" x14ac:dyDescent="0.2">
      <c r="C61774"/>
      <c r="M61774"/>
    </row>
    <row r="61775" spans="3:13" ht="12.75" customHeight="1" x14ac:dyDescent="0.2">
      <c r="C61775"/>
      <c r="M61775"/>
    </row>
    <row r="61776" spans="3:13" ht="12.75" customHeight="1" x14ac:dyDescent="0.2">
      <c r="C61776"/>
      <c r="M61776"/>
    </row>
    <row r="61777" spans="3:13" ht="12.75" customHeight="1" x14ac:dyDescent="0.2">
      <c r="C61777"/>
      <c r="M61777"/>
    </row>
    <row r="61778" spans="3:13" ht="12.75" customHeight="1" x14ac:dyDescent="0.2">
      <c r="C61778"/>
      <c r="M61778"/>
    </row>
    <row r="61779" spans="3:13" ht="12.75" customHeight="1" x14ac:dyDescent="0.2">
      <c r="C61779"/>
      <c r="M61779"/>
    </row>
    <row r="61780" spans="3:13" ht="12.75" customHeight="1" x14ac:dyDescent="0.2">
      <c r="C61780"/>
      <c r="M61780"/>
    </row>
    <row r="61781" spans="3:13" ht="12.75" customHeight="1" x14ac:dyDescent="0.2">
      <c r="C61781"/>
      <c r="M61781"/>
    </row>
    <row r="61782" spans="3:13" ht="12.75" customHeight="1" x14ac:dyDescent="0.2">
      <c r="C61782"/>
      <c r="M61782"/>
    </row>
    <row r="61783" spans="3:13" ht="12.75" customHeight="1" x14ac:dyDescent="0.2">
      <c r="C61783"/>
      <c r="M61783"/>
    </row>
    <row r="61784" spans="3:13" ht="12.75" customHeight="1" x14ac:dyDescent="0.2">
      <c r="C61784"/>
      <c r="M61784"/>
    </row>
    <row r="61785" spans="3:13" ht="12.75" customHeight="1" x14ac:dyDescent="0.2">
      <c r="C61785"/>
      <c r="M61785"/>
    </row>
    <row r="61786" spans="3:13" ht="12.75" customHeight="1" x14ac:dyDescent="0.2">
      <c r="C61786"/>
      <c r="M61786"/>
    </row>
    <row r="61787" spans="3:13" ht="12.75" customHeight="1" x14ac:dyDescent="0.2">
      <c r="C61787"/>
      <c r="M61787"/>
    </row>
    <row r="61788" spans="3:13" ht="12.75" customHeight="1" x14ac:dyDescent="0.2">
      <c r="C61788"/>
      <c r="M61788"/>
    </row>
    <row r="61789" spans="3:13" ht="12.75" customHeight="1" x14ac:dyDescent="0.2">
      <c r="C61789"/>
      <c r="M61789"/>
    </row>
    <row r="61790" spans="3:13" ht="12.75" customHeight="1" x14ac:dyDescent="0.2">
      <c r="C61790"/>
      <c r="M61790"/>
    </row>
    <row r="61791" spans="3:13" ht="12.75" customHeight="1" x14ac:dyDescent="0.2">
      <c r="C61791"/>
      <c r="M61791"/>
    </row>
    <row r="61792" spans="3:13" ht="12.75" customHeight="1" x14ac:dyDescent="0.2">
      <c r="C61792"/>
      <c r="M61792"/>
    </row>
    <row r="61793" spans="3:13" ht="12.75" customHeight="1" x14ac:dyDescent="0.2">
      <c r="C61793"/>
      <c r="M61793"/>
    </row>
    <row r="61794" spans="3:13" ht="12.75" customHeight="1" x14ac:dyDescent="0.2">
      <c r="C61794"/>
      <c r="M61794"/>
    </row>
    <row r="61795" spans="3:13" ht="12.75" customHeight="1" x14ac:dyDescent="0.2">
      <c r="C61795"/>
      <c r="M61795"/>
    </row>
    <row r="61796" spans="3:13" ht="12.75" customHeight="1" x14ac:dyDescent="0.2">
      <c r="C61796"/>
      <c r="M61796"/>
    </row>
    <row r="61797" spans="3:13" ht="12.75" customHeight="1" x14ac:dyDescent="0.2">
      <c r="C61797"/>
      <c r="M61797"/>
    </row>
    <row r="61798" spans="3:13" ht="12.75" customHeight="1" x14ac:dyDescent="0.2">
      <c r="C61798"/>
      <c r="M61798"/>
    </row>
    <row r="61799" spans="3:13" ht="12.75" customHeight="1" x14ac:dyDescent="0.2">
      <c r="C61799"/>
      <c r="M61799"/>
    </row>
    <row r="61800" spans="3:13" ht="12.75" customHeight="1" x14ac:dyDescent="0.2">
      <c r="C61800"/>
      <c r="M61800"/>
    </row>
    <row r="61801" spans="3:13" ht="12.75" customHeight="1" x14ac:dyDescent="0.2">
      <c r="C61801"/>
      <c r="M61801"/>
    </row>
    <row r="61802" spans="3:13" ht="12.75" customHeight="1" x14ac:dyDescent="0.2">
      <c r="C61802"/>
      <c r="M61802"/>
    </row>
    <row r="61803" spans="3:13" ht="12.75" customHeight="1" x14ac:dyDescent="0.2">
      <c r="C61803"/>
      <c r="M61803"/>
    </row>
    <row r="61804" spans="3:13" ht="12.75" customHeight="1" x14ac:dyDescent="0.2">
      <c r="C61804"/>
      <c r="M61804"/>
    </row>
    <row r="61805" spans="3:13" ht="12.75" customHeight="1" x14ac:dyDescent="0.2">
      <c r="C61805"/>
      <c r="M61805"/>
    </row>
    <row r="61806" spans="3:13" ht="12.75" customHeight="1" x14ac:dyDescent="0.2">
      <c r="C61806"/>
      <c r="M61806"/>
    </row>
    <row r="61807" spans="3:13" ht="12.75" customHeight="1" x14ac:dyDescent="0.2">
      <c r="C61807"/>
      <c r="M61807"/>
    </row>
    <row r="61808" spans="3:13" ht="12.75" customHeight="1" x14ac:dyDescent="0.2">
      <c r="C61808"/>
      <c r="M61808"/>
    </row>
    <row r="61809" spans="3:13" ht="12.75" customHeight="1" x14ac:dyDescent="0.2">
      <c r="C61809"/>
      <c r="M61809"/>
    </row>
    <row r="61810" spans="3:13" ht="12.75" customHeight="1" x14ac:dyDescent="0.2">
      <c r="C61810"/>
      <c r="M61810"/>
    </row>
    <row r="61811" spans="3:13" ht="12.75" customHeight="1" x14ac:dyDescent="0.2">
      <c r="C61811"/>
      <c r="M61811"/>
    </row>
    <row r="61812" spans="3:13" ht="12.75" customHeight="1" x14ac:dyDescent="0.2">
      <c r="C61812"/>
      <c r="M61812"/>
    </row>
    <row r="61813" spans="3:13" ht="12.75" customHeight="1" x14ac:dyDescent="0.2">
      <c r="C61813"/>
      <c r="M61813"/>
    </row>
    <row r="61814" spans="3:13" ht="12.75" customHeight="1" x14ac:dyDescent="0.2">
      <c r="C61814"/>
      <c r="M61814"/>
    </row>
    <row r="61815" spans="3:13" ht="12.75" customHeight="1" x14ac:dyDescent="0.2">
      <c r="C61815"/>
      <c r="M61815"/>
    </row>
    <row r="61816" spans="3:13" ht="12.75" customHeight="1" x14ac:dyDescent="0.2">
      <c r="C61816"/>
      <c r="M61816"/>
    </row>
    <row r="61817" spans="3:13" ht="12.75" customHeight="1" x14ac:dyDescent="0.2">
      <c r="C61817"/>
      <c r="M61817"/>
    </row>
    <row r="61818" spans="3:13" ht="12.75" customHeight="1" x14ac:dyDescent="0.2">
      <c r="C61818"/>
      <c r="M61818"/>
    </row>
    <row r="61819" spans="3:13" ht="12.75" customHeight="1" x14ac:dyDescent="0.2">
      <c r="C61819"/>
      <c r="M61819"/>
    </row>
    <row r="61820" spans="3:13" ht="12.75" customHeight="1" x14ac:dyDescent="0.2">
      <c r="C61820"/>
      <c r="M61820"/>
    </row>
    <row r="61821" spans="3:13" ht="12.75" customHeight="1" x14ac:dyDescent="0.2">
      <c r="C61821"/>
      <c r="M61821"/>
    </row>
    <row r="61822" spans="3:13" ht="12.75" customHeight="1" x14ac:dyDescent="0.2">
      <c r="C61822"/>
      <c r="M61822"/>
    </row>
    <row r="61823" spans="3:13" ht="12.75" customHeight="1" x14ac:dyDescent="0.2">
      <c r="C61823"/>
      <c r="M61823"/>
    </row>
    <row r="61824" spans="3:13" ht="12.75" customHeight="1" x14ac:dyDescent="0.2">
      <c r="C61824"/>
      <c r="M61824"/>
    </row>
    <row r="61825" spans="3:13" ht="12.75" customHeight="1" x14ac:dyDescent="0.2">
      <c r="C61825"/>
      <c r="M61825"/>
    </row>
    <row r="61826" spans="3:13" ht="12.75" customHeight="1" x14ac:dyDescent="0.2">
      <c r="C61826"/>
      <c r="M61826"/>
    </row>
    <row r="61827" spans="3:13" ht="12.75" customHeight="1" x14ac:dyDescent="0.2">
      <c r="C61827"/>
      <c r="M61827"/>
    </row>
    <row r="61828" spans="3:13" ht="12.75" customHeight="1" x14ac:dyDescent="0.2">
      <c r="C61828"/>
      <c r="M61828"/>
    </row>
    <row r="61829" spans="3:13" ht="12.75" customHeight="1" x14ac:dyDescent="0.2">
      <c r="C61829"/>
      <c r="M61829"/>
    </row>
    <row r="61830" spans="3:13" ht="12.75" customHeight="1" x14ac:dyDescent="0.2">
      <c r="C61830"/>
      <c r="M61830"/>
    </row>
    <row r="61831" spans="3:13" ht="12.75" customHeight="1" x14ac:dyDescent="0.2">
      <c r="C61831"/>
      <c r="M61831"/>
    </row>
    <row r="61832" spans="3:13" ht="12.75" customHeight="1" x14ac:dyDescent="0.2">
      <c r="C61832"/>
      <c r="M61832"/>
    </row>
    <row r="61833" spans="3:13" ht="12.75" customHeight="1" x14ac:dyDescent="0.2">
      <c r="C61833"/>
      <c r="M61833"/>
    </row>
    <row r="61834" spans="3:13" ht="12.75" customHeight="1" x14ac:dyDescent="0.2">
      <c r="C61834"/>
      <c r="M61834"/>
    </row>
    <row r="61835" spans="3:13" ht="12.75" customHeight="1" x14ac:dyDescent="0.2">
      <c r="C61835"/>
      <c r="M61835"/>
    </row>
    <row r="61836" spans="3:13" ht="12.75" customHeight="1" x14ac:dyDescent="0.2">
      <c r="C61836"/>
      <c r="M61836"/>
    </row>
    <row r="61837" spans="3:13" ht="12.75" customHeight="1" x14ac:dyDescent="0.2">
      <c r="C61837"/>
      <c r="M61837"/>
    </row>
    <row r="61838" spans="3:13" ht="12.75" customHeight="1" x14ac:dyDescent="0.2">
      <c r="C61838"/>
      <c r="M61838"/>
    </row>
    <row r="61839" spans="3:13" ht="12.75" customHeight="1" x14ac:dyDescent="0.2">
      <c r="C61839"/>
      <c r="M61839"/>
    </row>
    <row r="61840" spans="3:13" ht="12.75" customHeight="1" x14ac:dyDescent="0.2">
      <c r="C61840"/>
      <c r="M61840"/>
    </row>
    <row r="61841" spans="3:13" ht="12.75" customHeight="1" x14ac:dyDescent="0.2">
      <c r="C61841"/>
      <c r="M61841"/>
    </row>
    <row r="61842" spans="3:13" ht="12.75" customHeight="1" x14ac:dyDescent="0.2">
      <c r="C61842"/>
      <c r="M61842"/>
    </row>
    <row r="61843" spans="3:13" ht="12.75" customHeight="1" x14ac:dyDescent="0.2">
      <c r="C61843"/>
      <c r="M61843"/>
    </row>
    <row r="61844" spans="3:13" ht="12.75" customHeight="1" x14ac:dyDescent="0.2">
      <c r="C61844"/>
      <c r="M61844"/>
    </row>
    <row r="61845" spans="3:13" ht="12.75" customHeight="1" x14ac:dyDescent="0.2">
      <c r="C61845"/>
      <c r="M61845"/>
    </row>
    <row r="61846" spans="3:13" ht="12.75" customHeight="1" x14ac:dyDescent="0.2">
      <c r="C61846"/>
      <c r="M61846"/>
    </row>
    <row r="61847" spans="3:13" ht="12.75" customHeight="1" x14ac:dyDescent="0.2">
      <c r="C61847"/>
      <c r="M61847"/>
    </row>
    <row r="61848" spans="3:13" ht="12.75" customHeight="1" x14ac:dyDescent="0.2">
      <c r="C61848"/>
      <c r="M61848"/>
    </row>
    <row r="61849" spans="3:13" ht="12.75" customHeight="1" x14ac:dyDescent="0.2">
      <c r="C61849"/>
      <c r="M61849"/>
    </row>
    <row r="61850" spans="3:13" ht="12.75" customHeight="1" x14ac:dyDescent="0.2">
      <c r="C61850"/>
      <c r="M61850"/>
    </row>
    <row r="61851" spans="3:13" ht="12.75" customHeight="1" x14ac:dyDescent="0.2">
      <c r="C61851"/>
      <c r="M61851"/>
    </row>
    <row r="61852" spans="3:13" ht="12.75" customHeight="1" x14ac:dyDescent="0.2">
      <c r="C61852"/>
      <c r="M61852"/>
    </row>
    <row r="61853" spans="3:13" ht="12.75" customHeight="1" x14ac:dyDescent="0.2">
      <c r="C61853"/>
      <c r="M61853"/>
    </row>
    <row r="61854" spans="3:13" ht="12.75" customHeight="1" x14ac:dyDescent="0.2">
      <c r="C61854"/>
      <c r="M61854"/>
    </row>
    <row r="61855" spans="3:13" ht="12.75" customHeight="1" x14ac:dyDescent="0.2">
      <c r="C61855"/>
      <c r="M61855"/>
    </row>
    <row r="61856" spans="3:13" ht="12.75" customHeight="1" x14ac:dyDescent="0.2">
      <c r="C61856"/>
      <c r="M61856"/>
    </row>
    <row r="61857" spans="3:13" ht="12.75" customHeight="1" x14ac:dyDescent="0.2">
      <c r="C61857"/>
      <c r="M61857"/>
    </row>
    <row r="61858" spans="3:13" ht="12.75" customHeight="1" x14ac:dyDescent="0.2">
      <c r="C61858"/>
      <c r="M61858"/>
    </row>
    <row r="61859" spans="3:13" ht="12.75" customHeight="1" x14ac:dyDescent="0.2">
      <c r="C61859"/>
      <c r="M61859"/>
    </row>
    <row r="61860" spans="3:13" ht="12.75" customHeight="1" x14ac:dyDescent="0.2">
      <c r="C61860"/>
      <c r="M61860"/>
    </row>
    <row r="61861" spans="3:13" ht="12.75" customHeight="1" x14ac:dyDescent="0.2">
      <c r="C61861"/>
      <c r="M61861"/>
    </row>
    <row r="61862" spans="3:13" ht="12.75" customHeight="1" x14ac:dyDescent="0.2">
      <c r="C61862"/>
      <c r="M61862"/>
    </row>
    <row r="61863" spans="3:13" ht="12.75" customHeight="1" x14ac:dyDescent="0.2">
      <c r="C61863"/>
      <c r="M61863"/>
    </row>
    <row r="61864" spans="3:13" ht="12.75" customHeight="1" x14ac:dyDescent="0.2">
      <c r="C61864"/>
      <c r="M61864"/>
    </row>
    <row r="61865" spans="3:13" ht="12.75" customHeight="1" x14ac:dyDescent="0.2">
      <c r="C61865"/>
      <c r="M61865"/>
    </row>
    <row r="61866" spans="3:13" ht="12.75" customHeight="1" x14ac:dyDescent="0.2">
      <c r="C61866"/>
      <c r="M61866"/>
    </row>
    <row r="61867" spans="3:13" ht="12.75" customHeight="1" x14ac:dyDescent="0.2">
      <c r="C61867"/>
      <c r="M61867"/>
    </row>
    <row r="61868" spans="3:13" ht="12.75" customHeight="1" x14ac:dyDescent="0.2">
      <c r="C61868"/>
      <c r="M61868"/>
    </row>
    <row r="61869" spans="3:13" ht="12.75" customHeight="1" x14ac:dyDescent="0.2">
      <c r="C61869"/>
      <c r="M61869"/>
    </row>
    <row r="61870" spans="3:13" ht="12.75" customHeight="1" x14ac:dyDescent="0.2">
      <c r="C61870"/>
      <c r="M61870"/>
    </row>
    <row r="61871" spans="3:13" ht="12.75" customHeight="1" x14ac:dyDescent="0.2">
      <c r="C61871"/>
      <c r="M61871"/>
    </row>
    <row r="61872" spans="3:13" ht="12.75" customHeight="1" x14ac:dyDescent="0.2">
      <c r="C61872"/>
      <c r="M61872"/>
    </row>
    <row r="61873" spans="3:13" ht="12.75" customHeight="1" x14ac:dyDescent="0.2">
      <c r="C61873"/>
      <c r="M61873"/>
    </row>
    <row r="61874" spans="3:13" ht="12.75" customHeight="1" x14ac:dyDescent="0.2">
      <c r="C61874"/>
      <c r="M61874"/>
    </row>
    <row r="61875" spans="3:13" ht="12.75" customHeight="1" x14ac:dyDescent="0.2">
      <c r="C61875"/>
      <c r="M61875"/>
    </row>
    <row r="61876" spans="3:13" ht="12.75" customHeight="1" x14ac:dyDescent="0.2">
      <c r="C61876"/>
      <c r="M61876"/>
    </row>
    <row r="61877" spans="3:13" ht="12.75" customHeight="1" x14ac:dyDescent="0.2">
      <c r="C61877"/>
      <c r="M61877"/>
    </row>
    <row r="61878" spans="3:13" ht="12.75" customHeight="1" x14ac:dyDescent="0.2">
      <c r="C61878"/>
      <c r="M61878"/>
    </row>
    <row r="61879" spans="3:13" ht="12.75" customHeight="1" x14ac:dyDescent="0.2">
      <c r="C61879"/>
      <c r="M61879"/>
    </row>
    <row r="61880" spans="3:13" ht="12.75" customHeight="1" x14ac:dyDescent="0.2">
      <c r="C61880"/>
      <c r="M61880"/>
    </row>
    <row r="61881" spans="3:13" ht="12.75" customHeight="1" x14ac:dyDescent="0.2">
      <c r="C61881"/>
      <c r="M61881"/>
    </row>
    <row r="61882" spans="3:13" ht="12.75" customHeight="1" x14ac:dyDescent="0.2">
      <c r="C61882"/>
      <c r="M61882"/>
    </row>
    <row r="61883" spans="3:13" ht="12.75" customHeight="1" x14ac:dyDescent="0.2">
      <c r="C61883"/>
      <c r="M61883"/>
    </row>
    <row r="61884" spans="3:13" ht="12.75" customHeight="1" x14ac:dyDescent="0.2">
      <c r="C61884"/>
      <c r="M61884"/>
    </row>
    <row r="61885" spans="3:13" ht="12.75" customHeight="1" x14ac:dyDescent="0.2">
      <c r="C61885"/>
      <c r="M61885"/>
    </row>
    <row r="61886" spans="3:13" ht="12.75" customHeight="1" x14ac:dyDescent="0.2">
      <c r="C61886"/>
      <c r="M61886"/>
    </row>
    <row r="61887" spans="3:13" ht="12.75" customHeight="1" x14ac:dyDescent="0.2">
      <c r="C61887"/>
      <c r="M61887"/>
    </row>
    <row r="61888" spans="3:13" ht="12.75" customHeight="1" x14ac:dyDescent="0.2">
      <c r="C61888"/>
      <c r="M61888"/>
    </row>
    <row r="61889" spans="3:13" ht="12.75" customHeight="1" x14ac:dyDescent="0.2">
      <c r="C61889"/>
      <c r="M61889"/>
    </row>
    <row r="61890" spans="3:13" ht="12.75" customHeight="1" x14ac:dyDescent="0.2">
      <c r="C61890"/>
      <c r="M61890"/>
    </row>
    <row r="61891" spans="3:13" ht="12.75" customHeight="1" x14ac:dyDescent="0.2">
      <c r="C61891"/>
      <c r="M61891"/>
    </row>
    <row r="61892" spans="3:13" ht="12.75" customHeight="1" x14ac:dyDescent="0.2">
      <c r="C61892"/>
      <c r="M61892"/>
    </row>
    <row r="61893" spans="3:13" ht="12.75" customHeight="1" x14ac:dyDescent="0.2">
      <c r="C61893"/>
      <c r="M61893"/>
    </row>
    <row r="61894" spans="3:13" ht="12.75" customHeight="1" x14ac:dyDescent="0.2">
      <c r="C61894"/>
      <c r="M61894"/>
    </row>
    <row r="61895" spans="3:13" ht="12.75" customHeight="1" x14ac:dyDescent="0.2">
      <c r="C61895"/>
      <c r="M61895"/>
    </row>
    <row r="61896" spans="3:13" ht="12.75" customHeight="1" x14ac:dyDescent="0.2">
      <c r="C61896"/>
      <c r="M61896"/>
    </row>
    <row r="61897" spans="3:13" ht="12.75" customHeight="1" x14ac:dyDescent="0.2">
      <c r="C61897"/>
      <c r="M61897"/>
    </row>
    <row r="61898" spans="3:13" ht="12.75" customHeight="1" x14ac:dyDescent="0.2">
      <c r="C61898"/>
      <c r="M61898"/>
    </row>
    <row r="61899" spans="3:13" ht="12.75" customHeight="1" x14ac:dyDescent="0.2">
      <c r="C61899"/>
      <c r="M61899"/>
    </row>
    <row r="61900" spans="3:13" ht="12.75" customHeight="1" x14ac:dyDescent="0.2">
      <c r="C61900"/>
      <c r="M61900"/>
    </row>
    <row r="61901" spans="3:13" ht="12.75" customHeight="1" x14ac:dyDescent="0.2">
      <c r="C61901"/>
      <c r="M61901"/>
    </row>
    <row r="61902" spans="3:13" ht="12.75" customHeight="1" x14ac:dyDescent="0.2">
      <c r="C61902"/>
      <c r="M61902"/>
    </row>
    <row r="61903" spans="3:13" ht="12.75" customHeight="1" x14ac:dyDescent="0.2">
      <c r="C61903"/>
      <c r="M61903"/>
    </row>
    <row r="61904" spans="3:13" ht="12.75" customHeight="1" x14ac:dyDescent="0.2">
      <c r="C61904"/>
      <c r="M61904"/>
    </row>
    <row r="61905" spans="3:13" ht="12.75" customHeight="1" x14ac:dyDescent="0.2">
      <c r="C61905"/>
      <c r="M61905"/>
    </row>
    <row r="61906" spans="3:13" ht="12.75" customHeight="1" x14ac:dyDescent="0.2">
      <c r="C61906"/>
      <c r="M61906"/>
    </row>
    <row r="61907" spans="3:13" ht="12.75" customHeight="1" x14ac:dyDescent="0.2">
      <c r="C61907"/>
      <c r="M61907"/>
    </row>
    <row r="61908" spans="3:13" ht="12.75" customHeight="1" x14ac:dyDescent="0.2">
      <c r="C61908"/>
      <c r="M61908"/>
    </row>
    <row r="61909" spans="3:13" ht="12.75" customHeight="1" x14ac:dyDescent="0.2">
      <c r="C61909"/>
      <c r="M61909"/>
    </row>
    <row r="61910" spans="3:13" ht="12.75" customHeight="1" x14ac:dyDescent="0.2">
      <c r="C61910"/>
      <c r="M61910"/>
    </row>
    <row r="61911" spans="3:13" ht="12.75" customHeight="1" x14ac:dyDescent="0.2">
      <c r="C61911"/>
      <c r="M61911"/>
    </row>
    <row r="61912" spans="3:13" ht="12.75" customHeight="1" x14ac:dyDescent="0.2">
      <c r="C61912"/>
      <c r="M61912"/>
    </row>
    <row r="61913" spans="3:13" ht="12.75" customHeight="1" x14ac:dyDescent="0.2">
      <c r="C61913"/>
      <c r="M61913"/>
    </row>
    <row r="61914" spans="3:13" ht="12.75" customHeight="1" x14ac:dyDescent="0.2">
      <c r="C61914"/>
      <c r="M61914"/>
    </row>
    <row r="61915" spans="3:13" ht="12.75" customHeight="1" x14ac:dyDescent="0.2">
      <c r="C61915"/>
      <c r="M61915"/>
    </row>
    <row r="61916" spans="3:13" ht="12.75" customHeight="1" x14ac:dyDescent="0.2">
      <c r="C61916"/>
      <c r="M61916"/>
    </row>
    <row r="61917" spans="3:13" ht="12.75" customHeight="1" x14ac:dyDescent="0.2">
      <c r="C61917"/>
      <c r="M61917"/>
    </row>
    <row r="61918" spans="3:13" ht="12.75" customHeight="1" x14ac:dyDescent="0.2">
      <c r="C61918"/>
      <c r="M61918"/>
    </row>
    <row r="61919" spans="3:13" ht="12.75" customHeight="1" x14ac:dyDescent="0.2">
      <c r="C61919"/>
      <c r="M61919"/>
    </row>
    <row r="61920" spans="3:13" ht="12.75" customHeight="1" x14ac:dyDescent="0.2">
      <c r="C61920"/>
      <c r="M61920"/>
    </row>
    <row r="61921" spans="3:13" ht="12.75" customHeight="1" x14ac:dyDescent="0.2">
      <c r="C61921"/>
      <c r="M61921"/>
    </row>
    <row r="61922" spans="3:13" ht="12.75" customHeight="1" x14ac:dyDescent="0.2">
      <c r="C61922"/>
      <c r="M61922"/>
    </row>
    <row r="61923" spans="3:13" ht="12.75" customHeight="1" x14ac:dyDescent="0.2">
      <c r="C61923"/>
      <c r="M61923"/>
    </row>
    <row r="61924" spans="3:13" ht="12.75" customHeight="1" x14ac:dyDescent="0.2">
      <c r="C61924"/>
      <c r="M61924"/>
    </row>
    <row r="61925" spans="3:13" ht="12.75" customHeight="1" x14ac:dyDescent="0.2">
      <c r="C61925"/>
      <c r="M61925"/>
    </row>
    <row r="61926" spans="3:13" ht="12.75" customHeight="1" x14ac:dyDescent="0.2">
      <c r="C61926"/>
      <c r="M61926"/>
    </row>
    <row r="61927" spans="3:13" ht="12.75" customHeight="1" x14ac:dyDescent="0.2">
      <c r="C61927"/>
      <c r="M61927"/>
    </row>
    <row r="61928" spans="3:13" ht="12.75" customHeight="1" x14ac:dyDescent="0.2">
      <c r="C61928"/>
      <c r="M61928"/>
    </row>
    <row r="61929" spans="3:13" ht="12.75" customHeight="1" x14ac:dyDescent="0.2">
      <c r="C61929"/>
      <c r="M61929"/>
    </row>
    <row r="61930" spans="3:13" ht="12.75" customHeight="1" x14ac:dyDescent="0.2">
      <c r="C61930"/>
      <c r="M61930"/>
    </row>
    <row r="61931" spans="3:13" ht="12.75" customHeight="1" x14ac:dyDescent="0.2">
      <c r="C61931"/>
      <c r="M61931"/>
    </row>
    <row r="61932" spans="3:13" ht="12.75" customHeight="1" x14ac:dyDescent="0.2">
      <c r="C61932"/>
      <c r="M61932"/>
    </row>
    <row r="61933" spans="3:13" ht="12.75" customHeight="1" x14ac:dyDescent="0.2">
      <c r="C61933"/>
      <c r="M61933"/>
    </row>
    <row r="61934" spans="3:13" ht="12.75" customHeight="1" x14ac:dyDescent="0.2">
      <c r="C61934"/>
      <c r="M61934"/>
    </row>
    <row r="61935" spans="3:13" ht="12.75" customHeight="1" x14ac:dyDescent="0.2">
      <c r="C61935"/>
      <c r="M61935"/>
    </row>
    <row r="61936" spans="3:13" ht="12.75" customHeight="1" x14ac:dyDescent="0.2">
      <c r="C61936"/>
      <c r="M61936"/>
    </row>
    <row r="61937" spans="3:13" ht="12.75" customHeight="1" x14ac:dyDescent="0.2">
      <c r="C61937"/>
      <c r="M61937"/>
    </row>
    <row r="61938" spans="3:13" ht="12.75" customHeight="1" x14ac:dyDescent="0.2">
      <c r="C61938"/>
      <c r="M61938"/>
    </row>
    <row r="61939" spans="3:13" ht="12.75" customHeight="1" x14ac:dyDescent="0.2">
      <c r="C61939"/>
      <c r="M61939"/>
    </row>
    <row r="61940" spans="3:13" ht="12.75" customHeight="1" x14ac:dyDescent="0.2">
      <c r="C61940"/>
      <c r="M61940"/>
    </row>
    <row r="61941" spans="3:13" ht="12.75" customHeight="1" x14ac:dyDescent="0.2">
      <c r="C61941"/>
      <c r="M61941"/>
    </row>
    <row r="61942" spans="3:13" ht="12.75" customHeight="1" x14ac:dyDescent="0.2">
      <c r="C61942"/>
      <c r="M61942"/>
    </row>
    <row r="61943" spans="3:13" ht="12.75" customHeight="1" x14ac:dyDescent="0.2">
      <c r="C61943"/>
      <c r="M61943"/>
    </row>
    <row r="61944" spans="3:13" ht="12.75" customHeight="1" x14ac:dyDescent="0.2">
      <c r="C61944"/>
      <c r="M61944"/>
    </row>
    <row r="61945" spans="3:13" ht="12.75" customHeight="1" x14ac:dyDescent="0.2">
      <c r="C61945"/>
      <c r="M61945"/>
    </row>
    <row r="61946" spans="3:13" ht="12.75" customHeight="1" x14ac:dyDescent="0.2">
      <c r="C61946"/>
      <c r="M61946"/>
    </row>
    <row r="61947" spans="3:13" ht="12.75" customHeight="1" x14ac:dyDescent="0.2">
      <c r="C61947"/>
      <c r="M61947"/>
    </row>
    <row r="61948" spans="3:13" ht="12.75" customHeight="1" x14ac:dyDescent="0.2">
      <c r="C61948"/>
      <c r="M61948"/>
    </row>
    <row r="61949" spans="3:13" ht="12.75" customHeight="1" x14ac:dyDescent="0.2">
      <c r="C61949"/>
      <c r="M61949"/>
    </row>
    <row r="61950" spans="3:13" ht="12.75" customHeight="1" x14ac:dyDescent="0.2">
      <c r="C61950"/>
      <c r="M61950"/>
    </row>
    <row r="61951" spans="3:13" ht="12.75" customHeight="1" x14ac:dyDescent="0.2">
      <c r="C61951"/>
      <c r="M61951"/>
    </row>
    <row r="61952" spans="3:13" ht="12.75" customHeight="1" x14ac:dyDescent="0.2">
      <c r="C61952"/>
      <c r="M61952"/>
    </row>
    <row r="61953" spans="3:13" ht="12.75" customHeight="1" x14ac:dyDescent="0.2">
      <c r="C61953"/>
      <c r="M61953"/>
    </row>
    <row r="61954" spans="3:13" ht="12.75" customHeight="1" x14ac:dyDescent="0.2">
      <c r="C61954"/>
      <c r="M61954"/>
    </row>
    <row r="61955" spans="3:13" ht="12.75" customHeight="1" x14ac:dyDescent="0.2">
      <c r="C61955"/>
      <c r="M61955"/>
    </row>
    <row r="61956" spans="3:13" ht="12.75" customHeight="1" x14ac:dyDescent="0.2">
      <c r="C61956"/>
      <c r="M61956"/>
    </row>
    <row r="61957" spans="3:13" ht="12.75" customHeight="1" x14ac:dyDescent="0.2">
      <c r="C61957"/>
      <c r="M61957"/>
    </row>
    <row r="61958" spans="3:13" ht="12.75" customHeight="1" x14ac:dyDescent="0.2">
      <c r="C61958"/>
      <c r="M61958"/>
    </row>
    <row r="61959" spans="3:13" ht="12.75" customHeight="1" x14ac:dyDescent="0.2">
      <c r="C61959"/>
      <c r="M61959"/>
    </row>
    <row r="61960" spans="3:13" ht="12.75" customHeight="1" x14ac:dyDescent="0.2">
      <c r="C61960"/>
      <c r="M61960"/>
    </row>
    <row r="61961" spans="3:13" ht="12.75" customHeight="1" x14ac:dyDescent="0.2">
      <c r="C61961"/>
      <c r="M61961"/>
    </row>
    <row r="61962" spans="3:13" ht="12.75" customHeight="1" x14ac:dyDescent="0.2">
      <c r="C61962"/>
      <c r="M61962"/>
    </row>
    <row r="61963" spans="3:13" ht="12.75" customHeight="1" x14ac:dyDescent="0.2">
      <c r="C61963"/>
      <c r="M61963"/>
    </row>
    <row r="61964" spans="3:13" ht="12.75" customHeight="1" x14ac:dyDescent="0.2">
      <c r="C61964"/>
      <c r="M61964"/>
    </row>
    <row r="61965" spans="3:13" ht="12.75" customHeight="1" x14ac:dyDescent="0.2">
      <c r="C61965"/>
      <c r="M61965"/>
    </row>
    <row r="61966" spans="3:13" ht="12.75" customHeight="1" x14ac:dyDescent="0.2">
      <c r="C61966"/>
      <c r="M61966"/>
    </row>
    <row r="61967" spans="3:13" ht="12.75" customHeight="1" x14ac:dyDescent="0.2">
      <c r="C61967"/>
      <c r="M61967"/>
    </row>
    <row r="61968" spans="3:13" ht="12.75" customHeight="1" x14ac:dyDescent="0.2">
      <c r="C61968"/>
      <c r="M61968"/>
    </row>
    <row r="61969" spans="3:13" ht="12.75" customHeight="1" x14ac:dyDescent="0.2">
      <c r="C61969"/>
      <c r="M61969"/>
    </row>
    <row r="61970" spans="3:13" ht="12.75" customHeight="1" x14ac:dyDescent="0.2">
      <c r="C61970"/>
      <c r="M61970"/>
    </row>
    <row r="61971" spans="3:13" ht="12.75" customHeight="1" x14ac:dyDescent="0.2">
      <c r="C61971"/>
      <c r="M61971"/>
    </row>
    <row r="61972" spans="3:13" ht="12.75" customHeight="1" x14ac:dyDescent="0.2">
      <c r="C61972"/>
      <c r="M61972"/>
    </row>
    <row r="61973" spans="3:13" ht="12.75" customHeight="1" x14ac:dyDescent="0.2">
      <c r="C61973"/>
      <c r="M61973"/>
    </row>
    <row r="61974" spans="3:13" ht="12.75" customHeight="1" x14ac:dyDescent="0.2">
      <c r="C61974"/>
      <c r="M61974"/>
    </row>
    <row r="61975" spans="3:13" ht="12.75" customHeight="1" x14ac:dyDescent="0.2">
      <c r="C61975"/>
      <c r="M61975"/>
    </row>
    <row r="61976" spans="3:13" ht="12.75" customHeight="1" x14ac:dyDescent="0.2">
      <c r="C61976"/>
      <c r="M61976"/>
    </row>
    <row r="61977" spans="3:13" ht="12.75" customHeight="1" x14ac:dyDescent="0.2">
      <c r="C61977"/>
      <c r="M61977"/>
    </row>
    <row r="61978" spans="3:13" ht="12.75" customHeight="1" x14ac:dyDescent="0.2">
      <c r="C61978"/>
      <c r="M61978"/>
    </row>
    <row r="61979" spans="3:13" ht="12.75" customHeight="1" x14ac:dyDescent="0.2">
      <c r="C61979"/>
      <c r="M61979"/>
    </row>
    <row r="61980" spans="3:13" ht="12.75" customHeight="1" x14ac:dyDescent="0.2">
      <c r="C61980"/>
      <c r="M61980"/>
    </row>
    <row r="61981" spans="3:13" ht="12.75" customHeight="1" x14ac:dyDescent="0.2">
      <c r="C61981"/>
      <c r="M61981"/>
    </row>
    <row r="61982" spans="3:13" ht="12.75" customHeight="1" x14ac:dyDescent="0.2">
      <c r="C61982"/>
      <c r="M61982"/>
    </row>
    <row r="61983" spans="3:13" ht="12.75" customHeight="1" x14ac:dyDescent="0.2">
      <c r="C61983"/>
      <c r="M61983"/>
    </row>
    <row r="61984" spans="3:13" ht="12.75" customHeight="1" x14ac:dyDescent="0.2">
      <c r="C61984"/>
      <c r="M61984"/>
    </row>
    <row r="61985" spans="3:13" ht="12.75" customHeight="1" x14ac:dyDescent="0.2">
      <c r="C61985"/>
      <c r="M61985"/>
    </row>
    <row r="61986" spans="3:13" ht="12.75" customHeight="1" x14ac:dyDescent="0.2">
      <c r="C61986"/>
      <c r="M61986"/>
    </row>
    <row r="61987" spans="3:13" ht="12.75" customHeight="1" x14ac:dyDescent="0.2">
      <c r="C61987"/>
      <c r="M61987"/>
    </row>
    <row r="61988" spans="3:13" ht="12.75" customHeight="1" x14ac:dyDescent="0.2">
      <c r="C61988"/>
      <c r="M61988"/>
    </row>
    <row r="61989" spans="3:13" ht="12.75" customHeight="1" x14ac:dyDescent="0.2">
      <c r="C61989"/>
      <c r="M61989"/>
    </row>
    <row r="61990" spans="3:13" ht="12.75" customHeight="1" x14ac:dyDescent="0.2">
      <c r="C61990"/>
      <c r="M61990"/>
    </row>
    <row r="61991" spans="3:13" ht="12.75" customHeight="1" x14ac:dyDescent="0.2">
      <c r="C61991"/>
      <c r="M61991"/>
    </row>
    <row r="61992" spans="3:13" ht="12.75" customHeight="1" x14ac:dyDescent="0.2">
      <c r="C61992"/>
      <c r="M61992"/>
    </row>
    <row r="61993" spans="3:13" ht="12.75" customHeight="1" x14ac:dyDescent="0.2">
      <c r="C61993"/>
      <c r="M61993"/>
    </row>
    <row r="61994" spans="3:13" ht="12.75" customHeight="1" x14ac:dyDescent="0.2">
      <c r="C61994"/>
      <c r="M61994"/>
    </row>
    <row r="61995" spans="3:13" ht="12.75" customHeight="1" x14ac:dyDescent="0.2">
      <c r="C61995"/>
      <c r="M61995"/>
    </row>
    <row r="61996" spans="3:13" ht="12.75" customHeight="1" x14ac:dyDescent="0.2">
      <c r="C61996"/>
      <c r="M61996"/>
    </row>
    <row r="61997" spans="3:13" ht="12.75" customHeight="1" x14ac:dyDescent="0.2">
      <c r="C61997"/>
      <c r="M61997"/>
    </row>
    <row r="61998" spans="3:13" ht="12.75" customHeight="1" x14ac:dyDescent="0.2">
      <c r="C61998"/>
      <c r="M61998"/>
    </row>
    <row r="61999" spans="3:13" ht="12.75" customHeight="1" x14ac:dyDescent="0.2">
      <c r="C61999"/>
      <c r="M61999"/>
    </row>
    <row r="62000" spans="3:13" ht="12.75" customHeight="1" x14ac:dyDescent="0.2">
      <c r="C62000"/>
      <c r="M62000"/>
    </row>
    <row r="62001" spans="3:13" ht="12.75" customHeight="1" x14ac:dyDescent="0.2">
      <c r="C62001"/>
      <c r="M62001"/>
    </row>
    <row r="62002" spans="3:13" ht="12.75" customHeight="1" x14ac:dyDescent="0.2">
      <c r="C62002"/>
      <c r="M62002"/>
    </row>
    <row r="62003" spans="3:13" ht="12.75" customHeight="1" x14ac:dyDescent="0.2">
      <c r="C62003"/>
      <c r="M62003"/>
    </row>
    <row r="62004" spans="3:13" ht="12.75" customHeight="1" x14ac:dyDescent="0.2">
      <c r="C62004"/>
      <c r="M62004"/>
    </row>
    <row r="62005" spans="3:13" ht="12.75" customHeight="1" x14ac:dyDescent="0.2">
      <c r="C62005"/>
      <c r="M62005"/>
    </row>
    <row r="62006" spans="3:13" ht="12.75" customHeight="1" x14ac:dyDescent="0.2">
      <c r="C62006"/>
      <c r="M62006"/>
    </row>
    <row r="62007" spans="3:13" ht="12.75" customHeight="1" x14ac:dyDescent="0.2">
      <c r="C62007"/>
      <c r="M62007"/>
    </row>
    <row r="62008" spans="3:13" ht="12.75" customHeight="1" x14ac:dyDescent="0.2">
      <c r="C62008"/>
      <c r="M62008"/>
    </row>
    <row r="62009" spans="3:13" ht="12.75" customHeight="1" x14ac:dyDescent="0.2">
      <c r="C62009"/>
      <c r="M62009"/>
    </row>
    <row r="62010" spans="3:13" ht="12.75" customHeight="1" x14ac:dyDescent="0.2">
      <c r="C62010"/>
      <c r="M62010"/>
    </row>
    <row r="62011" spans="3:13" ht="12.75" customHeight="1" x14ac:dyDescent="0.2">
      <c r="C62011"/>
      <c r="M62011"/>
    </row>
    <row r="62012" spans="3:13" ht="12.75" customHeight="1" x14ac:dyDescent="0.2">
      <c r="C62012"/>
      <c r="M62012"/>
    </row>
    <row r="62013" spans="3:13" ht="12.75" customHeight="1" x14ac:dyDescent="0.2">
      <c r="C62013"/>
      <c r="M62013"/>
    </row>
    <row r="62014" spans="3:13" ht="12.75" customHeight="1" x14ac:dyDescent="0.2">
      <c r="C62014"/>
      <c r="M62014"/>
    </row>
    <row r="62015" spans="3:13" ht="12.75" customHeight="1" x14ac:dyDescent="0.2">
      <c r="C62015"/>
      <c r="M62015"/>
    </row>
    <row r="62016" spans="3:13" ht="12.75" customHeight="1" x14ac:dyDescent="0.2">
      <c r="C62016"/>
      <c r="M62016"/>
    </row>
    <row r="62017" spans="3:13" ht="12.75" customHeight="1" x14ac:dyDescent="0.2">
      <c r="C62017"/>
      <c r="M62017"/>
    </row>
    <row r="62018" spans="3:13" ht="12.75" customHeight="1" x14ac:dyDescent="0.2">
      <c r="C62018"/>
      <c r="M62018"/>
    </row>
    <row r="62019" spans="3:13" ht="12.75" customHeight="1" x14ac:dyDescent="0.2">
      <c r="C62019"/>
      <c r="M62019"/>
    </row>
    <row r="62020" spans="3:13" ht="12.75" customHeight="1" x14ac:dyDescent="0.2">
      <c r="C62020"/>
      <c r="M62020"/>
    </row>
    <row r="62021" spans="3:13" ht="12.75" customHeight="1" x14ac:dyDescent="0.2">
      <c r="C62021"/>
      <c r="M62021"/>
    </row>
    <row r="62022" spans="3:13" ht="12.75" customHeight="1" x14ac:dyDescent="0.2">
      <c r="C62022"/>
      <c r="M62022"/>
    </row>
    <row r="62023" spans="3:13" ht="12.75" customHeight="1" x14ac:dyDescent="0.2">
      <c r="C62023"/>
      <c r="M62023"/>
    </row>
    <row r="62024" spans="3:13" ht="12.75" customHeight="1" x14ac:dyDescent="0.2">
      <c r="C62024"/>
      <c r="M62024"/>
    </row>
    <row r="62025" spans="3:13" ht="12.75" customHeight="1" x14ac:dyDescent="0.2">
      <c r="C62025"/>
      <c r="M62025"/>
    </row>
    <row r="62026" spans="3:13" ht="12.75" customHeight="1" x14ac:dyDescent="0.2">
      <c r="C62026"/>
      <c r="M62026"/>
    </row>
    <row r="62027" spans="3:13" ht="12.75" customHeight="1" x14ac:dyDescent="0.2">
      <c r="C62027"/>
      <c r="M62027"/>
    </row>
    <row r="62028" spans="3:13" ht="12.75" customHeight="1" x14ac:dyDescent="0.2">
      <c r="C62028"/>
      <c r="M62028"/>
    </row>
    <row r="62029" spans="3:13" ht="12.75" customHeight="1" x14ac:dyDescent="0.2">
      <c r="C62029"/>
      <c r="M62029"/>
    </row>
    <row r="62030" spans="3:13" ht="12.75" customHeight="1" x14ac:dyDescent="0.2">
      <c r="C62030"/>
      <c r="M62030"/>
    </row>
    <row r="62031" spans="3:13" ht="12.75" customHeight="1" x14ac:dyDescent="0.2">
      <c r="C62031"/>
      <c r="M62031"/>
    </row>
    <row r="62032" spans="3:13" ht="12.75" customHeight="1" x14ac:dyDescent="0.2">
      <c r="C62032"/>
      <c r="M62032"/>
    </row>
    <row r="62033" spans="3:13" ht="12.75" customHeight="1" x14ac:dyDescent="0.2">
      <c r="C62033"/>
      <c r="M62033"/>
    </row>
    <row r="62034" spans="3:13" ht="12.75" customHeight="1" x14ac:dyDescent="0.2">
      <c r="C62034"/>
      <c r="M62034"/>
    </row>
    <row r="62035" spans="3:13" ht="12.75" customHeight="1" x14ac:dyDescent="0.2">
      <c r="C62035"/>
      <c r="M62035"/>
    </row>
    <row r="62036" spans="3:13" ht="12.75" customHeight="1" x14ac:dyDescent="0.2">
      <c r="C62036"/>
      <c r="M62036"/>
    </row>
    <row r="62037" spans="3:13" ht="12.75" customHeight="1" x14ac:dyDescent="0.2">
      <c r="C62037"/>
      <c r="M62037"/>
    </row>
    <row r="62038" spans="3:13" ht="12.75" customHeight="1" x14ac:dyDescent="0.2">
      <c r="C62038"/>
      <c r="M62038"/>
    </row>
    <row r="62039" spans="3:13" ht="12.75" customHeight="1" x14ac:dyDescent="0.2">
      <c r="C62039"/>
      <c r="M62039"/>
    </row>
    <row r="62040" spans="3:13" ht="12.75" customHeight="1" x14ac:dyDescent="0.2">
      <c r="C62040"/>
      <c r="M62040"/>
    </row>
    <row r="62041" spans="3:13" ht="12.75" customHeight="1" x14ac:dyDescent="0.2">
      <c r="C62041"/>
      <c r="M62041"/>
    </row>
    <row r="62042" spans="3:13" ht="12.75" customHeight="1" x14ac:dyDescent="0.2">
      <c r="C62042"/>
      <c r="M62042"/>
    </row>
    <row r="62043" spans="3:13" ht="12.75" customHeight="1" x14ac:dyDescent="0.2">
      <c r="C62043"/>
      <c r="M62043"/>
    </row>
    <row r="62044" spans="3:13" ht="12.75" customHeight="1" x14ac:dyDescent="0.2">
      <c r="C62044"/>
      <c r="M62044"/>
    </row>
    <row r="62045" spans="3:13" ht="12.75" customHeight="1" x14ac:dyDescent="0.2">
      <c r="C62045"/>
      <c r="M62045"/>
    </row>
    <row r="62046" spans="3:13" ht="12.75" customHeight="1" x14ac:dyDescent="0.2">
      <c r="C62046"/>
      <c r="M62046"/>
    </row>
    <row r="62047" spans="3:13" ht="12.75" customHeight="1" x14ac:dyDescent="0.2">
      <c r="C62047"/>
      <c r="M62047"/>
    </row>
    <row r="62048" spans="3:13" ht="12.75" customHeight="1" x14ac:dyDescent="0.2">
      <c r="C62048"/>
      <c r="M62048"/>
    </row>
    <row r="62049" spans="3:13" ht="12.75" customHeight="1" x14ac:dyDescent="0.2">
      <c r="C62049"/>
      <c r="M62049"/>
    </row>
    <row r="62050" spans="3:13" ht="12.75" customHeight="1" x14ac:dyDescent="0.2">
      <c r="C62050"/>
      <c r="M62050"/>
    </row>
    <row r="62051" spans="3:13" ht="12.75" customHeight="1" x14ac:dyDescent="0.2">
      <c r="C62051"/>
      <c r="M62051"/>
    </row>
    <row r="62052" spans="3:13" ht="12.75" customHeight="1" x14ac:dyDescent="0.2">
      <c r="C62052"/>
      <c r="M62052"/>
    </row>
    <row r="62053" spans="3:13" ht="12.75" customHeight="1" x14ac:dyDescent="0.2">
      <c r="C62053"/>
      <c r="M62053"/>
    </row>
    <row r="62054" spans="3:13" ht="12.75" customHeight="1" x14ac:dyDescent="0.2">
      <c r="C62054"/>
      <c r="M62054"/>
    </row>
    <row r="62055" spans="3:13" ht="12.75" customHeight="1" x14ac:dyDescent="0.2">
      <c r="C62055"/>
      <c r="M62055"/>
    </row>
    <row r="62056" spans="3:13" ht="12.75" customHeight="1" x14ac:dyDescent="0.2">
      <c r="C62056"/>
      <c r="M62056"/>
    </row>
    <row r="62057" spans="3:13" ht="12.75" customHeight="1" x14ac:dyDescent="0.2">
      <c r="C62057"/>
      <c r="M62057"/>
    </row>
    <row r="62058" spans="3:13" ht="12.75" customHeight="1" x14ac:dyDescent="0.2">
      <c r="C62058"/>
      <c r="M62058"/>
    </row>
    <row r="62059" spans="3:13" ht="12.75" customHeight="1" x14ac:dyDescent="0.2">
      <c r="C62059"/>
      <c r="M62059"/>
    </row>
    <row r="62060" spans="3:13" ht="12.75" customHeight="1" x14ac:dyDescent="0.2">
      <c r="C62060"/>
      <c r="M62060"/>
    </row>
    <row r="62061" spans="3:13" ht="12.75" customHeight="1" x14ac:dyDescent="0.2">
      <c r="C62061"/>
      <c r="M62061"/>
    </row>
    <row r="62062" spans="3:13" ht="12.75" customHeight="1" x14ac:dyDescent="0.2">
      <c r="C62062"/>
      <c r="M62062"/>
    </row>
    <row r="62063" spans="3:13" ht="12.75" customHeight="1" x14ac:dyDescent="0.2">
      <c r="C62063"/>
      <c r="M62063"/>
    </row>
    <row r="62064" spans="3:13" ht="12.75" customHeight="1" x14ac:dyDescent="0.2">
      <c r="C62064"/>
      <c r="M62064"/>
    </row>
    <row r="62065" spans="3:13" ht="12.75" customHeight="1" x14ac:dyDescent="0.2">
      <c r="C62065"/>
      <c r="M62065"/>
    </row>
    <row r="62066" spans="3:13" ht="12.75" customHeight="1" x14ac:dyDescent="0.2">
      <c r="C62066"/>
      <c r="M62066"/>
    </row>
    <row r="62067" spans="3:13" ht="12.75" customHeight="1" x14ac:dyDescent="0.2">
      <c r="C62067"/>
      <c r="M62067"/>
    </row>
    <row r="62068" spans="3:13" ht="12.75" customHeight="1" x14ac:dyDescent="0.2">
      <c r="C62068"/>
      <c r="M62068"/>
    </row>
    <row r="62069" spans="3:13" ht="12.75" customHeight="1" x14ac:dyDescent="0.2">
      <c r="C62069"/>
      <c r="M62069"/>
    </row>
    <row r="62070" spans="3:13" ht="12.75" customHeight="1" x14ac:dyDescent="0.2">
      <c r="C62070"/>
      <c r="M62070"/>
    </row>
    <row r="62071" spans="3:13" ht="12.75" customHeight="1" x14ac:dyDescent="0.2">
      <c r="C62071"/>
      <c r="M62071"/>
    </row>
    <row r="62072" spans="3:13" ht="12.75" customHeight="1" x14ac:dyDescent="0.2">
      <c r="C62072"/>
      <c r="M62072"/>
    </row>
    <row r="62073" spans="3:13" ht="12.75" customHeight="1" x14ac:dyDescent="0.2">
      <c r="C62073"/>
      <c r="M62073"/>
    </row>
    <row r="62074" spans="3:13" ht="12.75" customHeight="1" x14ac:dyDescent="0.2">
      <c r="C62074"/>
      <c r="M62074"/>
    </row>
    <row r="62075" spans="3:13" ht="12.75" customHeight="1" x14ac:dyDescent="0.2">
      <c r="C62075"/>
      <c r="M62075"/>
    </row>
    <row r="62076" spans="3:13" ht="12.75" customHeight="1" x14ac:dyDescent="0.2">
      <c r="C62076"/>
      <c r="M62076"/>
    </row>
    <row r="62077" spans="3:13" ht="12.75" customHeight="1" x14ac:dyDescent="0.2">
      <c r="C62077"/>
      <c r="M62077"/>
    </row>
    <row r="62078" spans="3:13" ht="12.75" customHeight="1" x14ac:dyDescent="0.2">
      <c r="C62078"/>
      <c r="M62078"/>
    </row>
    <row r="62079" spans="3:13" ht="12.75" customHeight="1" x14ac:dyDescent="0.2">
      <c r="C62079"/>
      <c r="M62079"/>
    </row>
    <row r="62080" spans="3:13" ht="12.75" customHeight="1" x14ac:dyDescent="0.2">
      <c r="C62080"/>
      <c r="M62080"/>
    </row>
    <row r="62081" spans="3:13" ht="12.75" customHeight="1" x14ac:dyDescent="0.2">
      <c r="C62081"/>
      <c r="M62081"/>
    </row>
    <row r="62082" spans="3:13" ht="12.75" customHeight="1" x14ac:dyDescent="0.2">
      <c r="C62082"/>
      <c r="M62082"/>
    </row>
    <row r="62083" spans="3:13" ht="12.75" customHeight="1" x14ac:dyDescent="0.2">
      <c r="C62083"/>
      <c r="M62083"/>
    </row>
    <row r="62084" spans="3:13" ht="12.75" customHeight="1" x14ac:dyDescent="0.2">
      <c r="C62084"/>
      <c r="M62084"/>
    </row>
    <row r="62085" spans="3:13" ht="12.75" customHeight="1" x14ac:dyDescent="0.2">
      <c r="C62085"/>
      <c r="M62085"/>
    </row>
    <row r="62086" spans="3:13" ht="12.75" customHeight="1" x14ac:dyDescent="0.2">
      <c r="C62086"/>
      <c r="M62086"/>
    </row>
    <row r="62087" spans="3:13" ht="12.75" customHeight="1" x14ac:dyDescent="0.2">
      <c r="C62087"/>
      <c r="M62087"/>
    </row>
    <row r="62088" spans="3:13" ht="12.75" customHeight="1" x14ac:dyDescent="0.2">
      <c r="C62088"/>
      <c r="M62088"/>
    </row>
    <row r="62089" spans="3:13" ht="12.75" customHeight="1" x14ac:dyDescent="0.2">
      <c r="C62089"/>
      <c r="M62089"/>
    </row>
    <row r="62090" spans="3:13" ht="12.75" customHeight="1" x14ac:dyDescent="0.2">
      <c r="C62090"/>
      <c r="M62090"/>
    </row>
    <row r="62091" spans="3:13" ht="12.75" customHeight="1" x14ac:dyDescent="0.2">
      <c r="C62091"/>
      <c r="M62091"/>
    </row>
    <row r="62092" spans="3:13" ht="12.75" customHeight="1" x14ac:dyDescent="0.2">
      <c r="C62092"/>
      <c r="M62092"/>
    </row>
    <row r="62093" spans="3:13" ht="12.75" customHeight="1" x14ac:dyDescent="0.2">
      <c r="C62093"/>
      <c r="M62093"/>
    </row>
    <row r="62094" spans="3:13" ht="12.75" customHeight="1" x14ac:dyDescent="0.2">
      <c r="C62094"/>
      <c r="M62094"/>
    </row>
    <row r="62095" spans="3:13" ht="12.75" customHeight="1" x14ac:dyDescent="0.2">
      <c r="C62095"/>
      <c r="M62095"/>
    </row>
    <row r="62096" spans="3:13" ht="12.75" customHeight="1" x14ac:dyDescent="0.2">
      <c r="C62096"/>
      <c r="M62096"/>
    </row>
    <row r="62097" spans="3:13" ht="12.75" customHeight="1" x14ac:dyDescent="0.2">
      <c r="C62097"/>
      <c r="M62097"/>
    </row>
    <row r="62098" spans="3:13" ht="12.75" customHeight="1" x14ac:dyDescent="0.2">
      <c r="C62098"/>
      <c r="M62098"/>
    </row>
    <row r="62099" spans="3:13" ht="12.75" customHeight="1" x14ac:dyDescent="0.2">
      <c r="C62099"/>
      <c r="M62099"/>
    </row>
    <row r="62100" spans="3:13" ht="12.75" customHeight="1" x14ac:dyDescent="0.2">
      <c r="C62100"/>
      <c r="M62100"/>
    </row>
    <row r="62101" spans="3:13" ht="12.75" customHeight="1" x14ac:dyDescent="0.2">
      <c r="C62101"/>
      <c r="M62101"/>
    </row>
    <row r="62102" spans="3:13" ht="12.75" customHeight="1" x14ac:dyDescent="0.2">
      <c r="C62102"/>
      <c r="M62102"/>
    </row>
    <row r="62103" spans="3:13" ht="12.75" customHeight="1" x14ac:dyDescent="0.2">
      <c r="C62103"/>
      <c r="M62103"/>
    </row>
    <row r="62104" spans="3:13" ht="12.75" customHeight="1" x14ac:dyDescent="0.2">
      <c r="C62104"/>
      <c r="M62104"/>
    </row>
    <row r="62105" spans="3:13" ht="12.75" customHeight="1" x14ac:dyDescent="0.2">
      <c r="C62105"/>
      <c r="M62105"/>
    </row>
    <row r="62106" spans="3:13" ht="12.75" customHeight="1" x14ac:dyDescent="0.2">
      <c r="C62106"/>
      <c r="M62106"/>
    </row>
    <row r="62107" spans="3:13" ht="12.75" customHeight="1" x14ac:dyDescent="0.2">
      <c r="C62107"/>
      <c r="M62107"/>
    </row>
    <row r="62108" spans="3:13" ht="12.75" customHeight="1" x14ac:dyDescent="0.2">
      <c r="C62108"/>
      <c r="M62108"/>
    </row>
    <row r="62109" spans="3:13" ht="12.75" customHeight="1" x14ac:dyDescent="0.2">
      <c r="C62109"/>
      <c r="M62109"/>
    </row>
    <row r="62110" spans="3:13" ht="12.75" customHeight="1" x14ac:dyDescent="0.2">
      <c r="C62110"/>
      <c r="M62110"/>
    </row>
    <row r="62111" spans="3:13" ht="12.75" customHeight="1" x14ac:dyDescent="0.2">
      <c r="C62111"/>
      <c r="M62111"/>
    </row>
    <row r="62112" spans="3:13" ht="12.75" customHeight="1" x14ac:dyDescent="0.2">
      <c r="C62112"/>
      <c r="M62112"/>
    </row>
    <row r="62113" spans="3:13" ht="12.75" customHeight="1" x14ac:dyDescent="0.2">
      <c r="C62113"/>
      <c r="M62113"/>
    </row>
    <row r="62114" spans="3:13" ht="12.75" customHeight="1" x14ac:dyDescent="0.2">
      <c r="C62114"/>
      <c r="M62114"/>
    </row>
    <row r="62115" spans="3:13" ht="12.75" customHeight="1" x14ac:dyDescent="0.2">
      <c r="C62115"/>
      <c r="M62115"/>
    </row>
    <row r="62116" spans="3:13" ht="12.75" customHeight="1" x14ac:dyDescent="0.2">
      <c r="C62116"/>
      <c r="M62116"/>
    </row>
    <row r="62117" spans="3:13" ht="12.75" customHeight="1" x14ac:dyDescent="0.2">
      <c r="C62117"/>
      <c r="M62117"/>
    </row>
    <row r="62118" spans="3:13" ht="12.75" customHeight="1" x14ac:dyDescent="0.2">
      <c r="C62118"/>
      <c r="M62118"/>
    </row>
    <row r="62119" spans="3:13" ht="12.75" customHeight="1" x14ac:dyDescent="0.2">
      <c r="C62119"/>
      <c r="M62119"/>
    </row>
    <row r="62120" spans="3:13" ht="12.75" customHeight="1" x14ac:dyDescent="0.2">
      <c r="C62120"/>
      <c r="M62120"/>
    </row>
    <row r="62121" spans="3:13" ht="12.75" customHeight="1" x14ac:dyDescent="0.2">
      <c r="C62121"/>
      <c r="M62121"/>
    </row>
    <row r="62122" spans="3:13" ht="12.75" customHeight="1" x14ac:dyDescent="0.2">
      <c r="C62122"/>
      <c r="M62122"/>
    </row>
    <row r="62123" spans="3:13" ht="12.75" customHeight="1" x14ac:dyDescent="0.2">
      <c r="C62123"/>
      <c r="M62123"/>
    </row>
    <row r="62124" spans="3:13" ht="12.75" customHeight="1" x14ac:dyDescent="0.2">
      <c r="C62124"/>
      <c r="M62124"/>
    </row>
    <row r="62125" spans="3:13" ht="12.75" customHeight="1" x14ac:dyDescent="0.2">
      <c r="C62125"/>
      <c r="M62125"/>
    </row>
    <row r="62126" spans="3:13" ht="12.75" customHeight="1" x14ac:dyDescent="0.2">
      <c r="C62126"/>
      <c r="M62126"/>
    </row>
    <row r="62127" spans="3:13" ht="12.75" customHeight="1" x14ac:dyDescent="0.2">
      <c r="C62127"/>
      <c r="M62127"/>
    </row>
    <row r="62128" spans="3:13" ht="12.75" customHeight="1" x14ac:dyDescent="0.2">
      <c r="C62128"/>
      <c r="M62128"/>
    </row>
    <row r="62129" spans="3:13" ht="12.75" customHeight="1" x14ac:dyDescent="0.2">
      <c r="C62129"/>
      <c r="M62129"/>
    </row>
    <row r="62130" spans="3:13" ht="12.75" customHeight="1" x14ac:dyDescent="0.2">
      <c r="C62130"/>
      <c r="M62130"/>
    </row>
    <row r="62131" spans="3:13" ht="12.75" customHeight="1" x14ac:dyDescent="0.2">
      <c r="C62131"/>
      <c r="M62131"/>
    </row>
    <row r="62132" spans="3:13" ht="12.75" customHeight="1" x14ac:dyDescent="0.2">
      <c r="C62132"/>
      <c r="M62132"/>
    </row>
    <row r="62133" spans="3:13" ht="12.75" customHeight="1" x14ac:dyDescent="0.2">
      <c r="C62133"/>
      <c r="M62133"/>
    </row>
    <row r="62134" spans="3:13" ht="12.75" customHeight="1" x14ac:dyDescent="0.2">
      <c r="C62134"/>
      <c r="M62134"/>
    </row>
    <row r="62135" spans="3:13" ht="12.75" customHeight="1" x14ac:dyDescent="0.2">
      <c r="C62135"/>
      <c r="M62135"/>
    </row>
    <row r="62136" spans="3:13" ht="12.75" customHeight="1" x14ac:dyDescent="0.2">
      <c r="C62136"/>
      <c r="M62136"/>
    </row>
    <row r="62137" spans="3:13" ht="12.75" customHeight="1" x14ac:dyDescent="0.2">
      <c r="C62137"/>
      <c r="M62137"/>
    </row>
    <row r="62138" spans="3:13" ht="12.75" customHeight="1" x14ac:dyDescent="0.2">
      <c r="C62138"/>
      <c r="M62138"/>
    </row>
    <row r="62139" spans="3:13" ht="12.75" customHeight="1" x14ac:dyDescent="0.2">
      <c r="C62139"/>
      <c r="M62139"/>
    </row>
    <row r="62140" spans="3:13" ht="12.75" customHeight="1" x14ac:dyDescent="0.2">
      <c r="C62140"/>
      <c r="M62140"/>
    </row>
    <row r="62141" spans="3:13" ht="12.75" customHeight="1" x14ac:dyDescent="0.2">
      <c r="C62141"/>
      <c r="M62141"/>
    </row>
    <row r="62142" spans="3:13" ht="12.75" customHeight="1" x14ac:dyDescent="0.2">
      <c r="C62142"/>
      <c r="M62142"/>
    </row>
    <row r="62143" spans="3:13" ht="12.75" customHeight="1" x14ac:dyDescent="0.2">
      <c r="C62143"/>
      <c r="M62143"/>
    </row>
    <row r="62144" spans="3:13" ht="12.75" customHeight="1" x14ac:dyDescent="0.2">
      <c r="C62144"/>
      <c r="M62144"/>
    </row>
    <row r="62145" spans="3:13" ht="12.75" customHeight="1" x14ac:dyDescent="0.2">
      <c r="C62145"/>
      <c r="M62145"/>
    </row>
    <row r="62146" spans="3:13" ht="12.75" customHeight="1" x14ac:dyDescent="0.2">
      <c r="C62146"/>
      <c r="M62146"/>
    </row>
    <row r="62147" spans="3:13" ht="12.75" customHeight="1" x14ac:dyDescent="0.2">
      <c r="C62147"/>
      <c r="M62147"/>
    </row>
    <row r="62148" spans="3:13" ht="12.75" customHeight="1" x14ac:dyDescent="0.2">
      <c r="C62148"/>
      <c r="M62148"/>
    </row>
    <row r="62149" spans="3:13" ht="12.75" customHeight="1" x14ac:dyDescent="0.2">
      <c r="C62149"/>
      <c r="M62149"/>
    </row>
    <row r="62150" spans="3:13" ht="12.75" customHeight="1" x14ac:dyDescent="0.2">
      <c r="C62150"/>
      <c r="M62150"/>
    </row>
    <row r="62151" spans="3:13" ht="12.75" customHeight="1" x14ac:dyDescent="0.2">
      <c r="C62151"/>
      <c r="M62151"/>
    </row>
    <row r="62152" spans="3:13" ht="12.75" customHeight="1" x14ac:dyDescent="0.2">
      <c r="C62152"/>
      <c r="M62152"/>
    </row>
    <row r="62153" spans="3:13" ht="12.75" customHeight="1" x14ac:dyDescent="0.2">
      <c r="C62153"/>
      <c r="M62153"/>
    </row>
    <row r="62154" spans="3:13" ht="12.75" customHeight="1" x14ac:dyDescent="0.2">
      <c r="C62154"/>
      <c r="M62154"/>
    </row>
    <row r="62155" spans="3:13" ht="12.75" customHeight="1" x14ac:dyDescent="0.2">
      <c r="C62155"/>
      <c r="M62155"/>
    </row>
    <row r="62156" spans="3:13" ht="12.75" customHeight="1" x14ac:dyDescent="0.2">
      <c r="C62156"/>
      <c r="M62156"/>
    </row>
    <row r="62157" spans="3:13" ht="12.75" customHeight="1" x14ac:dyDescent="0.2">
      <c r="C62157"/>
      <c r="M62157"/>
    </row>
    <row r="62158" spans="3:13" ht="12.75" customHeight="1" x14ac:dyDescent="0.2">
      <c r="C62158"/>
      <c r="M62158"/>
    </row>
    <row r="62159" spans="3:13" ht="12.75" customHeight="1" x14ac:dyDescent="0.2">
      <c r="C62159"/>
      <c r="M62159"/>
    </row>
    <row r="62160" spans="3:13" ht="12.75" customHeight="1" x14ac:dyDescent="0.2">
      <c r="C62160"/>
      <c r="M62160"/>
    </row>
    <row r="62161" spans="3:13" ht="12.75" customHeight="1" x14ac:dyDescent="0.2">
      <c r="C62161"/>
      <c r="M62161"/>
    </row>
    <row r="62162" spans="3:13" ht="12.75" customHeight="1" x14ac:dyDescent="0.2">
      <c r="C62162"/>
      <c r="M62162"/>
    </row>
    <row r="62163" spans="3:13" ht="12.75" customHeight="1" x14ac:dyDescent="0.2">
      <c r="C62163"/>
      <c r="M62163"/>
    </row>
    <row r="62164" spans="3:13" ht="12.75" customHeight="1" x14ac:dyDescent="0.2">
      <c r="C62164"/>
      <c r="M62164"/>
    </row>
    <row r="62165" spans="3:13" ht="12.75" customHeight="1" x14ac:dyDescent="0.2">
      <c r="C62165"/>
      <c r="M62165"/>
    </row>
    <row r="62166" spans="3:13" ht="12.75" customHeight="1" x14ac:dyDescent="0.2">
      <c r="C62166"/>
      <c r="M62166"/>
    </row>
    <row r="62167" spans="3:13" ht="12.75" customHeight="1" x14ac:dyDescent="0.2">
      <c r="C62167"/>
      <c r="M62167"/>
    </row>
    <row r="62168" spans="3:13" ht="12.75" customHeight="1" x14ac:dyDescent="0.2">
      <c r="C62168"/>
      <c r="M62168"/>
    </row>
    <row r="62169" spans="3:13" ht="12.75" customHeight="1" x14ac:dyDescent="0.2">
      <c r="C62169"/>
      <c r="M62169"/>
    </row>
    <row r="62170" spans="3:13" ht="12.75" customHeight="1" x14ac:dyDescent="0.2">
      <c r="C62170"/>
      <c r="M62170"/>
    </row>
    <row r="62171" spans="3:13" ht="12.75" customHeight="1" x14ac:dyDescent="0.2">
      <c r="C62171"/>
      <c r="M62171"/>
    </row>
    <row r="62172" spans="3:13" ht="12.75" customHeight="1" x14ac:dyDescent="0.2">
      <c r="C62172"/>
      <c r="M62172"/>
    </row>
    <row r="62173" spans="3:13" ht="12.75" customHeight="1" x14ac:dyDescent="0.2">
      <c r="C62173"/>
      <c r="M62173"/>
    </row>
    <row r="62174" spans="3:13" ht="12.75" customHeight="1" x14ac:dyDescent="0.2">
      <c r="C62174"/>
      <c r="M62174"/>
    </row>
    <row r="62175" spans="3:13" ht="12.75" customHeight="1" x14ac:dyDescent="0.2">
      <c r="C62175"/>
      <c r="M62175"/>
    </row>
    <row r="62176" spans="3:13" ht="12.75" customHeight="1" x14ac:dyDescent="0.2">
      <c r="C62176"/>
      <c r="M62176"/>
    </row>
    <row r="62177" spans="3:13" ht="12.75" customHeight="1" x14ac:dyDescent="0.2">
      <c r="C62177"/>
      <c r="M62177"/>
    </row>
    <row r="62178" spans="3:13" ht="12.75" customHeight="1" x14ac:dyDescent="0.2">
      <c r="C62178"/>
      <c r="M62178"/>
    </row>
    <row r="62179" spans="3:13" ht="12.75" customHeight="1" x14ac:dyDescent="0.2">
      <c r="C62179"/>
      <c r="M62179"/>
    </row>
    <row r="62180" spans="3:13" ht="12.75" customHeight="1" x14ac:dyDescent="0.2">
      <c r="C62180"/>
      <c r="M62180"/>
    </row>
    <row r="62181" spans="3:13" ht="12.75" customHeight="1" x14ac:dyDescent="0.2">
      <c r="C62181"/>
      <c r="M62181"/>
    </row>
    <row r="62182" spans="3:13" ht="12.75" customHeight="1" x14ac:dyDescent="0.2">
      <c r="C62182"/>
      <c r="M62182"/>
    </row>
    <row r="62183" spans="3:13" ht="12.75" customHeight="1" x14ac:dyDescent="0.2">
      <c r="C62183"/>
      <c r="M62183"/>
    </row>
    <row r="62184" spans="3:13" ht="12.75" customHeight="1" x14ac:dyDescent="0.2">
      <c r="C62184"/>
      <c r="M62184"/>
    </row>
    <row r="62185" spans="3:13" ht="12.75" customHeight="1" x14ac:dyDescent="0.2">
      <c r="C62185"/>
      <c r="M62185"/>
    </row>
    <row r="62186" spans="3:13" ht="12.75" customHeight="1" x14ac:dyDescent="0.2">
      <c r="C62186"/>
      <c r="M62186"/>
    </row>
    <row r="62187" spans="3:13" ht="12.75" customHeight="1" x14ac:dyDescent="0.2">
      <c r="C62187"/>
      <c r="M62187"/>
    </row>
    <row r="62188" spans="3:13" ht="12.75" customHeight="1" x14ac:dyDescent="0.2">
      <c r="C62188"/>
      <c r="M62188"/>
    </row>
    <row r="62189" spans="3:13" ht="12.75" customHeight="1" x14ac:dyDescent="0.2">
      <c r="C62189"/>
      <c r="M62189"/>
    </row>
    <row r="62190" spans="3:13" ht="12.75" customHeight="1" x14ac:dyDescent="0.2">
      <c r="C62190"/>
      <c r="M62190"/>
    </row>
    <row r="62191" spans="3:13" ht="12.75" customHeight="1" x14ac:dyDescent="0.2">
      <c r="C62191"/>
      <c r="M62191"/>
    </row>
    <row r="62192" spans="3:13" ht="12.75" customHeight="1" x14ac:dyDescent="0.2">
      <c r="C62192"/>
      <c r="M62192"/>
    </row>
    <row r="62193" spans="3:13" ht="12.75" customHeight="1" x14ac:dyDescent="0.2">
      <c r="C62193"/>
      <c r="M62193"/>
    </row>
    <row r="62194" spans="3:13" ht="12.75" customHeight="1" x14ac:dyDescent="0.2">
      <c r="C62194"/>
      <c r="M62194"/>
    </row>
    <row r="62195" spans="3:13" ht="12.75" customHeight="1" x14ac:dyDescent="0.2">
      <c r="C62195"/>
      <c r="M62195"/>
    </row>
    <row r="62196" spans="3:13" ht="12.75" customHeight="1" x14ac:dyDescent="0.2">
      <c r="C62196"/>
      <c r="M62196"/>
    </row>
    <row r="62197" spans="3:13" ht="12.75" customHeight="1" x14ac:dyDescent="0.2">
      <c r="C62197"/>
      <c r="M62197"/>
    </row>
    <row r="62198" spans="3:13" ht="12.75" customHeight="1" x14ac:dyDescent="0.2">
      <c r="C62198"/>
      <c r="M62198"/>
    </row>
    <row r="62199" spans="3:13" ht="12.75" customHeight="1" x14ac:dyDescent="0.2">
      <c r="C62199"/>
      <c r="M62199"/>
    </row>
    <row r="62200" spans="3:13" ht="12.75" customHeight="1" x14ac:dyDescent="0.2">
      <c r="C62200"/>
      <c r="M62200"/>
    </row>
    <row r="62201" spans="3:13" ht="12.75" customHeight="1" x14ac:dyDescent="0.2">
      <c r="C62201"/>
      <c r="M62201"/>
    </row>
    <row r="62202" spans="3:13" ht="12.75" customHeight="1" x14ac:dyDescent="0.2">
      <c r="C62202"/>
      <c r="M62202"/>
    </row>
    <row r="62203" spans="3:13" ht="12.75" customHeight="1" x14ac:dyDescent="0.2">
      <c r="C62203"/>
      <c r="M62203"/>
    </row>
    <row r="62204" spans="3:13" ht="12.75" customHeight="1" x14ac:dyDescent="0.2">
      <c r="C62204"/>
      <c r="M62204"/>
    </row>
    <row r="62205" spans="3:13" ht="12.75" customHeight="1" x14ac:dyDescent="0.2">
      <c r="C62205"/>
      <c r="M62205"/>
    </row>
    <row r="62206" spans="3:13" ht="12.75" customHeight="1" x14ac:dyDescent="0.2">
      <c r="C62206"/>
      <c r="M62206"/>
    </row>
    <row r="62207" spans="3:13" ht="12.75" customHeight="1" x14ac:dyDescent="0.2">
      <c r="C62207"/>
      <c r="M62207"/>
    </row>
    <row r="62208" spans="3:13" ht="12.75" customHeight="1" x14ac:dyDescent="0.2">
      <c r="C62208"/>
      <c r="M62208"/>
    </row>
    <row r="62209" spans="3:13" ht="12.75" customHeight="1" x14ac:dyDescent="0.2">
      <c r="C62209"/>
      <c r="M62209"/>
    </row>
    <row r="62210" spans="3:13" ht="12.75" customHeight="1" x14ac:dyDescent="0.2">
      <c r="C62210"/>
      <c r="M62210"/>
    </row>
    <row r="62211" spans="3:13" ht="12.75" customHeight="1" x14ac:dyDescent="0.2">
      <c r="C62211"/>
      <c r="M62211"/>
    </row>
    <row r="62212" spans="3:13" ht="12.75" customHeight="1" x14ac:dyDescent="0.2">
      <c r="C62212"/>
      <c r="M62212"/>
    </row>
    <row r="62213" spans="3:13" ht="12.75" customHeight="1" x14ac:dyDescent="0.2">
      <c r="C62213"/>
      <c r="M62213"/>
    </row>
    <row r="62214" spans="3:13" ht="12.75" customHeight="1" x14ac:dyDescent="0.2">
      <c r="C62214"/>
      <c r="M62214"/>
    </row>
    <row r="62215" spans="3:13" ht="12.75" customHeight="1" x14ac:dyDescent="0.2">
      <c r="C62215"/>
      <c r="M62215"/>
    </row>
    <row r="62216" spans="3:13" ht="12.75" customHeight="1" x14ac:dyDescent="0.2">
      <c r="C62216"/>
      <c r="M62216"/>
    </row>
    <row r="62217" spans="3:13" ht="12.75" customHeight="1" x14ac:dyDescent="0.2">
      <c r="C62217"/>
      <c r="M62217"/>
    </row>
    <row r="62218" spans="3:13" ht="12.75" customHeight="1" x14ac:dyDescent="0.2">
      <c r="C62218"/>
      <c r="M62218"/>
    </row>
    <row r="62219" spans="3:13" ht="12.75" customHeight="1" x14ac:dyDescent="0.2">
      <c r="C62219"/>
      <c r="M62219"/>
    </row>
    <row r="62220" spans="3:13" ht="12.75" customHeight="1" x14ac:dyDescent="0.2">
      <c r="C62220"/>
      <c r="M62220"/>
    </row>
    <row r="62221" spans="3:13" ht="12.75" customHeight="1" x14ac:dyDescent="0.2">
      <c r="C62221"/>
      <c r="M62221"/>
    </row>
    <row r="62222" spans="3:13" ht="12.75" customHeight="1" x14ac:dyDescent="0.2">
      <c r="C62222"/>
      <c r="M62222"/>
    </row>
    <row r="62223" spans="3:13" ht="12.75" customHeight="1" x14ac:dyDescent="0.2">
      <c r="C62223"/>
      <c r="M62223"/>
    </row>
    <row r="62224" spans="3:13" ht="12.75" customHeight="1" x14ac:dyDescent="0.2">
      <c r="C62224"/>
      <c r="M62224"/>
    </row>
    <row r="62225" spans="3:13" ht="12.75" customHeight="1" x14ac:dyDescent="0.2">
      <c r="C62225"/>
      <c r="M62225"/>
    </row>
    <row r="62226" spans="3:13" ht="12.75" customHeight="1" x14ac:dyDescent="0.2">
      <c r="C62226"/>
      <c r="M62226"/>
    </row>
    <row r="62227" spans="3:13" ht="12.75" customHeight="1" x14ac:dyDescent="0.2">
      <c r="C62227"/>
      <c r="M62227"/>
    </row>
    <row r="62228" spans="3:13" ht="12.75" customHeight="1" x14ac:dyDescent="0.2">
      <c r="C62228"/>
      <c r="M62228"/>
    </row>
    <row r="62229" spans="3:13" ht="12.75" customHeight="1" x14ac:dyDescent="0.2">
      <c r="C62229"/>
      <c r="M62229"/>
    </row>
    <row r="62230" spans="3:13" ht="12.75" customHeight="1" x14ac:dyDescent="0.2">
      <c r="C62230"/>
      <c r="M62230"/>
    </row>
    <row r="62231" spans="3:13" ht="12.75" customHeight="1" x14ac:dyDescent="0.2">
      <c r="C62231"/>
      <c r="M62231"/>
    </row>
    <row r="62232" spans="3:13" ht="12.75" customHeight="1" x14ac:dyDescent="0.2">
      <c r="C62232"/>
      <c r="M62232"/>
    </row>
    <row r="62233" spans="3:13" ht="12.75" customHeight="1" x14ac:dyDescent="0.2">
      <c r="C62233"/>
      <c r="M62233"/>
    </row>
    <row r="62234" spans="3:13" ht="12.75" customHeight="1" x14ac:dyDescent="0.2">
      <c r="C62234"/>
      <c r="M62234"/>
    </row>
    <row r="62235" spans="3:13" ht="12.75" customHeight="1" x14ac:dyDescent="0.2">
      <c r="C62235"/>
      <c r="M62235"/>
    </row>
    <row r="62236" spans="3:13" ht="12.75" customHeight="1" x14ac:dyDescent="0.2">
      <c r="C62236"/>
      <c r="M62236"/>
    </row>
    <row r="62237" spans="3:13" ht="12.75" customHeight="1" x14ac:dyDescent="0.2">
      <c r="C62237"/>
      <c r="M62237"/>
    </row>
    <row r="62238" spans="3:13" ht="12.75" customHeight="1" x14ac:dyDescent="0.2">
      <c r="C62238"/>
      <c r="M62238"/>
    </row>
    <row r="62239" spans="3:13" ht="12.75" customHeight="1" x14ac:dyDescent="0.2">
      <c r="C62239"/>
      <c r="M62239"/>
    </row>
    <row r="62240" spans="3:13" ht="12.75" customHeight="1" x14ac:dyDescent="0.2">
      <c r="C62240"/>
      <c r="M62240"/>
    </row>
    <row r="62241" spans="3:13" ht="12.75" customHeight="1" x14ac:dyDescent="0.2">
      <c r="C62241"/>
      <c r="M62241"/>
    </row>
    <row r="62242" spans="3:13" ht="12.75" customHeight="1" x14ac:dyDescent="0.2">
      <c r="C62242"/>
      <c r="M62242"/>
    </row>
    <row r="62243" spans="3:13" ht="12.75" customHeight="1" x14ac:dyDescent="0.2">
      <c r="C62243"/>
      <c r="M62243"/>
    </row>
    <row r="62244" spans="3:13" ht="12.75" customHeight="1" x14ac:dyDescent="0.2">
      <c r="C62244"/>
      <c r="M62244"/>
    </row>
    <row r="62245" spans="3:13" ht="12.75" customHeight="1" x14ac:dyDescent="0.2">
      <c r="C62245"/>
      <c r="M62245"/>
    </row>
    <row r="62246" spans="3:13" ht="12.75" customHeight="1" x14ac:dyDescent="0.2">
      <c r="C62246"/>
      <c r="M62246"/>
    </row>
    <row r="62247" spans="3:13" ht="12.75" customHeight="1" x14ac:dyDescent="0.2">
      <c r="C62247"/>
      <c r="M62247"/>
    </row>
    <row r="62248" spans="3:13" ht="12.75" customHeight="1" x14ac:dyDescent="0.2">
      <c r="C62248"/>
      <c r="M62248"/>
    </row>
    <row r="62249" spans="3:13" ht="12.75" customHeight="1" x14ac:dyDescent="0.2">
      <c r="C62249"/>
      <c r="M62249"/>
    </row>
    <row r="62250" spans="3:13" ht="12.75" customHeight="1" x14ac:dyDescent="0.2">
      <c r="C62250"/>
      <c r="M62250"/>
    </row>
    <row r="62251" spans="3:13" ht="12.75" customHeight="1" x14ac:dyDescent="0.2">
      <c r="C62251"/>
      <c r="M62251"/>
    </row>
    <row r="62252" spans="3:13" ht="12.75" customHeight="1" x14ac:dyDescent="0.2">
      <c r="C62252"/>
      <c r="M62252"/>
    </row>
    <row r="62253" spans="3:13" ht="12.75" customHeight="1" x14ac:dyDescent="0.2">
      <c r="C62253"/>
      <c r="M62253"/>
    </row>
    <row r="62254" spans="3:13" ht="12.75" customHeight="1" x14ac:dyDescent="0.2">
      <c r="C62254"/>
      <c r="M62254"/>
    </row>
    <row r="62255" spans="3:13" ht="12.75" customHeight="1" x14ac:dyDescent="0.2">
      <c r="C62255"/>
      <c r="M62255"/>
    </row>
    <row r="62256" spans="3:13" ht="12.75" customHeight="1" x14ac:dyDescent="0.2">
      <c r="C62256"/>
      <c r="M62256"/>
    </row>
    <row r="62257" spans="3:13" ht="12.75" customHeight="1" x14ac:dyDescent="0.2">
      <c r="C62257"/>
      <c r="M62257"/>
    </row>
    <row r="62258" spans="3:13" ht="12.75" customHeight="1" x14ac:dyDescent="0.2">
      <c r="C62258"/>
      <c r="M62258"/>
    </row>
    <row r="62259" spans="3:13" ht="12.75" customHeight="1" x14ac:dyDescent="0.2">
      <c r="C62259"/>
      <c r="M62259"/>
    </row>
    <row r="62260" spans="3:13" ht="12.75" customHeight="1" x14ac:dyDescent="0.2">
      <c r="C62260"/>
      <c r="M62260"/>
    </row>
    <row r="62261" spans="3:13" ht="12.75" customHeight="1" x14ac:dyDescent="0.2">
      <c r="C62261"/>
      <c r="M62261"/>
    </row>
    <row r="62262" spans="3:13" ht="12.75" customHeight="1" x14ac:dyDescent="0.2">
      <c r="C62262"/>
      <c r="M62262"/>
    </row>
    <row r="62263" spans="3:13" ht="12.75" customHeight="1" x14ac:dyDescent="0.2">
      <c r="C62263"/>
      <c r="M62263"/>
    </row>
    <row r="62264" spans="3:13" ht="12.75" customHeight="1" x14ac:dyDescent="0.2">
      <c r="C62264"/>
      <c r="M62264"/>
    </row>
    <row r="62265" spans="3:13" ht="12.75" customHeight="1" x14ac:dyDescent="0.2">
      <c r="C62265"/>
      <c r="M62265"/>
    </row>
    <row r="62266" spans="3:13" ht="12.75" customHeight="1" x14ac:dyDescent="0.2">
      <c r="C62266"/>
      <c r="M62266"/>
    </row>
    <row r="62267" spans="3:13" ht="12.75" customHeight="1" x14ac:dyDescent="0.2">
      <c r="C62267"/>
      <c r="M62267"/>
    </row>
    <row r="62268" spans="3:13" ht="12.75" customHeight="1" x14ac:dyDescent="0.2">
      <c r="C62268"/>
      <c r="M62268"/>
    </row>
    <row r="62269" spans="3:13" ht="12.75" customHeight="1" x14ac:dyDescent="0.2">
      <c r="C62269"/>
      <c r="M62269"/>
    </row>
    <row r="62270" spans="3:13" ht="12.75" customHeight="1" x14ac:dyDescent="0.2">
      <c r="C62270"/>
      <c r="M62270"/>
    </row>
    <row r="62271" spans="3:13" ht="12.75" customHeight="1" x14ac:dyDescent="0.2">
      <c r="C62271"/>
      <c r="M62271"/>
    </row>
    <row r="62272" spans="3:13" ht="12.75" customHeight="1" x14ac:dyDescent="0.2">
      <c r="C62272"/>
      <c r="M62272"/>
    </row>
    <row r="62273" spans="3:13" ht="12.75" customHeight="1" x14ac:dyDescent="0.2">
      <c r="C62273"/>
      <c r="M62273"/>
    </row>
    <row r="62274" spans="3:13" ht="12.75" customHeight="1" x14ac:dyDescent="0.2">
      <c r="C62274"/>
      <c r="M62274"/>
    </row>
    <row r="62275" spans="3:13" ht="12.75" customHeight="1" x14ac:dyDescent="0.2">
      <c r="C62275"/>
      <c r="M62275"/>
    </row>
    <row r="62276" spans="3:13" ht="12.75" customHeight="1" x14ac:dyDescent="0.2">
      <c r="C62276"/>
      <c r="M62276"/>
    </row>
    <row r="62277" spans="3:13" ht="12.75" customHeight="1" x14ac:dyDescent="0.2">
      <c r="C62277"/>
      <c r="M62277"/>
    </row>
    <row r="62278" spans="3:13" ht="12.75" customHeight="1" x14ac:dyDescent="0.2">
      <c r="C62278"/>
      <c r="M62278"/>
    </row>
    <row r="62279" spans="3:13" ht="12.75" customHeight="1" x14ac:dyDescent="0.2">
      <c r="C62279"/>
      <c r="M62279"/>
    </row>
    <row r="62280" spans="3:13" ht="12.75" customHeight="1" x14ac:dyDescent="0.2">
      <c r="C62280"/>
      <c r="M62280"/>
    </row>
    <row r="62281" spans="3:13" ht="12.75" customHeight="1" x14ac:dyDescent="0.2">
      <c r="C62281"/>
      <c r="M62281"/>
    </row>
    <row r="62282" spans="3:13" ht="12.75" customHeight="1" x14ac:dyDescent="0.2">
      <c r="C62282"/>
      <c r="M62282"/>
    </row>
    <row r="62283" spans="3:13" ht="12.75" customHeight="1" x14ac:dyDescent="0.2">
      <c r="C62283"/>
      <c r="M62283"/>
    </row>
    <row r="62284" spans="3:13" ht="12.75" customHeight="1" x14ac:dyDescent="0.2">
      <c r="C62284"/>
      <c r="M62284"/>
    </row>
    <row r="62285" spans="3:13" ht="12.75" customHeight="1" x14ac:dyDescent="0.2">
      <c r="C62285"/>
      <c r="M62285"/>
    </row>
    <row r="62286" spans="3:13" ht="12.75" customHeight="1" x14ac:dyDescent="0.2">
      <c r="C62286"/>
      <c r="M62286"/>
    </row>
    <row r="62287" spans="3:13" ht="12.75" customHeight="1" x14ac:dyDescent="0.2">
      <c r="C62287"/>
      <c r="M62287"/>
    </row>
    <row r="62288" spans="3:13" ht="12.75" customHeight="1" x14ac:dyDescent="0.2">
      <c r="C62288"/>
      <c r="M62288"/>
    </row>
    <row r="62289" spans="3:13" ht="12.75" customHeight="1" x14ac:dyDescent="0.2">
      <c r="C62289"/>
      <c r="M62289"/>
    </row>
    <row r="62290" spans="3:13" ht="12.75" customHeight="1" x14ac:dyDescent="0.2">
      <c r="C62290"/>
      <c r="M62290"/>
    </row>
    <row r="62291" spans="3:13" ht="12.75" customHeight="1" x14ac:dyDescent="0.2">
      <c r="C62291"/>
      <c r="M62291"/>
    </row>
    <row r="62292" spans="3:13" ht="12.75" customHeight="1" x14ac:dyDescent="0.2">
      <c r="C62292"/>
      <c r="M62292"/>
    </row>
    <row r="62293" spans="3:13" ht="12.75" customHeight="1" x14ac:dyDescent="0.2">
      <c r="C62293"/>
      <c r="M62293"/>
    </row>
    <row r="62294" spans="3:13" ht="12.75" customHeight="1" x14ac:dyDescent="0.2">
      <c r="C62294"/>
      <c r="M62294"/>
    </row>
    <row r="62295" spans="3:13" ht="12.75" customHeight="1" x14ac:dyDescent="0.2">
      <c r="C62295"/>
      <c r="M62295"/>
    </row>
    <row r="62296" spans="3:13" ht="12.75" customHeight="1" x14ac:dyDescent="0.2">
      <c r="C62296"/>
      <c r="M62296"/>
    </row>
    <row r="62297" spans="3:13" ht="12.75" customHeight="1" x14ac:dyDescent="0.2">
      <c r="C62297"/>
      <c r="M62297"/>
    </row>
    <row r="62298" spans="3:13" ht="12.75" customHeight="1" x14ac:dyDescent="0.2">
      <c r="C62298"/>
      <c r="M62298"/>
    </row>
    <row r="62299" spans="3:13" ht="12.75" customHeight="1" x14ac:dyDescent="0.2">
      <c r="C62299"/>
      <c r="M62299"/>
    </row>
    <row r="62300" spans="3:13" ht="12.75" customHeight="1" x14ac:dyDescent="0.2">
      <c r="C62300"/>
      <c r="M62300"/>
    </row>
    <row r="62301" spans="3:13" ht="12.75" customHeight="1" x14ac:dyDescent="0.2">
      <c r="C62301"/>
      <c r="M62301"/>
    </row>
    <row r="62302" spans="3:13" ht="12.75" customHeight="1" x14ac:dyDescent="0.2">
      <c r="C62302"/>
      <c r="M62302"/>
    </row>
    <row r="62303" spans="3:13" ht="12.75" customHeight="1" x14ac:dyDescent="0.2">
      <c r="C62303"/>
      <c r="M62303"/>
    </row>
    <row r="62304" spans="3:13" ht="12.75" customHeight="1" x14ac:dyDescent="0.2">
      <c r="C62304"/>
      <c r="M62304"/>
    </row>
    <row r="62305" spans="3:13" ht="12.75" customHeight="1" x14ac:dyDescent="0.2">
      <c r="C62305"/>
      <c r="M62305"/>
    </row>
    <row r="62306" spans="3:13" ht="12.75" customHeight="1" x14ac:dyDescent="0.2">
      <c r="C62306"/>
      <c r="M62306"/>
    </row>
    <row r="62307" spans="3:13" ht="12.75" customHeight="1" x14ac:dyDescent="0.2">
      <c r="C62307"/>
      <c r="M62307"/>
    </row>
    <row r="62308" spans="3:13" ht="12.75" customHeight="1" x14ac:dyDescent="0.2">
      <c r="C62308"/>
      <c r="M62308"/>
    </row>
    <row r="62309" spans="3:13" ht="12.75" customHeight="1" x14ac:dyDescent="0.2">
      <c r="C62309"/>
      <c r="M62309"/>
    </row>
    <row r="62310" spans="3:13" ht="12.75" customHeight="1" x14ac:dyDescent="0.2">
      <c r="C62310"/>
      <c r="M62310"/>
    </row>
    <row r="62311" spans="3:13" ht="12.75" customHeight="1" x14ac:dyDescent="0.2">
      <c r="C62311"/>
      <c r="M62311"/>
    </row>
    <row r="62312" spans="3:13" ht="12.75" customHeight="1" x14ac:dyDescent="0.2">
      <c r="C62312"/>
      <c r="M62312"/>
    </row>
    <row r="62313" spans="3:13" ht="12.75" customHeight="1" x14ac:dyDescent="0.2">
      <c r="C62313"/>
      <c r="M62313"/>
    </row>
    <row r="62314" spans="3:13" ht="12.75" customHeight="1" x14ac:dyDescent="0.2">
      <c r="C62314"/>
      <c r="M62314"/>
    </row>
    <row r="62315" spans="3:13" ht="12.75" customHeight="1" x14ac:dyDescent="0.2">
      <c r="C62315"/>
      <c r="M62315"/>
    </row>
    <row r="62316" spans="3:13" ht="12.75" customHeight="1" x14ac:dyDescent="0.2">
      <c r="C62316"/>
      <c r="M62316"/>
    </row>
    <row r="62317" spans="3:13" ht="12.75" customHeight="1" x14ac:dyDescent="0.2">
      <c r="C62317"/>
      <c r="M62317"/>
    </row>
    <row r="62318" spans="3:13" ht="12.75" customHeight="1" x14ac:dyDescent="0.2">
      <c r="C62318"/>
      <c r="M62318"/>
    </row>
    <row r="62319" spans="3:13" ht="12.75" customHeight="1" x14ac:dyDescent="0.2">
      <c r="C62319"/>
      <c r="M62319"/>
    </row>
    <row r="62320" spans="3:13" ht="12.75" customHeight="1" x14ac:dyDescent="0.2">
      <c r="C62320"/>
      <c r="M62320"/>
    </row>
    <row r="62321" spans="3:13" ht="12.75" customHeight="1" x14ac:dyDescent="0.2">
      <c r="C62321"/>
      <c r="M62321"/>
    </row>
    <row r="62322" spans="3:13" ht="12.75" customHeight="1" x14ac:dyDescent="0.2">
      <c r="C62322"/>
      <c r="M62322"/>
    </row>
    <row r="62323" spans="3:13" ht="12.75" customHeight="1" x14ac:dyDescent="0.2">
      <c r="C62323"/>
      <c r="M62323"/>
    </row>
    <row r="62324" spans="3:13" ht="12.75" customHeight="1" x14ac:dyDescent="0.2">
      <c r="C62324"/>
      <c r="M62324"/>
    </row>
    <row r="62325" spans="3:13" ht="12.75" customHeight="1" x14ac:dyDescent="0.2">
      <c r="C62325"/>
      <c r="M62325"/>
    </row>
    <row r="62326" spans="3:13" ht="12.75" customHeight="1" x14ac:dyDescent="0.2">
      <c r="C62326"/>
      <c r="M62326"/>
    </row>
    <row r="62327" spans="3:13" ht="12.75" customHeight="1" x14ac:dyDescent="0.2">
      <c r="C62327"/>
      <c r="M62327"/>
    </row>
    <row r="62328" spans="3:13" ht="12.75" customHeight="1" x14ac:dyDescent="0.2">
      <c r="C62328"/>
      <c r="M62328"/>
    </row>
    <row r="62329" spans="3:13" ht="12.75" customHeight="1" x14ac:dyDescent="0.2">
      <c r="C62329"/>
      <c r="M62329"/>
    </row>
    <row r="62330" spans="3:13" ht="12.75" customHeight="1" x14ac:dyDescent="0.2">
      <c r="C62330"/>
      <c r="M62330"/>
    </row>
    <row r="62331" spans="3:13" ht="12.75" customHeight="1" x14ac:dyDescent="0.2">
      <c r="C62331"/>
      <c r="M62331"/>
    </row>
    <row r="62332" spans="3:13" ht="12.75" customHeight="1" x14ac:dyDescent="0.2">
      <c r="C62332"/>
      <c r="M62332"/>
    </row>
    <row r="62333" spans="3:13" ht="12.75" customHeight="1" x14ac:dyDescent="0.2">
      <c r="C62333"/>
      <c r="M62333"/>
    </row>
    <row r="62334" spans="3:13" ht="12.75" customHeight="1" x14ac:dyDescent="0.2">
      <c r="C62334"/>
      <c r="M62334"/>
    </row>
    <row r="62335" spans="3:13" ht="12.75" customHeight="1" x14ac:dyDescent="0.2">
      <c r="C62335"/>
      <c r="M62335"/>
    </row>
    <row r="62336" spans="3:13" ht="12.75" customHeight="1" x14ac:dyDescent="0.2">
      <c r="C62336"/>
      <c r="M62336"/>
    </row>
    <row r="62337" spans="3:13" ht="12.75" customHeight="1" x14ac:dyDescent="0.2">
      <c r="C62337"/>
      <c r="M62337"/>
    </row>
    <row r="62338" spans="3:13" ht="12.75" customHeight="1" x14ac:dyDescent="0.2">
      <c r="C62338"/>
      <c r="M62338"/>
    </row>
    <row r="62339" spans="3:13" ht="12.75" customHeight="1" x14ac:dyDescent="0.2">
      <c r="C62339"/>
      <c r="M62339"/>
    </row>
    <row r="62340" spans="3:13" ht="12.75" customHeight="1" x14ac:dyDescent="0.2">
      <c r="C62340"/>
      <c r="M62340"/>
    </row>
    <row r="62341" spans="3:13" ht="12.75" customHeight="1" x14ac:dyDescent="0.2">
      <c r="C62341"/>
      <c r="M62341"/>
    </row>
    <row r="62342" spans="3:13" ht="12.75" customHeight="1" x14ac:dyDescent="0.2">
      <c r="C62342"/>
      <c r="M62342"/>
    </row>
    <row r="62343" spans="3:13" ht="12.75" customHeight="1" x14ac:dyDescent="0.2">
      <c r="C62343"/>
      <c r="M62343"/>
    </row>
    <row r="62344" spans="3:13" ht="12.75" customHeight="1" x14ac:dyDescent="0.2">
      <c r="C62344"/>
      <c r="M62344"/>
    </row>
    <row r="62345" spans="3:13" ht="12.75" customHeight="1" x14ac:dyDescent="0.2">
      <c r="C62345"/>
      <c r="M62345"/>
    </row>
    <row r="62346" spans="3:13" ht="12.75" customHeight="1" x14ac:dyDescent="0.2">
      <c r="C62346"/>
      <c r="M62346"/>
    </row>
    <row r="62347" spans="3:13" ht="12.75" customHeight="1" x14ac:dyDescent="0.2">
      <c r="C62347"/>
      <c r="M62347"/>
    </row>
    <row r="62348" spans="3:13" ht="12.75" customHeight="1" x14ac:dyDescent="0.2">
      <c r="C62348"/>
      <c r="M62348"/>
    </row>
    <row r="62349" spans="3:13" ht="12.75" customHeight="1" x14ac:dyDescent="0.2">
      <c r="C62349"/>
      <c r="M62349"/>
    </row>
    <row r="62350" spans="3:13" ht="12.75" customHeight="1" x14ac:dyDescent="0.2">
      <c r="C62350"/>
      <c r="M62350"/>
    </row>
    <row r="62351" spans="3:13" ht="12.75" customHeight="1" x14ac:dyDescent="0.2">
      <c r="C62351"/>
      <c r="M62351"/>
    </row>
    <row r="62352" spans="3:13" ht="12.75" customHeight="1" x14ac:dyDescent="0.2">
      <c r="C62352"/>
      <c r="M62352"/>
    </row>
    <row r="62353" spans="3:13" ht="12.75" customHeight="1" x14ac:dyDescent="0.2">
      <c r="C62353"/>
      <c r="M62353"/>
    </row>
    <row r="62354" spans="3:13" ht="12.75" customHeight="1" x14ac:dyDescent="0.2">
      <c r="C62354"/>
      <c r="M62354"/>
    </row>
    <row r="62355" spans="3:13" ht="12.75" customHeight="1" x14ac:dyDescent="0.2">
      <c r="C62355"/>
      <c r="M62355"/>
    </row>
    <row r="62356" spans="3:13" ht="12.75" customHeight="1" x14ac:dyDescent="0.2">
      <c r="C62356"/>
      <c r="M62356"/>
    </row>
    <row r="62357" spans="3:13" ht="12.75" customHeight="1" x14ac:dyDescent="0.2">
      <c r="C62357"/>
      <c r="M62357"/>
    </row>
    <row r="62358" spans="3:13" ht="12.75" customHeight="1" x14ac:dyDescent="0.2">
      <c r="C62358"/>
      <c r="M62358"/>
    </row>
    <row r="62359" spans="3:13" ht="12.75" customHeight="1" x14ac:dyDescent="0.2">
      <c r="C62359"/>
      <c r="M62359"/>
    </row>
    <row r="62360" spans="3:13" ht="12.75" customHeight="1" x14ac:dyDescent="0.2">
      <c r="C62360"/>
      <c r="M62360"/>
    </row>
    <row r="62361" spans="3:13" ht="12.75" customHeight="1" x14ac:dyDescent="0.2">
      <c r="C62361"/>
      <c r="M62361"/>
    </row>
    <row r="62362" spans="3:13" ht="12.75" customHeight="1" x14ac:dyDescent="0.2">
      <c r="C62362"/>
      <c r="M62362"/>
    </row>
    <row r="62363" spans="3:13" ht="12.75" customHeight="1" x14ac:dyDescent="0.2">
      <c r="C62363"/>
      <c r="M62363"/>
    </row>
    <row r="62364" spans="3:13" ht="12.75" customHeight="1" x14ac:dyDescent="0.2">
      <c r="C62364"/>
      <c r="M62364"/>
    </row>
    <row r="62365" spans="3:13" ht="12.75" customHeight="1" x14ac:dyDescent="0.2">
      <c r="C62365"/>
      <c r="M62365"/>
    </row>
    <row r="62366" spans="3:13" ht="12.75" customHeight="1" x14ac:dyDescent="0.2">
      <c r="C62366"/>
      <c r="M62366"/>
    </row>
    <row r="62367" spans="3:13" ht="12.75" customHeight="1" x14ac:dyDescent="0.2">
      <c r="C62367"/>
      <c r="M62367"/>
    </row>
    <row r="62368" spans="3:13" ht="12.75" customHeight="1" x14ac:dyDescent="0.2">
      <c r="C62368"/>
      <c r="M62368"/>
    </row>
    <row r="62369" spans="3:13" ht="12.75" customHeight="1" x14ac:dyDescent="0.2">
      <c r="C62369"/>
      <c r="M62369"/>
    </row>
    <row r="62370" spans="3:13" ht="12.75" customHeight="1" x14ac:dyDescent="0.2">
      <c r="C62370"/>
      <c r="M62370"/>
    </row>
    <row r="62371" spans="3:13" ht="12.75" customHeight="1" x14ac:dyDescent="0.2">
      <c r="C62371"/>
      <c r="M62371"/>
    </row>
    <row r="62372" spans="3:13" ht="12.75" customHeight="1" x14ac:dyDescent="0.2">
      <c r="C62372"/>
      <c r="M62372"/>
    </row>
    <row r="62373" spans="3:13" ht="12.75" customHeight="1" x14ac:dyDescent="0.2">
      <c r="C62373"/>
      <c r="M62373"/>
    </row>
    <row r="62374" spans="3:13" ht="12.75" customHeight="1" x14ac:dyDescent="0.2">
      <c r="C62374"/>
      <c r="M62374"/>
    </row>
    <row r="62375" spans="3:13" ht="12.75" customHeight="1" x14ac:dyDescent="0.2">
      <c r="C62375"/>
      <c r="M62375"/>
    </row>
    <row r="62376" spans="3:13" ht="12.75" customHeight="1" x14ac:dyDescent="0.2">
      <c r="C62376"/>
      <c r="M62376"/>
    </row>
    <row r="62377" spans="3:13" ht="12.75" customHeight="1" x14ac:dyDescent="0.2">
      <c r="C62377"/>
      <c r="M62377"/>
    </row>
    <row r="62378" spans="3:13" ht="12.75" customHeight="1" x14ac:dyDescent="0.2">
      <c r="C62378"/>
      <c r="M62378"/>
    </row>
    <row r="62379" spans="3:13" ht="12.75" customHeight="1" x14ac:dyDescent="0.2">
      <c r="C62379"/>
      <c r="M62379"/>
    </row>
    <row r="62380" spans="3:13" ht="12.75" customHeight="1" x14ac:dyDescent="0.2">
      <c r="C62380"/>
      <c r="M62380"/>
    </row>
    <row r="62381" spans="3:13" ht="12.75" customHeight="1" x14ac:dyDescent="0.2">
      <c r="C62381"/>
      <c r="M62381"/>
    </row>
    <row r="62382" spans="3:13" ht="12.75" customHeight="1" x14ac:dyDescent="0.2">
      <c r="C62382"/>
      <c r="M62382"/>
    </row>
    <row r="62383" spans="3:13" ht="12.75" customHeight="1" x14ac:dyDescent="0.2">
      <c r="C62383"/>
      <c r="M62383"/>
    </row>
    <row r="62384" spans="3:13" ht="12.75" customHeight="1" x14ac:dyDescent="0.2">
      <c r="C62384"/>
      <c r="M62384"/>
    </row>
    <row r="62385" spans="3:13" ht="12.75" customHeight="1" x14ac:dyDescent="0.2">
      <c r="C62385"/>
      <c r="M62385"/>
    </row>
    <row r="62386" spans="3:13" ht="12.75" customHeight="1" x14ac:dyDescent="0.2">
      <c r="C62386"/>
      <c r="M62386"/>
    </row>
    <row r="62387" spans="3:13" ht="12.75" customHeight="1" x14ac:dyDescent="0.2">
      <c r="C62387"/>
      <c r="M62387"/>
    </row>
    <row r="62388" spans="3:13" ht="12.75" customHeight="1" x14ac:dyDescent="0.2">
      <c r="C62388"/>
      <c r="M62388"/>
    </row>
    <row r="62389" spans="3:13" ht="12.75" customHeight="1" x14ac:dyDescent="0.2">
      <c r="C62389"/>
      <c r="M62389"/>
    </row>
    <row r="62390" spans="3:13" ht="12.75" customHeight="1" x14ac:dyDescent="0.2">
      <c r="C62390"/>
      <c r="M62390"/>
    </row>
    <row r="62391" spans="3:13" ht="12.75" customHeight="1" x14ac:dyDescent="0.2">
      <c r="C62391"/>
      <c r="M62391"/>
    </row>
    <row r="62392" spans="3:13" ht="12.75" customHeight="1" x14ac:dyDescent="0.2">
      <c r="C62392"/>
      <c r="M62392"/>
    </row>
    <row r="62393" spans="3:13" ht="12.75" customHeight="1" x14ac:dyDescent="0.2">
      <c r="C62393"/>
      <c r="M62393"/>
    </row>
    <row r="62394" spans="3:13" ht="12.75" customHeight="1" x14ac:dyDescent="0.2">
      <c r="C62394"/>
      <c r="M62394"/>
    </row>
    <row r="62395" spans="3:13" ht="12.75" customHeight="1" x14ac:dyDescent="0.2">
      <c r="C62395"/>
      <c r="M62395"/>
    </row>
    <row r="62396" spans="3:13" ht="12.75" customHeight="1" x14ac:dyDescent="0.2">
      <c r="C62396"/>
      <c r="M62396"/>
    </row>
    <row r="62397" spans="3:13" ht="12.75" customHeight="1" x14ac:dyDescent="0.2">
      <c r="C62397"/>
      <c r="M62397"/>
    </row>
    <row r="62398" spans="3:13" ht="12.75" customHeight="1" x14ac:dyDescent="0.2">
      <c r="C62398"/>
      <c r="M62398"/>
    </row>
    <row r="62399" spans="3:13" ht="12.75" customHeight="1" x14ac:dyDescent="0.2">
      <c r="C62399"/>
      <c r="M62399"/>
    </row>
    <row r="62400" spans="3:13" ht="12.75" customHeight="1" x14ac:dyDescent="0.2">
      <c r="C62400"/>
      <c r="M62400"/>
    </row>
    <row r="62401" spans="3:13" ht="12.75" customHeight="1" x14ac:dyDescent="0.2">
      <c r="C62401"/>
      <c r="M62401"/>
    </row>
    <row r="62402" spans="3:13" ht="12.75" customHeight="1" x14ac:dyDescent="0.2">
      <c r="C62402"/>
      <c r="M62402"/>
    </row>
    <row r="62403" spans="3:13" ht="12.75" customHeight="1" x14ac:dyDescent="0.2">
      <c r="C62403"/>
      <c r="M62403"/>
    </row>
    <row r="62404" spans="3:13" ht="12.75" customHeight="1" x14ac:dyDescent="0.2">
      <c r="C62404"/>
      <c r="M62404"/>
    </row>
    <row r="62405" spans="3:13" ht="12.75" customHeight="1" x14ac:dyDescent="0.2">
      <c r="C62405"/>
      <c r="M62405"/>
    </row>
    <row r="62406" spans="3:13" ht="12.75" customHeight="1" x14ac:dyDescent="0.2">
      <c r="C62406"/>
      <c r="M62406"/>
    </row>
    <row r="62407" spans="3:13" ht="12.75" customHeight="1" x14ac:dyDescent="0.2">
      <c r="C62407"/>
      <c r="M62407"/>
    </row>
    <row r="62408" spans="3:13" ht="12.75" customHeight="1" x14ac:dyDescent="0.2">
      <c r="C62408"/>
      <c r="M62408"/>
    </row>
    <row r="62409" spans="3:13" ht="12.75" customHeight="1" x14ac:dyDescent="0.2">
      <c r="C62409"/>
      <c r="M62409"/>
    </row>
    <row r="62410" spans="3:13" ht="12.75" customHeight="1" x14ac:dyDescent="0.2">
      <c r="C62410"/>
      <c r="M62410"/>
    </row>
    <row r="62411" spans="3:13" ht="12.75" customHeight="1" x14ac:dyDescent="0.2">
      <c r="C62411"/>
      <c r="M62411"/>
    </row>
    <row r="62412" spans="3:13" ht="12.75" customHeight="1" x14ac:dyDescent="0.2">
      <c r="C62412"/>
      <c r="M62412"/>
    </row>
    <row r="62413" spans="3:13" ht="12.75" customHeight="1" x14ac:dyDescent="0.2">
      <c r="C62413"/>
      <c r="M62413"/>
    </row>
    <row r="62414" spans="3:13" ht="12.75" customHeight="1" x14ac:dyDescent="0.2">
      <c r="C62414"/>
      <c r="M62414"/>
    </row>
    <row r="62415" spans="3:13" ht="12.75" customHeight="1" x14ac:dyDescent="0.2">
      <c r="C62415"/>
      <c r="M62415"/>
    </row>
    <row r="62416" spans="3:13" ht="12.75" customHeight="1" x14ac:dyDescent="0.2">
      <c r="C62416"/>
      <c r="M62416"/>
    </row>
    <row r="62417" spans="3:13" ht="12.75" customHeight="1" x14ac:dyDescent="0.2">
      <c r="C62417"/>
      <c r="M62417"/>
    </row>
    <row r="62418" spans="3:13" ht="12.75" customHeight="1" x14ac:dyDescent="0.2">
      <c r="C62418"/>
      <c r="M62418"/>
    </row>
    <row r="62419" spans="3:13" ht="12.75" customHeight="1" x14ac:dyDescent="0.2">
      <c r="C62419"/>
      <c r="M62419"/>
    </row>
    <row r="62420" spans="3:13" ht="12.75" customHeight="1" x14ac:dyDescent="0.2">
      <c r="C62420"/>
      <c r="M62420"/>
    </row>
    <row r="62421" spans="3:13" ht="12.75" customHeight="1" x14ac:dyDescent="0.2">
      <c r="C62421"/>
      <c r="M62421"/>
    </row>
    <row r="62422" spans="3:13" ht="12.75" customHeight="1" x14ac:dyDescent="0.2">
      <c r="C62422"/>
      <c r="M62422"/>
    </row>
    <row r="62423" spans="3:13" ht="12.75" customHeight="1" x14ac:dyDescent="0.2">
      <c r="C62423"/>
      <c r="M62423"/>
    </row>
    <row r="62424" spans="3:13" ht="12.75" customHeight="1" x14ac:dyDescent="0.2">
      <c r="C62424"/>
      <c r="M62424"/>
    </row>
    <row r="62425" spans="3:13" ht="12.75" customHeight="1" x14ac:dyDescent="0.2">
      <c r="C62425"/>
      <c r="M62425"/>
    </row>
    <row r="62426" spans="3:13" ht="12.75" customHeight="1" x14ac:dyDescent="0.2">
      <c r="C62426"/>
      <c r="M62426"/>
    </row>
    <row r="62427" spans="3:13" ht="12.75" customHeight="1" x14ac:dyDescent="0.2">
      <c r="C62427"/>
      <c r="M62427"/>
    </row>
    <row r="62428" spans="3:13" ht="12.75" customHeight="1" x14ac:dyDescent="0.2">
      <c r="C62428"/>
      <c r="M62428"/>
    </row>
    <row r="62429" spans="3:13" ht="12.75" customHeight="1" x14ac:dyDescent="0.2">
      <c r="C62429"/>
      <c r="M62429"/>
    </row>
    <row r="62430" spans="3:13" ht="12.75" customHeight="1" x14ac:dyDescent="0.2">
      <c r="C62430"/>
      <c r="M62430"/>
    </row>
    <row r="62431" spans="3:13" ht="12.75" customHeight="1" x14ac:dyDescent="0.2">
      <c r="C62431"/>
      <c r="M62431"/>
    </row>
    <row r="62432" spans="3:13" ht="12.75" customHeight="1" x14ac:dyDescent="0.2">
      <c r="C62432"/>
      <c r="M62432"/>
    </row>
    <row r="62433" spans="3:13" ht="12.75" customHeight="1" x14ac:dyDescent="0.2">
      <c r="C62433"/>
      <c r="M62433"/>
    </row>
    <row r="62434" spans="3:13" ht="12.75" customHeight="1" x14ac:dyDescent="0.2">
      <c r="C62434"/>
      <c r="M62434"/>
    </row>
    <row r="62435" spans="3:13" ht="12.75" customHeight="1" x14ac:dyDescent="0.2">
      <c r="C62435"/>
      <c r="M62435"/>
    </row>
    <row r="62436" spans="3:13" ht="12.75" customHeight="1" x14ac:dyDescent="0.2">
      <c r="C62436"/>
      <c r="M62436"/>
    </row>
    <row r="62437" spans="3:13" ht="12.75" customHeight="1" x14ac:dyDescent="0.2">
      <c r="C62437"/>
      <c r="M62437"/>
    </row>
    <row r="62438" spans="3:13" ht="12.75" customHeight="1" x14ac:dyDescent="0.2">
      <c r="C62438"/>
      <c r="M62438"/>
    </row>
    <row r="62439" spans="3:13" ht="12.75" customHeight="1" x14ac:dyDescent="0.2">
      <c r="C62439"/>
      <c r="M62439"/>
    </row>
    <row r="62440" spans="3:13" ht="12.75" customHeight="1" x14ac:dyDescent="0.2">
      <c r="C62440"/>
      <c r="M62440"/>
    </row>
    <row r="62441" spans="3:13" ht="12.75" customHeight="1" x14ac:dyDescent="0.2">
      <c r="C62441"/>
      <c r="M62441"/>
    </row>
    <row r="62442" spans="3:13" ht="12.75" customHeight="1" x14ac:dyDescent="0.2">
      <c r="C62442"/>
      <c r="M62442"/>
    </row>
    <row r="62443" spans="3:13" ht="12.75" customHeight="1" x14ac:dyDescent="0.2">
      <c r="C62443"/>
      <c r="M62443"/>
    </row>
    <row r="62444" spans="3:13" ht="12.75" customHeight="1" x14ac:dyDescent="0.2">
      <c r="C62444"/>
      <c r="M62444"/>
    </row>
    <row r="62445" spans="3:13" ht="12.75" customHeight="1" x14ac:dyDescent="0.2">
      <c r="C62445"/>
      <c r="M62445"/>
    </row>
    <row r="62446" spans="3:13" ht="12.75" customHeight="1" x14ac:dyDescent="0.2">
      <c r="C62446"/>
      <c r="M62446"/>
    </row>
    <row r="62447" spans="3:13" ht="12.75" customHeight="1" x14ac:dyDescent="0.2">
      <c r="C62447"/>
      <c r="M62447"/>
    </row>
    <row r="62448" spans="3:13" ht="12.75" customHeight="1" x14ac:dyDescent="0.2">
      <c r="C62448"/>
      <c r="M62448"/>
    </row>
    <row r="62449" spans="3:13" ht="12.75" customHeight="1" x14ac:dyDescent="0.2">
      <c r="C62449"/>
      <c r="M62449"/>
    </row>
    <row r="62450" spans="3:13" ht="12.75" customHeight="1" x14ac:dyDescent="0.2">
      <c r="C62450"/>
      <c r="M62450"/>
    </row>
    <row r="62451" spans="3:13" ht="12.75" customHeight="1" x14ac:dyDescent="0.2">
      <c r="C62451"/>
      <c r="M62451"/>
    </row>
    <row r="62452" spans="3:13" ht="12.75" customHeight="1" x14ac:dyDescent="0.2">
      <c r="C62452"/>
      <c r="M62452"/>
    </row>
    <row r="62453" spans="3:13" ht="12.75" customHeight="1" x14ac:dyDescent="0.2">
      <c r="C62453"/>
      <c r="M62453"/>
    </row>
    <row r="62454" spans="3:13" ht="12.75" customHeight="1" x14ac:dyDescent="0.2">
      <c r="C62454"/>
      <c r="M62454"/>
    </row>
    <row r="62455" spans="3:13" ht="12.75" customHeight="1" x14ac:dyDescent="0.2">
      <c r="C62455"/>
      <c r="M62455"/>
    </row>
    <row r="62456" spans="3:13" ht="12.75" customHeight="1" x14ac:dyDescent="0.2">
      <c r="C62456"/>
      <c r="M62456"/>
    </row>
    <row r="62457" spans="3:13" ht="12.75" customHeight="1" x14ac:dyDescent="0.2">
      <c r="C62457"/>
      <c r="M62457"/>
    </row>
    <row r="62458" spans="3:13" ht="12.75" customHeight="1" x14ac:dyDescent="0.2">
      <c r="C62458"/>
      <c r="M62458"/>
    </row>
    <row r="62459" spans="3:13" ht="12.75" customHeight="1" x14ac:dyDescent="0.2">
      <c r="C62459"/>
      <c r="M62459"/>
    </row>
    <row r="62460" spans="3:13" ht="12.75" customHeight="1" x14ac:dyDescent="0.2">
      <c r="C62460"/>
      <c r="M62460"/>
    </row>
    <row r="62461" spans="3:13" ht="12.75" customHeight="1" x14ac:dyDescent="0.2">
      <c r="C62461"/>
      <c r="M62461"/>
    </row>
    <row r="62462" spans="3:13" ht="12.75" customHeight="1" x14ac:dyDescent="0.2">
      <c r="C62462"/>
      <c r="M62462"/>
    </row>
    <row r="62463" spans="3:13" ht="12.75" customHeight="1" x14ac:dyDescent="0.2">
      <c r="C62463"/>
      <c r="M62463"/>
    </row>
    <row r="62464" spans="3:13" ht="12.75" customHeight="1" x14ac:dyDescent="0.2">
      <c r="C62464"/>
      <c r="M62464"/>
    </row>
    <row r="62465" spans="3:13" ht="12.75" customHeight="1" x14ac:dyDescent="0.2">
      <c r="C62465"/>
      <c r="M62465"/>
    </row>
    <row r="62466" spans="3:13" ht="12.75" customHeight="1" x14ac:dyDescent="0.2">
      <c r="C62466"/>
      <c r="M62466"/>
    </row>
    <row r="62467" spans="3:13" ht="12.75" customHeight="1" x14ac:dyDescent="0.2">
      <c r="C62467"/>
      <c r="M62467"/>
    </row>
    <row r="62468" spans="3:13" ht="12.75" customHeight="1" x14ac:dyDescent="0.2">
      <c r="C62468"/>
      <c r="M62468"/>
    </row>
    <row r="62469" spans="3:13" ht="12.75" customHeight="1" x14ac:dyDescent="0.2">
      <c r="C62469"/>
      <c r="M62469"/>
    </row>
    <row r="62470" spans="3:13" ht="12.75" customHeight="1" x14ac:dyDescent="0.2">
      <c r="C62470"/>
      <c r="M62470"/>
    </row>
    <row r="62471" spans="3:13" ht="12.75" customHeight="1" x14ac:dyDescent="0.2">
      <c r="C62471"/>
      <c r="M62471"/>
    </row>
    <row r="62472" spans="3:13" ht="12.75" customHeight="1" x14ac:dyDescent="0.2">
      <c r="C62472"/>
      <c r="M62472"/>
    </row>
    <row r="62473" spans="3:13" ht="12.75" customHeight="1" x14ac:dyDescent="0.2">
      <c r="C62473"/>
      <c r="M62473"/>
    </row>
    <row r="62474" spans="3:13" ht="12.75" customHeight="1" x14ac:dyDescent="0.2">
      <c r="C62474"/>
      <c r="M62474"/>
    </row>
    <row r="62475" spans="3:13" ht="12.75" customHeight="1" x14ac:dyDescent="0.2">
      <c r="C62475"/>
      <c r="M62475"/>
    </row>
    <row r="62476" spans="3:13" ht="12.75" customHeight="1" x14ac:dyDescent="0.2">
      <c r="C62476"/>
      <c r="M62476"/>
    </row>
    <row r="62477" spans="3:13" ht="12.75" customHeight="1" x14ac:dyDescent="0.2">
      <c r="C62477"/>
      <c r="M62477"/>
    </row>
    <row r="62478" spans="3:13" ht="12.75" customHeight="1" x14ac:dyDescent="0.2">
      <c r="C62478"/>
      <c r="M62478"/>
    </row>
    <row r="62479" spans="3:13" ht="12.75" customHeight="1" x14ac:dyDescent="0.2">
      <c r="C62479"/>
      <c r="M62479"/>
    </row>
    <row r="62480" spans="3:13" ht="12.75" customHeight="1" x14ac:dyDescent="0.2">
      <c r="C62480"/>
      <c r="M62480"/>
    </row>
    <row r="62481" spans="3:13" ht="12.75" customHeight="1" x14ac:dyDescent="0.2">
      <c r="C62481"/>
      <c r="M62481"/>
    </row>
    <row r="62482" spans="3:13" ht="12.75" customHeight="1" x14ac:dyDescent="0.2">
      <c r="C62482"/>
      <c r="M62482"/>
    </row>
    <row r="62483" spans="3:13" ht="12.75" customHeight="1" x14ac:dyDescent="0.2">
      <c r="C62483"/>
      <c r="M62483"/>
    </row>
    <row r="62484" spans="3:13" ht="12.75" customHeight="1" x14ac:dyDescent="0.2">
      <c r="C62484"/>
      <c r="M62484"/>
    </row>
    <row r="62485" spans="3:13" ht="12.75" customHeight="1" x14ac:dyDescent="0.2">
      <c r="C62485"/>
      <c r="M62485"/>
    </row>
    <row r="62486" spans="3:13" ht="12.75" customHeight="1" x14ac:dyDescent="0.2">
      <c r="C62486"/>
      <c r="M62486"/>
    </row>
    <row r="62487" spans="3:13" ht="12.75" customHeight="1" x14ac:dyDescent="0.2">
      <c r="C62487"/>
      <c r="M62487"/>
    </row>
    <row r="62488" spans="3:13" ht="12.75" customHeight="1" x14ac:dyDescent="0.2">
      <c r="C62488"/>
      <c r="M62488"/>
    </row>
    <row r="62489" spans="3:13" ht="12.75" customHeight="1" x14ac:dyDescent="0.2">
      <c r="C62489"/>
      <c r="M62489"/>
    </row>
    <row r="62490" spans="3:13" ht="12.75" customHeight="1" x14ac:dyDescent="0.2">
      <c r="C62490"/>
      <c r="M62490"/>
    </row>
    <row r="62491" spans="3:13" ht="12.75" customHeight="1" x14ac:dyDescent="0.2">
      <c r="C62491"/>
      <c r="M62491"/>
    </row>
    <row r="62492" spans="3:13" ht="12.75" customHeight="1" x14ac:dyDescent="0.2">
      <c r="C62492"/>
      <c r="M62492"/>
    </row>
    <row r="62493" spans="3:13" ht="12.75" customHeight="1" x14ac:dyDescent="0.2">
      <c r="C62493"/>
      <c r="M62493"/>
    </row>
    <row r="62494" spans="3:13" ht="12.75" customHeight="1" x14ac:dyDescent="0.2">
      <c r="C62494"/>
      <c r="M62494"/>
    </row>
    <row r="62495" spans="3:13" ht="12.75" customHeight="1" x14ac:dyDescent="0.2">
      <c r="C62495"/>
      <c r="M62495"/>
    </row>
    <row r="62496" spans="3:13" ht="12.75" customHeight="1" x14ac:dyDescent="0.2">
      <c r="C62496"/>
      <c r="M62496"/>
    </row>
    <row r="62497" spans="3:13" ht="12.75" customHeight="1" x14ac:dyDescent="0.2">
      <c r="C62497"/>
      <c r="M62497"/>
    </row>
    <row r="62498" spans="3:13" ht="12.75" customHeight="1" x14ac:dyDescent="0.2">
      <c r="C62498"/>
      <c r="M62498"/>
    </row>
    <row r="62499" spans="3:13" ht="12.75" customHeight="1" x14ac:dyDescent="0.2">
      <c r="C62499"/>
      <c r="M62499"/>
    </row>
    <row r="62500" spans="3:13" ht="12.75" customHeight="1" x14ac:dyDescent="0.2">
      <c r="C62500"/>
      <c r="M62500"/>
    </row>
    <row r="62501" spans="3:13" ht="12.75" customHeight="1" x14ac:dyDescent="0.2">
      <c r="C62501"/>
      <c r="M62501"/>
    </row>
    <row r="62502" spans="3:13" ht="12.75" customHeight="1" x14ac:dyDescent="0.2">
      <c r="C62502"/>
      <c r="M62502"/>
    </row>
    <row r="62503" spans="3:13" ht="12.75" customHeight="1" x14ac:dyDescent="0.2">
      <c r="C62503"/>
      <c r="M62503"/>
    </row>
    <row r="62504" spans="3:13" ht="12.75" customHeight="1" x14ac:dyDescent="0.2">
      <c r="C62504"/>
      <c r="M62504"/>
    </row>
    <row r="62505" spans="3:13" ht="12.75" customHeight="1" x14ac:dyDescent="0.2">
      <c r="C62505"/>
      <c r="M62505"/>
    </row>
    <row r="62506" spans="3:13" ht="12.75" customHeight="1" x14ac:dyDescent="0.2">
      <c r="C62506"/>
      <c r="M62506"/>
    </row>
    <row r="62507" spans="3:13" ht="12.75" customHeight="1" x14ac:dyDescent="0.2">
      <c r="C62507"/>
      <c r="M62507"/>
    </row>
    <row r="62508" spans="3:13" ht="12.75" customHeight="1" x14ac:dyDescent="0.2">
      <c r="C62508"/>
      <c r="M62508"/>
    </row>
    <row r="62509" spans="3:13" ht="12.75" customHeight="1" x14ac:dyDescent="0.2">
      <c r="C62509"/>
      <c r="M62509"/>
    </row>
    <row r="62510" spans="3:13" ht="12.75" customHeight="1" x14ac:dyDescent="0.2">
      <c r="C62510"/>
      <c r="M62510"/>
    </row>
    <row r="62511" spans="3:13" ht="12.75" customHeight="1" x14ac:dyDescent="0.2">
      <c r="C62511"/>
      <c r="M62511"/>
    </row>
    <row r="62512" spans="3:13" ht="12.75" customHeight="1" x14ac:dyDescent="0.2">
      <c r="C62512"/>
      <c r="M62512"/>
    </row>
    <row r="62513" spans="3:13" ht="12.75" customHeight="1" x14ac:dyDescent="0.2">
      <c r="C62513"/>
      <c r="M62513"/>
    </row>
    <row r="62514" spans="3:13" ht="12.75" customHeight="1" x14ac:dyDescent="0.2">
      <c r="C62514"/>
      <c r="M62514"/>
    </row>
    <row r="62515" spans="3:13" ht="12.75" customHeight="1" x14ac:dyDescent="0.2">
      <c r="C62515"/>
      <c r="M62515"/>
    </row>
    <row r="62516" spans="3:13" ht="12.75" customHeight="1" x14ac:dyDescent="0.2">
      <c r="C62516"/>
      <c r="M62516"/>
    </row>
    <row r="62517" spans="3:13" ht="12.75" customHeight="1" x14ac:dyDescent="0.2">
      <c r="C62517"/>
      <c r="M62517"/>
    </row>
    <row r="62518" spans="3:13" ht="12.75" customHeight="1" x14ac:dyDescent="0.2">
      <c r="C62518"/>
      <c r="M62518"/>
    </row>
    <row r="62519" spans="3:13" ht="12.75" customHeight="1" x14ac:dyDescent="0.2">
      <c r="C62519"/>
      <c r="M62519"/>
    </row>
    <row r="62520" spans="3:13" ht="12.75" customHeight="1" x14ac:dyDescent="0.2">
      <c r="C62520"/>
      <c r="M62520"/>
    </row>
    <row r="62521" spans="3:13" ht="12.75" customHeight="1" x14ac:dyDescent="0.2">
      <c r="C62521"/>
      <c r="M62521"/>
    </row>
    <row r="62522" spans="3:13" ht="12.75" customHeight="1" x14ac:dyDescent="0.2">
      <c r="C62522"/>
      <c r="M62522"/>
    </row>
    <row r="62523" spans="3:13" ht="12.75" customHeight="1" x14ac:dyDescent="0.2">
      <c r="C62523"/>
      <c r="M62523"/>
    </row>
    <row r="62524" spans="3:13" ht="12.75" customHeight="1" x14ac:dyDescent="0.2">
      <c r="C62524"/>
      <c r="M62524"/>
    </row>
    <row r="62525" spans="3:13" ht="12.75" customHeight="1" x14ac:dyDescent="0.2">
      <c r="C62525"/>
      <c r="M62525"/>
    </row>
    <row r="62526" spans="3:13" ht="12.75" customHeight="1" x14ac:dyDescent="0.2">
      <c r="C62526"/>
      <c r="M62526"/>
    </row>
    <row r="62527" spans="3:13" ht="12.75" customHeight="1" x14ac:dyDescent="0.2">
      <c r="C62527"/>
      <c r="M62527"/>
    </row>
    <row r="62528" spans="3:13" ht="12.75" customHeight="1" x14ac:dyDescent="0.2">
      <c r="C62528"/>
      <c r="M62528"/>
    </row>
    <row r="62529" spans="3:13" ht="12.75" customHeight="1" x14ac:dyDescent="0.2">
      <c r="C62529"/>
      <c r="M62529"/>
    </row>
    <row r="62530" spans="3:13" ht="12.75" customHeight="1" x14ac:dyDescent="0.2">
      <c r="C62530"/>
      <c r="M62530"/>
    </row>
    <row r="62531" spans="3:13" ht="12.75" customHeight="1" x14ac:dyDescent="0.2">
      <c r="C62531"/>
      <c r="M62531"/>
    </row>
    <row r="62532" spans="3:13" ht="12.75" customHeight="1" x14ac:dyDescent="0.2">
      <c r="C62532"/>
      <c r="M62532"/>
    </row>
    <row r="62533" spans="3:13" ht="12.75" customHeight="1" x14ac:dyDescent="0.2">
      <c r="C62533"/>
      <c r="M62533"/>
    </row>
    <row r="62534" spans="3:13" ht="12.75" customHeight="1" x14ac:dyDescent="0.2">
      <c r="C62534"/>
      <c r="M62534"/>
    </row>
    <row r="62535" spans="3:13" ht="12.75" customHeight="1" x14ac:dyDescent="0.2">
      <c r="C62535"/>
      <c r="M62535"/>
    </row>
    <row r="62536" spans="3:13" ht="12.75" customHeight="1" x14ac:dyDescent="0.2">
      <c r="C62536"/>
      <c r="M62536"/>
    </row>
    <row r="62537" spans="3:13" ht="12.75" customHeight="1" x14ac:dyDescent="0.2">
      <c r="C62537"/>
      <c r="M62537"/>
    </row>
    <row r="62538" spans="3:13" ht="12.75" customHeight="1" x14ac:dyDescent="0.2">
      <c r="C62538"/>
      <c r="M62538"/>
    </row>
    <row r="62539" spans="3:13" ht="12.75" customHeight="1" x14ac:dyDescent="0.2">
      <c r="C62539"/>
      <c r="M62539"/>
    </row>
    <row r="62540" spans="3:13" ht="12.75" customHeight="1" x14ac:dyDescent="0.2">
      <c r="C62540"/>
      <c r="M62540"/>
    </row>
    <row r="62541" spans="3:13" ht="12.75" customHeight="1" x14ac:dyDescent="0.2">
      <c r="C62541"/>
      <c r="M62541"/>
    </row>
    <row r="62542" spans="3:13" ht="12.75" customHeight="1" x14ac:dyDescent="0.2">
      <c r="C62542"/>
      <c r="M62542"/>
    </row>
    <row r="62543" spans="3:13" ht="12.75" customHeight="1" x14ac:dyDescent="0.2">
      <c r="C62543"/>
      <c r="M62543"/>
    </row>
    <row r="62544" spans="3:13" ht="12.75" customHeight="1" x14ac:dyDescent="0.2">
      <c r="C62544"/>
      <c r="M62544"/>
    </row>
    <row r="62545" spans="3:13" ht="12.75" customHeight="1" x14ac:dyDescent="0.2">
      <c r="C62545"/>
      <c r="M62545"/>
    </row>
    <row r="62546" spans="3:13" ht="12.75" customHeight="1" x14ac:dyDescent="0.2">
      <c r="C62546"/>
      <c r="M62546"/>
    </row>
    <row r="62547" spans="3:13" ht="12.75" customHeight="1" x14ac:dyDescent="0.2">
      <c r="C62547"/>
      <c r="M62547"/>
    </row>
    <row r="62548" spans="3:13" ht="12.75" customHeight="1" x14ac:dyDescent="0.2">
      <c r="C62548"/>
      <c r="M62548"/>
    </row>
    <row r="62549" spans="3:13" ht="12.75" customHeight="1" x14ac:dyDescent="0.2">
      <c r="C62549"/>
      <c r="M62549"/>
    </row>
    <row r="62550" spans="3:13" ht="12.75" customHeight="1" x14ac:dyDescent="0.2">
      <c r="C62550"/>
      <c r="M62550"/>
    </row>
    <row r="62551" spans="3:13" ht="12.75" customHeight="1" x14ac:dyDescent="0.2">
      <c r="C62551"/>
      <c r="M62551"/>
    </row>
    <row r="62552" spans="3:13" ht="12.75" customHeight="1" x14ac:dyDescent="0.2">
      <c r="C62552"/>
      <c r="M62552"/>
    </row>
    <row r="62553" spans="3:13" ht="12.75" customHeight="1" x14ac:dyDescent="0.2">
      <c r="C62553"/>
      <c r="M62553"/>
    </row>
    <row r="62554" spans="3:13" ht="12.75" customHeight="1" x14ac:dyDescent="0.2">
      <c r="C62554"/>
      <c r="M62554"/>
    </row>
    <row r="62555" spans="3:13" ht="12.75" customHeight="1" x14ac:dyDescent="0.2">
      <c r="C62555"/>
      <c r="M62555"/>
    </row>
    <row r="62556" spans="3:13" ht="12.75" customHeight="1" x14ac:dyDescent="0.2">
      <c r="C62556"/>
      <c r="M62556"/>
    </row>
    <row r="62557" spans="3:13" ht="12.75" customHeight="1" x14ac:dyDescent="0.2">
      <c r="C62557"/>
      <c r="M62557"/>
    </row>
    <row r="62558" spans="3:13" ht="12.75" customHeight="1" x14ac:dyDescent="0.2">
      <c r="C62558"/>
      <c r="M62558"/>
    </row>
    <row r="62559" spans="3:13" ht="12.75" customHeight="1" x14ac:dyDescent="0.2">
      <c r="C62559"/>
      <c r="M62559"/>
    </row>
    <row r="62560" spans="3:13" ht="12.75" customHeight="1" x14ac:dyDescent="0.2">
      <c r="C62560"/>
      <c r="M62560"/>
    </row>
    <row r="62561" spans="3:13" ht="12.75" customHeight="1" x14ac:dyDescent="0.2">
      <c r="C62561"/>
      <c r="M62561"/>
    </row>
    <row r="62562" spans="3:13" ht="12.75" customHeight="1" x14ac:dyDescent="0.2">
      <c r="C62562"/>
      <c r="M62562"/>
    </row>
    <row r="62563" spans="3:13" ht="12.75" customHeight="1" x14ac:dyDescent="0.2">
      <c r="C62563"/>
      <c r="M62563"/>
    </row>
    <row r="62564" spans="3:13" ht="12.75" customHeight="1" x14ac:dyDescent="0.2">
      <c r="C62564"/>
      <c r="M62564"/>
    </row>
    <row r="62565" spans="3:13" ht="12.75" customHeight="1" x14ac:dyDescent="0.2">
      <c r="C62565"/>
      <c r="M62565"/>
    </row>
    <row r="62566" spans="3:13" ht="12.75" customHeight="1" x14ac:dyDescent="0.2">
      <c r="C62566"/>
      <c r="M62566"/>
    </row>
    <row r="62567" spans="3:13" ht="12.75" customHeight="1" x14ac:dyDescent="0.2">
      <c r="C62567"/>
      <c r="M62567"/>
    </row>
    <row r="62568" spans="3:13" ht="12.75" customHeight="1" x14ac:dyDescent="0.2">
      <c r="C62568"/>
      <c r="M62568"/>
    </row>
    <row r="62569" spans="3:13" ht="12.75" customHeight="1" x14ac:dyDescent="0.2">
      <c r="C62569"/>
      <c r="M62569"/>
    </row>
    <row r="62570" spans="3:13" ht="12.75" customHeight="1" x14ac:dyDescent="0.2">
      <c r="C62570"/>
      <c r="M62570"/>
    </row>
    <row r="62571" spans="3:13" ht="12.75" customHeight="1" x14ac:dyDescent="0.2">
      <c r="C62571"/>
      <c r="M62571"/>
    </row>
    <row r="62572" spans="3:13" ht="12.75" customHeight="1" x14ac:dyDescent="0.2">
      <c r="C62572"/>
      <c r="M62572"/>
    </row>
    <row r="62573" spans="3:13" ht="12.75" customHeight="1" x14ac:dyDescent="0.2">
      <c r="C62573"/>
      <c r="M62573"/>
    </row>
    <row r="62574" spans="3:13" ht="12.75" customHeight="1" x14ac:dyDescent="0.2">
      <c r="C62574"/>
      <c r="M62574"/>
    </row>
    <row r="62575" spans="3:13" ht="12.75" customHeight="1" x14ac:dyDescent="0.2">
      <c r="C62575"/>
      <c r="M62575"/>
    </row>
    <row r="62576" spans="3:13" ht="12.75" customHeight="1" x14ac:dyDescent="0.2">
      <c r="C62576"/>
      <c r="M62576"/>
    </row>
    <row r="62577" spans="3:13" ht="12.75" customHeight="1" x14ac:dyDescent="0.2">
      <c r="C62577"/>
      <c r="M62577"/>
    </row>
    <row r="62578" spans="3:13" ht="12.75" customHeight="1" x14ac:dyDescent="0.2">
      <c r="C62578"/>
      <c r="M62578"/>
    </row>
    <row r="62579" spans="3:13" ht="12.75" customHeight="1" x14ac:dyDescent="0.2">
      <c r="C62579"/>
      <c r="M62579"/>
    </row>
    <row r="62580" spans="3:13" ht="12.75" customHeight="1" x14ac:dyDescent="0.2">
      <c r="C62580"/>
      <c r="M62580"/>
    </row>
    <row r="62581" spans="3:13" ht="12.75" customHeight="1" x14ac:dyDescent="0.2">
      <c r="C62581"/>
      <c r="M62581"/>
    </row>
    <row r="62582" spans="3:13" ht="12.75" customHeight="1" x14ac:dyDescent="0.2">
      <c r="C62582"/>
      <c r="M62582"/>
    </row>
    <row r="62583" spans="3:13" ht="12.75" customHeight="1" x14ac:dyDescent="0.2">
      <c r="C62583"/>
      <c r="M62583"/>
    </row>
    <row r="62584" spans="3:13" ht="12.75" customHeight="1" x14ac:dyDescent="0.2">
      <c r="C62584"/>
      <c r="M62584"/>
    </row>
    <row r="62585" spans="3:13" ht="12.75" customHeight="1" x14ac:dyDescent="0.2">
      <c r="C62585"/>
      <c r="M62585"/>
    </row>
    <row r="62586" spans="3:13" ht="12.75" customHeight="1" x14ac:dyDescent="0.2">
      <c r="C62586"/>
      <c r="M62586"/>
    </row>
    <row r="62587" spans="3:13" ht="12.75" customHeight="1" x14ac:dyDescent="0.2">
      <c r="C62587"/>
      <c r="M62587"/>
    </row>
    <row r="62588" spans="3:13" ht="12.75" customHeight="1" x14ac:dyDescent="0.2">
      <c r="C62588"/>
      <c r="M62588"/>
    </row>
    <row r="62589" spans="3:13" ht="12.75" customHeight="1" x14ac:dyDescent="0.2">
      <c r="C62589"/>
      <c r="M62589"/>
    </row>
    <row r="62590" spans="3:13" ht="12.75" customHeight="1" x14ac:dyDescent="0.2">
      <c r="C62590"/>
      <c r="M62590"/>
    </row>
    <row r="62591" spans="3:13" ht="12.75" customHeight="1" x14ac:dyDescent="0.2">
      <c r="C62591"/>
      <c r="M62591"/>
    </row>
    <row r="62592" spans="3:13" ht="12.75" customHeight="1" x14ac:dyDescent="0.2">
      <c r="C62592"/>
      <c r="M62592"/>
    </row>
    <row r="62593" spans="3:13" ht="12.75" customHeight="1" x14ac:dyDescent="0.2">
      <c r="C62593"/>
      <c r="M62593"/>
    </row>
    <row r="62594" spans="3:13" ht="12.75" customHeight="1" x14ac:dyDescent="0.2">
      <c r="C62594"/>
      <c r="M62594"/>
    </row>
    <row r="62595" spans="3:13" ht="12.75" customHeight="1" x14ac:dyDescent="0.2">
      <c r="C62595"/>
      <c r="M62595"/>
    </row>
    <row r="62596" spans="3:13" ht="12.75" customHeight="1" x14ac:dyDescent="0.2">
      <c r="C62596"/>
      <c r="M62596"/>
    </row>
    <row r="62597" spans="3:13" ht="12.75" customHeight="1" x14ac:dyDescent="0.2">
      <c r="C62597"/>
      <c r="M62597"/>
    </row>
    <row r="62598" spans="3:13" ht="12.75" customHeight="1" x14ac:dyDescent="0.2">
      <c r="C62598"/>
      <c r="M62598"/>
    </row>
    <row r="62599" spans="3:13" ht="12.75" customHeight="1" x14ac:dyDescent="0.2">
      <c r="C62599"/>
      <c r="M62599"/>
    </row>
    <row r="62600" spans="3:13" ht="12.75" customHeight="1" x14ac:dyDescent="0.2">
      <c r="C62600"/>
      <c r="M62600"/>
    </row>
    <row r="62601" spans="3:13" ht="12.75" customHeight="1" x14ac:dyDescent="0.2">
      <c r="C62601"/>
      <c r="M62601"/>
    </row>
    <row r="62602" spans="3:13" ht="12.75" customHeight="1" x14ac:dyDescent="0.2">
      <c r="C62602"/>
      <c r="M62602"/>
    </row>
    <row r="62603" spans="3:13" ht="12.75" customHeight="1" x14ac:dyDescent="0.2">
      <c r="C62603"/>
      <c r="M62603"/>
    </row>
    <row r="62604" spans="3:13" ht="12.75" customHeight="1" x14ac:dyDescent="0.2">
      <c r="C62604"/>
      <c r="M62604"/>
    </row>
    <row r="62605" spans="3:13" ht="12.75" customHeight="1" x14ac:dyDescent="0.2">
      <c r="C62605"/>
      <c r="M62605"/>
    </row>
    <row r="62606" spans="3:13" ht="12.75" customHeight="1" x14ac:dyDescent="0.2">
      <c r="C62606"/>
      <c r="M62606"/>
    </row>
    <row r="62607" spans="3:13" ht="12.75" customHeight="1" x14ac:dyDescent="0.2">
      <c r="C62607"/>
      <c r="M62607"/>
    </row>
    <row r="62608" spans="3:13" ht="12.75" customHeight="1" x14ac:dyDescent="0.2">
      <c r="C62608"/>
      <c r="M62608"/>
    </row>
    <row r="62609" spans="3:13" ht="12.75" customHeight="1" x14ac:dyDescent="0.2">
      <c r="C62609"/>
      <c r="M62609"/>
    </row>
    <row r="62610" spans="3:13" ht="12.75" customHeight="1" x14ac:dyDescent="0.2">
      <c r="C62610"/>
      <c r="M62610"/>
    </row>
    <row r="62611" spans="3:13" ht="12.75" customHeight="1" x14ac:dyDescent="0.2">
      <c r="C62611"/>
      <c r="M62611"/>
    </row>
    <row r="62612" spans="3:13" ht="12.75" customHeight="1" x14ac:dyDescent="0.2">
      <c r="C62612"/>
      <c r="M62612"/>
    </row>
    <row r="62613" spans="3:13" ht="12.75" customHeight="1" x14ac:dyDescent="0.2">
      <c r="C62613"/>
      <c r="M62613"/>
    </row>
    <row r="62614" spans="3:13" ht="12.75" customHeight="1" x14ac:dyDescent="0.2">
      <c r="C62614"/>
      <c r="M62614"/>
    </row>
    <row r="62615" spans="3:13" ht="12.75" customHeight="1" x14ac:dyDescent="0.2">
      <c r="C62615"/>
      <c r="M62615"/>
    </row>
    <row r="62616" spans="3:13" ht="12.75" customHeight="1" x14ac:dyDescent="0.2">
      <c r="C62616"/>
      <c r="M62616"/>
    </row>
    <row r="62617" spans="3:13" ht="12.75" customHeight="1" x14ac:dyDescent="0.2">
      <c r="C62617"/>
      <c r="M62617"/>
    </row>
    <row r="62618" spans="3:13" ht="12.75" customHeight="1" x14ac:dyDescent="0.2">
      <c r="C62618"/>
      <c r="M62618"/>
    </row>
    <row r="62619" spans="3:13" ht="12.75" customHeight="1" x14ac:dyDescent="0.2">
      <c r="C62619"/>
      <c r="M62619"/>
    </row>
    <row r="62620" spans="3:13" ht="12.75" customHeight="1" x14ac:dyDescent="0.2">
      <c r="C62620"/>
      <c r="M62620"/>
    </row>
    <row r="62621" spans="3:13" ht="12.75" customHeight="1" x14ac:dyDescent="0.2">
      <c r="C62621"/>
      <c r="M62621"/>
    </row>
    <row r="62622" spans="3:13" ht="12.75" customHeight="1" x14ac:dyDescent="0.2">
      <c r="C62622"/>
      <c r="M62622"/>
    </row>
    <row r="62623" spans="3:13" ht="12.75" customHeight="1" x14ac:dyDescent="0.2">
      <c r="C62623"/>
      <c r="M62623"/>
    </row>
    <row r="62624" spans="3:13" ht="12.75" customHeight="1" x14ac:dyDescent="0.2">
      <c r="C62624"/>
      <c r="M62624"/>
    </row>
    <row r="62625" spans="3:13" ht="12.75" customHeight="1" x14ac:dyDescent="0.2">
      <c r="C62625"/>
      <c r="M62625"/>
    </row>
    <row r="62626" spans="3:13" ht="12.75" customHeight="1" x14ac:dyDescent="0.2">
      <c r="C62626"/>
      <c r="M62626"/>
    </row>
    <row r="62627" spans="3:13" ht="12.75" customHeight="1" x14ac:dyDescent="0.2">
      <c r="C62627"/>
      <c r="M62627"/>
    </row>
    <row r="62628" spans="3:13" ht="12.75" customHeight="1" x14ac:dyDescent="0.2">
      <c r="C62628"/>
      <c r="M62628"/>
    </row>
    <row r="62629" spans="3:13" ht="12.75" customHeight="1" x14ac:dyDescent="0.2">
      <c r="C62629"/>
      <c r="M62629"/>
    </row>
    <row r="62630" spans="3:13" ht="12.75" customHeight="1" x14ac:dyDescent="0.2">
      <c r="C62630"/>
      <c r="M62630"/>
    </row>
    <row r="62631" spans="3:13" ht="12.75" customHeight="1" x14ac:dyDescent="0.2">
      <c r="C62631"/>
      <c r="M62631"/>
    </row>
    <row r="62632" spans="3:13" ht="12.75" customHeight="1" x14ac:dyDescent="0.2">
      <c r="C62632"/>
      <c r="M62632"/>
    </row>
    <row r="62633" spans="3:13" ht="12.75" customHeight="1" x14ac:dyDescent="0.2">
      <c r="C62633"/>
      <c r="M62633"/>
    </row>
    <row r="62634" spans="3:13" ht="12.75" customHeight="1" x14ac:dyDescent="0.2">
      <c r="C62634"/>
      <c r="M62634"/>
    </row>
    <row r="62635" spans="3:13" ht="12.75" customHeight="1" x14ac:dyDescent="0.2">
      <c r="C62635"/>
      <c r="M62635"/>
    </row>
    <row r="62636" spans="3:13" ht="12.75" customHeight="1" x14ac:dyDescent="0.2">
      <c r="C62636"/>
      <c r="M62636"/>
    </row>
    <row r="62637" spans="3:13" ht="12.75" customHeight="1" x14ac:dyDescent="0.2">
      <c r="C62637"/>
      <c r="M62637"/>
    </row>
    <row r="62638" spans="3:13" ht="12.75" customHeight="1" x14ac:dyDescent="0.2">
      <c r="C62638"/>
      <c r="M62638"/>
    </row>
    <row r="62639" spans="3:13" ht="12.75" customHeight="1" x14ac:dyDescent="0.2">
      <c r="C62639"/>
      <c r="M62639"/>
    </row>
    <row r="62640" spans="3:13" ht="12.75" customHeight="1" x14ac:dyDescent="0.2">
      <c r="C62640"/>
      <c r="M62640"/>
    </row>
    <row r="62641" spans="3:13" ht="12.75" customHeight="1" x14ac:dyDescent="0.2">
      <c r="C62641"/>
      <c r="M62641"/>
    </row>
    <row r="62642" spans="3:13" ht="12.75" customHeight="1" x14ac:dyDescent="0.2">
      <c r="C62642"/>
      <c r="M62642"/>
    </row>
    <row r="62643" spans="3:13" ht="12.75" customHeight="1" x14ac:dyDescent="0.2">
      <c r="C62643"/>
      <c r="M62643"/>
    </row>
    <row r="62644" spans="3:13" ht="12.75" customHeight="1" x14ac:dyDescent="0.2">
      <c r="C62644"/>
      <c r="M62644"/>
    </row>
    <row r="62645" spans="3:13" ht="12.75" customHeight="1" x14ac:dyDescent="0.2">
      <c r="C62645"/>
      <c r="M62645"/>
    </row>
    <row r="62646" spans="3:13" ht="12.75" customHeight="1" x14ac:dyDescent="0.2">
      <c r="C62646"/>
      <c r="M62646"/>
    </row>
    <row r="62647" spans="3:13" ht="12.75" customHeight="1" x14ac:dyDescent="0.2">
      <c r="C62647"/>
      <c r="M62647"/>
    </row>
    <row r="62648" spans="3:13" ht="12.75" customHeight="1" x14ac:dyDescent="0.2">
      <c r="C62648"/>
      <c r="M62648"/>
    </row>
    <row r="62649" spans="3:13" ht="12.75" customHeight="1" x14ac:dyDescent="0.2">
      <c r="C62649"/>
      <c r="M62649"/>
    </row>
    <row r="62650" spans="3:13" ht="12.75" customHeight="1" x14ac:dyDescent="0.2">
      <c r="C62650"/>
      <c r="M62650"/>
    </row>
    <row r="62651" spans="3:13" ht="12.75" customHeight="1" x14ac:dyDescent="0.2">
      <c r="C62651"/>
      <c r="M62651"/>
    </row>
    <row r="62652" spans="3:13" ht="12.75" customHeight="1" x14ac:dyDescent="0.2">
      <c r="C62652"/>
      <c r="M62652"/>
    </row>
    <row r="62653" spans="3:13" ht="12.75" customHeight="1" x14ac:dyDescent="0.2">
      <c r="C62653"/>
      <c r="M62653"/>
    </row>
    <row r="62654" spans="3:13" ht="12.75" customHeight="1" x14ac:dyDescent="0.2">
      <c r="C62654"/>
      <c r="M62654"/>
    </row>
    <row r="62655" spans="3:13" ht="12.75" customHeight="1" x14ac:dyDescent="0.2">
      <c r="C62655"/>
      <c r="M62655"/>
    </row>
    <row r="62656" spans="3:13" ht="12.75" customHeight="1" x14ac:dyDescent="0.2">
      <c r="C62656"/>
      <c r="M62656"/>
    </row>
    <row r="62657" spans="3:13" ht="12.75" customHeight="1" x14ac:dyDescent="0.2">
      <c r="C62657"/>
      <c r="M62657"/>
    </row>
    <row r="62658" spans="3:13" ht="12.75" customHeight="1" x14ac:dyDescent="0.2">
      <c r="C62658"/>
      <c r="M62658"/>
    </row>
    <row r="62659" spans="3:13" ht="12.75" customHeight="1" x14ac:dyDescent="0.2">
      <c r="C62659"/>
      <c r="M62659"/>
    </row>
    <row r="62660" spans="3:13" ht="12.75" customHeight="1" x14ac:dyDescent="0.2">
      <c r="C62660"/>
      <c r="M62660"/>
    </row>
    <row r="62661" spans="3:13" ht="12.75" customHeight="1" x14ac:dyDescent="0.2">
      <c r="C62661"/>
      <c r="M62661"/>
    </row>
    <row r="62662" spans="3:13" ht="12.75" customHeight="1" x14ac:dyDescent="0.2">
      <c r="C62662"/>
      <c r="M62662"/>
    </row>
    <row r="62663" spans="3:13" ht="12.75" customHeight="1" x14ac:dyDescent="0.2">
      <c r="C62663"/>
      <c r="M62663"/>
    </row>
    <row r="62664" spans="3:13" ht="12.75" customHeight="1" x14ac:dyDescent="0.2">
      <c r="C62664"/>
      <c r="M62664"/>
    </row>
    <row r="62665" spans="3:13" ht="12.75" customHeight="1" x14ac:dyDescent="0.2">
      <c r="C62665"/>
      <c r="M62665"/>
    </row>
    <row r="62666" spans="3:13" ht="12.75" customHeight="1" x14ac:dyDescent="0.2">
      <c r="C62666"/>
      <c r="M62666"/>
    </row>
    <row r="62667" spans="3:13" ht="12.75" customHeight="1" x14ac:dyDescent="0.2">
      <c r="C62667"/>
      <c r="M62667"/>
    </row>
    <row r="62668" spans="3:13" ht="12.75" customHeight="1" x14ac:dyDescent="0.2">
      <c r="C62668"/>
      <c r="M62668"/>
    </row>
    <row r="62669" spans="3:13" ht="12.75" customHeight="1" x14ac:dyDescent="0.2">
      <c r="C62669"/>
      <c r="M62669"/>
    </row>
    <row r="62670" spans="3:13" ht="12.75" customHeight="1" x14ac:dyDescent="0.2">
      <c r="C62670"/>
      <c r="M62670"/>
    </row>
    <row r="62671" spans="3:13" ht="12.75" customHeight="1" x14ac:dyDescent="0.2">
      <c r="C62671"/>
      <c r="M62671"/>
    </row>
    <row r="62672" spans="3:13" ht="12.75" customHeight="1" x14ac:dyDescent="0.2">
      <c r="C62672"/>
      <c r="M62672"/>
    </row>
    <row r="62673" spans="3:13" ht="12.75" customHeight="1" x14ac:dyDescent="0.2">
      <c r="C62673"/>
      <c r="M62673"/>
    </row>
    <row r="62674" spans="3:13" ht="12.75" customHeight="1" x14ac:dyDescent="0.2">
      <c r="C62674"/>
      <c r="M62674"/>
    </row>
    <row r="62675" spans="3:13" ht="12.75" customHeight="1" x14ac:dyDescent="0.2">
      <c r="C62675"/>
      <c r="M62675"/>
    </row>
    <row r="62676" spans="3:13" ht="12.75" customHeight="1" x14ac:dyDescent="0.2">
      <c r="C62676"/>
      <c r="M62676"/>
    </row>
    <row r="62677" spans="3:13" ht="12.75" customHeight="1" x14ac:dyDescent="0.2">
      <c r="C62677"/>
      <c r="M62677"/>
    </row>
    <row r="62678" spans="3:13" ht="12.75" customHeight="1" x14ac:dyDescent="0.2">
      <c r="C62678"/>
      <c r="M62678"/>
    </row>
    <row r="62679" spans="3:13" ht="12.75" customHeight="1" x14ac:dyDescent="0.2">
      <c r="C62679"/>
      <c r="M62679"/>
    </row>
    <row r="62680" spans="3:13" ht="12.75" customHeight="1" x14ac:dyDescent="0.2">
      <c r="C62680"/>
      <c r="M62680"/>
    </row>
    <row r="62681" spans="3:13" ht="12.75" customHeight="1" x14ac:dyDescent="0.2">
      <c r="C62681"/>
      <c r="M62681"/>
    </row>
    <row r="62682" spans="3:13" ht="12.75" customHeight="1" x14ac:dyDescent="0.2">
      <c r="C62682"/>
      <c r="M62682"/>
    </row>
    <row r="62683" spans="3:13" ht="12.75" customHeight="1" x14ac:dyDescent="0.2">
      <c r="C62683"/>
      <c r="M62683"/>
    </row>
    <row r="62684" spans="3:13" ht="12.75" customHeight="1" x14ac:dyDescent="0.2">
      <c r="C62684"/>
      <c r="M62684"/>
    </row>
    <row r="62685" spans="3:13" ht="12.75" customHeight="1" x14ac:dyDescent="0.2">
      <c r="C62685"/>
      <c r="M62685"/>
    </row>
    <row r="62686" spans="3:13" ht="12.75" customHeight="1" x14ac:dyDescent="0.2">
      <c r="C62686"/>
      <c r="M62686"/>
    </row>
    <row r="62687" spans="3:13" ht="12.75" customHeight="1" x14ac:dyDescent="0.2">
      <c r="C62687"/>
      <c r="M62687"/>
    </row>
    <row r="62688" spans="3:13" ht="12.75" customHeight="1" x14ac:dyDescent="0.2">
      <c r="C62688"/>
      <c r="M62688"/>
    </row>
    <row r="62689" spans="3:13" ht="12.75" customHeight="1" x14ac:dyDescent="0.2">
      <c r="C62689"/>
      <c r="M62689"/>
    </row>
    <row r="62690" spans="3:13" ht="12.75" customHeight="1" x14ac:dyDescent="0.2">
      <c r="C62690"/>
      <c r="M62690"/>
    </row>
    <row r="62691" spans="3:13" ht="12.75" customHeight="1" x14ac:dyDescent="0.2">
      <c r="C62691"/>
      <c r="M62691"/>
    </row>
    <row r="62692" spans="3:13" ht="12.75" customHeight="1" x14ac:dyDescent="0.2">
      <c r="C62692"/>
      <c r="M62692"/>
    </row>
    <row r="62693" spans="3:13" ht="12.75" customHeight="1" x14ac:dyDescent="0.2">
      <c r="C62693"/>
      <c r="M62693"/>
    </row>
    <row r="62694" spans="3:13" ht="12.75" customHeight="1" x14ac:dyDescent="0.2">
      <c r="C62694"/>
      <c r="M62694"/>
    </row>
    <row r="62695" spans="3:13" ht="12.75" customHeight="1" x14ac:dyDescent="0.2">
      <c r="C62695"/>
      <c r="M62695"/>
    </row>
    <row r="62696" spans="3:13" ht="12.75" customHeight="1" x14ac:dyDescent="0.2">
      <c r="C62696"/>
      <c r="M62696"/>
    </row>
    <row r="62697" spans="3:13" ht="12.75" customHeight="1" x14ac:dyDescent="0.2">
      <c r="C62697"/>
      <c r="M62697"/>
    </row>
    <row r="62698" spans="3:13" ht="12.75" customHeight="1" x14ac:dyDescent="0.2">
      <c r="C62698"/>
      <c r="M62698"/>
    </row>
    <row r="62699" spans="3:13" ht="12.75" customHeight="1" x14ac:dyDescent="0.2">
      <c r="C62699"/>
      <c r="M62699"/>
    </row>
    <row r="62700" spans="3:13" ht="12.75" customHeight="1" x14ac:dyDescent="0.2">
      <c r="C62700"/>
      <c r="M62700"/>
    </row>
    <row r="62701" spans="3:13" ht="12.75" customHeight="1" x14ac:dyDescent="0.2">
      <c r="C62701"/>
      <c r="M62701"/>
    </row>
    <row r="62702" spans="3:13" ht="12.75" customHeight="1" x14ac:dyDescent="0.2">
      <c r="C62702"/>
      <c r="M62702"/>
    </row>
    <row r="62703" spans="3:13" ht="12.75" customHeight="1" x14ac:dyDescent="0.2">
      <c r="C62703"/>
      <c r="M62703"/>
    </row>
    <row r="62704" spans="3:13" ht="12.75" customHeight="1" x14ac:dyDescent="0.2">
      <c r="C62704"/>
      <c r="M62704"/>
    </row>
    <row r="62705" spans="3:13" ht="12.75" customHeight="1" x14ac:dyDescent="0.2">
      <c r="C62705"/>
      <c r="M62705"/>
    </row>
    <row r="62706" spans="3:13" ht="12.75" customHeight="1" x14ac:dyDescent="0.2">
      <c r="C62706"/>
      <c r="M62706"/>
    </row>
    <row r="62707" spans="3:13" ht="12.75" customHeight="1" x14ac:dyDescent="0.2">
      <c r="C62707"/>
      <c r="M62707"/>
    </row>
    <row r="62708" spans="3:13" ht="12.75" customHeight="1" x14ac:dyDescent="0.2">
      <c r="C62708"/>
      <c r="M62708"/>
    </row>
    <row r="62709" spans="3:13" ht="12.75" customHeight="1" x14ac:dyDescent="0.2">
      <c r="C62709"/>
      <c r="M62709"/>
    </row>
    <row r="62710" spans="3:13" ht="12.75" customHeight="1" x14ac:dyDescent="0.2">
      <c r="C62710"/>
      <c r="M62710"/>
    </row>
    <row r="62711" spans="3:13" ht="12.75" customHeight="1" x14ac:dyDescent="0.2">
      <c r="C62711"/>
      <c r="M62711"/>
    </row>
    <row r="62712" spans="3:13" ht="12.75" customHeight="1" x14ac:dyDescent="0.2">
      <c r="C62712"/>
      <c r="M62712"/>
    </row>
    <row r="62713" spans="3:13" ht="12.75" customHeight="1" x14ac:dyDescent="0.2">
      <c r="C62713"/>
      <c r="M62713"/>
    </row>
    <row r="62714" spans="3:13" ht="12.75" customHeight="1" x14ac:dyDescent="0.2">
      <c r="C62714"/>
      <c r="M62714"/>
    </row>
    <row r="62715" spans="3:13" ht="12.75" customHeight="1" x14ac:dyDescent="0.2">
      <c r="C62715"/>
      <c r="M62715"/>
    </row>
    <row r="62716" spans="3:13" ht="12.75" customHeight="1" x14ac:dyDescent="0.2">
      <c r="C62716"/>
      <c r="M62716"/>
    </row>
    <row r="62717" spans="3:13" ht="12.75" customHeight="1" x14ac:dyDescent="0.2">
      <c r="C62717"/>
      <c r="M62717"/>
    </row>
    <row r="62718" spans="3:13" ht="12.75" customHeight="1" x14ac:dyDescent="0.2">
      <c r="C62718"/>
      <c r="M62718"/>
    </row>
    <row r="62719" spans="3:13" ht="12.75" customHeight="1" x14ac:dyDescent="0.2">
      <c r="C62719"/>
      <c r="M62719"/>
    </row>
    <row r="62720" spans="3:13" ht="12.75" customHeight="1" x14ac:dyDescent="0.2">
      <c r="C62720"/>
      <c r="M62720"/>
    </row>
    <row r="62721" spans="3:13" ht="12.75" customHeight="1" x14ac:dyDescent="0.2">
      <c r="C62721"/>
      <c r="M62721"/>
    </row>
    <row r="62722" spans="3:13" ht="12.75" customHeight="1" x14ac:dyDescent="0.2">
      <c r="C62722"/>
      <c r="M62722"/>
    </row>
    <row r="62723" spans="3:13" ht="12.75" customHeight="1" x14ac:dyDescent="0.2">
      <c r="C62723"/>
      <c r="M62723"/>
    </row>
    <row r="62724" spans="3:13" ht="12.75" customHeight="1" x14ac:dyDescent="0.2">
      <c r="C62724"/>
      <c r="M62724"/>
    </row>
    <row r="62725" spans="3:13" ht="12.75" customHeight="1" x14ac:dyDescent="0.2">
      <c r="C62725"/>
      <c r="M62725"/>
    </row>
    <row r="62726" spans="3:13" ht="12.75" customHeight="1" x14ac:dyDescent="0.2">
      <c r="C62726"/>
      <c r="M62726"/>
    </row>
    <row r="62727" spans="3:13" ht="12.75" customHeight="1" x14ac:dyDescent="0.2">
      <c r="C62727"/>
      <c r="M62727"/>
    </row>
    <row r="62728" spans="3:13" ht="12.75" customHeight="1" x14ac:dyDescent="0.2">
      <c r="C62728"/>
      <c r="M62728"/>
    </row>
    <row r="62729" spans="3:13" ht="12.75" customHeight="1" x14ac:dyDescent="0.2">
      <c r="C62729"/>
      <c r="M62729"/>
    </row>
    <row r="62730" spans="3:13" ht="12.75" customHeight="1" x14ac:dyDescent="0.2">
      <c r="C62730"/>
      <c r="M62730"/>
    </row>
    <row r="62731" spans="3:13" ht="12.75" customHeight="1" x14ac:dyDescent="0.2">
      <c r="C62731"/>
      <c r="M62731"/>
    </row>
    <row r="62732" spans="3:13" ht="12.75" customHeight="1" x14ac:dyDescent="0.2">
      <c r="C62732"/>
      <c r="M62732"/>
    </row>
    <row r="62733" spans="3:13" ht="12.75" customHeight="1" x14ac:dyDescent="0.2">
      <c r="C62733"/>
      <c r="M62733"/>
    </row>
    <row r="62734" spans="3:13" ht="12.75" customHeight="1" x14ac:dyDescent="0.2">
      <c r="C62734"/>
      <c r="M62734"/>
    </row>
    <row r="62735" spans="3:13" ht="12.75" customHeight="1" x14ac:dyDescent="0.2">
      <c r="C62735"/>
      <c r="M62735"/>
    </row>
    <row r="62736" spans="3:13" ht="12.75" customHeight="1" x14ac:dyDescent="0.2">
      <c r="C62736"/>
      <c r="M62736"/>
    </row>
    <row r="62737" spans="3:13" ht="12.75" customHeight="1" x14ac:dyDescent="0.2">
      <c r="C62737"/>
      <c r="M62737"/>
    </row>
    <row r="62738" spans="3:13" ht="12.75" customHeight="1" x14ac:dyDescent="0.2">
      <c r="C62738"/>
      <c r="M62738"/>
    </row>
    <row r="62739" spans="3:13" ht="12.75" customHeight="1" x14ac:dyDescent="0.2">
      <c r="C62739"/>
      <c r="M62739"/>
    </row>
    <row r="62740" spans="3:13" ht="12.75" customHeight="1" x14ac:dyDescent="0.2">
      <c r="C62740"/>
      <c r="M62740"/>
    </row>
    <row r="62741" spans="3:13" ht="12.75" customHeight="1" x14ac:dyDescent="0.2">
      <c r="C62741"/>
      <c r="M62741"/>
    </row>
    <row r="62742" spans="3:13" ht="12.75" customHeight="1" x14ac:dyDescent="0.2">
      <c r="C62742"/>
      <c r="M62742"/>
    </row>
    <row r="62743" spans="3:13" ht="12.75" customHeight="1" x14ac:dyDescent="0.2">
      <c r="C62743"/>
      <c r="M62743"/>
    </row>
    <row r="62744" spans="3:13" ht="12.75" customHeight="1" x14ac:dyDescent="0.2">
      <c r="C62744"/>
      <c r="M62744"/>
    </row>
    <row r="62745" spans="3:13" ht="12.75" customHeight="1" x14ac:dyDescent="0.2">
      <c r="C62745"/>
      <c r="M62745"/>
    </row>
    <row r="62746" spans="3:13" ht="12.75" customHeight="1" x14ac:dyDescent="0.2">
      <c r="C62746"/>
      <c r="M62746"/>
    </row>
    <row r="62747" spans="3:13" ht="12.75" customHeight="1" x14ac:dyDescent="0.2">
      <c r="C62747"/>
      <c r="M62747"/>
    </row>
    <row r="62748" spans="3:13" ht="12.75" customHeight="1" x14ac:dyDescent="0.2">
      <c r="C62748"/>
      <c r="M62748"/>
    </row>
    <row r="62749" spans="3:13" ht="12.75" customHeight="1" x14ac:dyDescent="0.2">
      <c r="C62749"/>
      <c r="M62749"/>
    </row>
    <row r="62750" spans="3:13" ht="12.75" customHeight="1" x14ac:dyDescent="0.2">
      <c r="C62750"/>
      <c r="M62750"/>
    </row>
    <row r="62751" spans="3:13" ht="12.75" customHeight="1" x14ac:dyDescent="0.2">
      <c r="C62751"/>
      <c r="M62751"/>
    </row>
    <row r="62752" spans="3:13" ht="12.75" customHeight="1" x14ac:dyDescent="0.2">
      <c r="C62752"/>
      <c r="M62752"/>
    </row>
    <row r="62753" spans="3:13" ht="12.75" customHeight="1" x14ac:dyDescent="0.2">
      <c r="C62753"/>
      <c r="M62753"/>
    </row>
    <row r="62754" spans="3:13" ht="12.75" customHeight="1" x14ac:dyDescent="0.2">
      <c r="C62754"/>
      <c r="M62754"/>
    </row>
    <row r="62755" spans="3:13" ht="12.75" customHeight="1" x14ac:dyDescent="0.2">
      <c r="C62755"/>
      <c r="M62755"/>
    </row>
    <row r="62756" spans="3:13" ht="12.75" customHeight="1" x14ac:dyDescent="0.2">
      <c r="C62756"/>
      <c r="M62756"/>
    </row>
    <row r="62757" spans="3:13" ht="12.75" customHeight="1" x14ac:dyDescent="0.2">
      <c r="C62757"/>
      <c r="M62757"/>
    </row>
    <row r="62758" spans="3:13" ht="12.75" customHeight="1" x14ac:dyDescent="0.2">
      <c r="C62758"/>
      <c r="M62758"/>
    </row>
    <row r="62759" spans="3:13" ht="12.75" customHeight="1" x14ac:dyDescent="0.2">
      <c r="C62759"/>
      <c r="M62759"/>
    </row>
    <row r="62760" spans="3:13" ht="12.75" customHeight="1" x14ac:dyDescent="0.2">
      <c r="C62760"/>
      <c r="M62760"/>
    </row>
    <row r="62761" spans="3:13" ht="12.75" customHeight="1" x14ac:dyDescent="0.2">
      <c r="C62761"/>
      <c r="M62761"/>
    </row>
    <row r="62762" spans="3:13" ht="12.75" customHeight="1" x14ac:dyDescent="0.2">
      <c r="C62762"/>
      <c r="M62762"/>
    </row>
    <row r="62763" spans="3:13" ht="12.75" customHeight="1" x14ac:dyDescent="0.2">
      <c r="C62763"/>
      <c r="M62763"/>
    </row>
    <row r="62764" spans="3:13" ht="12.75" customHeight="1" x14ac:dyDescent="0.2">
      <c r="C62764"/>
      <c r="M62764"/>
    </row>
    <row r="62765" spans="3:13" ht="12.75" customHeight="1" x14ac:dyDescent="0.2">
      <c r="C62765"/>
      <c r="M62765"/>
    </row>
    <row r="62766" spans="3:13" ht="12.75" customHeight="1" x14ac:dyDescent="0.2">
      <c r="C62766"/>
      <c r="M62766"/>
    </row>
    <row r="62767" spans="3:13" ht="12.75" customHeight="1" x14ac:dyDescent="0.2">
      <c r="C62767"/>
      <c r="M62767"/>
    </row>
    <row r="62768" spans="3:13" ht="12.75" customHeight="1" x14ac:dyDescent="0.2">
      <c r="C62768"/>
      <c r="M62768"/>
    </row>
    <row r="62769" spans="3:13" ht="12.75" customHeight="1" x14ac:dyDescent="0.2">
      <c r="C62769"/>
      <c r="M62769"/>
    </row>
    <row r="62770" spans="3:13" ht="12.75" customHeight="1" x14ac:dyDescent="0.2">
      <c r="C62770"/>
      <c r="M62770"/>
    </row>
    <row r="62771" spans="3:13" ht="12.75" customHeight="1" x14ac:dyDescent="0.2">
      <c r="C62771"/>
      <c r="M62771"/>
    </row>
    <row r="62772" spans="3:13" ht="12.75" customHeight="1" x14ac:dyDescent="0.2">
      <c r="C62772"/>
      <c r="M62772"/>
    </row>
    <row r="62773" spans="3:13" ht="12.75" customHeight="1" x14ac:dyDescent="0.2">
      <c r="C62773"/>
      <c r="M62773"/>
    </row>
    <row r="62774" spans="3:13" ht="12.75" customHeight="1" x14ac:dyDescent="0.2">
      <c r="C62774"/>
      <c r="M62774"/>
    </row>
    <row r="62775" spans="3:13" ht="12.75" customHeight="1" x14ac:dyDescent="0.2">
      <c r="C62775"/>
      <c r="M62775"/>
    </row>
    <row r="62776" spans="3:13" ht="12.75" customHeight="1" x14ac:dyDescent="0.2">
      <c r="C62776"/>
      <c r="M62776"/>
    </row>
    <row r="62777" spans="3:13" ht="12.75" customHeight="1" x14ac:dyDescent="0.2">
      <c r="C62777"/>
      <c r="M62777"/>
    </row>
    <row r="62778" spans="3:13" ht="12.75" customHeight="1" x14ac:dyDescent="0.2">
      <c r="C62778"/>
      <c r="M62778"/>
    </row>
    <row r="62779" spans="3:13" ht="12.75" customHeight="1" x14ac:dyDescent="0.2">
      <c r="C62779"/>
      <c r="M62779"/>
    </row>
    <row r="62780" spans="3:13" ht="12.75" customHeight="1" x14ac:dyDescent="0.2">
      <c r="C62780"/>
      <c r="M62780"/>
    </row>
    <row r="62781" spans="3:13" ht="12.75" customHeight="1" x14ac:dyDescent="0.2">
      <c r="C62781"/>
      <c r="M62781"/>
    </row>
    <row r="62782" spans="3:13" ht="12.75" customHeight="1" x14ac:dyDescent="0.2">
      <c r="C62782"/>
      <c r="M62782"/>
    </row>
    <row r="62783" spans="3:13" ht="12.75" customHeight="1" x14ac:dyDescent="0.2">
      <c r="C62783"/>
      <c r="M62783"/>
    </row>
    <row r="62784" spans="3:13" ht="12.75" customHeight="1" x14ac:dyDescent="0.2">
      <c r="C62784"/>
      <c r="M62784"/>
    </row>
    <row r="62785" spans="3:13" ht="12.75" customHeight="1" x14ac:dyDescent="0.2">
      <c r="C62785"/>
      <c r="M62785"/>
    </row>
    <row r="62786" spans="3:13" ht="12.75" customHeight="1" x14ac:dyDescent="0.2">
      <c r="C62786"/>
      <c r="M62786"/>
    </row>
    <row r="62787" spans="3:13" ht="12.75" customHeight="1" x14ac:dyDescent="0.2">
      <c r="C62787"/>
      <c r="M62787"/>
    </row>
    <row r="62788" spans="3:13" ht="12.75" customHeight="1" x14ac:dyDescent="0.2">
      <c r="C62788"/>
      <c r="M62788"/>
    </row>
    <row r="62789" spans="3:13" ht="12.75" customHeight="1" x14ac:dyDescent="0.2">
      <c r="C62789"/>
      <c r="M62789"/>
    </row>
    <row r="62790" spans="3:13" ht="12.75" customHeight="1" x14ac:dyDescent="0.2">
      <c r="C62790"/>
      <c r="M62790"/>
    </row>
    <row r="62791" spans="3:13" ht="12.75" customHeight="1" x14ac:dyDescent="0.2">
      <c r="C62791"/>
      <c r="M62791"/>
    </row>
    <row r="62792" spans="3:13" ht="12.75" customHeight="1" x14ac:dyDescent="0.2">
      <c r="C62792"/>
      <c r="M62792"/>
    </row>
    <row r="62793" spans="3:13" ht="12.75" customHeight="1" x14ac:dyDescent="0.2">
      <c r="C62793"/>
      <c r="M62793"/>
    </row>
    <row r="62794" spans="3:13" ht="12.75" customHeight="1" x14ac:dyDescent="0.2">
      <c r="C62794"/>
      <c r="M62794"/>
    </row>
    <row r="62795" spans="3:13" ht="12.75" customHeight="1" x14ac:dyDescent="0.2">
      <c r="C62795"/>
      <c r="M62795"/>
    </row>
    <row r="62796" spans="3:13" ht="12.75" customHeight="1" x14ac:dyDescent="0.2">
      <c r="C62796"/>
      <c r="M62796"/>
    </row>
    <row r="62797" spans="3:13" ht="12.75" customHeight="1" x14ac:dyDescent="0.2">
      <c r="C62797"/>
      <c r="M62797"/>
    </row>
    <row r="62798" spans="3:13" ht="12.75" customHeight="1" x14ac:dyDescent="0.2">
      <c r="C62798"/>
      <c r="M62798"/>
    </row>
    <row r="62799" spans="3:13" ht="12.75" customHeight="1" x14ac:dyDescent="0.2">
      <c r="C62799"/>
      <c r="M62799"/>
    </row>
    <row r="62800" spans="3:13" ht="12.75" customHeight="1" x14ac:dyDescent="0.2">
      <c r="C62800"/>
      <c r="M62800"/>
    </row>
    <row r="62801" spans="3:13" ht="12.75" customHeight="1" x14ac:dyDescent="0.2">
      <c r="C62801"/>
      <c r="M62801"/>
    </row>
    <row r="62802" spans="3:13" ht="12.75" customHeight="1" x14ac:dyDescent="0.2">
      <c r="C62802"/>
      <c r="M62802"/>
    </row>
    <row r="62803" spans="3:13" ht="12.75" customHeight="1" x14ac:dyDescent="0.2">
      <c r="C62803"/>
      <c r="M62803"/>
    </row>
    <row r="62804" spans="3:13" ht="12.75" customHeight="1" x14ac:dyDescent="0.2">
      <c r="C62804"/>
      <c r="M62804"/>
    </row>
    <row r="62805" spans="3:13" ht="12.75" customHeight="1" x14ac:dyDescent="0.2">
      <c r="C62805"/>
      <c r="M62805"/>
    </row>
    <row r="62806" spans="3:13" ht="12.75" customHeight="1" x14ac:dyDescent="0.2">
      <c r="C62806"/>
      <c r="M62806"/>
    </row>
    <row r="62807" spans="3:13" ht="12.75" customHeight="1" x14ac:dyDescent="0.2">
      <c r="C62807"/>
      <c r="M62807"/>
    </row>
    <row r="62808" spans="3:13" ht="12.75" customHeight="1" x14ac:dyDescent="0.2">
      <c r="C62808"/>
      <c r="M62808"/>
    </row>
    <row r="62809" spans="3:13" ht="12.75" customHeight="1" x14ac:dyDescent="0.2">
      <c r="C62809"/>
      <c r="M62809"/>
    </row>
    <row r="62810" spans="3:13" ht="12.75" customHeight="1" x14ac:dyDescent="0.2">
      <c r="C62810"/>
      <c r="M62810"/>
    </row>
    <row r="62811" spans="3:13" ht="12.75" customHeight="1" x14ac:dyDescent="0.2">
      <c r="C62811"/>
      <c r="M62811"/>
    </row>
    <row r="62812" spans="3:13" ht="12.75" customHeight="1" x14ac:dyDescent="0.2">
      <c r="C62812"/>
      <c r="M62812"/>
    </row>
    <row r="62813" spans="3:13" ht="12.75" customHeight="1" x14ac:dyDescent="0.2">
      <c r="C62813"/>
      <c r="M62813"/>
    </row>
    <row r="62814" spans="3:13" ht="12.75" customHeight="1" x14ac:dyDescent="0.2">
      <c r="C62814"/>
      <c r="M62814"/>
    </row>
    <row r="62815" spans="3:13" ht="12.75" customHeight="1" x14ac:dyDescent="0.2">
      <c r="C62815"/>
      <c r="M62815"/>
    </row>
    <row r="62816" spans="3:13" ht="12.75" customHeight="1" x14ac:dyDescent="0.2">
      <c r="C62816"/>
      <c r="M62816"/>
    </row>
    <row r="62817" spans="3:13" ht="12.75" customHeight="1" x14ac:dyDescent="0.2">
      <c r="C62817"/>
      <c r="M62817"/>
    </row>
    <row r="62818" spans="3:13" ht="12.75" customHeight="1" x14ac:dyDescent="0.2">
      <c r="C62818"/>
      <c r="M62818"/>
    </row>
    <row r="62819" spans="3:13" ht="12.75" customHeight="1" x14ac:dyDescent="0.2">
      <c r="C62819"/>
      <c r="M62819"/>
    </row>
    <row r="62820" spans="3:13" ht="12.75" customHeight="1" x14ac:dyDescent="0.2">
      <c r="C62820"/>
      <c r="M62820"/>
    </row>
    <row r="62821" spans="3:13" ht="12.75" customHeight="1" x14ac:dyDescent="0.2">
      <c r="C62821"/>
      <c r="M62821"/>
    </row>
    <row r="62822" spans="3:13" ht="12.75" customHeight="1" x14ac:dyDescent="0.2">
      <c r="C62822"/>
      <c r="M62822"/>
    </row>
    <row r="62823" spans="3:13" ht="12.75" customHeight="1" x14ac:dyDescent="0.2">
      <c r="C62823"/>
      <c r="M62823"/>
    </row>
    <row r="62824" spans="3:13" ht="12.75" customHeight="1" x14ac:dyDescent="0.2">
      <c r="C62824"/>
      <c r="M62824"/>
    </row>
    <row r="62825" spans="3:13" ht="12.75" customHeight="1" x14ac:dyDescent="0.2">
      <c r="C62825"/>
      <c r="M62825"/>
    </row>
    <row r="62826" spans="3:13" ht="12.75" customHeight="1" x14ac:dyDescent="0.2">
      <c r="C62826"/>
      <c r="M62826"/>
    </row>
    <row r="62827" spans="3:13" ht="12.75" customHeight="1" x14ac:dyDescent="0.2">
      <c r="C62827"/>
      <c r="M62827"/>
    </row>
    <row r="62828" spans="3:13" ht="12.75" customHeight="1" x14ac:dyDescent="0.2">
      <c r="C62828"/>
      <c r="M62828"/>
    </row>
    <row r="62829" spans="3:13" ht="12.75" customHeight="1" x14ac:dyDescent="0.2">
      <c r="C62829"/>
      <c r="M62829"/>
    </row>
    <row r="62830" spans="3:13" ht="12.75" customHeight="1" x14ac:dyDescent="0.2">
      <c r="C62830"/>
      <c r="M62830"/>
    </row>
    <row r="62831" spans="3:13" ht="12.75" customHeight="1" x14ac:dyDescent="0.2">
      <c r="C62831"/>
      <c r="M62831"/>
    </row>
    <row r="62832" spans="3:13" ht="12.75" customHeight="1" x14ac:dyDescent="0.2">
      <c r="C62832"/>
      <c r="M62832"/>
    </row>
    <row r="62833" spans="3:13" ht="12.75" customHeight="1" x14ac:dyDescent="0.2">
      <c r="C62833"/>
      <c r="M62833"/>
    </row>
    <row r="62834" spans="3:13" ht="12.75" customHeight="1" x14ac:dyDescent="0.2">
      <c r="C62834"/>
      <c r="M62834"/>
    </row>
    <row r="62835" spans="3:13" ht="12.75" customHeight="1" x14ac:dyDescent="0.2">
      <c r="C62835"/>
      <c r="M62835"/>
    </row>
    <row r="62836" spans="3:13" ht="12.75" customHeight="1" x14ac:dyDescent="0.2">
      <c r="C62836"/>
      <c r="M62836"/>
    </row>
    <row r="62837" spans="3:13" ht="12.75" customHeight="1" x14ac:dyDescent="0.2">
      <c r="C62837"/>
      <c r="M62837"/>
    </row>
    <row r="62838" spans="3:13" ht="12.75" customHeight="1" x14ac:dyDescent="0.2">
      <c r="C62838"/>
      <c r="M62838"/>
    </row>
    <row r="62839" spans="3:13" ht="12.75" customHeight="1" x14ac:dyDescent="0.2">
      <c r="C62839"/>
      <c r="M62839"/>
    </row>
    <row r="62840" spans="3:13" ht="12.75" customHeight="1" x14ac:dyDescent="0.2">
      <c r="C62840"/>
      <c r="M62840"/>
    </row>
    <row r="62841" spans="3:13" ht="12.75" customHeight="1" x14ac:dyDescent="0.2">
      <c r="C62841"/>
      <c r="M62841"/>
    </row>
    <row r="62842" spans="3:13" ht="12.75" customHeight="1" x14ac:dyDescent="0.2">
      <c r="C62842"/>
      <c r="M62842"/>
    </row>
    <row r="62843" spans="3:13" ht="12.75" customHeight="1" x14ac:dyDescent="0.2">
      <c r="C62843"/>
      <c r="M62843"/>
    </row>
    <row r="62844" spans="3:13" ht="12.75" customHeight="1" x14ac:dyDescent="0.2">
      <c r="C62844"/>
      <c r="M62844"/>
    </row>
    <row r="62845" spans="3:13" ht="12.75" customHeight="1" x14ac:dyDescent="0.2">
      <c r="C62845"/>
      <c r="M62845"/>
    </row>
    <row r="62846" spans="3:13" ht="12.75" customHeight="1" x14ac:dyDescent="0.2">
      <c r="C62846"/>
      <c r="M62846"/>
    </row>
    <row r="62847" spans="3:13" ht="12.75" customHeight="1" x14ac:dyDescent="0.2">
      <c r="C62847"/>
      <c r="M62847"/>
    </row>
    <row r="62848" spans="3:13" ht="12.75" customHeight="1" x14ac:dyDescent="0.2">
      <c r="C62848"/>
      <c r="M62848"/>
    </row>
    <row r="62849" spans="3:13" ht="12.75" customHeight="1" x14ac:dyDescent="0.2">
      <c r="C62849"/>
      <c r="M62849"/>
    </row>
    <row r="62850" spans="3:13" ht="12.75" customHeight="1" x14ac:dyDescent="0.2">
      <c r="C62850"/>
      <c r="M62850"/>
    </row>
    <row r="62851" spans="3:13" ht="12.75" customHeight="1" x14ac:dyDescent="0.2">
      <c r="C62851"/>
      <c r="M62851"/>
    </row>
    <row r="62852" spans="3:13" ht="12.75" customHeight="1" x14ac:dyDescent="0.2">
      <c r="C62852"/>
      <c r="M62852"/>
    </row>
    <row r="62853" spans="3:13" ht="12.75" customHeight="1" x14ac:dyDescent="0.2">
      <c r="C62853"/>
      <c r="M62853"/>
    </row>
    <row r="62854" spans="3:13" ht="12.75" customHeight="1" x14ac:dyDescent="0.2">
      <c r="C62854"/>
      <c r="M62854"/>
    </row>
    <row r="62855" spans="3:13" ht="12.75" customHeight="1" x14ac:dyDescent="0.2">
      <c r="C62855"/>
      <c r="M62855"/>
    </row>
    <row r="62856" spans="3:13" ht="12.75" customHeight="1" x14ac:dyDescent="0.2">
      <c r="C62856"/>
      <c r="M62856"/>
    </row>
    <row r="62857" spans="3:13" ht="12.75" customHeight="1" x14ac:dyDescent="0.2">
      <c r="C62857"/>
      <c r="M62857"/>
    </row>
    <row r="62858" spans="3:13" ht="12.75" customHeight="1" x14ac:dyDescent="0.2">
      <c r="C62858"/>
      <c r="M62858"/>
    </row>
    <row r="62859" spans="3:13" ht="12.75" customHeight="1" x14ac:dyDescent="0.2">
      <c r="C62859"/>
      <c r="M62859"/>
    </row>
    <row r="62860" spans="3:13" ht="12.75" customHeight="1" x14ac:dyDescent="0.2">
      <c r="C62860"/>
      <c r="M62860"/>
    </row>
    <row r="62861" spans="3:13" ht="12.75" customHeight="1" x14ac:dyDescent="0.2">
      <c r="C62861"/>
      <c r="M62861"/>
    </row>
    <row r="62862" spans="3:13" ht="12.75" customHeight="1" x14ac:dyDescent="0.2">
      <c r="C62862"/>
      <c r="M62862"/>
    </row>
    <row r="62863" spans="3:13" ht="12.75" customHeight="1" x14ac:dyDescent="0.2">
      <c r="C62863"/>
      <c r="M62863"/>
    </row>
    <row r="62864" spans="3:13" ht="12.75" customHeight="1" x14ac:dyDescent="0.2">
      <c r="C62864"/>
      <c r="M62864"/>
    </row>
    <row r="62865" spans="3:13" ht="12.75" customHeight="1" x14ac:dyDescent="0.2">
      <c r="C62865"/>
      <c r="M62865"/>
    </row>
    <row r="62866" spans="3:13" ht="12.75" customHeight="1" x14ac:dyDescent="0.2">
      <c r="C62866"/>
      <c r="M62866"/>
    </row>
    <row r="62867" spans="3:13" ht="12.75" customHeight="1" x14ac:dyDescent="0.2">
      <c r="C62867"/>
      <c r="M62867"/>
    </row>
    <row r="62868" spans="3:13" ht="12.75" customHeight="1" x14ac:dyDescent="0.2">
      <c r="C62868"/>
      <c r="M62868"/>
    </row>
    <row r="62869" spans="3:13" ht="12.75" customHeight="1" x14ac:dyDescent="0.2">
      <c r="C62869"/>
      <c r="M62869"/>
    </row>
    <row r="62870" spans="3:13" ht="12.75" customHeight="1" x14ac:dyDescent="0.2">
      <c r="C62870"/>
      <c r="M62870"/>
    </row>
    <row r="62871" spans="3:13" ht="12.75" customHeight="1" x14ac:dyDescent="0.2">
      <c r="C62871"/>
      <c r="M62871"/>
    </row>
    <row r="62872" spans="3:13" ht="12.75" customHeight="1" x14ac:dyDescent="0.2">
      <c r="C62872"/>
      <c r="M62872"/>
    </row>
    <row r="62873" spans="3:13" ht="12.75" customHeight="1" x14ac:dyDescent="0.2">
      <c r="C62873"/>
      <c r="M62873"/>
    </row>
    <row r="62874" spans="3:13" ht="12.75" customHeight="1" x14ac:dyDescent="0.2">
      <c r="C62874"/>
      <c r="M62874"/>
    </row>
    <row r="62875" spans="3:13" ht="12.75" customHeight="1" x14ac:dyDescent="0.2">
      <c r="C62875"/>
      <c r="M62875"/>
    </row>
    <row r="62876" spans="3:13" ht="12.75" customHeight="1" x14ac:dyDescent="0.2">
      <c r="C62876"/>
      <c r="M62876"/>
    </row>
    <row r="62877" spans="3:13" ht="12.75" customHeight="1" x14ac:dyDescent="0.2">
      <c r="C62877"/>
      <c r="M62877"/>
    </row>
    <row r="62878" spans="3:13" ht="12.75" customHeight="1" x14ac:dyDescent="0.2">
      <c r="C62878"/>
      <c r="M62878"/>
    </row>
    <row r="62879" spans="3:13" ht="12.75" customHeight="1" x14ac:dyDescent="0.2">
      <c r="C62879"/>
      <c r="M62879"/>
    </row>
    <row r="62880" spans="3:13" ht="12.75" customHeight="1" x14ac:dyDescent="0.2">
      <c r="C62880"/>
      <c r="M62880"/>
    </row>
    <row r="62881" spans="3:13" ht="12.75" customHeight="1" x14ac:dyDescent="0.2">
      <c r="C62881"/>
      <c r="M62881"/>
    </row>
    <row r="62882" spans="3:13" ht="12.75" customHeight="1" x14ac:dyDescent="0.2">
      <c r="C62882"/>
      <c r="M62882"/>
    </row>
    <row r="62883" spans="3:13" ht="12.75" customHeight="1" x14ac:dyDescent="0.2">
      <c r="C62883"/>
      <c r="M62883"/>
    </row>
    <row r="62884" spans="3:13" ht="12.75" customHeight="1" x14ac:dyDescent="0.2">
      <c r="C62884"/>
      <c r="M62884"/>
    </row>
    <row r="62885" spans="3:13" ht="12.75" customHeight="1" x14ac:dyDescent="0.2">
      <c r="C62885"/>
      <c r="M62885"/>
    </row>
    <row r="62886" spans="3:13" ht="12.75" customHeight="1" x14ac:dyDescent="0.2">
      <c r="C62886"/>
      <c r="M62886"/>
    </row>
    <row r="62887" spans="3:13" ht="12.75" customHeight="1" x14ac:dyDescent="0.2">
      <c r="C62887"/>
      <c r="M62887"/>
    </row>
    <row r="62888" spans="3:13" ht="12.75" customHeight="1" x14ac:dyDescent="0.2">
      <c r="C62888"/>
      <c r="M62888"/>
    </row>
    <row r="62889" spans="3:13" ht="12.75" customHeight="1" x14ac:dyDescent="0.2">
      <c r="C62889"/>
      <c r="M62889"/>
    </row>
    <row r="62890" spans="3:13" ht="12.75" customHeight="1" x14ac:dyDescent="0.2">
      <c r="C62890"/>
      <c r="M62890"/>
    </row>
    <row r="62891" spans="3:13" ht="12.75" customHeight="1" x14ac:dyDescent="0.2">
      <c r="C62891"/>
      <c r="M62891"/>
    </row>
    <row r="62892" spans="3:13" ht="12.75" customHeight="1" x14ac:dyDescent="0.2">
      <c r="C62892"/>
      <c r="M62892"/>
    </row>
    <row r="62893" spans="3:13" ht="12.75" customHeight="1" x14ac:dyDescent="0.2">
      <c r="C62893"/>
      <c r="M62893"/>
    </row>
    <row r="62894" spans="3:13" ht="12.75" customHeight="1" x14ac:dyDescent="0.2">
      <c r="C62894"/>
      <c r="M62894"/>
    </row>
    <row r="62895" spans="3:13" ht="12.75" customHeight="1" x14ac:dyDescent="0.2">
      <c r="C62895"/>
      <c r="M62895"/>
    </row>
    <row r="62896" spans="3:13" ht="12.75" customHeight="1" x14ac:dyDescent="0.2">
      <c r="C62896"/>
      <c r="M62896"/>
    </row>
    <row r="62897" spans="3:13" ht="12.75" customHeight="1" x14ac:dyDescent="0.2">
      <c r="C62897"/>
      <c r="M62897"/>
    </row>
    <row r="62898" spans="3:13" ht="12.75" customHeight="1" x14ac:dyDescent="0.2">
      <c r="C62898"/>
      <c r="M62898"/>
    </row>
    <row r="62899" spans="3:13" ht="12.75" customHeight="1" x14ac:dyDescent="0.2">
      <c r="C62899"/>
      <c r="M62899"/>
    </row>
    <row r="62900" spans="3:13" ht="12.75" customHeight="1" x14ac:dyDescent="0.2">
      <c r="C62900"/>
      <c r="M62900"/>
    </row>
    <row r="62901" spans="3:13" ht="12.75" customHeight="1" x14ac:dyDescent="0.2">
      <c r="C62901"/>
      <c r="M62901"/>
    </row>
    <row r="62902" spans="3:13" ht="12.75" customHeight="1" x14ac:dyDescent="0.2">
      <c r="C62902"/>
      <c r="M62902"/>
    </row>
    <row r="62903" spans="3:13" ht="12.75" customHeight="1" x14ac:dyDescent="0.2">
      <c r="C62903"/>
      <c r="M62903"/>
    </row>
    <row r="62904" spans="3:13" ht="12.75" customHeight="1" x14ac:dyDescent="0.2">
      <c r="C62904"/>
      <c r="M62904"/>
    </row>
    <row r="62905" spans="3:13" ht="12.75" customHeight="1" x14ac:dyDescent="0.2">
      <c r="C62905"/>
      <c r="M62905"/>
    </row>
    <row r="62906" spans="3:13" ht="12.75" customHeight="1" x14ac:dyDescent="0.2">
      <c r="C62906"/>
      <c r="M62906"/>
    </row>
    <row r="62907" spans="3:13" ht="12.75" customHeight="1" x14ac:dyDescent="0.2">
      <c r="C62907"/>
      <c r="M62907"/>
    </row>
    <row r="62908" spans="3:13" ht="12.75" customHeight="1" x14ac:dyDescent="0.2">
      <c r="C62908"/>
      <c r="M62908"/>
    </row>
    <row r="62909" spans="3:13" ht="12.75" customHeight="1" x14ac:dyDescent="0.2">
      <c r="C62909"/>
      <c r="M62909"/>
    </row>
    <row r="62910" spans="3:13" ht="12.75" customHeight="1" x14ac:dyDescent="0.2">
      <c r="C62910"/>
      <c r="M62910"/>
    </row>
    <row r="62911" spans="3:13" ht="12.75" customHeight="1" x14ac:dyDescent="0.2">
      <c r="C62911"/>
      <c r="M62911"/>
    </row>
    <row r="62912" spans="3:13" ht="12.75" customHeight="1" x14ac:dyDescent="0.2">
      <c r="C62912"/>
      <c r="M62912"/>
    </row>
    <row r="62913" spans="3:13" ht="12.75" customHeight="1" x14ac:dyDescent="0.2">
      <c r="C62913"/>
      <c r="M62913"/>
    </row>
    <row r="62914" spans="3:13" ht="12.75" customHeight="1" x14ac:dyDescent="0.2">
      <c r="C62914"/>
      <c r="M62914"/>
    </row>
    <row r="62915" spans="3:13" ht="12.75" customHeight="1" x14ac:dyDescent="0.2">
      <c r="C62915"/>
      <c r="M62915"/>
    </row>
    <row r="62916" spans="3:13" ht="12.75" customHeight="1" x14ac:dyDescent="0.2">
      <c r="C62916"/>
      <c r="M62916"/>
    </row>
    <row r="62917" spans="3:13" ht="12.75" customHeight="1" x14ac:dyDescent="0.2">
      <c r="C62917"/>
      <c r="M62917"/>
    </row>
    <row r="62918" spans="3:13" ht="12.75" customHeight="1" x14ac:dyDescent="0.2">
      <c r="C62918"/>
      <c r="M62918"/>
    </row>
    <row r="62919" spans="3:13" ht="12.75" customHeight="1" x14ac:dyDescent="0.2">
      <c r="C62919"/>
      <c r="M62919"/>
    </row>
    <row r="62920" spans="3:13" ht="12.75" customHeight="1" x14ac:dyDescent="0.2">
      <c r="C62920"/>
      <c r="M62920"/>
    </row>
    <row r="62921" spans="3:13" ht="12.75" customHeight="1" x14ac:dyDescent="0.2">
      <c r="C62921"/>
      <c r="M62921"/>
    </row>
    <row r="62922" spans="3:13" ht="12.75" customHeight="1" x14ac:dyDescent="0.2">
      <c r="C62922"/>
      <c r="M62922"/>
    </row>
    <row r="62923" spans="3:13" ht="12.75" customHeight="1" x14ac:dyDescent="0.2">
      <c r="C62923"/>
      <c r="M62923"/>
    </row>
    <row r="62924" spans="3:13" ht="12.75" customHeight="1" x14ac:dyDescent="0.2">
      <c r="C62924"/>
      <c r="M62924"/>
    </row>
    <row r="62925" spans="3:13" ht="12.75" customHeight="1" x14ac:dyDescent="0.2">
      <c r="C62925"/>
      <c r="M62925"/>
    </row>
    <row r="62926" spans="3:13" ht="12.75" customHeight="1" x14ac:dyDescent="0.2">
      <c r="C62926"/>
      <c r="M62926"/>
    </row>
    <row r="62927" spans="3:13" ht="12.75" customHeight="1" x14ac:dyDescent="0.2">
      <c r="C62927"/>
      <c r="M62927"/>
    </row>
    <row r="62928" spans="3:13" ht="12.75" customHeight="1" x14ac:dyDescent="0.2">
      <c r="C62928"/>
      <c r="M62928"/>
    </row>
    <row r="62929" spans="3:13" ht="12.75" customHeight="1" x14ac:dyDescent="0.2">
      <c r="C62929"/>
      <c r="M62929"/>
    </row>
    <row r="62930" spans="3:13" ht="12.75" customHeight="1" x14ac:dyDescent="0.2">
      <c r="C62930"/>
      <c r="M62930"/>
    </row>
    <row r="62931" spans="3:13" ht="12.75" customHeight="1" x14ac:dyDescent="0.2">
      <c r="C62931"/>
      <c r="M62931"/>
    </row>
    <row r="62932" spans="3:13" ht="12.75" customHeight="1" x14ac:dyDescent="0.2">
      <c r="C62932"/>
      <c r="M62932"/>
    </row>
    <row r="62933" spans="3:13" ht="12.75" customHeight="1" x14ac:dyDescent="0.2">
      <c r="C62933"/>
      <c r="M62933"/>
    </row>
    <row r="62934" spans="3:13" ht="12.75" customHeight="1" x14ac:dyDescent="0.2">
      <c r="C62934"/>
      <c r="M62934"/>
    </row>
    <row r="62935" spans="3:13" ht="12.75" customHeight="1" x14ac:dyDescent="0.2">
      <c r="C62935"/>
      <c r="M62935"/>
    </row>
    <row r="62936" spans="3:13" ht="12.75" customHeight="1" x14ac:dyDescent="0.2">
      <c r="C62936"/>
      <c r="M62936"/>
    </row>
    <row r="62937" spans="3:13" ht="12.75" customHeight="1" x14ac:dyDescent="0.2">
      <c r="C62937"/>
      <c r="M62937"/>
    </row>
    <row r="62938" spans="3:13" ht="12.75" customHeight="1" x14ac:dyDescent="0.2">
      <c r="C62938"/>
      <c r="M62938"/>
    </row>
    <row r="62939" spans="3:13" ht="12.75" customHeight="1" x14ac:dyDescent="0.2">
      <c r="C62939"/>
      <c r="M62939"/>
    </row>
    <row r="62940" spans="3:13" ht="12.75" customHeight="1" x14ac:dyDescent="0.2">
      <c r="C62940"/>
      <c r="M62940"/>
    </row>
    <row r="62941" spans="3:13" ht="12.75" customHeight="1" x14ac:dyDescent="0.2">
      <c r="C62941"/>
      <c r="M62941"/>
    </row>
    <row r="62942" spans="3:13" ht="12.75" customHeight="1" x14ac:dyDescent="0.2">
      <c r="C62942"/>
      <c r="M62942"/>
    </row>
    <row r="62943" spans="3:13" ht="12.75" customHeight="1" x14ac:dyDescent="0.2">
      <c r="C62943"/>
      <c r="M62943"/>
    </row>
    <row r="62944" spans="3:13" ht="12.75" customHeight="1" x14ac:dyDescent="0.2">
      <c r="C62944"/>
      <c r="M62944"/>
    </row>
    <row r="62945" spans="3:13" ht="12.75" customHeight="1" x14ac:dyDescent="0.2">
      <c r="C62945"/>
      <c r="M62945"/>
    </row>
    <row r="62946" spans="3:13" ht="12.75" customHeight="1" x14ac:dyDescent="0.2">
      <c r="C62946"/>
      <c r="M62946"/>
    </row>
    <row r="62947" spans="3:13" ht="12.75" customHeight="1" x14ac:dyDescent="0.2">
      <c r="C62947"/>
      <c r="M62947"/>
    </row>
    <row r="62948" spans="3:13" ht="12.75" customHeight="1" x14ac:dyDescent="0.2">
      <c r="C62948"/>
      <c r="M62948"/>
    </row>
    <row r="62949" spans="3:13" ht="12.75" customHeight="1" x14ac:dyDescent="0.2">
      <c r="C62949"/>
      <c r="M62949"/>
    </row>
    <row r="62950" spans="3:13" ht="12.75" customHeight="1" x14ac:dyDescent="0.2">
      <c r="C62950"/>
      <c r="M62950"/>
    </row>
    <row r="62951" spans="3:13" ht="12.75" customHeight="1" x14ac:dyDescent="0.2">
      <c r="C62951"/>
      <c r="M62951"/>
    </row>
    <row r="62952" spans="3:13" ht="12.75" customHeight="1" x14ac:dyDescent="0.2">
      <c r="C62952"/>
      <c r="M62952"/>
    </row>
    <row r="62953" spans="3:13" ht="12.75" customHeight="1" x14ac:dyDescent="0.2">
      <c r="C62953"/>
      <c r="M62953"/>
    </row>
    <row r="62954" spans="3:13" ht="12.75" customHeight="1" x14ac:dyDescent="0.2">
      <c r="C62954"/>
      <c r="M62954"/>
    </row>
    <row r="62955" spans="3:13" ht="12.75" customHeight="1" x14ac:dyDescent="0.2">
      <c r="C62955"/>
      <c r="M62955"/>
    </row>
    <row r="62956" spans="3:13" ht="12.75" customHeight="1" x14ac:dyDescent="0.2">
      <c r="C62956"/>
      <c r="M62956"/>
    </row>
    <row r="62957" spans="3:13" ht="12.75" customHeight="1" x14ac:dyDescent="0.2">
      <c r="C62957"/>
      <c r="M62957"/>
    </row>
    <row r="62958" spans="3:13" ht="12.75" customHeight="1" x14ac:dyDescent="0.2">
      <c r="C62958"/>
      <c r="M62958"/>
    </row>
    <row r="62959" spans="3:13" ht="12.75" customHeight="1" x14ac:dyDescent="0.2">
      <c r="C62959"/>
      <c r="M62959"/>
    </row>
    <row r="62960" spans="3:13" ht="12.75" customHeight="1" x14ac:dyDescent="0.2">
      <c r="C62960"/>
      <c r="M62960"/>
    </row>
    <row r="62961" spans="3:13" ht="12.75" customHeight="1" x14ac:dyDescent="0.2">
      <c r="C62961"/>
      <c r="M62961"/>
    </row>
    <row r="62962" spans="3:13" ht="12.75" customHeight="1" x14ac:dyDescent="0.2">
      <c r="C62962"/>
      <c r="M62962"/>
    </row>
    <row r="62963" spans="3:13" ht="12.75" customHeight="1" x14ac:dyDescent="0.2">
      <c r="C62963"/>
      <c r="M62963"/>
    </row>
    <row r="62964" spans="3:13" ht="12.75" customHeight="1" x14ac:dyDescent="0.2">
      <c r="C62964"/>
      <c r="M62964"/>
    </row>
    <row r="62965" spans="3:13" ht="12.75" customHeight="1" x14ac:dyDescent="0.2">
      <c r="C62965"/>
      <c r="M62965"/>
    </row>
    <row r="62966" spans="3:13" ht="12.75" customHeight="1" x14ac:dyDescent="0.2">
      <c r="C62966"/>
      <c r="M62966"/>
    </row>
    <row r="62967" spans="3:13" ht="12.75" customHeight="1" x14ac:dyDescent="0.2">
      <c r="C62967"/>
      <c r="M62967"/>
    </row>
    <row r="62968" spans="3:13" ht="12.75" customHeight="1" x14ac:dyDescent="0.2">
      <c r="C62968"/>
      <c r="M62968"/>
    </row>
    <row r="62969" spans="3:13" ht="12.75" customHeight="1" x14ac:dyDescent="0.2">
      <c r="C62969"/>
      <c r="M62969"/>
    </row>
    <row r="62970" spans="3:13" ht="12.75" customHeight="1" x14ac:dyDescent="0.2">
      <c r="C62970"/>
      <c r="M62970"/>
    </row>
    <row r="62971" spans="3:13" ht="12.75" customHeight="1" x14ac:dyDescent="0.2">
      <c r="C62971"/>
      <c r="M62971"/>
    </row>
    <row r="62972" spans="3:13" ht="12.75" customHeight="1" x14ac:dyDescent="0.2">
      <c r="C62972"/>
      <c r="M62972"/>
    </row>
    <row r="62973" spans="3:13" ht="12.75" customHeight="1" x14ac:dyDescent="0.2">
      <c r="C62973"/>
      <c r="M62973"/>
    </row>
    <row r="62974" spans="3:13" ht="12.75" customHeight="1" x14ac:dyDescent="0.2">
      <c r="C62974"/>
      <c r="M62974"/>
    </row>
    <row r="62975" spans="3:13" ht="12.75" customHeight="1" x14ac:dyDescent="0.2">
      <c r="C62975"/>
      <c r="M62975"/>
    </row>
    <row r="62976" spans="3:13" ht="12.75" customHeight="1" x14ac:dyDescent="0.2">
      <c r="C62976"/>
      <c r="M62976"/>
    </row>
    <row r="62977" spans="3:13" ht="12.75" customHeight="1" x14ac:dyDescent="0.2">
      <c r="C62977"/>
      <c r="M62977"/>
    </row>
    <row r="62978" spans="3:13" ht="12.75" customHeight="1" x14ac:dyDescent="0.2">
      <c r="C62978"/>
      <c r="M62978"/>
    </row>
    <row r="62979" spans="3:13" ht="12.75" customHeight="1" x14ac:dyDescent="0.2">
      <c r="C62979"/>
      <c r="M62979"/>
    </row>
    <row r="62980" spans="3:13" ht="12.75" customHeight="1" x14ac:dyDescent="0.2">
      <c r="C62980"/>
      <c r="M62980"/>
    </row>
    <row r="62981" spans="3:13" ht="12.75" customHeight="1" x14ac:dyDescent="0.2">
      <c r="C62981"/>
      <c r="M62981"/>
    </row>
    <row r="62982" spans="3:13" ht="12.75" customHeight="1" x14ac:dyDescent="0.2">
      <c r="C62982"/>
      <c r="M62982"/>
    </row>
    <row r="62983" spans="3:13" ht="12.75" customHeight="1" x14ac:dyDescent="0.2">
      <c r="C62983"/>
      <c r="M62983"/>
    </row>
    <row r="62984" spans="3:13" ht="12.75" customHeight="1" x14ac:dyDescent="0.2">
      <c r="C62984"/>
      <c r="M62984"/>
    </row>
    <row r="62985" spans="3:13" ht="12.75" customHeight="1" x14ac:dyDescent="0.2">
      <c r="C62985"/>
      <c r="M62985"/>
    </row>
    <row r="62986" spans="3:13" ht="12.75" customHeight="1" x14ac:dyDescent="0.2">
      <c r="C62986"/>
      <c r="M62986"/>
    </row>
    <row r="62987" spans="3:13" ht="12.75" customHeight="1" x14ac:dyDescent="0.2">
      <c r="C62987"/>
      <c r="M62987"/>
    </row>
    <row r="62988" spans="3:13" ht="12.75" customHeight="1" x14ac:dyDescent="0.2">
      <c r="C62988"/>
      <c r="M62988"/>
    </row>
    <row r="62989" spans="3:13" ht="12.75" customHeight="1" x14ac:dyDescent="0.2">
      <c r="C62989"/>
      <c r="M62989"/>
    </row>
    <row r="62990" spans="3:13" ht="12.75" customHeight="1" x14ac:dyDescent="0.2">
      <c r="C62990"/>
      <c r="M62990"/>
    </row>
    <row r="62991" spans="3:13" ht="12.75" customHeight="1" x14ac:dyDescent="0.2">
      <c r="C62991"/>
      <c r="M62991"/>
    </row>
    <row r="62992" spans="3:13" ht="12.75" customHeight="1" x14ac:dyDescent="0.2">
      <c r="C62992"/>
      <c r="M62992"/>
    </row>
    <row r="62993" spans="3:13" ht="12.75" customHeight="1" x14ac:dyDescent="0.2">
      <c r="C62993"/>
      <c r="M62993"/>
    </row>
    <row r="62994" spans="3:13" ht="12.75" customHeight="1" x14ac:dyDescent="0.2">
      <c r="C62994"/>
      <c r="M62994"/>
    </row>
    <row r="62995" spans="3:13" ht="12.75" customHeight="1" x14ac:dyDescent="0.2">
      <c r="C62995"/>
      <c r="M62995"/>
    </row>
    <row r="62996" spans="3:13" ht="12.75" customHeight="1" x14ac:dyDescent="0.2">
      <c r="C62996"/>
      <c r="M62996"/>
    </row>
    <row r="62997" spans="3:13" ht="12.75" customHeight="1" x14ac:dyDescent="0.2">
      <c r="C62997"/>
      <c r="M62997"/>
    </row>
    <row r="62998" spans="3:13" ht="12.75" customHeight="1" x14ac:dyDescent="0.2">
      <c r="C62998"/>
      <c r="M62998"/>
    </row>
    <row r="62999" spans="3:13" ht="12.75" customHeight="1" x14ac:dyDescent="0.2">
      <c r="C62999"/>
      <c r="M62999"/>
    </row>
    <row r="63000" spans="3:13" ht="12.75" customHeight="1" x14ac:dyDescent="0.2">
      <c r="C63000"/>
      <c r="M63000"/>
    </row>
    <row r="63001" spans="3:13" ht="12.75" customHeight="1" x14ac:dyDescent="0.2">
      <c r="C63001"/>
      <c r="M63001"/>
    </row>
    <row r="63002" spans="3:13" ht="12.75" customHeight="1" x14ac:dyDescent="0.2">
      <c r="C63002"/>
      <c r="M63002"/>
    </row>
    <row r="63003" spans="3:13" ht="12.75" customHeight="1" x14ac:dyDescent="0.2">
      <c r="C63003"/>
      <c r="M63003"/>
    </row>
    <row r="63004" spans="3:13" ht="12.75" customHeight="1" x14ac:dyDescent="0.2">
      <c r="C63004"/>
      <c r="M63004"/>
    </row>
    <row r="63005" spans="3:13" ht="12.75" customHeight="1" x14ac:dyDescent="0.2">
      <c r="C63005"/>
      <c r="M63005"/>
    </row>
    <row r="63006" spans="3:13" ht="12.75" customHeight="1" x14ac:dyDescent="0.2">
      <c r="C63006"/>
      <c r="M63006"/>
    </row>
    <row r="63007" spans="3:13" ht="12.75" customHeight="1" x14ac:dyDescent="0.2">
      <c r="C63007"/>
      <c r="M63007"/>
    </row>
    <row r="63008" spans="3:13" ht="12.75" customHeight="1" x14ac:dyDescent="0.2">
      <c r="C63008"/>
      <c r="M63008"/>
    </row>
    <row r="63009" spans="3:13" ht="12.75" customHeight="1" x14ac:dyDescent="0.2">
      <c r="C63009"/>
      <c r="M63009"/>
    </row>
    <row r="63010" spans="3:13" ht="12.75" customHeight="1" x14ac:dyDescent="0.2">
      <c r="C63010"/>
      <c r="M63010"/>
    </row>
    <row r="63011" spans="3:13" ht="12.75" customHeight="1" x14ac:dyDescent="0.2">
      <c r="C63011"/>
      <c r="M63011"/>
    </row>
    <row r="63012" spans="3:13" ht="12.75" customHeight="1" x14ac:dyDescent="0.2">
      <c r="C63012"/>
      <c r="M63012"/>
    </row>
    <row r="63013" spans="3:13" ht="12.75" customHeight="1" x14ac:dyDescent="0.2">
      <c r="C63013"/>
      <c r="M63013"/>
    </row>
    <row r="63014" spans="3:13" ht="12.75" customHeight="1" x14ac:dyDescent="0.2">
      <c r="C63014"/>
      <c r="M63014"/>
    </row>
    <row r="63015" spans="3:13" ht="12.75" customHeight="1" x14ac:dyDescent="0.2">
      <c r="C63015"/>
      <c r="M63015"/>
    </row>
    <row r="63016" spans="3:13" ht="12.75" customHeight="1" x14ac:dyDescent="0.2">
      <c r="C63016"/>
      <c r="M63016"/>
    </row>
    <row r="63017" spans="3:13" ht="12.75" customHeight="1" x14ac:dyDescent="0.2">
      <c r="C63017"/>
      <c r="M63017"/>
    </row>
    <row r="63018" spans="3:13" ht="12.75" customHeight="1" x14ac:dyDescent="0.2">
      <c r="C63018"/>
      <c r="M63018"/>
    </row>
    <row r="63019" spans="3:13" ht="12.75" customHeight="1" x14ac:dyDescent="0.2">
      <c r="C63019"/>
      <c r="M63019"/>
    </row>
    <row r="63020" spans="3:13" ht="12.75" customHeight="1" x14ac:dyDescent="0.2">
      <c r="C63020"/>
      <c r="M63020"/>
    </row>
    <row r="63021" spans="3:13" ht="12.75" customHeight="1" x14ac:dyDescent="0.2">
      <c r="C63021"/>
      <c r="M63021"/>
    </row>
    <row r="63022" spans="3:13" ht="12.75" customHeight="1" x14ac:dyDescent="0.2">
      <c r="C63022"/>
      <c r="M63022"/>
    </row>
    <row r="63023" spans="3:13" ht="12.75" customHeight="1" x14ac:dyDescent="0.2">
      <c r="C63023"/>
      <c r="M63023"/>
    </row>
    <row r="63024" spans="3:13" ht="12.75" customHeight="1" x14ac:dyDescent="0.2">
      <c r="C63024"/>
      <c r="M63024"/>
    </row>
    <row r="63025" spans="3:13" ht="12.75" customHeight="1" x14ac:dyDescent="0.2">
      <c r="C63025"/>
      <c r="M63025"/>
    </row>
    <row r="63026" spans="3:13" ht="12.75" customHeight="1" x14ac:dyDescent="0.2">
      <c r="C63026"/>
      <c r="M63026"/>
    </row>
    <row r="63027" spans="3:13" ht="12.75" customHeight="1" x14ac:dyDescent="0.2">
      <c r="C63027"/>
      <c r="M63027"/>
    </row>
    <row r="63028" spans="3:13" ht="12.75" customHeight="1" x14ac:dyDescent="0.2">
      <c r="C63028"/>
      <c r="M63028"/>
    </row>
    <row r="63029" spans="3:13" ht="12.75" customHeight="1" x14ac:dyDescent="0.2">
      <c r="C63029"/>
      <c r="M63029"/>
    </row>
    <row r="63030" spans="3:13" ht="12.75" customHeight="1" x14ac:dyDescent="0.2">
      <c r="C63030"/>
      <c r="M63030"/>
    </row>
    <row r="63031" spans="3:13" ht="12.75" customHeight="1" x14ac:dyDescent="0.2">
      <c r="C63031"/>
      <c r="M63031"/>
    </row>
    <row r="63032" spans="3:13" ht="12.75" customHeight="1" x14ac:dyDescent="0.2">
      <c r="C63032"/>
      <c r="M63032"/>
    </row>
    <row r="63033" spans="3:13" ht="12.75" customHeight="1" x14ac:dyDescent="0.2">
      <c r="C63033"/>
      <c r="M63033"/>
    </row>
    <row r="63034" spans="3:13" ht="12.75" customHeight="1" x14ac:dyDescent="0.2">
      <c r="C63034"/>
      <c r="M63034"/>
    </row>
    <row r="63035" spans="3:13" ht="12.75" customHeight="1" x14ac:dyDescent="0.2">
      <c r="C63035"/>
      <c r="M63035"/>
    </row>
    <row r="63036" spans="3:13" ht="12.75" customHeight="1" x14ac:dyDescent="0.2">
      <c r="C63036"/>
      <c r="M63036"/>
    </row>
    <row r="63037" spans="3:13" ht="12.75" customHeight="1" x14ac:dyDescent="0.2">
      <c r="C63037"/>
      <c r="M63037"/>
    </row>
    <row r="63038" spans="3:13" ht="12.75" customHeight="1" x14ac:dyDescent="0.2">
      <c r="C63038"/>
      <c r="M63038"/>
    </row>
    <row r="63039" spans="3:13" ht="12.75" customHeight="1" x14ac:dyDescent="0.2">
      <c r="C63039"/>
      <c r="M63039"/>
    </row>
    <row r="63040" spans="3:13" ht="12.75" customHeight="1" x14ac:dyDescent="0.2">
      <c r="C63040"/>
      <c r="M63040"/>
    </row>
    <row r="63041" spans="3:13" ht="12.75" customHeight="1" x14ac:dyDescent="0.2">
      <c r="C63041"/>
      <c r="M63041"/>
    </row>
    <row r="63042" spans="3:13" ht="12.75" customHeight="1" x14ac:dyDescent="0.2">
      <c r="C63042"/>
      <c r="M63042"/>
    </row>
    <row r="63043" spans="3:13" ht="12.75" customHeight="1" x14ac:dyDescent="0.2">
      <c r="C63043"/>
      <c r="M63043"/>
    </row>
    <row r="63044" spans="3:13" ht="12.75" customHeight="1" x14ac:dyDescent="0.2">
      <c r="C63044"/>
      <c r="M63044"/>
    </row>
    <row r="63045" spans="3:13" ht="12.75" customHeight="1" x14ac:dyDescent="0.2">
      <c r="C63045"/>
      <c r="M63045"/>
    </row>
    <row r="63046" spans="3:13" ht="12.75" customHeight="1" x14ac:dyDescent="0.2">
      <c r="C63046"/>
      <c r="M63046"/>
    </row>
    <row r="63047" spans="3:13" ht="12.75" customHeight="1" x14ac:dyDescent="0.2">
      <c r="C63047"/>
      <c r="M63047"/>
    </row>
    <row r="63048" spans="3:13" ht="12.75" customHeight="1" x14ac:dyDescent="0.2">
      <c r="C63048"/>
      <c r="M63048"/>
    </row>
    <row r="63049" spans="3:13" ht="12.75" customHeight="1" x14ac:dyDescent="0.2">
      <c r="C63049"/>
      <c r="M63049"/>
    </row>
    <row r="63050" spans="3:13" ht="12.75" customHeight="1" x14ac:dyDescent="0.2">
      <c r="C63050"/>
      <c r="M63050"/>
    </row>
    <row r="63051" spans="3:13" ht="12.75" customHeight="1" x14ac:dyDescent="0.2">
      <c r="C63051"/>
      <c r="M63051"/>
    </row>
    <row r="63052" spans="3:13" ht="12.75" customHeight="1" x14ac:dyDescent="0.2">
      <c r="C63052"/>
      <c r="M63052"/>
    </row>
    <row r="63053" spans="3:13" ht="12.75" customHeight="1" x14ac:dyDescent="0.2">
      <c r="C63053"/>
      <c r="M63053"/>
    </row>
    <row r="63054" spans="3:13" ht="12.75" customHeight="1" x14ac:dyDescent="0.2">
      <c r="C63054"/>
      <c r="M63054"/>
    </row>
    <row r="63055" spans="3:13" ht="12.75" customHeight="1" x14ac:dyDescent="0.2">
      <c r="C63055"/>
      <c r="M63055"/>
    </row>
    <row r="63056" spans="3:13" ht="12.75" customHeight="1" x14ac:dyDescent="0.2">
      <c r="C63056"/>
      <c r="M63056"/>
    </row>
    <row r="63057" spans="3:13" ht="12.75" customHeight="1" x14ac:dyDescent="0.2">
      <c r="C63057"/>
      <c r="M63057"/>
    </row>
    <row r="63058" spans="3:13" ht="12.75" customHeight="1" x14ac:dyDescent="0.2">
      <c r="C63058"/>
      <c r="M63058"/>
    </row>
    <row r="63059" spans="3:13" ht="12.75" customHeight="1" x14ac:dyDescent="0.2">
      <c r="C63059"/>
      <c r="M63059"/>
    </row>
    <row r="63060" spans="3:13" ht="12.75" customHeight="1" x14ac:dyDescent="0.2">
      <c r="C63060"/>
      <c r="M63060"/>
    </row>
    <row r="63061" spans="3:13" ht="12.75" customHeight="1" x14ac:dyDescent="0.2">
      <c r="C63061"/>
      <c r="M63061"/>
    </row>
    <row r="63062" spans="3:13" ht="12.75" customHeight="1" x14ac:dyDescent="0.2">
      <c r="C63062"/>
      <c r="M63062"/>
    </row>
    <row r="63063" spans="3:13" ht="12.75" customHeight="1" x14ac:dyDescent="0.2">
      <c r="C63063"/>
      <c r="M63063"/>
    </row>
    <row r="63064" spans="3:13" ht="12.75" customHeight="1" x14ac:dyDescent="0.2">
      <c r="C63064"/>
      <c r="M63064"/>
    </row>
    <row r="63065" spans="3:13" ht="12.75" customHeight="1" x14ac:dyDescent="0.2">
      <c r="C63065"/>
      <c r="M63065"/>
    </row>
    <row r="63066" spans="3:13" ht="12.75" customHeight="1" x14ac:dyDescent="0.2">
      <c r="C63066"/>
      <c r="M63066"/>
    </row>
    <row r="63067" spans="3:13" ht="12.75" customHeight="1" x14ac:dyDescent="0.2">
      <c r="C63067"/>
      <c r="M63067"/>
    </row>
    <row r="63068" spans="3:13" ht="12.75" customHeight="1" x14ac:dyDescent="0.2">
      <c r="C63068"/>
      <c r="M63068"/>
    </row>
    <row r="63069" spans="3:13" ht="12.75" customHeight="1" x14ac:dyDescent="0.2">
      <c r="C63069"/>
      <c r="M63069"/>
    </row>
    <row r="63070" spans="3:13" ht="12.75" customHeight="1" x14ac:dyDescent="0.2">
      <c r="C63070"/>
      <c r="M63070"/>
    </row>
    <row r="63071" spans="3:13" ht="12.75" customHeight="1" x14ac:dyDescent="0.2">
      <c r="C63071"/>
      <c r="M63071"/>
    </row>
    <row r="63072" spans="3:13" ht="12.75" customHeight="1" x14ac:dyDescent="0.2">
      <c r="C63072"/>
      <c r="M63072"/>
    </row>
    <row r="63073" spans="3:13" ht="12.75" customHeight="1" x14ac:dyDescent="0.2">
      <c r="C63073"/>
      <c r="M63073"/>
    </row>
    <row r="63074" spans="3:13" ht="12.75" customHeight="1" x14ac:dyDescent="0.2">
      <c r="C63074"/>
      <c r="M63074"/>
    </row>
    <row r="63075" spans="3:13" ht="12.75" customHeight="1" x14ac:dyDescent="0.2">
      <c r="C63075"/>
      <c r="M63075"/>
    </row>
    <row r="63076" spans="3:13" ht="12.75" customHeight="1" x14ac:dyDescent="0.2">
      <c r="C63076"/>
      <c r="M63076"/>
    </row>
    <row r="63077" spans="3:13" ht="12.75" customHeight="1" x14ac:dyDescent="0.2">
      <c r="C63077"/>
      <c r="M63077"/>
    </row>
    <row r="63078" spans="3:13" ht="12.75" customHeight="1" x14ac:dyDescent="0.2">
      <c r="C63078"/>
      <c r="M63078"/>
    </row>
    <row r="63079" spans="3:13" ht="12.75" customHeight="1" x14ac:dyDescent="0.2">
      <c r="C63079"/>
      <c r="M63079"/>
    </row>
    <row r="63080" spans="3:13" ht="12.75" customHeight="1" x14ac:dyDescent="0.2">
      <c r="C63080"/>
      <c r="M63080"/>
    </row>
    <row r="63081" spans="3:13" ht="12.75" customHeight="1" x14ac:dyDescent="0.2">
      <c r="C63081"/>
      <c r="M63081"/>
    </row>
    <row r="63082" spans="3:13" ht="12.75" customHeight="1" x14ac:dyDescent="0.2">
      <c r="C63082"/>
      <c r="M63082"/>
    </row>
    <row r="63083" spans="3:13" ht="12.75" customHeight="1" x14ac:dyDescent="0.2">
      <c r="C63083"/>
      <c r="M63083"/>
    </row>
    <row r="63084" spans="3:13" ht="12.75" customHeight="1" x14ac:dyDescent="0.2">
      <c r="C63084"/>
      <c r="M63084"/>
    </row>
    <row r="63085" spans="3:13" ht="12.75" customHeight="1" x14ac:dyDescent="0.2">
      <c r="C63085"/>
      <c r="M63085"/>
    </row>
    <row r="63086" spans="3:13" ht="12.75" customHeight="1" x14ac:dyDescent="0.2">
      <c r="C63086"/>
      <c r="M63086"/>
    </row>
    <row r="63087" spans="3:13" ht="12.75" customHeight="1" x14ac:dyDescent="0.2">
      <c r="C63087"/>
      <c r="M63087"/>
    </row>
    <row r="63088" spans="3:13" ht="12.75" customHeight="1" x14ac:dyDescent="0.2">
      <c r="C63088"/>
      <c r="M63088"/>
    </row>
    <row r="63089" spans="3:13" ht="12.75" customHeight="1" x14ac:dyDescent="0.2">
      <c r="C63089"/>
      <c r="M63089"/>
    </row>
    <row r="63090" spans="3:13" ht="12.75" customHeight="1" x14ac:dyDescent="0.2">
      <c r="C63090"/>
      <c r="M63090"/>
    </row>
    <row r="63091" spans="3:13" ht="12.75" customHeight="1" x14ac:dyDescent="0.2">
      <c r="C63091"/>
      <c r="M63091"/>
    </row>
    <row r="63092" spans="3:13" ht="12.75" customHeight="1" x14ac:dyDescent="0.2">
      <c r="C63092"/>
      <c r="M63092"/>
    </row>
    <row r="63093" spans="3:13" ht="12.75" customHeight="1" x14ac:dyDescent="0.2">
      <c r="C63093"/>
      <c r="M63093"/>
    </row>
    <row r="63094" spans="3:13" ht="12.75" customHeight="1" x14ac:dyDescent="0.2">
      <c r="C63094"/>
      <c r="M63094"/>
    </row>
    <row r="63095" spans="3:13" ht="12.75" customHeight="1" x14ac:dyDescent="0.2">
      <c r="C63095"/>
      <c r="M63095"/>
    </row>
    <row r="63096" spans="3:13" ht="12.75" customHeight="1" x14ac:dyDescent="0.2">
      <c r="C63096"/>
      <c r="M63096"/>
    </row>
    <row r="63097" spans="3:13" ht="12.75" customHeight="1" x14ac:dyDescent="0.2">
      <c r="C63097"/>
      <c r="M63097"/>
    </row>
    <row r="63098" spans="3:13" ht="12.75" customHeight="1" x14ac:dyDescent="0.2">
      <c r="C63098"/>
      <c r="M63098"/>
    </row>
    <row r="63099" spans="3:13" ht="12.75" customHeight="1" x14ac:dyDescent="0.2">
      <c r="C63099"/>
      <c r="M63099"/>
    </row>
    <row r="63100" spans="3:13" ht="12.75" customHeight="1" x14ac:dyDescent="0.2">
      <c r="C63100"/>
      <c r="M63100"/>
    </row>
    <row r="63101" spans="3:13" ht="12.75" customHeight="1" x14ac:dyDescent="0.2">
      <c r="C63101"/>
      <c r="M63101"/>
    </row>
    <row r="63102" spans="3:13" ht="12.75" customHeight="1" x14ac:dyDescent="0.2">
      <c r="C63102"/>
      <c r="M63102"/>
    </row>
    <row r="63103" spans="3:13" ht="12.75" customHeight="1" x14ac:dyDescent="0.2">
      <c r="C63103"/>
      <c r="M63103"/>
    </row>
    <row r="63104" spans="3:13" ht="12.75" customHeight="1" x14ac:dyDescent="0.2">
      <c r="C63104"/>
      <c r="M63104"/>
    </row>
    <row r="63105" spans="3:13" ht="12.75" customHeight="1" x14ac:dyDescent="0.2">
      <c r="C63105"/>
      <c r="M63105"/>
    </row>
    <row r="63106" spans="3:13" ht="12.75" customHeight="1" x14ac:dyDescent="0.2">
      <c r="C63106"/>
      <c r="M63106"/>
    </row>
    <row r="63107" spans="3:13" ht="12.75" customHeight="1" x14ac:dyDescent="0.2">
      <c r="C63107"/>
      <c r="M63107"/>
    </row>
    <row r="63108" spans="3:13" ht="12.75" customHeight="1" x14ac:dyDescent="0.2">
      <c r="C63108"/>
      <c r="M63108"/>
    </row>
    <row r="63109" spans="3:13" ht="12.75" customHeight="1" x14ac:dyDescent="0.2">
      <c r="C63109"/>
      <c r="M63109"/>
    </row>
    <row r="63110" spans="3:13" ht="12.75" customHeight="1" x14ac:dyDescent="0.2">
      <c r="C63110"/>
      <c r="M63110"/>
    </row>
    <row r="63111" spans="3:13" ht="12.75" customHeight="1" x14ac:dyDescent="0.2">
      <c r="C63111"/>
      <c r="M63111"/>
    </row>
    <row r="63112" spans="3:13" ht="12.75" customHeight="1" x14ac:dyDescent="0.2">
      <c r="C63112"/>
      <c r="M63112"/>
    </row>
    <row r="63113" spans="3:13" ht="12.75" customHeight="1" x14ac:dyDescent="0.2">
      <c r="C63113"/>
      <c r="M63113"/>
    </row>
    <row r="63114" spans="3:13" ht="12.75" customHeight="1" x14ac:dyDescent="0.2">
      <c r="C63114"/>
      <c r="M63114"/>
    </row>
    <row r="63115" spans="3:13" ht="12.75" customHeight="1" x14ac:dyDescent="0.2">
      <c r="C63115"/>
      <c r="M63115"/>
    </row>
    <row r="63116" spans="3:13" ht="12.75" customHeight="1" x14ac:dyDescent="0.2">
      <c r="C63116"/>
      <c r="M63116"/>
    </row>
    <row r="63117" spans="3:13" ht="12.75" customHeight="1" x14ac:dyDescent="0.2">
      <c r="C63117"/>
      <c r="M63117"/>
    </row>
    <row r="63118" spans="3:13" ht="12.75" customHeight="1" x14ac:dyDescent="0.2">
      <c r="C63118"/>
      <c r="M63118"/>
    </row>
    <row r="63119" spans="3:13" ht="12.75" customHeight="1" x14ac:dyDescent="0.2">
      <c r="C63119"/>
      <c r="M63119"/>
    </row>
    <row r="63120" spans="3:13" ht="12.75" customHeight="1" x14ac:dyDescent="0.2">
      <c r="C63120"/>
      <c r="M63120"/>
    </row>
    <row r="63121" spans="3:13" ht="12.75" customHeight="1" x14ac:dyDescent="0.2">
      <c r="C63121"/>
      <c r="M63121"/>
    </row>
    <row r="63122" spans="3:13" ht="12.75" customHeight="1" x14ac:dyDescent="0.2">
      <c r="C63122"/>
      <c r="M63122"/>
    </row>
    <row r="63123" spans="3:13" ht="12.75" customHeight="1" x14ac:dyDescent="0.2">
      <c r="C63123"/>
      <c r="M63123"/>
    </row>
    <row r="63124" spans="3:13" ht="12.75" customHeight="1" x14ac:dyDescent="0.2">
      <c r="C63124"/>
      <c r="M63124"/>
    </row>
    <row r="63125" spans="3:13" ht="12.75" customHeight="1" x14ac:dyDescent="0.2">
      <c r="C63125"/>
      <c r="M63125"/>
    </row>
    <row r="63126" spans="3:13" ht="12.75" customHeight="1" x14ac:dyDescent="0.2">
      <c r="C63126"/>
      <c r="M63126"/>
    </row>
    <row r="63127" spans="3:13" ht="12.75" customHeight="1" x14ac:dyDescent="0.2">
      <c r="C63127"/>
      <c r="M63127"/>
    </row>
    <row r="63128" spans="3:13" ht="12.75" customHeight="1" x14ac:dyDescent="0.2">
      <c r="C63128"/>
      <c r="M63128"/>
    </row>
    <row r="63129" spans="3:13" ht="12.75" customHeight="1" x14ac:dyDescent="0.2">
      <c r="C63129"/>
      <c r="M63129"/>
    </row>
    <row r="63130" spans="3:13" ht="12.75" customHeight="1" x14ac:dyDescent="0.2">
      <c r="C63130"/>
      <c r="M63130"/>
    </row>
    <row r="63131" spans="3:13" ht="12.75" customHeight="1" x14ac:dyDescent="0.2">
      <c r="C63131"/>
      <c r="M63131"/>
    </row>
    <row r="63132" spans="3:13" ht="12.75" customHeight="1" x14ac:dyDescent="0.2">
      <c r="C63132"/>
      <c r="M63132"/>
    </row>
    <row r="63133" spans="3:13" ht="12.75" customHeight="1" x14ac:dyDescent="0.2">
      <c r="C63133"/>
      <c r="M63133"/>
    </row>
    <row r="63134" spans="3:13" ht="12.75" customHeight="1" x14ac:dyDescent="0.2">
      <c r="C63134"/>
      <c r="M63134"/>
    </row>
    <row r="63135" spans="3:13" ht="12.75" customHeight="1" x14ac:dyDescent="0.2">
      <c r="C63135"/>
      <c r="M63135"/>
    </row>
    <row r="63136" spans="3:13" ht="12.75" customHeight="1" x14ac:dyDescent="0.2">
      <c r="C63136"/>
      <c r="M63136"/>
    </row>
    <row r="63137" spans="3:13" ht="12.75" customHeight="1" x14ac:dyDescent="0.2">
      <c r="C63137"/>
      <c r="M63137"/>
    </row>
    <row r="63138" spans="3:13" ht="12.75" customHeight="1" x14ac:dyDescent="0.2">
      <c r="C63138"/>
      <c r="M63138"/>
    </row>
    <row r="63139" spans="3:13" ht="12.75" customHeight="1" x14ac:dyDescent="0.2">
      <c r="C63139"/>
      <c r="M63139"/>
    </row>
    <row r="63140" spans="3:13" ht="12.75" customHeight="1" x14ac:dyDescent="0.2">
      <c r="C63140"/>
      <c r="M63140"/>
    </row>
    <row r="63141" spans="3:13" ht="12.75" customHeight="1" x14ac:dyDescent="0.2">
      <c r="C63141"/>
      <c r="M63141"/>
    </row>
    <row r="63142" spans="3:13" ht="12.75" customHeight="1" x14ac:dyDescent="0.2">
      <c r="C63142"/>
      <c r="M63142"/>
    </row>
    <row r="63143" spans="3:13" ht="12.75" customHeight="1" x14ac:dyDescent="0.2">
      <c r="C63143"/>
      <c r="M63143"/>
    </row>
    <row r="63144" spans="3:13" ht="12.75" customHeight="1" x14ac:dyDescent="0.2">
      <c r="C63144"/>
      <c r="M63144"/>
    </row>
    <row r="63145" spans="3:13" ht="12.75" customHeight="1" x14ac:dyDescent="0.2">
      <c r="C63145"/>
      <c r="M63145"/>
    </row>
    <row r="63146" spans="3:13" ht="12.75" customHeight="1" x14ac:dyDescent="0.2">
      <c r="C63146"/>
      <c r="M63146"/>
    </row>
    <row r="63147" spans="3:13" ht="12.75" customHeight="1" x14ac:dyDescent="0.2">
      <c r="C63147"/>
      <c r="M63147"/>
    </row>
    <row r="63148" spans="3:13" ht="12.75" customHeight="1" x14ac:dyDescent="0.2">
      <c r="C63148"/>
      <c r="M63148"/>
    </row>
    <row r="63149" spans="3:13" ht="12.75" customHeight="1" x14ac:dyDescent="0.2">
      <c r="C63149"/>
      <c r="M63149"/>
    </row>
    <row r="63150" spans="3:13" ht="12.75" customHeight="1" x14ac:dyDescent="0.2">
      <c r="C63150"/>
      <c r="M63150"/>
    </row>
    <row r="63151" spans="3:13" ht="12.75" customHeight="1" x14ac:dyDescent="0.2">
      <c r="C63151"/>
      <c r="M63151"/>
    </row>
    <row r="63152" spans="3:13" ht="12.75" customHeight="1" x14ac:dyDescent="0.2">
      <c r="C63152"/>
      <c r="M63152"/>
    </row>
    <row r="63153" spans="3:13" ht="12.75" customHeight="1" x14ac:dyDescent="0.2">
      <c r="C63153"/>
      <c r="M63153"/>
    </row>
    <row r="63154" spans="3:13" ht="12.75" customHeight="1" x14ac:dyDescent="0.2">
      <c r="C63154"/>
      <c r="M63154"/>
    </row>
    <row r="63155" spans="3:13" ht="12.75" customHeight="1" x14ac:dyDescent="0.2">
      <c r="C63155"/>
      <c r="M63155"/>
    </row>
    <row r="63156" spans="3:13" ht="12.75" customHeight="1" x14ac:dyDescent="0.2">
      <c r="C63156"/>
      <c r="M63156"/>
    </row>
    <row r="63157" spans="3:13" ht="12.75" customHeight="1" x14ac:dyDescent="0.2">
      <c r="C63157"/>
      <c r="M63157"/>
    </row>
    <row r="63158" spans="3:13" ht="12.75" customHeight="1" x14ac:dyDescent="0.2">
      <c r="C63158"/>
      <c r="M63158"/>
    </row>
    <row r="63159" spans="3:13" ht="12.75" customHeight="1" x14ac:dyDescent="0.2">
      <c r="C63159"/>
      <c r="M63159"/>
    </row>
    <row r="63160" spans="3:13" ht="12.75" customHeight="1" x14ac:dyDescent="0.2">
      <c r="C63160"/>
      <c r="M63160"/>
    </row>
    <row r="63161" spans="3:13" ht="12.75" customHeight="1" x14ac:dyDescent="0.2">
      <c r="C63161"/>
      <c r="M63161"/>
    </row>
    <row r="63162" spans="3:13" ht="12.75" customHeight="1" x14ac:dyDescent="0.2">
      <c r="C63162"/>
      <c r="M63162"/>
    </row>
    <row r="63163" spans="3:13" ht="12.75" customHeight="1" x14ac:dyDescent="0.2">
      <c r="C63163"/>
      <c r="M63163"/>
    </row>
    <row r="63164" spans="3:13" ht="12.75" customHeight="1" x14ac:dyDescent="0.2">
      <c r="C63164"/>
      <c r="M63164"/>
    </row>
    <row r="63165" spans="3:13" ht="12.75" customHeight="1" x14ac:dyDescent="0.2">
      <c r="C63165"/>
      <c r="M63165"/>
    </row>
    <row r="63166" spans="3:13" ht="12.75" customHeight="1" x14ac:dyDescent="0.2">
      <c r="C63166"/>
      <c r="M63166"/>
    </row>
    <row r="63167" spans="3:13" ht="12.75" customHeight="1" x14ac:dyDescent="0.2">
      <c r="C63167"/>
      <c r="M63167"/>
    </row>
    <row r="63168" spans="3:13" ht="12.75" customHeight="1" x14ac:dyDescent="0.2">
      <c r="C63168"/>
      <c r="M63168"/>
    </row>
    <row r="63169" spans="3:13" ht="12.75" customHeight="1" x14ac:dyDescent="0.2">
      <c r="C63169"/>
      <c r="M63169"/>
    </row>
    <row r="63170" spans="3:13" ht="12.75" customHeight="1" x14ac:dyDescent="0.2">
      <c r="C63170"/>
      <c r="M63170"/>
    </row>
    <row r="63171" spans="3:13" ht="12.75" customHeight="1" x14ac:dyDescent="0.2">
      <c r="C63171"/>
      <c r="M63171"/>
    </row>
    <row r="63172" spans="3:13" ht="12.75" customHeight="1" x14ac:dyDescent="0.2">
      <c r="C63172"/>
      <c r="M63172"/>
    </row>
    <row r="63173" spans="3:13" ht="12.75" customHeight="1" x14ac:dyDescent="0.2">
      <c r="C63173"/>
      <c r="M63173"/>
    </row>
    <row r="63174" spans="3:13" ht="12.75" customHeight="1" x14ac:dyDescent="0.2">
      <c r="C63174"/>
      <c r="M63174"/>
    </row>
    <row r="63175" spans="3:13" ht="12.75" customHeight="1" x14ac:dyDescent="0.2">
      <c r="C63175"/>
      <c r="M63175"/>
    </row>
    <row r="63176" spans="3:13" ht="12.75" customHeight="1" x14ac:dyDescent="0.2">
      <c r="C63176"/>
      <c r="M63176"/>
    </row>
    <row r="63177" spans="3:13" ht="12.75" customHeight="1" x14ac:dyDescent="0.2">
      <c r="C63177"/>
      <c r="M63177"/>
    </row>
    <row r="63178" spans="3:13" ht="12.75" customHeight="1" x14ac:dyDescent="0.2">
      <c r="C63178"/>
      <c r="M63178"/>
    </row>
    <row r="63179" spans="3:13" ht="12.75" customHeight="1" x14ac:dyDescent="0.2">
      <c r="C63179"/>
      <c r="M63179"/>
    </row>
    <row r="63180" spans="3:13" ht="12.75" customHeight="1" x14ac:dyDescent="0.2">
      <c r="C63180"/>
      <c r="M63180"/>
    </row>
    <row r="63181" spans="3:13" ht="12.75" customHeight="1" x14ac:dyDescent="0.2">
      <c r="C63181"/>
      <c r="M63181"/>
    </row>
    <row r="63182" spans="3:13" ht="12.75" customHeight="1" x14ac:dyDescent="0.2">
      <c r="C63182"/>
      <c r="M63182"/>
    </row>
    <row r="63183" spans="3:13" ht="12.75" customHeight="1" x14ac:dyDescent="0.2">
      <c r="C63183"/>
      <c r="M63183"/>
    </row>
    <row r="63184" spans="3:13" ht="12.75" customHeight="1" x14ac:dyDescent="0.2">
      <c r="C63184"/>
      <c r="M63184"/>
    </row>
    <row r="63185" spans="3:13" ht="12.75" customHeight="1" x14ac:dyDescent="0.2">
      <c r="C63185"/>
      <c r="M63185"/>
    </row>
    <row r="63186" spans="3:13" ht="12.75" customHeight="1" x14ac:dyDescent="0.2">
      <c r="C63186"/>
      <c r="M63186"/>
    </row>
    <row r="63187" spans="3:13" ht="12.75" customHeight="1" x14ac:dyDescent="0.2">
      <c r="C63187"/>
      <c r="M63187"/>
    </row>
    <row r="63188" spans="3:13" ht="12.75" customHeight="1" x14ac:dyDescent="0.2">
      <c r="C63188"/>
      <c r="M63188"/>
    </row>
    <row r="63189" spans="3:13" ht="12.75" customHeight="1" x14ac:dyDescent="0.2">
      <c r="C63189"/>
      <c r="M63189"/>
    </row>
    <row r="63190" spans="3:13" ht="12.75" customHeight="1" x14ac:dyDescent="0.2">
      <c r="C63190"/>
      <c r="M63190"/>
    </row>
    <row r="63191" spans="3:13" ht="12.75" customHeight="1" x14ac:dyDescent="0.2">
      <c r="C63191"/>
      <c r="M63191"/>
    </row>
    <row r="63192" spans="3:13" ht="12.75" customHeight="1" x14ac:dyDescent="0.2">
      <c r="C63192"/>
      <c r="M63192"/>
    </row>
    <row r="63193" spans="3:13" ht="12.75" customHeight="1" x14ac:dyDescent="0.2">
      <c r="C63193"/>
      <c r="M63193"/>
    </row>
    <row r="63194" spans="3:13" ht="12.75" customHeight="1" x14ac:dyDescent="0.2">
      <c r="C63194"/>
      <c r="M63194"/>
    </row>
    <row r="63195" spans="3:13" ht="12.75" customHeight="1" x14ac:dyDescent="0.2">
      <c r="C63195"/>
      <c r="M63195"/>
    </row>
    <row r="63196" spans="3:13" ht="12.75" customHeight="1" x14ac:dyDescent="0.2">
      <c r="C63196"/>
      <c r="M63196"/>
    </row>
    <row r="63197" spans="3:13" ht="12.75" customHeight="1" x14ac:dyDescent="0.2">
      <c r="C63197"/>
      <c r="M63197"/>
    </row>
    <row r="63198" spans="3:13" ht="12.75" customHeight="1" x14ac:dyDescent="0.2">
      <c r="C63198"/>
      <c r="M63198"/>
    </row>
    <row r="63199" spans="3:13" ht="12.75" customHeight="1" x14ac:dyDescent="0.2">
      <c r="C63199"/>
      <c r="M63199"/>
    </row>
    <row r="63200" spans="3:13" ht="12.75" customHeight="1" x14ac:dyDescent="0.2">
      <c r="C63200"/>
      <c r="M63200"/>
    </row>
    <row r="63201" spans="3:13" ht="12.75" customHeight="1" x14ac:dyDescent="0.2">
      <c r="C63201"/>
      <c r="M63201"/>
    </row>
    <row r="63202" spans="3:13" ht="12.75" customHeight="1" x14ac:dyDescent="0.2">
      <c r="C63202"/>
      <c r="M63202"/>
    </row>
    <row r="63203" spans="3:13" ht="12.75" customHeight="1" x14ac:dyDescent="0.2">
      <c r="C63203"/>
      <c r="M63203"/>
    </row>
    <row r="63204" spans="3:13" ht="12.75" customHeight="1" x14ac:dyDescent="0.2">
      <c r="C63204"/>
      <c r="M63204"/>
    </row>
    <row r="63205" spans="3:13" ht="12.75" customHeight="1" x14ac:dyDescent="0.2">
      <c r="C63205"/>
      <c r="M63205"/>
    </row>
    <row r="63206" spans="3:13" ht="12.75" customHeight="1" x14ac:dyDescent="0.2">
      <c r="C63206"/>
      <c r="M63206"/>
    </row>
    <row r="63207" spans="3:13" ht="12.75" customHeight="1" x14ac:dyDescent="0.2">
      <c r="C63207"/>
      <c r="M63207"/>
    </row>
    <row r="63208" spans="3:13" ht="12.75" customHeight="1" x14ac:dyDescent="0.2">
      <c r="C63208"/>
      <c r="M63208"/>
    </row>
    <row r="63209" spans="3:13" ht="12.75" customHeight="1" x14ac:dyDescent="0.2">
      <c r="C63209"/>
      <c r="M63209"/>
    </row>
    <row r="63210" spans="3:13" ht="12.75" customHeight="1" x14ac:dyDescent="0.2">
      <c r="C63210"/>
      <c r="M63210"/>
    </row>
    <row r="63211" spans="3:13" ht="12.75" customHeight="1" x14ac:dyDescent="0.2">
      <c r="C63211"/>
      <c r="M63211"/>
    </row>
    <row r="63212" spans="3:13" ht="12.75" customHeight="1" x14ac:dyDescent="0.2">
      <c r="C63212"/>
      <c r="M63212"/>
    </row>
    <row r="63213" spans="3:13" ht="12.75" customHeight="1" x14ac:dyDescent="0.2">
      <c r="C63213"/>
      <c r="M63213"/>
    </row>
    <row r="63214" spans="3:13" ht="12.75" customHeight="1" x14ac:dyDescent="0.2">
      <c r="C63214"/>
      <c r="M63214"/>
    </row>
    <row r="63215" spans="3:13" ht="12.75" customHeight="1" x14ac:dyDescent="0.2">
      <c r="C63215"/>
      <c r="M63215"/>
    </row>
    <row r="63216" spans="3:13" ht="12.75" customHeight="1" x14ac:dyDescent="0.2">
      <c r="C63216"/>
      <c r="M63216"/>
    </row>
    <row r="63217" spans="3:13" ht="12.75" customHeight="1" x14ac:dyDescent="0.2">
      <c r="C63217"/>
      <c r="M63217"/>
    </row>
    <row r="63218" spans="3:13" ht="12.75" customHeight="1" x14ac:dyDescent="0.2">
      <c r="C63218"/>
      <c r="M63218"/>
    </row>
    <row r="63219" spans="3:13" ht="12.75" customHeight="1" x14ac:dyDescent="0.2">
      <c r="C63219"/>
      <c r="M63219"/>
    </row>
    <row r="63220" spans="3:13" ht="12.75" customHeight="1" x14ac:dyDescent="0.2">
      <c r="C63220"/>
      <c r="M63220"/>
    </row>
    <row r="63221" spans="3:13" ht="12.75" customHeight="1" x14ac:dyDescent="0.2">
      <c r="C63221"/>
      <c r="M63221"/>
    </row>
    <row r="63222" spans="3:13" ht="12.75" customHeight="1" x14ac:dyDescent="0.2">
      <c r="C63222"/>
      <c r="M63222"/>
    </row>
    <row r="63223" spans="3:13" ht="12.75" customHeight="1" x14ac:dyDescent="0.2">
      <c r="C63223"/>
      <c r="M63223"/>
    </row>
    <row r="63224" spans="3:13" ht="12.75" customHeight="1" x14ac:dyDescent="0.2">
      <c r="C63224"/>
      <c r="M63224"/>
    </row>
    <row r="63225" spans="3:13" ht="12.75" customHeight="1" x14ac:dyDescent="0.2">
      <c r="C63225"/>
      <c r="M63225"/>
    </row>
    <row r="63226" spans="3:13" ht="12.75" customHeight="1" x14ac:dyDescent="0.2">
      <c r="C63226"/>
      <c r="M63226"/>
    </row>
    <row r="63227" spans="3:13" ht="12.75" customHeight="1" x14ac:dyDescent="0.2">
      <c r="C63227"/>
      <c r="M63227"/>
    </row>
    <row r="63228" spans="3:13" ht="12.75" customHeight="1" x14ac:dyDescent="0.2">
      <c r="C63228"/>
      <c r="M63228"/>
    </row>
    <row r="63229" spans="3:13" ht="12.75" customHeight="1" x14ac:dyDescent="0.2">
      <c r="C63229"/>
      <c r="M63229"/>
    </row>
    <row r="63230" spans="3:13" ht="12.75" customHeight="1" x14ac:dyDescent="0.2">
      <c r="C63230"/>
      <c r="M63230"/>
    </row>
    <row r="63231" spans="3:13" ht="12.75" customHeight="1" x14ac:dyDescent="0.2">
      <c r="C63231"/>
      <c r="M63231"/>
    </row>
    <row r="63232" spans="3:13" ht="12.75" customHeight="1" x14ac:dyDescent="0.2">
      <c r="C63232"/>
      <c r="M63232"/>
    </row>
    <row r="63233" spans="3:13" ht="12.75" customHeight="1" x14ac:dyDescent="0.2">
      <c r="C63233"/>
      <c r="M63233"/>
    </row>
    <row r="63234" spans="3:13" ht="12.75" customHeight="1" x14ac:dyDescent="0.2">
      <c r="C63234"/>
      <c r="M63234"/>
    </row>
    <row r="63235" spans="3:13" ht="12.75" customHeight="1" x14ac:dyDescent="0.2">
      <c r="C63235"/>
      <c r="M63235"/>
    </row>
    <row r="63236" spans="3:13" ht="12.75" customHeight="1" x14ac:dyDescent="0.2">
      <c r="C63236"/>
      <c r="M63236"/>
    </row>
    <row r="63237" spans="3:13" ht="12.75" customHeight="1" x14ac:dyDescent="0.2">
      <c r="C63237"/>
      <c r="M63237"/>
    </row>
    <row r="63238" spans="3:13" ht="12.75" customHeight="1" x14ac:dyDescent="0.2">
      <c r="C63238"/>
      <c r="M63238"/>
    </row>
    <row r="63239" spans="3:13" ht="12.75" customHeight="1" x14ac:dyDescent="0.2">
      <c r="C63239"/>
      <c r="M63239"/>
    </row>
    <row r="63240" spans="3:13" ht="12.75" customHeight="1" x14ac:dyDescent="0.2">
      <c r="C63240"/>
      <c r="M63240"/>
    </row>
    <row r="63241" spans="3:13" ht="12.75" customHeight="1" x14ac:dyDescent="0.2">
      <c r="C63241"/>
      <c r="M63241"/>
    </row>
    <row r="63242" spans="3:13" ht="12.75" customHeight="1" x14ac:dyDescent="0.2">
      <c r="C63242"/>
      <c r="M63242"/>
    </row>
    <row r="63243" spans="3:13" ht="12.75" customHeight="1" x14ac:dyDescent="0.2">
      <c r="C63243"/>
      <c r="M63243"/>
    </row>
    <row r="63244" spans="3:13" ht="12.75" customHeight="1" x14ac:dyDescent="0.2">
      <c r="C63244"/>
      <c r="M63244"/>
    </row>
    <row r="63245" spans="3:13" ht="12.75" customHeight="1" x14ac:dyDescent="0.2">
      <c r="C63245"/>
      <c r="M63245"/>
    </row>
    <row r="63246" spans="3:13" ht="12.75" customHeight="1" x14ac:dyDescent="0.2">
      <c r="C63246"/>
      <c r="M63246"/>
    </row>
    <row r="63247" spans="3:13" ht="12.75" customHeight="1" x14ac:dyDescent="0.2">
      <c r="C63247"/>
      <c r="M63247"/>
    </row>
    <row r="63248" spans="3:13" ht="12.75" customHeight="1" x14ac:dyDescent="0.2">
      <c r="C63248"/>
      <c r="M63248"/>
    </row>
    <row r="63249" spans="3:13" ht="12.75" customHeight="1" x14ac:dyDescent="0.2">
      <c r="C63249"/>
      <c r="M63249"/>
    </row>
    <row r="63250" spans="3:13" ht="12.75" customHeight="1" x14ac:dyDescent="0.2">
      <c r="C63250"/>
      <c r="M63250"/>
    </row>
    <row r="63251" spans="3:13" ht="12.75" customHeight="1" x14ac:dyDescent="0.2">
      <c r="C63251"/>
      <c r="M63251"/>
    </row>
    <row r="63252" spans="3:13" ht="12.75" customHeight="1" x14ac:dyDescent="0.2">
      <c r="C63252"/>
      <c r="M63252"/>
    </row>
    <row r="63253" spans="3:13" ht="12.75" customHeight="1" x14ac:dyDescent="0.2">
      <c r="C63253"/>
      <c r="M63253"/>
    </row>
    <row r="63254" spans="3:13" ht="12.75" customHeight="1" x14ac:dyDescent="0.2">
      <c r="C63254"/>
      <c r="M63254"/>
    </row>
    <row r="63255" spans="3:13" ht="12.75" customHeight="1" x14ac:dyDescent="0.2">
      <c r="C63255"/>
      <c r="M63255"/>
    </row>
    <row r="63256" spans="3:13" ht="12.75" customHeight="1" x14ac:dyDescent="0.2">
      <c r="C63256"/>
      <c r="M63256"/>
    </row>
    <row r="63257" spans="3:13" ht="12.75" customHeight="1" x14ac:dyDescent="0.2">
      <c r="C63257"/>
      <c r="M63257"/>
    </row>
    <row r="63258" spans="3:13" ht="12.75" customHeight="1" x14ac:dyDescent="0.2">
      <c r="C63258"/>
      <c r="M63258"/>
    </row>
    <row r="63259" spans="3:13" ht="12.75" customHeight="1" x14ac:dyDescent="0.2">
      <c r="C63259"/>
      <c r="M63259"/>
    </row>
    <row r="63260" spans="3:13" ht="12.75" customHeight="1" x14ac:dyDescent="0.2">
      <c r="C63260"/>
      <c r="M63260"/>
    </row>
    <row r="63261" spans="3:13" ht="12.75" customHeight="1" x14ac:dyDescent="0.2">
      <c r="C63261"/>
      <c r="M63261"/>
    </row>
    <row r="63262" spans="3:13" ht="12.75" customHeight="1" x14ac:dyDescent="0.2">
      <c r="C63262"/>
      <c r="M63262"/>
    </row>
    <row r="63263" spans="3:13" ht="12.75" customHeight="1" x14ac:dyDescent="0.2">
      <c r="C63263"/>
      <c r="M63263"/>
    </row>
    <row r="63264" spans="3:13" ht="12.75" customHeight="1" x14ac:dyDescent="0.2">
      <c r="C63264"/>
      <c r="M63264"/>
    </row>
    <row r="63265" spans="3:13" ht="12.75" customHeight="1" x14ac:dyDescent="0.2">
      <c r="C63265"/>
      <c r="M63265"/>
    </row>
    <row r="63266" spans="3:13" ht="12.75" customHeight="1" x14ac:dyDescent="0.2">
      <c r="C63266"/>
      <c r="M63266"/>
    </row>
    <row r="63267" spans="3:13" ht="12.75" customHeight="1" x14ac:dyDescent="0.2">
      <c r="C63267"/>
      <c r="M63267"/>
    </row>
    <row r="63268" spans="3:13" ht="12.75" customHeight="1" x14ac:dyDescent="0.2">
      <c r="C63268"/>
      <c r="M63268"/>
    </row>
    <row r="63269" spans="3:13" ht="12.75" customHeight="1" x14ac:dyDescent="0.2">
      <c r="C63269"/>
      <c r="M63269"/>
    </row>
    <row r="63270" spans="3:13" ht="12.75" customHeight="1" x14ac:dyDescent="0.2">
      <c r="C63270"/>
      <c r="M63270"/>
    </row>
    <row r="63271" spans="3:13" ht="12.75" customHeight="1" x14ac:dyDescent="0.2">
      <c r="C63271"/>
      <c r="M63271"/>
    </row>
    <row r="63272" spans="3:13" ht="12.75" customHeight="1" x14ac:dyDescent="0.2">
      <c r="C63272"/>
      <c r="M63272"/>
    </row>
    <row r="63273" spans="3:13" ht="12.75" customHeight="1" x14ac:dyDescent="0.2">
      <c r="C63273"/>
      <c r="M63273"/>
    </row>
    <row r="63274" spans="3:13" ht="12.75" customHeight="1" x14ac:dyDescent="0.2">
      <c r="C63274"/>
      <c r="M63274"/>
    </row>
    <row r="63275" spans="3:13" ht="12.75" customHeight="1" x14ac:dyDescent="0.2">
      <c r="C63275"/>
      <c r="M63275"/>
    </row>
    <row r="63276" spans="3:13" ht="12.75" customHeight="1" x14ac:dyDescent="0.2">
      <c r="C63276"/>
      <c r="M63276"/>
    </row>
    <row r="63277" spans="3:13" ht="12.75" customHeight="1" x14ac:dyDescent="0.2">
      <c r="C63277"/>
      <c r="M63277"/>
    </row>
    <row r="63278" spans="3:13" ht="12.75" customHeight="1" x14ac:dyDescent="0.2">
      <c r="C63278"/>
      <c r="M63278"/>
    </row>
    <row r="63279" spans="3:13" ht="12.75" customHeight="1" x14ac:dyDescent="0.2">
      <c r="C63279"/>
      <c r="M63279"/>
    </row>
    <row r="63280" spans="3:13" ht="12.75" customHeight="1" x14ac:dyDescent="0.2">
      <c r="C63280"/>
      <c r="M63280"/>
    </row>
    <row r="63281" spans="3:13" ht="12.75" customHeight="1" x14ac:dyDescent="0.2">
      <c r="C63281"/>
      <c r="M63281"/>
    </row>
    <row r="63282" spans="3:13" ht="12.75" customHeight="1" x14ac:dyDescent="0.2">
      <c r="C63282"/>
      <c r="M63282"/>
    </row>
    <row r="63283" spans="3:13" ht="12.75" customHeight="1" x14ac:dyDescent="0.2">
      <c r="C63283"/>
      <c r="M63283"/>
    </row>
    <row r="63284" spans="3:13" ht="12.75" customHeight="1" x14ac:dyDescent="0.2">
      <c r="C63284"/>
      <c r="M63284"/>
    </row>
    <row r="63285" spans="3:13" ht="12.75" customHeight="1" x14ac:dyDescent="0.2">
      <c r="C63285"/>
      <c r="M63285"/>
    </row>
    <row r="63286" spans="3:13" ht="12.75" customHeight="1" x14ac:dyDescent="0.2">
      <c r="C63286"/>
      <c r="M63286"/>
    </row>
    <row r="63287" spans="3:13" ht="12.75" customHeight="1" x14ac:dyDescent="0.2">
      <c r="C63287"/>
      <c r="M63287"/>
    </row>
    <row r="63288" spans="3:13" ht="12.75" customHeight="1" x14ac:dyDescent="0.2">
      <c r="C63288"/>
      <c r="M63288"/>
    </row>
    <row r="63289" spans="3:13" ht="12.75" customHeight="1" x14ac:dyDescent="0.2">
      <c r="C63289"/>
      <c r="M63289"/>
    </row>
    <row r="63290" spans="3:13" ht="12.75" customHeight="1" x14ac:dyDescent="0.2">
      <c r="C63290"/>
      <c r="M63290"/>
    </row>
    <row r="63291" spans="3:13" ht="12.75" customHeight="1" x14ac:dyDescent="0.2">
      <c r="C63291"/>
      <c r="M63291"/>
    </row>
    <row r="63292" spans="3:13" ht="12.75" customHeight="1" x14ac:dyDescent="0.2">
      <c r="C63292"/>
      <c r="M63292"/>
    </row>
    <row r="63293" spans="3:13" ht="12.75" customHeight="1" x14ac:dyDescent="0.2">
      <c r="C63293"/>
      <c r="M63293"/>
    </row>
    <row r="63294" spans="3:13" ht="12.75" customHeight="1" x14ac:dyDescent="0.2">
      <c r="C63294"/>
      <c r="M63294"/>
    </row>
    <row r="63295" spans="3:13" ht="12.75" customHeight="1" x14ac:dyDescent="0.2">
      <c r="C63295"/>
      <c r="M63295"/>
    </row>
    <row r="63296" spans="3:13" ht="12.75" customHeight="1" x14ac:dyDescent="0.2">
      <c r="C63296"/>
      <c r="M63296"/>
    </row>
    <row r="63297" spans="3:13" ht="12.75" customHeight="1" x14ac:dyDescent="0.2">
      <c r="C63297"/>
      <c r="M63297"/>
    </row>
    <row r="63298" spans="3:13" ht="12.75" customHeight="1" x14ac:dyDescent="0.2">
      <c r="C63298"/>
      <c r="M63298"/>
    </row>
    <row r="63299" spans="3:13" ht="12.75" customHeight="1" x14ac:dyDescent="0.2">
      <c r="C63299"/>
      <c r="M63299"/>
    </row>
    <row r="63300" spans="3:13" ht="12.75" customHeight="1" x14ac:dyDescent="0.2">
      <c r="C63300"/>
      <c r="M63300"/>
    </row>
    <row r="63301" spans="3:13" ht="12.75" customHeight="1" x14ac:dyDescent="0.2">
      <c r="C63301"/>
      <c r="M63301"/>
    </row>
    <row r="63302" spans="3:13" ht="12.75" customHeight="1" x14ac:dyDescent="0.2">
      <c r="C63302"/>
      <c r="M63302"/>
    </row>
    <row r="63303" spans="3:13" ht="12.75" customHeight="1" x14ac:dyDescent="0.2">
      <c r="C63303"/>
      <c r="M63303"/>
    </row>
    <row r="63304" spans="3:13" ht="12.75" customHeight="1" x14ac:dyDescent="0.2">
      <c r="C63304"/>
      <c r="M63304"/>
    </row>
    <row r="63305" spans="3:13" ht="12.75" customHeight="1" x14ac:dyDescent="0.2">
      <c r="C63305"/>
      <c r="M63305"/>
    </row>
    <row r="63306" spans="3:13" ht="12.75" customHeight="1" x14ac:dyDescent="0.2">
      <c r="C63306"/>
      <c r="M63306"/>
    </row>
    <row r="63307" spans="3:13" ht="12.75" customHeight="1" x14ac:dyDescent="0.2">
      <c r="C63307"/>
      <c r="M63307"/>
    </row>
    <row r="63308" spans="3:13" ht="12.75" customHeight="1" x14ac:dyDescent="0.2">
      <c r="C63308"/>
      <c r="M63308"/>
    </row>
    <row r="63309" spans="3:13" ht="12.75" customHeight="1" x14ac:dyDescent="0.2">
      <c r="C63309"/>
      <c r="M63309"/>
    </row>
    <row r="63310" spans="3:13" ht="12.75" customHeight="1" x14ac:dyDescent="0.2">
      <c r="C63310"/>
      <c r="M63310"/>
    </row>
    <row r="63311" spans="3:13" ht="12.75" customHeight="1" x14ac:dyDescent="0.2">
      <c r="C63311"/>
      <c r="M63311"/>
    </row>
    <row r="63312" spans="3:13" ht="12.75" customHeight="1" x14ac:dyDescent="0.2">
      <c r="C63312"/>
      <c r="M63312"/>
    </row>
    <row r="63313" spans="3:13" ht="12.75" customHeight="1" x14ac:dyDescent="0.2">
      <c r="C63313"/>
      <c r="M63313"/>
    </row>
    <row r="63314" spans="3:13" ht="12.75" customHeight="1" x14ac:dyDescent="0.2">
      <c r="C63314"/>
      <c r="M63314"/>
    </row>
    <row r="63315" spans="3:13" ht="12.75" customHeight="1" x14ac:dyDescent="0.2">
      <c r="C63315"/>
      <c r="M63315"/>
    </row>
    <row r="63316" spans="3:13" ht="12.75" customHeight="1" x14ac:dyDescent="0.2">
      <c r="C63316"/>
      <c r="M63316"/>
    </row>
    <row r="63317" spans="3:13" ht="12.75" customHeight="1" x14ac:dyDescent="0.2">
      <c r="C63317"/>
      <c r="M63317"/>
    </row>
    <row r="63318" spans="3:13" ht="12.75" customHeight="1" x14ac:dyDescent="0.2">
      <c r="C63318"/>
      <c r="M63318"/>
    </row>
    <row r="63319" spans="3:13" ht="12.75" customHeight="1" x14ac:dyDescent="0.2">
      <c r="C63319"/>
      <c r="M63319"/>
    </row>
    <row r="63320" spans="3:13" ht="12.75" customHeight="1" x14ac:dyDescent="0.2">
      <c r="C63320"/>
      <c r="M63320"/>
    </row>
    <row r="63321" spans="3:13" ht="12.75" customHeight="1" x14ac:dyDescent="0.2">
      <c r="C63321"/>
      <c r="M63321"/>
    </row>
    <row r="63322" spans="3:13" ht="12.75" customHeight="1" x14ac:dyDescent="0.2">
      <c r="C63322"/>
      <c r="M63322"/>
    </row>
    <row r="63323" spans="3:13" ht="12.75" customHeight="1" x14ac:dyDescent="0.2">
      <c r="C63323"/>
      <c r="M63323"/>
    </row>
    <row r="63324" spans="3:13" ht="12.75" customHeight="1" x14ac:dyDescent="0.2">
      <c r="C63324"/>
      <c r="M63324"/>
    </row>
    <row r="63325" spans="3:13" ht="12.75" customHeight="1" x14ac:dyDescent="0.2">
      <c r="C63325"/>
      <c r="M63325"/>
    </row>
    <row r="63326" spans="3:13" ht="12.75" customHeight="1" x14ac:dyDescent="0.2">
      <c r="C63326"/>
      <c r="M63326"/>
    </row>
    <row r="63327" spans="3:13" ht="12.75" customHeight="1" x14ac:dyDescent="0.2">
      <c r="C63327"/>
      <c r="M63327"/>
    </row>
    <row r="63328" spans="3:13" ht="12.75" customHeight="1" x14ac:dyDescent="0.2">
      <c r="C63328"/>
      <c r="M63328"/>
    </row>
    <row r="63329" spans="3:13" ht="12.75" customHeight="1" x14ac:dyDescent="0.2">
      <c r="C63329"/>
      <c r="M63329"/>
    </row>
    <row r="63330" spans="3:13" ht="12.75" customHeight="1" x14ac:dyDescent="0.2">
      <c r="C63330"/>
      <c r="M63330"/>
    </row>
    <row r="63331" spans="3:13" ht="12.75" customHeight="1" x14ac:dyDescent="0.2">
      <c r="C63331"/>
      <c r="M63331"/>
    </row>
    <row r="63332" spans="3:13" ht="12.75" customHeight="1" x14ac:dyDescent="0.2">
      <c r="C63332"/>
      <c r="M63332"/>
    </row>
    <row r="63333" spans="3:13" ht="12.75" customHeight="1" x14ac:dyDescent="0.2">
      <c r="C63333"/>
      <c r="M63333"/>
    </row>
    <row r="63334" spans="3:13" ht="12.75" customHeight="1" x14ac:dyDescent="0.2">
      <c r="C63334"/>
      <c r="M63334"/>
    </row>
    <row r="63335" spans="3:13" ht="12.75" customHeight="1" x14ac:dyDescent="0.2">
      <c r="C63335"/>
      <c r="M63335"/>
    </row>
    <row r="63336" spans="3:13" ht="12.75" customHeight="1" x14ac:dyDescent="0.2">
      <c r="C63336"/>
      <c r="M63336"/>
    </row>
    <row r="63337" spans="3:13" ht="12.75" customHeight="1" x14ac:dyDescent="0.2">
      <c r="C63337"/>
      <c r="M63337"/>
    </row>
    <row r="63338" spans="3:13" ht="12.75" customHeight="1" x14ac:dyDescent="0.2">
      <c r="C63338"/>
      <c r="M63338"/>
    </row>
    <row r="63339" spans="3:13" ht="12.75" customHeight="1" x14ac:dyDescent="0.2">
      <c r="C63339"/>
      <c r="M63339"/>
    </row>
    <row r="63340" spans="3:13" ht="12.75" customHeight="1" x14ac:dyDescent="0.2">
      <c r="C63340"/>
      <c r="M63340"/>
    </row>
    <row r="63341" spans="3:13" ht="12.75" customHeight="1" x14ac:dyDescent="0.2">
      <c r="C63341"/>
      <c r="M63341"/>
    </row>
    <row r="63342" spans="3:13" ht="12.75" customHeight="1" x14ac:dyDescent="0.2">
      <c r="C63342"/>
      <c r="M63342"/>
    </row>
    <row r="63343" spans="3:13" ht="12.75" customHeight="1" x14ac:dyDescent="0.2">
      <c r="C63343"/>
      <c r="M63343"/>
    </row>
    <row r="63344" spans="3:13" ht="12.75" customHeight="1" x14ac:dyDescent="0.2">
      <c r="C63344"/>
      <c r="M63344"/>
    </row>
    <row r="63345" spans="3:13" ht="12.75" customHeight="1" x14ac:dyDescent="0.2">
      <c r="C63345"/>
      <c r="M63345"/>
    </row>
    <row r="63346" spans="3:13" ht="12.75" customHeight="1" x14ac:dyDescent="0.2">
      <c r="C63346"/>
      <c r="M63346"/>
    </row>
    <row r="63347" spans="3:13" ht="12.75" customHeight="1" x14ac:dyDescent="0.2">
      <c r="C63347"/>
      <c r="M63347"/>
    </row>
    <row r="63348" spans="3:13" ht="12.75" customHeight="1" x14ac:dyDescent="0.2">
      <c r="C63348"/>
      <c r="M63348"/>
    </row>
    <row r="63349" spans="3:13" ht="12.75" customHeight="1" x14ac:dyDescent="0.2">
      <c r="C63349"/>
      <c r="M63349"/>
    </row>
    <row r="63350" spans="3:13" ht="12.75" customHeight="1" x14ac:dyDescent="0.2">
      <c r="C63350"/>
      <c r="M63350"/>
    </row>
    <row r="63351" spans="3:13" ht="12.75" customHeight="1" x14ac:dyDescent="0.2">
      <c r="C63351"/>
      <c r="M63351"/>
    </row>
    <row r="63352" spans="3:13" ht="12.75" customHeight="1" x14ac:dyDescent="0.2">
      <c r="C63352"/>
      <c r="M63352"/>
    </row>
    <row r="63353" spans="3:13" ht="12.75" customHeight="1" x14ac:dyDescent="0.2">
      <c r="C63353"/>
      <c r="M63353"/>
    </row>
    <row r="63354" spans="3:13" ht="12.75" customHeight="1" x14ac:dyDescent="0.2">
      <c r="C63354"/>
      <c r="M63354"/>
    </row>
    <row r="63355" spans="3:13" ht="12.75" customHeight="1" x14ac:dyDescent="0.2">
      <c r="C63355"/>
      <c r="M63355"/>
    </row>
    <row r="63356" spans="3:13" ht="12.75" customHeight="1" x14ac:dyDescent="0.2">
      <c r="C63356"/>
      <c r="M63356"/>
    </row>
    <row r="63357" spans="3:13" ht="12.75" customHeight="1" x14ac:dyDescent="0.2">
      <c r="C63357"/>
      <c r="M63357"/>
    </row>
    <row r="63358" spans="3:13" ht="12.75" customHeight="1" x14ac:dyDescent="0.2">
      <c r="C63358"/>
      <c r="M63358"/>
    </row>
    <row r="63359" spans="3:13" ht="12.75" customHeight="1" x14ac:dyDescent="0.2">
      <c r="C63359"/>
      <c r="M63359"/>
    </row>
    <row r="63360" spans="3:13" ht="12.75" customHeight="1" x14ac:dyDescent="0.2">
      <c r="C63360"/>
      <c r="M63360"/>
    </row>
    <row r="63361" spans="3:13" ht="12.75" customHeight="1" x14ac:dyDescent="0.2">
      <c r="C63361"/>
      <c r="M63361"/>
    </row>
    <row r="63362" spans="3:13" ht="12.75" customHeight="1" x14ac:dyDescent="0.2">
      <c r="C63362"/>
      <c r="M63362"/>
    </row>
    <row r="63363" spans="3:13" ht="12.75" customHeight="1" x14ac:dyDescent="0.2">
      <c r="C63363"/>
      <c r="M63363"/>
    </row>
    <row r="63364" spans="3:13" ht="12.75" customHeight="1" x14ac:dyDescent="0.2">
      <c r="C63364"/>
      <c r="M63364"/>
    </row>
    <row r="63365" spans="3:13" ht="12.75" customHeight="1" x14ac:dyDescent="0.2">
      <c r="C63365"/>
      <c r="M63365"/>
    </row>
    <row r="63366" spans="3:13" ht="12.75" customHeight="1" x14ac:dyDescent="0.2">
      <c r="C63366"/>
      <c r="M63366"/>
    </row>
    <row r="63367" spans="3:13" ht="12.75" customHeight="1" x14ac:dyDescent="0.2">
      <c r="C63367"/>
      <c r="M63367"/>
    </row>
    <row r="63368" spans="3:13" ht="12.75" customHeight="1" x14ac:dyDescent="0.2">
      <c r="C63368"/>
      <c r="M63368"/>
    </row>
    <row r="63369" spans="3:13" ht="12.75" customHeight="1" x14ac:dyDescent="0.2">
      <c r="C63369"/>
      <c r="M63369"/>
    </row>
    <row r="63370" spans="3:13" ht="12.75" customHeight="1" x14ac:dyDescent="0.2">
      <c r="C63370"/>
      <c r="M63370"/>
    </row>
    <row r="63371" spans="3:13" ht="12.75" customHeight="1" x14ac:dyDescent="0.2">
      <c r="C63371"/>
      <c r="M63371"/>
    </row>
    <row r="63372" spans="3:13" ht="12.75" customHeight="1" x14ac:dyDescent="0.2">
      <c r="C63372"/>
      <c r="M63372"/>
    </row>
    <row r="63373" spans="3:13" ht="12.75" customHeight="1" x14ac:dyDescent="0.2">
      <c r="C63373"/>
      <c r="M63373"/>
    </row>
    <row r="63374" spans="3:13" ht="12.75" customHeight="1" x14ac:dyDescent="0.2">
      <c r="C63374"/>
      <c r="M63374"/>
    </row>
    <row r="63375" spans="3:13" ht="12.75" customHeight="1" x14ac:dyDescent="0.2">
      <c r="C63375"/>
      <c r="M63375"/>
    </row>
    <row r="63376" spans="3:13" ht="12.75" customHeight="1" x14ac:dyDescent="0.2">
      <c r="C63376"/>
      <c r="M63376"/>
    </row>
    <row r="63377" spans="3:13" ht="12.75" customHeight="1" x14ac:dyDescent="0.2">
      <c r="C63377"/>
      <c r="M63377"/>
    </row>
    <row r="63378" spans="3:13" ht="12.75" customHeight="1" x14ac:dyDescent="0.2">
      <c r="C63378"/>
      <c r="M63378"/>
    </row>
    <row r="63379" spans="3:13" ht="12.75" customHeight="1" x14ac:dyDescent="0.2">
      <c r="C63379"/>
      <c r="M63379"/>
    </row>
    <row r="63380" spans="3:13" ht="12.75" customHeight="1" x14ac:dyDescent="0.2">
      <c r="C63380"/>
      <c r="M63380"/>
    </row>
    <row r="63381" spans="3:13" ht="12.75" customHeight="1" x14ac:dyDescent="0.2">
      <c r="C63381"/>
      <c r="M63381"/>
    </row>
    <row r="63382" spans="3:13" ht="12.75" customHeight="1" x14ac:dyDescent="0.2">
      <c r="C63382"/>
      <c r="M63382"/>
    </row>
    <row r="63383" spans="3:13" ht="12.75" customHeight="1" x14ac:dyDescent="0.2">
      <c r="C63383"/>
      <c r="M63383"/>
    </row>
    <row r="63384" spans="3:13" ht="12.75" customHeight="1" x14ac:dyDescent="0.2">
      <c r="C63384"/>
      <c r="M63384"/>
    </row>
    <row r="63385" spans="3:13" ht="12.75" customHeight="1" x14ac:dyDescent="0.2">
      <c r="C63385"/>
      <c r="M63385"/>
    </row>
    <row r="63386" spans="3:13" ht="12.75" customHeight="1" x14ac:dyDescent="0.2">
      <c r="C63386"/>
      <c r="M63386"/>
    </row>
    <row r="63387" spans="3:13" ht="12.75" customHeight="1" x14ac:dyDescent="0.2">
      <c r="C63387"/>
      <c r="M63387"/>
    </row>
    <row r="63388" spans="3:13" ht="12.75" customHeight="1" x14ac:dyDescent="0.2">
      <c r="C63388"/>
      <c r="M63388"/>
    </row>
    <row r="63389" spans="3:13" ht="12.75" customHeight="1" x14ac:dyDescent="0.2">
      <c r="C63389"/>
      <c r="M63389"/>
    </row>
    <row r="63390" spans="3:13" ht="12.75" customHeight="1" x14ac:dyDescent="0.2">
      <c r="C63390"/>
      <c r="M63390"/>
    </row>
    <row r="63391" spans="3:13" ht="12.75" customHeight="1" x14ac:dyDescent="0.2">
      <c r="C63391"/>
      <c r="M63391"/>
    </row>
    <row r="63392" spans="3:13" ht="12.75" customHeight="1" x14ac:dyDescent="0.2">
      <c r="C63392"/>
      <c r="M63392"/>
    </row>
    <row r="63393" spans="3:13" ht="12.75" customHeight="1" x14ac:dyDescent="0.2">
      <c r="C63393"/>
      <c r="M63393"/>
    </row>
    <row r="63394" spans="3:13" ht="12.75" customHeight="1" x14ac:dyDescent="0.2">
      <c r="C63394"/>
      <c r="M63394"/>
    </row>
    <row r="63395" spans="3:13" ht="12.75" customHeight="1" x14ac:dyDescent="0.2">
      <c r="C63395"/>
      <c r="M63395"/>
    </row>
    <row r="63396" spans="3:13" ht="12.75" customHeight="1" x14ac:dyDescent="0.2">
      <c r="C63396"/>
      <c r="M63396"/>
    </row>
    <row r="63397" spans="3:13" ht="12.75" customHeight="1" x14ac:dyDescent="0.2">
      <c r="C63397"/>
      <c r="M63397"/>
    </row>
    <row r="63398" spans="3:13" ht="12.75" customHeight="1" x14ac:dyDescent="0.2">
      <c r="C63398"/>
      <c r="M63398"/>
    </row>
    <row r="63399" spans="3:13" ht="12.75" customHeight="1" x14ac:dyDescent="0.2">
      <c r="C63399"/>
      <c r="M63399"/>
    </row>
    <row r="63400" spans="3:13" ht="12.75" customHeight="1" x14ac:dyDescent="0.2">
      <c r="C63400"/>
      <c r="M63400"/>
    </row>
    <row r="63401" spans="3:13" ht="12.75" customHeight="1" x14ac:dyDescent="0.2">
      <c r="C63401"/>
      <c r="M63401"/>
    </row>
    <row r="63402" spans="3:13" ht="12.75" customHeight="1" x14ac:dyDescent="0.2">
      <c r="C63402"/>
      <c r="M63402"/>
    </row>
    <row r="63403" spans="3:13" ht="12.75" customHeight="1" x14ac:dyDescent="0.2">
      <c r="C63403"/>
      <c r="M63403"/>
    </row>
    <row r="63404" spans="3:13" ht="12.75" customHeight="1" x14ac:dyDescent="0.2">
      <c r="C63404"/>
      <c r="M63404"/>
    </row>
    <row r="63405" spans="3:13" ht="12.75" customHeight="1" x14ac:dyDescent="0.2">
      <c r="C63405"/>
      <c r="M63405"/>
    </row>
    <row r="63406" spans="3:13" ht="12.75" customHeight="1" x14ac:dyDescent="0.2">
      <c r="C63406"/>
      <c r="M63406"/>
    </row>
    <row r="63407" spans="3:13" ht="12.75" customHeight="1" x14ac:dyDescent="0.2">
      <c r="C63407"/>
      <c r="M63407"/>
    </row>
    <row r="63408" spans="3:13" ht="12.75" customHeight="1" x14ac:dyDescent="0.2">
      <c r="C63408"/>
      <c r="M63408"/>
    </row>
    <row r="63409" spans="3:13" ht="12.75" customHeight="1" x14ac:dyDescent="0.2">
      <c r="C63409"/>
      <c r="M63409"/>
    </row>
    <row r="63410" spans="3:13" ht="12.75" customHeight="1" x14ac:dyDescent="0.2">
      <c r="C63410"/>
      <c r="M63410"/>
    </row>
    <row r="63411" spans="3:13" ht="12.75" customHeight="1" x14ac:dyDescent="0.2">
      <c r="C63411"/>
      <c r="M63411"/>
    </row>
    <row r="63412" spans="3:13" ht="12.75" customHeight="1" x14ac:dyDescent="0.2">
      <c r="C63412"/>
      <c r="M63412"/>
    </row>
    <row r="63413" spans="3:13" ht="12.75" customHeight="1" x14ac:dyDescent="0.2">
      <c r="C63413"/>
      <c r="M63413"/>
    </row>
    <row r="63414" spans="3:13" ht="12.75" customHeight="1" x14ac:dyDescent="0.2">
      <c r="C63414"/>
      <c r="M63414"/>
    </row>
    <row r="63415" spans="3:13" ht="12.75" customHeight="1" x14ac:dyDescent="0.2">
      <c r="C63415"/>
      <c r="M63415"/>
    </row>
    <row r="63416" spans="3:13" ht="12.75" customHeight="1" x14ac:dyDescent="0.2">
      <c r="C63416"/>
      <c r="M63416"/>
    </row>
    <row r="63417" spans="3:13" ht="12.75" customHeight="1" x14ac:dyDescent="0.2">
      <c r="C63417"/>
      <c r="M63417"/>
    </row>
    <row r="63418" spans="3:13" ht="12.75" customHeight="1" x14ac:dyDescent="0.2">
      <c r="C63418"/>
      <c r="M63418"/>
    </row>
    <row r="63419" spans="3:13" ht="12.75" customHeight="1" x14ac:dyDescent="0.2">
      <c r="C63419"/>
      <c r="M63419"/>
    </row>
    <row r="63420" spans="3:13" ht="12.75" customHeight="1" x14ac:dyDescent="0.2">
      <c r="C63420"/>
      <c r="M63420"/>
    </row>
    <row r="63421" spans="3:13" ht="12.75" customHeight="1" x14ac:dyDescent="0.2">
      <c r="C63421"/>
      <c r="M63421"/>
    </row>
    <row r="63422" spans="3:13" ht="12.75" customHeight="1" x14ac:dyDescent="0.2">
      <c r="C63422"/>
      <c r="M63422"/>
    </row>
    <row r="63423" spans="3:13" ht="12.75" customHeight="1" x14ac:dyDescent="0.2">
      <c r="C63423"/>
      <c r="M63423"/>
    </row>
    <row r="63424" spans="3:13" ht="12.75" customHeight="1" x14ac:dyDescent="0.2">
      <c r="C63424"/>
      <c r="M63424"/>
    </row>
    <row r="63425" spans="3:13" ht="12.75" customHeight="1" x14ac:dyDescent="0.2">
      <c r="C63425"/>
      <c r="M63425"/>
    </row>
    <row r="63426" spans="3:13" ht="12.75" customHeight="1" x14ac:dyDescent="0.2">
      <c r="C63426"/>
      <c r="M63426"/>
    </row>
    <row r="63427" spans="3:13" ht="12.75" customHeight="1" x14ac:dyDescent="0.2">
      <c r="C63427"/>
      <c r="M63427"/>
    </row>
    <row r="63428" spans="3:13" ht="12.75" customHeight="1" x14ac:dyDescent="0.2">
      <c r="C63428"/>
      <c r="M63428"/>
    </row>
    <row r="63429" spans="3:13" ht="12.75" customHeight="1" x14ac:dyDescent="0.2">
      <c r="C63429"/>
      <c r="M63429"/>
    </row>
    <row r="63430" spans="3:13" ht="12.75" customHeight="1" x14ac:dyDescent="0.2">
      <c r="C63430"/>
      <c r="M63430"/>
    </row>
    <row r="63431" spans="3:13" ht="12.75" customHeight="1" x14ac:dyDescent="0.2">
      <c r="C63431"/>
      <c r="M63431"/>
    </row>
    <row r="63432" spans="3:13" ht="12.75" customHeight="1" x14ac:dyDescent="0.2">
      <c r="C63432"/>
      <c r="M63432"/>
    </row>
    <row r="63433" spans="3:13" ht="12.75" customHeight="1" x14ac:dyDescent="0.2">
      <c r="C63433"/>
      <c r="M63433"/>
    </row>
    <row r="63434" spans="3:13" ht="12.75" customHeight="1" x14ac:dyDescent="0.2">
      <c r="C63434"/>
      <c r="M63434"/>
    </row>
    <row r="63435" spans="3:13" ht="12.75" customHeight="1" x14ac:dyDescent="0.2">
      <c r="C63435"/>
      <c r="M63435"/>
    </row>
    <row r="63436" spans="3:13" ht="12.75" customHeight="1" x14ac:dyDescent="0.2">
      <c r="C63436"/>
      <c r="M63436"/>
    </row>
    <row r="63437" spans="3:13" ht="12.75" customHeight="1" x14ac:dyDescent="0.2">
      <c r="C63437"/>
      <c r="M63437"/>
    </row>
    <row r="63438" spans="3:13" ht="12.75" customHeight="1" x14ac:dyDescent="0.2">
      <c r="C63438"/>
      <c r="M63438"/>
    </row>
    <row r="63439" spans="3:13" ht="12.75" customHeight="1" x14ac:dyDescent="0.2">
      <c r="C63439"/>
      <c r="M63439"/>
    </row>
    <row r="63440" spans="3:13" ht="12.75" customHeight="1" x14ac:dyDescent="0.2">
      <c r="C63440"/>
      <c r="M63440"/>
    </row>
    <row r="63441" spans="3:13" ht="12.75" customHeight="1" x14ac:dyDescent="0.2">
      <c r="C63441"/>
      <c r="M63441"/>
    </row>
    <row r="63442" spans="3:13" ht="12.75" customHeight="1" x14ac:dyDescent="0.2">
      <c r="C63442"/>
      <c r="M63442"/>
    </row>
    <row r="63443" spans="3:13" ht="12.75" customHeight="1" x14ac:dyDescent="0.2">
      <c r="C63443"/>
      <c r="M63443"/>
    </row>
    <row r="63444" spans="3:13" ht="12.75" customHeight="1" x14ac:dyDescent="0.2">
      <c r="C63444"/>
      <c r="M63444"/>
    </row>
    <row r="63445" spans="3:13" ht="12.75" customHeight="1" x14ac:dyDescent="0.2">
      <c r="C63445"/>
      <c r="M63445"/>
    </row>
    <row r="63446" spans="3:13" ht="12.75" customHeight="1" x14ac:dyDescent="0.2">
      <c r="C63446"/>
      <c r="M63446"/>
    </row>
    <row r="63447" spans="3:13" ht="12.75" customHeight="1" x14ac:dyDescent="0.2">
      <c r="C63447"/>
      <c r="M63447"/>
    </row>
    <row r="63448" spans="3:13" ht="12.75" customHeight="1" x14ac:dyDescent="0.2">
      <c r="C63448"/>
      <c r="M63448"/>
    </row>
    <row r="63449" spans="3:13" ht="12.75" customHeight="1" x14ac:dyDescent="0.2">
      <c r="C63449"/>
      <c r="M63449"/>
    </row>
    <row r="63450" spans="3:13" ht="12.75" customHeight="1" x14ac:dyDescent="0.2">
      <c r="C63450"/>
      <c r="M63450"/>
    </row>
    <row r="63451" spans="3:13" ht="12.75" customHeight="1" x14ac:dyDescent="0.2">
      <c r="C63451"/>
      <c r="M63451"/>
    </row>
    <row r="63452" spans="3:13" ht="12.75" customHeight="1" x14ac:dyDescent="0.2">
      <c r="C63452"/>
      <c r="M63452"/>
    </row>
    <row r="63453" spans="3:13" ht="12.75" customHeight="1" x14ac:dyDescent="0.2">
      <c r="C63453"/>
      <c r="M63453"/>
    </row>
    <row r="63454" spans="3:13" ht="12.75" customHeight="1" x14ac:dyDescent="0.2">
      <c r="C63454"/>
      <c r="M63454"/>
    </row>
    <row r="63455" spans="3:13" ht="12.75" customHeight="1" x14ac:dyDescent="0.2">
      <c r="C63455"/>
      <c r="M63455"/>
    </row>
    <row r="63456" spans="3:13" ht="12.75" customHeight="1" x14ac:dyDescent="0.2">
      <c r="C63456"/>
      <c r="M63456"/>
    </row>
    <row r="63457" spans="3:13" ht="12.75" customHeight="1" x14ac:dyDescent="0.2">
      <c r="C63457"/>
      <c r="M63457"/>
    </row>
    <row r="63458" spans="3:13" ht="12.75" customHeight="1" x14ac:dyDescent="0.2">
      <c r="C63458"/>
      <c r="M63458"/>
    </row>
    <row r="63459" spans="3:13" ht="12.75" customHeight="1" x14ac:dyDescent="0.2">
      <c r="C63459"/>
      <c r="M63459"/>
    </row>
    <row r="63460" spans="3:13" ht="12.75" customHeight="1" x14ac:dyDescent="0.2">
      <c r="C63460"/>
      <c r="M63460"/>
    </row>
    <row r="63461" spans="3:13" ht="12.75" customHeight="1" x14ac:dyDescent="0.2">
      <c r="C63461"/>
      <c r="M63461"/>
    </row>
    <row r="63462" spans="3:13" ht="12.75" customHeight="1" x14ac:dyDescent="0.2">
      <c r="C63462"/>
      <c r="M63462"/>
    </row>
    <row r="63463" spans="3:13" ht="12.75" customHeight="1" x14ac:dyDescent="0.2">
      <c r="C63463"/>
      <c r="M63463"/>
    </row>
    <row r="63464" spans="3:13" ht="12.75" customHeight="1" x14ac:dyDescent="0.2">
      <c r="C63464"/>
      <c r="M63464"/>
    </row>
    <row r="63465" spans="3:13" ht="12.75" customHeight="1" x14ac:dyDescent="0.2">
      <c r="C63465"/>
      <c r="M63465"/>
    </row>
    <row r="63466" spans="3:13" ht="12.75" customHeight="1" x14ac:dyDescent="0.2">
      <c r="C63466"/>
      <c r="M63466"/>
    </row>
    <row r="63467" spans="3:13" ht="12.75" customHeight="1" x14ac:dyDescent="0.2">
      <c r="C63467"/>
      <c r="M63467"/>
    </row>
    <row r="63468" spans="3:13" ht="12.75" customHeight="1" x14ac:dyDescent="0.2">
      <c r="C63468"/>
      <c r="M63468"/>
    </row>
    <row r="63469" spans="3:13" ht="12.75" customHeight="1" x14ac:dyDescent="0.2">
      <c r="C63469"/>
      <c r="M63469"/>
    </row>
    <row r="63470" spans="3:13" ht="12.75" customHeight="1" x14ac:dyDescent="0.2">
      <c r="C63470"/>
      <c r="M63470"/>
    </row>
    <row r="63471" spans="3:13" ht="12.75" customHeight="1" x14ac:dyDescent="0.2">
      <c r="C63471"/>
      <c r="M63471"/>
    </row>
    <row r="63472" spans="3:13" ht="12.75" customHeight="1" x14ac:dyDescent="0.2">
      <c r="C63472"/>
      <c r="M63472"/>
    </row>
    <row r="63473" spans="3:13" ht="12.75" customHeight="1" x14ac:dyDescent="0.2">
      <c r="C63473"/>
      <c r="M63473"/>
    </row>
    <row r="63474" spans="3:13" ht="12.75" customHeight="1" x14ac:dyDescent="0.2">
      <c r="C63474"/>
      <c r="M63474"/>
    </row>
    <row r="63475" spans="3:13" ht="12.75" customHeight="1" x14ac:dyDescent="0.2">
      <c r="C63475"/>
      <c r="M63475"/>
    </row>
    <row r="63476" spans="3:13" ht="12.75" customHeight="1" x14ac:dyDescent="0.2">
      <c r="C63476"/>
      <c r="M63476"/>
    </row>
    <row r="63477" spans="3:13" ht="12.75" customHeight="1" x14ac:dyDescent="0.2">
      <c r="C63477"/>
      <c r="M63477"/>
    </row>
    <row r="63478" spans="3:13" ht="12.75" customHeight="1" x14ac:dyDescent="0.2">
      <c r="C63478"/>
      <c r="M63478"/>
    </row>
    <row r="63479" spans="3:13" ht="12.75" customHeight="1" x14ac:dyDescent="0.2">
      <c r="C63479"/>
      <c r="M63479"/>
    </row>
    <row r="63480" spans="3:13" ht="12.75" customHeight="1" x14ac:dyDescent="0.2">
      <c r="C63480"/>
      <c r="M63480"/>
    </row>
    <row r="63481" spans="3:13" ht="12.75" customHeight="1" x14ac:dyDescent="0.2">
      <c r="C63481"/>
      <c r="M63481"/>
    </row>
    <row r="63482" spans="3:13" ht="12.75" customHeight="1" x14ac:dyDescent="0.2">
      <c r="C63482"/>
      <c r="M63482"/>
    </row>
    <row r="63483" spans="3:13" ht="12.75" customHeight="1" x14ac:dyDescent="0.2">
      <c r="C63483"/>
      <c r="M63483"/>
    </row>
    <row r="63484" spans="3:13" ht="12.75" customHeight="1" x14ac:dyDescent="0.2">
      <c r="C63484"/>
      <c r="M63484"/>
    </row>
    <row r="63485" spans="3:13" ht="12.75" customHeight="1" x14ac:dyDescent="0.2">
      <c r="C63485"/>
      <c r="M63485"/>
    </row>
    <row r="63486" spans="3:13" ht="12.75" customHeight="1" x14ac:dyDescent="0.2">
      <c r="C63486"/>
      <c r="M63486"/>
    </row>
    <row r="63487" spans="3:13" ht="12.75" customHeight="1" x14ac:dyDescent="0.2">
      <c r="C63487"/>
      <c r="M63487"/>
    </row>
    <row r="63488" spans="3:13" ht="12.75" customHeight="1" x14ac:dyDescent="0.2">
      <c r="C63488"/>
      <c r="M63488"/>
    </row>
    <row r="63489" spans="3:13" ht="12.75" customHeight="1" x14ac:dyDescent="0.2">
      <c r="C63489"/>
      <c r="M63489"/>
    </row>
    <row r="63490" spans="3:13" ht="12.75" customHeight="1" x14ac:dyDescent="0.2">
      <c r="C63490"/>
      <c r="M63490"/>
    </row>
    <row r="63491" spans="3:13" ht="12.75" customHeight="1" x14ac:dyDescent="0.2">
      <c r="C63491"/>
      <c r="M63491"/>
    </row>
    <row r="63492" spans="3:13" ht="12.75" customHeight="1" x14ac:dyDescent="0.2">
      <c r="C63492"/>
      <c r="M63492"/>
    </row>
    <row r="63493" spans="3:13" ht="12.75" customHeight="1" x14ac:dyDescent="0.2">
      <c r="C63493"/>
      <c r="M63493"/>
    </row>
    <row r="63494" spans="3:13" ht="12.75" customHeight="1" x14ac:dyDescent="0.2">
      <c r="C63494"/>
      <c r="M63494"/>
    </row>
    <row r="63495" spans="3:13" ht="12.75" customHeight="1" x14ac:dyDescent="0.2">
      <c r="C63495"/>
      <c r="M63495"/>
    </row>
    <row r="63496" spans="3:13" ht="12.75" customHeight="1" x14ac:dyDescent="0.2">
      <c r="C63496"/>
      <c r="M63496"/>
    </row>
    <row r="63497" spans="3:13" ht="12.75" customHeight="1" x14ac:dyDescent="0.2">
      <c r="C63497"/>
      <c r="M63497"/>
    </row>
    <row r="63498" spans="3:13" ht="12.75" customHeight="1" x14ac:dyDescent="0.2">
      <c r="C63498"/>
      <c r="M63498"/>
    </row>
    <row r="63499" spans="3:13" ht="12.75" customHeight="1" x14ac:dyDescent="0.2">
      <c r="C63499"/>
      <c r="M63499"/>
    </row>
    <row r="63500" spans="3:13" ht="12.75" customHeight="1" x14ac:dyDescent="0.2">
      <c r="C63500"/>
      <c r="M63500"/>
    </row>
    <row r="63501" spans="3:13" ht="12.75" customHeight="1" x14ac:dyDescent="0.2">
      <c r="C63501"/>
      <c r="M63501"/>
    </row>
    <row r="63502" spans="3:13" ht="12.75" customHeight="1" x14ac:dyDescent="0.2">
      <c r="C63502"/>
      <c r="M63502"/>
    </row>
    <row r="63503" spans="3:13" ht="12.75" customHeight="1" x14ac:dyDescent="0.2">
      <c r="C63503"/>
      <c r="M63503"/>
    </row>
    <row r="63504" spans="3:13" ht="12.75" customHeight="1" x14ac:dyDescent="0.2">
      <c r="C63504"/>
      <c r="M63504"/>
    </row>
    <row r="63505" spans="3:13" ht="12.75" customHeight="1" x14ac:dyDescent="0.2">
      <c r="C63505"/>
      <c r="M63505"/>
    </row>
    <row r="63506" spans="3:13" ht="12.75" customHeight="1" x14ac:dyDescent="0.2">
      <c r="C63506"/>
      <c r="M63506"/>
    </row>
    <row r="63507" spans="3:13" ht="12.75" customHeight="1" x14ac:dyDescent="0.2">
      <c r="C63507"/>
      <c r="M63507"/>
    </row>
    <row r="63508" spans="3:13" ht="12.75" customHeight="1" x14ac:dyDescent="0.2">
      <c r="C63508"/>
      <c r="M63508"/>
    </row>
    <row r="63509" spans="3:13" ht="12.75" customHeight="1" x14ac:dyDescent="0.2">
      <c r="C63509"/>
      <c r="M63509"/>
    </row>
    <row r="63510" spans="3:13" ht="12.75" customHeight="1" x14ac:dyDescent="0.2">
      <c r="C63510"/>
      <c r="M63510"/>
    </row>
    <row r="63511" spans="3:13" ht="12.75" customHeight="1" x14ac:dyDescent="0.2">
      <c r="C63511"/>
      <c r="M63511"/>
    </row>
    <row r="63512" spans="3:13" ht="12.75" customHeight="1" x14ac:dyDescent="0.2">
      <c r="C63512"/>
      <c r="M63512"/>
    </row>
    <row r="63513" spans="3:13" ht="12.75" customHeight="1" x14ac:dyDescent="0.2">
      <c r="C63513"/>
      <c r="M63513"/>
    </row>
    <row r="63514" spans="3:13" ht="12.75" customHeight="1" x14ac:dyDescent="0.2">
      <c r="C63514"/>
      <c r="M63514"/>
    </row>
    <row r="63515" spans="3:13" ht="12.75" customHeight="1" x14ac:dyDescent="0.2">
      <c r="C63515"/>
      <c r="M63515"/>
    </row>
    <row r="63516" spans="3:13" ht="12.75" customHeight="1" x14ac:dyDescent="0.2">
      <c r="C63516"/>
      <c r="M63516"/>
    </row>
    <row r="63517" spans="3:13" ht="12.75" customHeight="1" x14ac:dyDescent="0.2">
      <c r="C63517"/>
      <c r="M63517"/>
    </row>
    <row r="63518" spans="3:13" ht="12.75" customHeight="1" x14ac:dyDescent="0.2">
      <c r="C63518"/>
      <c r="M63518"/>
    </row>
    <row r="63519" spans="3:13" ht="12.75" customHeight="1" x14ac:dyDescent="0.2">
      <c r="C63519"/>
      <c r="M63519"/>
    </row>
    <row r="63520" spans="3:13" ht="12.75" customHeight="1" x14ac:dyDescent="0.2">
      <c r="C63520"/>
      <c r="M63520"/>
    </row>
    <row r="63521" spans="3:13" ht="12.75" customHeight="1" x14ac:dyDescent="0.2">
      <c r="C63521"/>
      <c r="M63521"/>
    </row>
    <row r="63522" spans="3:13" ht="12.75" customHeight="1" x14ac:dyDescent="0.2">
      <c r="C63522"/>
      <c r="M63522"/>
    </row>
    <row r="63523" spans="3:13" ht="12.75" customHeight="1" x14ac:dyDescent="0.2">
      <c r="C63523"/>
      <c r="M63523"/>
    </row>
    <row r="63524" spans="3:13" ht="12.75" customHeight="1" x14ac:dyDescent="0.2">
      <c r="C63524"/>
      <c r="M63524"/>
    </row>
    <row r="63525" spans="3:13" ht="12.75" customHeight="1" x14ac:dyDescent="0.2">
      <c r="C63525"/>
      <c r="M63525"/>
    </row>
    <row r="63526" spans="3:13" ht="12.75" customHeight="1" x14ac:dyDescent="0.2">
      <c r="C63526"/>
      <c r="M63526"/>
    </row>
    <row r="63527" spans="3:13" ht="12.75" customHeight="1" x14ac:dyDescent="0.2">
      <c r="C63527"/>
      <c r="M63527"/>
    </row>
    <row r="63528" spans="3:13" ht="12.75" customHeight="1" x14ac:dyDescent="0.2">
      <c r="C63528"/>
      <c r="M63528"/>
    </row>
    <row r="63529" spans="3:13" ht="12.75" customHeight="1" x14ac:dyDescent="0.2">
      <c r="C63529"/>
      <c r="M63529"/>
    </row>
    <row r="63530" spans="3:13" ht="12.75" customHeight="1" x14ac:dyDescent="0.2">
      <c r="C63530"/>
      <c r="M63530"/>
    </row>
    <row r="63531" spans="3:13" ht="12.75" customHeight="1" x14ac:dyDescent="0.2">
      <c r="C63531"/>
      <c r="M63531"/>
    </row>
    <row r="63532" spans="3:13" ht="12.75" customHeight="1" x14ac:dyDescent="0.2">
      <c r="C63532"/>
      <c r="M63532"/>
    </row>
    <row r="63533" spans="3:13" ht="12.75" customHeight="1" x14ac:dyDescent="0.2">
      <c r="C63533"/>
      <c r="M63533"/>
    </row>
    <row r="63534" spans="3:13" ht="12.75" customHeight="1" x14ac:dyDescent="0.2">
      <c r="C63534"/>
      <c r="M63534"/>
    </row>
    <row r="63535" spans="3:13" ht="12.75" customHeight="1" x14ac:dyDescent="0.2">
      <c r="C63535"/>
      <c r="M63535"/>
    </row>
    <row r="63536" spans="3:13" ht="12.75" customHeight="1" x14ac:dyDescent="0.2">
      <c r="C63536"/>
      <c r="M63536"/>
    </row>
    <row r="63537" spans="3:13" ht="12.75" customHeight="1" x14ac:dyDescent="0.2">
      <c r="C63537"/>
      <c r="M63537"/>
    </row>
    <row r="63538" spans="3:13" ht="12.75" customHeight="1" x14ac:dyDescent="0.2">
      <c r="C63538"/>
      <c r="M63538"/>
    </row>
    <row r="63539" spans="3:13" ht="12.75" customHeight="1" x14ac:dyDescent="0.2">
      <c r="C63539"/>
      <c r="M63539"/>
    </row>
    <row r="63540" spans="3:13" ht="12.75" customHeight="1" x14ac:dyDescent="0.2">
      <c r="C63540"/>
      <c r="M63540"/>
    </row>
    <row r="63541" spans="3:13" ht="12.75" customHeight="1" x14ac:dyDescent="0.2">
      <c r="C63541"/>
      <c r="M63541"/>
    </row>
    <row r="63542" spans="3:13" ht="12.75" customHeight="1" x14ac:dyDescent="0.2">
      <c r="C63542"/>
      <c r="M63542"/>
    </row>
    <row r="63543" spans="3:13" ht="12.75" customHeight="1" x14ac:dyDescent="0.2">
      <c r="C63543"/>
      <c r="M63543"/>
    </row>
    <row r="63544" spans="3:13" ht="12.75" customHeight="1" x14ac:dyDescent="0.2">
      <c r="C63544"/>
      <c r="M63544"/>
    </row>
    <row r="63545" spans="3:13" ht="12.75" customHeight="1" x14ac:dyDescent="0.2">
      <c r="C63545"/>
      <c r="M63545"/>
    </row>
    <row r="63546" spans="3:13" ht="12.75" customHeight="1" x14ac:dyDescent="0.2">
      <c r="C63546"/>
      <c r="M63546"/>
    </row>
    <row r="63547" spans="3:13" ht="12.75" customHeight="1" x14ac:dyDescent="0.2">
      <c r="C63547"/>
      <c r="M63547"/>
    </row>
    <row r="63548" spans="3:13" ht="12.75" customHeight="1" x14ac:dyDescent="0.2">
      <c r="C63548"/>
      <c r="M63548"/>
    </row>
    <row r="63549" spans="3:13" ht="12.75" customHeight="1" x14ac:dyDescent="0.2">
      <c r="C63549"/>
      <c r="M63549"/>
    </row>
    <row r="63550" spans="3:13" ht="12.75" customHeight="1" x14ac:dyDescent="0.2">
      <c r="C63550"/>
      <c r="M63550"/>
    </row>
    <row r="63551" spans="3:13" ht="12.75" customHeight="1" x14ac:dyDescent="0.2">
      <c r="C63551"/>
      <c r="M63551"/>
    </row>
    <row r="63552" spans="3:13" ht="12.75" customHeight="1" x14ac:dyDescent="0.2">
      <c r="C63552"/>
      <c r="M63552"/>
    </row>
    <row r="63553" spans="3:13" ht="12.75" customHeight="1" x14ac:dyDescent="0.2">
      <c r="C63553"/>
      <c r="M63553"/>
    </row>
    <row r="63554" spans="3:13" ht="12.75" customHeight="1" x14ac:dyDescent="0.2">
      <c r="C63554"/>
      <c r="M63554"/>
    </row>
    <row r="63555" spans="3:13" ht="12.75" customHeight="1" x14ac:dyDescent="0.2">
      <c r="C63555"/>
      <c r="M63555"/>
    </row>
    <row r="63556" spans="3:13" ht="12.75" customHeight="1" x14ac:dyDescent="0.2">
      <c r="C63556"/>
      <c r="M63556"/>
    </row>
    <row r="63557" spans="3:13" ht="12.75" customHeight="1" x14ac:dyDescent="0.2">
      <c r="C63557"/>
      <c r="M63557"/>
    </row>
    <row r="63558" spans="3:13" ht="12.75" customHeight="1" x14ac:dyDescent="0.2">
      <c r="C63558"/>
      <c r="M63558"/>
    </row>
    <row r="63559" spans="3:13" ht="12.75" customHeight="1" x14ac:dyDescent="0.2">
      <c r="C63559"/>
      <c r="M63559"/>
    </row>
    <row r="63560" spans="3:13" ht="12.75" customHeight="1" x14ac:dyDescent="0.2">
      <c r="C63560"/>
      <c r="M63560"/>
    </row>
    <row r="63561" spans="3:13" ht="12.75" customHeight="1" x14ac:dyDescent="0.2">
      <c r="C63561"/>
      <c r="M63561"/>
    </row>
    <row r="63562" spans="3:13" ht="12.75" customHeight="1" x14ac:dyDescent="0.2">
      <c r="C63562"/>
      <c r="M63562"/>
    </row>
    <row r="63563" spans="3:13" ht="12.75" customHeight="1" x14ac:dyDescent="0.2">
      <c r="C63563"/>
      <c r="M63563"/>
    </row>
    <row r="63564" spans="3:13" ht="12.75" customHeight="1" x14ac:dyDescent="0.2">
      <c r="C63564"/>
      <c r="M63564"/>
    </row>
    <row r="63565" spans="3:13" ht="12.75" customHeight="1" x14ac:dyDescent="0.2">
      <c r="C63565"/>
      <c r="M63565"/>
    </row>
    <row r="63566" spans="3:13" ht="12.75" customHeight="1" x14ac:dyDescent="0.2">
      <c r="C63566"/>
      <c r="M63566"/>
    </row>
    <row r="63567" spans="3:13" ht="12.75" customHeight="1" x14ac:dyDescent="0.2">
      <c r="C63567"/>
      <c r="M63567"/>
    </row>
    <row r="63568" spans="3:13" ht="12.75" customHeight="1" x14ac:dyDescent="0.2">
      <c r="C63568"/>
      <c r="M63568"/>
    </row>
    <row r="63569" spans="3:13" ht="12.75" customHeight="1" x14ac:dyDescent="0.2">
      <c r="C63569"/>
      <c r="M63569"/>
    </row>
    <row r="63570" spans="3:13" ht="12.75" customHeight="1" x14ac:dyDescent="0.2">
      <c r="C63570"/>
      <c r="M63570"/>
    </row>
    <row r="63571" spans="3:13" ht="12.75" customHeight="1" x14ac:dyDescent="0.2">
      <c r="C63571"/>
      <c r="M63571"/>
    </row>
    <row r="63572" spans="3:13" ht="12.75" customHeight="1" x14ac:dyDescent="0.2">
      <c r="C63572"/>
      <c r="M63572"/>
    </row>
    <row r="63573" spans="3:13" ht="12.75" customHeight="1" x14ac:dyDescent="0.2">
      <c r="C63573"/>
      <c r="M63573"/>
    </row>
    <row r="63574" spans="3:13" ht="12.75" customHeight="1" x14ac:dyDescent="0.2">
      <c r="C63574"/>
      <c r="M63574"/>
    </row>
    <row r="63575" spans="3:13" ht="12.75" customHeight="1" x14ac:dyDescent="0.2">
      <c r="C63575"/>
      <c r="M63575"/>
    </row>
    <row r="63576" spans="3:13" ht="12.75" customHeight="1" x14ac:dyDescent="0.2">
      <c r="C63576"/>
      <c r="M63576"/>
    </row>
    <row r="63577" spans="3:13" ht="12.75" customHeight="1" x14ac:dyDescent="0.2">
      <c r="C63577"/>
      <c r="M63577"/>
    </row>
    <row r="63578" spans="3:13" ht="12.75" customHeight="1" x14ac:dyDescent="0.2">
      <c r="C63578"/>
      <c r="M63578"/>
    </row>
    <row r="63579" spans="3:13" ht="12.75" customHeight="1" x14ac:dyDescent="0.2">
      <c r="C63579"/>
      <c r="M63579"/>
    </row>
    <row r="63580" spans="3:13" ht="12.75" customHeight="1" x14ac:dyDescent="0.2">
      <c r="C63580"/>
      <c r="M63580"/>
    </row>
    <row r="63581" spans="3:13" ht="12.75" customHeight="1" x14ac:dyDescent="0.2">
      <c r="C63581"/>
      <c r="M63581"/>
    </row>
    <row r="63582" spans="3:13" ht="12.75" customHeight="1" x14ac:dyDescent="0.2">
      <c r="C63582"/>
      <c r="M63582"/>
    </row>
    <row r="63583" spans="3:13" ht="12.75" customHeight="1" x14ac:dyDescent="0.2">
      <c r="C63583"/>
      <c r="M63583"/>
    </row>
    <row r="63584" spans="3:13" ht="12.75" customHeight="1" x14ac:dyDescent="0.2">
      <c r="C63584"/>
      <c r="M63584"/>
    </row>
    <row r="63585" spans="3:13" ht="12.75" customHeight="1" x14ac:dyDescent="0.2">
      <c r="C63585"/>
      <c r="M63585"/>
    </row>
    <row r="63586" spans="3:13" ht="12.75" customHeight="1" x14ac:dyDescent="0.2">
      <c r="C63586"/>
      <c r="M63586"/>
    </row>
    <row r="63587" spans="3:13" ht="12.75" customHeight="1" x14ac:dyDescent="0.2">
      <c r="C63587"/>
      <c r="M63587"/>
    </row>
    <row r="63588" spans="3:13" ht="12.75" customHeight="1" x14ac:dyDescent="0.2">
      <c r="C63588"/>
      <c r="M63588"/>
    </row>
    <row r="63589" spans="3:13" ht="12.75" customHeight="1" x14ac:dyDescent="0.2">
      <c r="C63589"/>
      <c r="M63589"/>
    </row>
    <row r="63590" spans="3:13" ht="12.75" customHeight="1" x14ac:dyDescent="0.2">
      <c r="C63590"/>
      <c r="M63590"/>
    </row>
    <row r="63591" spans="3:13" ht="12.75" customHeight="1" x14ac:dyDescent="0.2">
      <c r="C63591"/>
      <c r="M63591"/>
    </row>
    <row r="63592" spans="3:13" ht="12.75" customHeight="1" x14ac:dyDescent="0.2">
      <c r="C63592"/>
      <c r="M63592"/>
    </row>
    <row r="63593" spans="3:13" ht="12.75" customHeight="1" x14ac:dyDescent="0.2">
      <c r="C63593"/>
      <c r="M63593"/>
    </row>
    <row r="63594" spans="3:13" ht="12.75" customHeight="1" x14ac:dyDescent="0.2">
      <c r="C63594"/>
      <c r="M63594"/>
    </row>
    <row r="63595" spans="3:13" ht="12.75" customHeight="1" x14ac:dyDescent="0.2">
      <c r="C63595"/>
      <c r="M63595"/>
    </row>
    <row r="63596" spans="3:13" ht="12.75" customHeight="1" x14ac:dyDescent="0.2">
      <c r="C63596"/>
      <c r="M63596"/>
    </row>
    <row r="63597" spans="3:13" ht="12.75" customHeight="1" x14ac:dyDescent="0.2">
      <c r="C63597"/>
      <c r="M63597"/>
    </row>
    <row r="63598" spans="3:13" ht="12.75" customHeight="1" x14ac:dyDescent="0.2">
      <c r="C63598"/>
      <c r="M63598"/>
    </row>
    <row r="63599" spans="3:13" ht="12.75" customHeight="1" x14ac:dyDescent="0.2">
      <c r="C63599"/>
      <c r="M63599"/>
    </row>
    <row r="63600" spans="3:13" ht="12.75" customHeight="1" x14ac:dyDescent="0.2">
      <c r="C63600"/>
      <c r="M63600"/>
    </row>
    <row r="63601" spans="3:13" ht="12.75" customHeight="1" x14ac:dyDescent="0.2">
      <c r="C63601"/>
      <c r="M63601"/>
    </row>
    <row r="63602" spans="3:13" ht="12.75" customHeight="1" x14ac:dyDescent="0.2">
      <c r="C63602"/>
      <c r="M63602"/>
    </row>
    <row r="63603" spans="3:13" ht="12.75" customHeight="1" x14ac:dyDescent="0.2">
      <c r="C63603"/>
      <c r="M63603"/>
    </row>
    <row r="63604" spans="3:13" ht="12.75" customHeight="1" x14ac:dyDescent="0.2">
      <c r="C63604"/>
      <c r="M63604"/>
    </row>
    <row r="63605" spans="3:13" ht="12.75" customHeight="1" x14ac:dyDescent="0.2">
      <c r="C63605"/>
      <c r="M63605"/>
    </row>
    <row r="63606" spans="3:13" ht="12.75" customHeight="1" x14ac:dyDescent="0.2">
      <c r="C63606"/>
      <c r="M63606"/>
    </row>
    <row r="63607" spans="3:13" ht="12.75" customHeight="1" x14ac:dyDescent="0.2">
      <c r="C63607"/>
      <c r="M63607"/>
    </row>
    <row r="63608" spans="3:13" ht="12.75" customHeight="1" x14ac:dyDescent="0.2">
      <c r="C63608"/>
      <c r="M63608"/>
    </row>
    <row r="63609" spans="3:13" ht="12.75" customHeight="1" x14ac:dyDescent="0.2">
      <c r="C63609"/>
      <c r="M63609"/>
    </row>
    <row r="63610" spans="3:13" ht="12.75" customHeight="1" x14ac:dyDescent="0.2">
      <c r="C63610"/>
      <c r="M63610"/>
    </row>
    <row r="63611" spans="3:13" ht="12.75" customHeight="1" x14ac:dyDescent="0.2">
      <c r="C63611"/>
      <c r="M63611"/>
    </row>
    <row r="63612" spans="3:13" ht="12.75" customHeight="1" x14ac:dyDescent="0.2">
      <c r="C63612"/>
      <c r="M63612"/>
    </row>
    <row r="63613" spans="3:13" ht="12.75" customHeight="1" x14ac:dyDescent="0.2">
      <c r="C63613"/>
      <c r="M63613"/>
    </row>
    <row r="63614" spans="3:13" ht="12.75" customHeight="1" x14ac:dyDescent="0.2">
      <c r="C63614"/>
      <c r="M63614"/>
    </row>
    <row r="63615" spans="3:13" ht="12.75" customHeight="1" x14ac:dyDescent="0.2">
      <c r="C63615"/>
      <c r="M63615"/>
    </row>
    <row r="63616" spans="3:13" ht="12.75" customHeight="1" x14ac:dyDescent="0.2">
      <c r="C63616"/>
      <c r="M63616"/>
    </row>
    <row r="63617" spans="3:13" ht="12.75" customHeight="1" x14ac:dyDescent="0.2">
      <c r="C63617"/>
      <c r="M63617"/>
    </row>
    <row r="63618" spans="3:13" ht="12.75" customHeight="1" x14ac:dyDescent="0.2">
      <c r="C63618"/>
      <c r="M63618"/>
    </row>
    <row r="63619" spans="3:13" ht="12.75" customHeight="1" x14ac:dyDescent="0.2">
      <c r="C63619"/>
      <c r="M63619"/>
    </row>
    <row r="63620" spans="3:13" ht="12.75" customHeight="1" x14ac:dyDescent="0.2">
      <c r="C63620"/>
      <c r="M63620"/>
    </row>
    <row r="63621" spans="3:13" ht="12.75" customHeight="1" x14ac:dyDescent="0.2">
      <c r="C63621"/>
      <c r="M63621"/>
    </row>
    <row r="63622" spans="3:13" ht="12.75" customHeight="1" x14ac:dyDescent="0.2">
      <c r="C63622"/>
      <c r="M63622"/>
    </row>
    <row r="63623" spans="3:13" ht="12.75" customHeight="1" x14ac:dyDescent="0.2">
      <c r="C63623"/>
      <c r="M63623"/>
    </row>
    <row r="63624" spans="3:13" ht="12.75" customHeight="1" x14ac:dyDescent="0.2">
      <c r="C63624"/>
      <c r="M63624"/>
    </row>
    <row r="63625" spans="3:13" ht="12.75" customHeight="1" x14ac:dyDescent="0.2">
      <c r="C63625"/>
      <c r="M63625"/>
    </row>
    <row r="63626" spans="3:13" ht="12.75" customHeight="1" x14ac:dyDescent="0.2">
      <c r="C63626"/>
      <c r="M63626"/>
    </row>
    <row r="63627" spans="3:13" ht="12.75" customHeight="1" x14ac:dyDescent="0.2">
      <c r="C63627"/>
      <c r="M63627"/>
    </row>
    <row r="63628" spans="3:13" ht="12.75" customHeight="1" x14ac:dyDescent="0.2">
      <c r="C63628"/>
      <c r="M63628"/>
    </row>
    <row r="63629" spans="3:13" ht="12.75" customHeight="1" x14ac:dyDescent="0.2">
      <c r="C63629"/>
      <c r="M63629"/>
    </row>
    <row r="63630" spans="3:13" ht="12.75" customHeight="1" x14ac:dyDescent="0.2">
      <c r="C63630"/>
      <c r="M63630"/>
    </row>
    <row r="63631" spans="3:13" ht="12.75" customHeight="1" x14ac:dyDescent="0.2">
      <c r="C63631"/>
      <c r="M63631"/>
    </row>
    <row r="63632" spans="3:13" ht="12.75" customHeight="1" x14ac:dyDescent="0.2">
      <c r="C63632"/>
      <c r="M63632"/>
    </row>
    <row r="63633" spans="3:13" ht="12.75" customHeight="1" x14ac:dyDescent="0.2">
      <c r="C63633"/>
      <c r="M63633"/>
    </row>
    <row r="63634" spans="3:13" ht="12.75" customHeight="1" x14ac:dyDescent="0.2">
      <c r="C63634"/>
      <c r="M63634"/>
    </row>
    <row r="63635" spans="3:13" ht="12.75" customHeight="1" x14ac:dyDescent="0.2">
      <c r="C63635"/>
      <c r="M63635"/>
    </row>
    <row r="63636" spans="3:13" ht="12.75" customHeight="1" x14ac:dyDescent="0.2">
      <c r="C63636"/>
      <c r="M63636"/>
    </row>
    <row r="63637" spans="3:13" ht="12.75" customHeight="1" x14ac:dyDescent="0.2">
      <c r="C63637"/>
      <c r="M63637"/>
    </row>
    <row r="63638" spans="3:13" ht="12.75" customHeight="1" x14ac:dyDescent="0.2">
      <c r="C63638"/>
      <c r="M63638"/>
    </row>
    <row r="63639" spans="3:13" ht="12.75" customHeight="1" x14ac:dyDescent="0.2">
      <c r="C63639"/>
      <c r="M63639"/>
    </row>
    <row r="63640" spans="3:13" ht="12.75" customHeight="1" x14ac:dyDescent="0.2">
      <c r="C63640"/>
      <c r="M63640"/>
    </row>
    <row r="63641" spans="3:13" ht="12.75" customHeight="1" x14ac:dyDescent="0.2">
      <c r="C63641"/>
      <c r="M63641"/>
    </row>
    <row r="63642" spans="3:13" ht="12.75" customHeight="1" x14ac:dyDescent="0.2">
      <c r="C63642"/>
      <c r="M63642"/>
    </row>
    <row r="63643" spans="3:13" ht="12.75" customHeight="1" x14ac:dyDescent="0.2">
      <c r="C63643"/>
      <c r="M63643"/>
    </row>
    <row r="63644" spans="3:13" ht="12.75" customHeight="1" x14ac:dyDescent="0.2">
      <c r="C63644"/>
      <c r="M63644"/>
    </row>
    <row r="63645" spans="3:13" ht="12.75" customHeight="1" x14ac:dyDescent="0.2">
      <c r="C63645"/>
      <c r="M63645"/>
    </row>
    <row r="63646" spans="3:13" ht="12.75" customHeight="1" x14ac:dyDescent="0.2">
      <c r="C63646"/>
      <c r="M63646"/>
    </row>
    <row r="63647" spans="3:13" ht="12.75" customHeight="1" x14ac:dyDescent="0.2">
      <c r="C63647"/>
      <c r="M63647"/>
    </row>
    <row r="63648" spans="3:13" ht="12.75" customHeight="1" x14ac:dyDescent="0.2">
      <c r="C63648"/>
      <c r="M63648"/>
    </row>
    <row r="63649" spans="3:13" ht="12.75" customHeight="1" x14ac:dyDescent="0.2">
      <c r="C63649"/>
      <c r="M63649"/>
    </row>
    <row r="63650" spans="3:13" ht="12.75" customHeight="1" x14ac:dyDescent="0.2">
      <c r="C63650"/>
      <c r="M63650"/>
    </row>
    <row r="63651" spans="3:13" ht="12.75" customHeight="1" x14ac:dyDescent="0.2">
      <c r="C63651"/>
      <c r="M63651"/>
    </row>
    <row r="63652" spans="3:13" ht="12.75" customHeight="1" x14ac:dyDescent="0.2">
      <c r="C63652"/>
      <c r="M63652"/>
    </row>
    <row r="63653" spans="3:13" ht="12.75" customHeight="1" x14ac:dyDescent="0.2">
      <c r="C63653"/>
      <c r="M63653"/>
    </row>
    <row r="63654" spans="3:13" ht="12.75" customHeight="1" x14ac:dyDescent="0.2">
      <c r="C63654"/>
      <c r="M63654"/>
    </row>
    <row r="63655" spans="3:13" ht="12.75" customHeight="1" x14ac:dyDescent="0.2">
      <c r="C63655"/>
      <c r="M63655"/>
    </row>
    <row r="63656" spans="3:13" ht="12.75" customHeight="1" x14ac:dyDescent="0.2">
      <c r="C63656"/>
      <c r="M63656"/>
    </row>
    <row r="63657" spans="3:13" ht="12.75" customHeight="1" x14ac:dyDescent="0.2">
      <c r="C63657"/>
      <c r="M63657"/>
    </row>
    <row r="63658" spans="3:13" ht="12.75" customHeight="1" x14ac:dyDescent="0.2">
      <c r="C63658"/>
      <c r="M63658"/>
    </row>
    <row r="63659" spans="3:13" ht="12.75" customHeight="1" x14ac:dyDescent="0.2">
      <c r="C63659"/>
      <c r="M63659"/>
    </row>
    <row r="63660" spans="3:13" ht="12.75" customHeight="1" x14ac:dyDescent="0.2">
      <c r="C63660"/>
      <c r="M63660"/>
    </row>
    <row r="63661" spans="3:13" ht="12.75" customHeight="1" x14ac:dyDescent="0.2">
      <c r="C63661"/>
      <c r="M63661"/>
    </row>
    <row r="63662" spans="3:13" ht="12.75" customHeight="1" x14ac:dyDescent="0.2">
      <c r="C63662"/>
      <c r="M63662"/>
    </row>
    <row r="63663" spans="3:13" ht="12.75" customHeight="1" x14ac:dyDescent="0.2">
      <c r="C63663"/>
      <c r="M63663"/>
    </row>
    <row r="63664" spans="3:13" ht="12.75" customHeight="1" x14ac:dyDescent="0.2">
      <c r="C63664"/>
      <c r="M63664"/>
    </row>
    <row r="63665" spans="3:13" ht="12.75" customHeight="1" x14ac:dyDescent="0.2">
      <c r="C63665"/>
      <c r="M63665"/>
    </row>
    <row r="63666" spans="3:13" ht="12.75" customHeight="1" x14ac:dyDescent="0.2">
      <c r="C63666"/>
      <c r="M63666"/>
    </row>
    <row r="63667" spans="3:13" ht="12.75" customHeight="1" x14ac:dyDescent="0.2">
      <c r="C63667"/>
      <c r="M63667"/>
    </row>
    <row r="63668" spans="3:13" ht="12.75" customHeight="1" x14ac:dyDescent="0.2">
      <c r="C63668"/>
      <c r="M63668"/>
    </row>
    <row r="63669" spans="3:13" ht="12.75" customHeight="1" x14ac:dyDescent="0.2">
      <c r="C63669"/>
      <c r="M63669"/>
    </row>
    <row r="63670" spans="3:13" ht="12.75" customHeight="1" x14ac:dyDescent="0.2">
      <c r="C63670"/>
      <c r="M63670"/>
    </row>
    <row r="63671" spans="3:13" ht="12.75" customHeight="1" x14ac:dyDescent="0.2">
      <c r="C63671"/>
      <c r="M63671"/>
    </row>
    <row r="63672" spans="3:13" ht="12.75" customHeight="1" x14ac:dyDescent="0.2">
      <c r="C63672"/>
      <c r="M63672"/>
    </row>
    <row r="63673" spans="3:13" ht="12.75" customHeight="1" x14ac:dyDescent="0.2">
      <c r="C63673"/>
      <c r="M63673"/>
    </row>
    <row r="63674" spans="3:13" ht="12.75" customHeight="1" x14ac:dyDescent="0.2">
      <c r="C63674"/>
      <c r="M63674"/>
    </row>
    <row r="63675" spans="3:13" ht="12.75" customHeight="1" x14ac:dyDescent="0.2">
      <c r="C63675"/>
      <c r="M63675"/>
    </row>
    <row r="63676" spans="3:13" ht="12.75" customHeight="1" x14ac:dyDescent="0.2">
      <c r="C63676"/>
      <c r="M63676"/>
    </row>
    <row r="63677" spans="3:13" ht="12.75" customHeight="1" x14ac:dyDescent="0.2">
      <c r="C63677"/>
      <c r="M63677"/>
    </row>
    <row r="63678" spans="3:13" ht="12.75" customHeight="1" x14ac:dyDescent="0.2">
      <c r="C63678"/>
      <c r="M63678"/>
    </row>
    <row r="63679" spans="3:13" ht="12.75" customHeight="1" x14ac:dyDescent="0.2">
      <c r="C63679"/>
      <c r="M63679"/>
    </row>
    <row r="63680" spans="3:13" ht="12.75" customHeight="1" x14ac:dyDescent="0.2">
      <c r="C63680"/>
      <c r="M63680"/>
    </row>
    <row r="63681" spans="3:13" ht="12.75" customHeight="1" x14ac:dyDescent="0.2">
      <c r="C63681"/>
      <c r="M63681"/>
    </row>
    <row r="63682" spans="3:13" ht="12.75" customHeight="1" x14ac:dyDescent="0.2">
      <c r="C63682"/>
      <c r="M63682"/>
    </row>
    <row r="63683" spans="3:13" ht="12.75" customHeight="1" x14ac:dyDescent="0.2">
      <c r="C63683"/>
      <c r="M63683"/>
    </row>
    <row r="63684" spans="3:13" ht="12.75" customHeight="1" x14ac:dyDescent="0.2">
      <c r="C63684"/>
      <c r="M63684"/>
    </row>
    <row r="63685" spans="3:13" ht="12.75" customHeight="1" x14ac:dyDescent="0.2">
      <c r="C63685"/>
      <c r="M63685"/>
    </row>
    <row r="63686" spans="3:13" ht="12.75" customHeight="1" x14ac:dyDescent="0.2">
      <c r="C63686"/>
      <c r="M63686"/>
    </row>
    <row r="63687" spans="3:13" ht="12.75" customHeight="1" x14ac:dyDescent="0.2">
      <c r="C63687"/>
      <c r="M63687"/>
    </row>
    <row r="63688" spans="3:13" ht="12.75" customHeight="1" x14ac:dyDescent="0.2">
      <c r="C63688"/>
      <c r="M63688"/>
    </row>
    <row r="63689" spans="3:13" ht="12.75" customHeight="1" x14ac:dyDescent="0.2">
      <c r="C63689"/>
      <c r="M63689"/>
    </row>
    <row r="63690" spans="3:13" ht="12.75" customHeight="1" x14ac:dyDescent="0.2">
      <c r="C63690"/>
      <c r="M63690"/>
    </row>
    <row r="63691" spans="3:13" ht="12.75" customHeight="1" x14ac:dyDescent="0.2">
      <c r="C63691"/>
      <c r="M63691"/>
    </row>
    <row r="63692" spans="3:13" ht="12.75" customHeight="1" x14ac:dyDescent="0.2">
      <c r="C63692"/>
      <c r="M63692"/>
    </row>
    <row r="63693" spans="3:13" ht="12.75" customHeight="1" x14ac:dyDescent="0.2">
      <c r="C63693"/>
      <c r="M63693"/>
    </row>
    <row r="63694" spans="3:13" ht="12.75" customHeight="1" x14ac:dyDescent="0.2">
      <c r="C63694"/>
      <c r="M63694"/>
    </row>
    <row r="63695" spans="3:13" ht="12.75" customHeight="1" x14ac:dyDescent="0.2">
      <c r="C63695"/>
      <c r="M63695"/>
    </row>
    <row r="63696" spans="3:13" ht="12.75" customHeight="1" x14ac:dyDescent="0.2">
      <c r="C63696"/>
      <c r="M63696"/>
    </row>
    <row r="63697" spans="3:13" ht="12.75" customHeight="1" x14ac:dyDescent="0.2">
      <c r="C63697"/>
      <c r="M63697"/>
    </row>
    <row r="63698" spans="3:13" ht="12.75" customHeight="1" x14ac:dyDescent="0.2">
      <c r="C63698"/>
      <c r="M63698"/>
    </row>
    <row r="63699" spans="3:13" ht="12.75" customHeight="1" x14ac:dyDescent="0.2">
      <c r="C63699"/>
      <c r="M63699"/>
    </row>
    <row r="63700" spans="3:13" ht="12.75" customHeight="1" x14ac:dyDescent="0.2">
      <c r="C63700"/>
      <c r="M63700"/>
    </row>
    <row r="63701" spans="3:13" ht="12.75" customHeight="1" x14ac:dyDescent="0.2">
      <c r="C63701"/>
      <c r="M63701"/>
    </row>
    <row r="63702" spans="3:13" ht="12.75" customHeight="1" x14ac:dyDescent="0.2">
      <c r="C63702"/>
      <c r="M63702"/>
    </row>
    <row r="63703" spans="3:13" ht="12.75" customHeight="1" x14ac:dyDescent="0.2">
      <c r="C63703"/>
      <c r="M63703"/>
    </row>
    <row r="63704" spans="3:13" ht="12.75" customHeight="1" x14ac:dyDescent="0.2">
      <c r="C63704"/>
      <c r="M63704"/>
    </row>
    <row r="63705" spans="3:13" ht="12.75" customHeight="1" x14ac:dyDescent="0.2">
      <c r="C63705"/>
      <c r="M63705"/>
    </row>
    <row r="63706" spans="3:13" ht="12.75" customHeight="1" x14ac:dyDescent="0.2">
      <c r="C63706"/>
      <c r="M63706"/>
    </row>
    <row r="63707" spans="3:13" ht="12.75" customHeight="1" x14ac:dyDescent="0.2">
      <c r="C63707"/>
      <c r="M63707"/>
    </row>
    <row r="63708" spans="3:13" ht="12.75" customHeight="1" x14ac:dyDescent="0.2">
      <c r="C63708"/>
      <c r="M63708"/>
    </row>
    <row r="63709" spans="3:13" ht="12.75" customHeight="1" x14ac:dyDescent="0.2">
      <c r="C63709"/>
      <c r="M63709"/>
    </row>
    <row r="63710" spans="3:13" ht="12.75" customHeight="1" x14ac:dyDescent="0.2">
      <c r="C63710"/>
      <c r="M63710"/>
    </row>
    <row r="63711" spans="3:13" ht="12.75" customHeight="1" x14ac:dyDescent="0.2">
      <c r="C63711"/>
      <c r="M63711"/>
    </row>
    <row r="63712" spans="3:13" ht="12.75" customHeight="1" x14ac:dyDescent="0.2">
      <c r="C63712"/>
      <c r="M63712"/>
    </row>
    <row r="63713" spans="3:13" ht="12.75" customHeight="1" x14ac:dyDescent="0.2">
      <c r="C63713"/>
      <c r="M63713"/>
    </row>
    <row r="63714" spans="3:13" ht="12.75" customHeight="1" x14ac:dyDescent="0.2">
      <c r="C63714"/>
      <c r="M63714"/>
    </row>
    <row r="63715" spans="3:13" ht="12.75" customHeight="1" x14ac:dyDescent="0.2">
      <c r="C63715"/>
      <c r="M63715"/>
    </row>
    <row r="63716" spans="3:13" ht="12.75" customHeight="1" x14ac:dyDescent="0.2">
      <c r="C63716"/>
      <c r="M63716"/>
    </row>
    <row r="63717" spans="3:13" ht="12.75" customHeight="1" x14ac:dyDescent="0.2">
      <c r="C63717"/>
      <c r="M63717"/>
    </row>
    <row r="63718" spans="3:13" ht="12.75" customHeight="1" x14ac:dyDescent="0.2">
      <c r="C63718"/>
      <c r="M63718"/>
    </row>
    <row r="63719" spans="3:13" ht="12.75" customHeight="1" x14ac:dyDescent="0.2">
      <c r="C63719"/>
      <c r="M63719"/>
    </row>
    <row r="63720" spans="3:13" ht="12.75" customHeight="1" x14ac:dyDescent="0.2">
      <c r="C63720"/>
      <c r="M63720"/>
    </row>
    <row r="63721" spans="3:13" ht="12.75" customHeight="1" x14ac:dyDescent="0.2">
      <c r="C63721"/>
      <c r="M63721"/>
    </row>
    <row r="63722" spans="3:13" ht="12.75" customHeight="1" x14ac:dyDescent="0.2">
      <c r="C63722"/>
      <c r="M63722"/>
    </row>
    <row r="63723" spans="3:13" ht="12.75" customHeight="1" x14ac:dyDescent="0.2">
      <c r="C63723"/>
      <c r="M63723"/>
    </row>
    <row r="63724" spans="3:13" ht="12.75" customHeight="1" x14ac:dyDescent="0.2">
      <c r="C63724"/>
      <c r="M63724"/>
    </row>
    <row r="63725" spans="3:13" ht="12.75" customHeight="1" x14ac:dyDescent="0.2">
      <c r="C63725"/>
      <c r="M63725"/>
    </row>
    <row r="63726" spans="3:13" ht="12.75" customHeight="1" x14ac:dyDescent="0.2">
      <c r="C63726"/>
      <c r="M63726"/>
    </row>
    <row r="63727" spans="3:13" ht="12.75" customHeight="1" x14ac:dyDescent="0.2">
      <c r="C63727"/>
      <c r="M63727"/>
    </row>
    <row r="63728" spans="3:13" ht="12.75" customHeight="1" x14ac:dyDescent="0.2">
      <c r="C63728"/>
      <c r="M63728"/>
    </row>
    <row r="63729" spans="3:13" ht="12.75" customHeight="1" x14ac:dyDescent="0.2">
      <c r="C63729"/>
      <c r="M63729"/>
    </row>
    <row r="63730" spans="3:13" ht="12.75" customHeight="1" x14ac:dyDescent="0.2">
      <c r="C63730"/>
      <c r="M63730"/>
    </row>
    <row r="63731" spans="3:13" ht="12.75" customHeight="1" x14ac:dyDescent="0.2">
      <c r="C63731"/>
      <c r="M63731"/>
    </row>
    <row r="63732" spans="3:13" ht="12.75" customHeight="1" x14ac:dyDescent="0.2">
      <c r="C63732"/>
      <c r="M63732"/>
    </row>
    <row r="63733" spans="3:13" ht="12.75" customHeight="1" x14ac:dyDescent="0.2">
      <c r="C63733"/>
      <c r="M63733"/>
    </row>
    <row r="63734" spans="3:13" ht="12.75" customHeight="1" x14ac:dyDescent="0.2">
      <c r="C63734"/>
      <c r="M63734"/>
    </row>
    <row r="63735" spans="3:13" ht="12.75" customHeight="1" x14ac:dyDescent="0.2">
      <c r="C63735"/>
      <c r="M63735"/>
    </row>
    <row r="63736" spans="3:13" ht="12.75" customHeight="1" x14ac:dyDescent="0.2">
      <c r="C63736"/>
      <c r="M63736"/>
    </row>
    <row r="63737" spans="3:13" ht="12.75" customHeight="1" x14ac:dyDescent="0.2">
      <c r="C63737"/>
      <c r="M63737"/>
    </row>
    <row r="63738" spans="3:13" ht="12.75" customHeight="1" x14ac:dyDescent="0.2">
      <c r="C63738"/>
      <c r="M63738"/>
    </row>
    <row r="63739" spans="3:13" ht="12.75" customHeight="1" x14ac:dyDescent="0.2">
      <c r="C63739"/>
      <c r="M63739"/>
    </row>
    <row r="63740" spans="3:13" ht="12.75" customHeight="1" x14ac:dyDescent="0.2">
      <c r="C63740"/>
      <c r="M63740"/>
    </row>
    <row r="63741" spans="3:13" ht="12.75" customHeight="1" x14ac:dyDescent="0.2">
      <c r="C63741"/>
      <c r="M63741"/>
    </row>
    <row r="63742" spans="3:13" ht="12.75" customHeight="1" x14ac:dyDescent="0.2">
      <c r="C63742"/>
      <c r="M63742"/>
    </row>
    <row r="63743" spans="3:13" ht="12.75" customHeight="1" x14ac:dyDescent="0.2">
      <c r="C63743"/>
      <c r="M63743"/>
    </row>
    <row r="63744" spans="3:13" ht="12.75" customHeight="1" x14ac:dyDescent="0.2">
      <c r="C63744"/>
      <c r="M63744"/>
    </row>
    <row r="63745" spans="3:13" ht="12.75" customHeight="1" x14ac:dyDescent="0.2">
      <c r="C63745"/>
      <c r="M63745"/>
    </row>
    <row r="63746" spans="3:13" ht="12.75" customHeight="1" x14ac:dyDescent="0.2">
      <c r="C63746"/>
      <c r="M63746"/>
    </row>
    <row r="63747" spans="3:13" ht="12.75" customHeight="1" x14ac:dyDescent="0.2">
      <c r="C63747"/>
      <c r="M63747"/>
    </row>
    <row r="63748" spans="3:13" ht="12.75" customHeight="1" x14ac:dyDescent="0.2">
      <c r="C63748"/>
      <c r="M63748"/>
    </row>
    <row r="63749" spans="3:13" ht="12.75" customHeight="1" x14ac:dyDescent="0.2">
      <c r="C63749"/>
      <c r="M63749"/>
    </row>
    <row r="63750" spans="3:13" ht="12.75" customHeight="1" x14ac:dyDescent="0.2">
      <c r="C63750"/>
      <c r="M63750"/>
    </row>
    <row r="63751" spans="3:13" ht="12.75" customHeight="1" x14ac:dyDescent="0.2">
      <c r="C63751"/>
      <c r="M63751"/>
    </row>
    <row r="63752" spans="3:13" ht="12.75" customHeight="1" x14ac:dyDescent="0.2">
      <c r="C63752"/>
      <c r="M63752"/>
    </row>
    <row r="63753" spans="3:13" ht="12.75" customHeight="1" x14ac:dyDescent="0.2">
      <c r="C63753"/>
      <c r="M63753"/>
    </row>
    <row r="63754" spans="3:13" ht="12.75" customHeight="1" x14ac:dyDescent="0.2">
      <c r="C63754"/>
      <c r="M63754"/>
    </row>
    <row r="63755" spans="3:13" ht="12.75" customHeight="1" x14ac:dyDescent="0.2">
      <c r="C63755"/>
      <c r="M63755"/>
    </row>
    <row r="63756" spans="3:13" ht="12.75" customHeight="1" x14ac:dyDescent="0.2">
      <c r="C63756"/>
      <c r="M63756"/>
    </row>
    <row r="63757" spans="3:13" ht="12.75" customHeight="1" x14ac:dyDescent="0.2">
      <c r="C63757"/>
      <c r="M63757"/>
    </row>
    <row r="63758" spans="3:13" ht="12.75" customHeight="1" x14ac:dyDescent="0.2">
      <c r="C63758"/>
      <c r="M63758"/>
    </row>
    <row r="63759" spans="3:13" ht="12.75" customHeight="1" x14ac:dyDescent="0.2">
      <c r="C63759"/>
      <c r="M63759"/>
    </row>
    <row r="63760" spans="3:13" ht="12.75" customHeight="1" x14ac:dyDescent="0.2">
      <c r="C63760"/>
      <c r="M63760"/>
    </row>
    <row r="63761" spans="3:13" ht="12.75" customHeight="1" x14ac:dyDescent="0.2">
      <c r="C63761"/>
      <c r="M63761"/>
    </row>
    <row r="63762" spans="3:13" ht="12.75" customHeight="1" x14ac:dyDescent="0.2">
      <c r="C63762"/>
      <c r="M63762"/>
    </row>
    <row r="63763" spans="3:13" ht="12.75" customHeight="1" x14ac:dyDescent="0.2">
      <c r="C63763"/>
      <c r="M63763"/>
    </row>
    <row r="63764" spans="3:13" ht="12.75" customHeight="1" x14ac:dyDescent="0.2">
      <c r="C63764"/>
      <c r="M63764"/>
    </row>
    <row r="63765" spans="3:13" ht="12.75" customHeight="1" x14ac:dyDescent="0.2">
      <c r="C63765"/>
      <c r="M63765"/>
    </row>
    <row r="63766" spans="3:13" ht="12.75" customHeight="1" x14ac:dyDescent="0.2">
      <c r="C63766"/>
      <c r="M63766"/>
    </row>
    <row r="63767" spans="3:13" ht="12.75" customHeight="1" x14ac:dyDescent="0.2">
      <c r="C63767"/>
      <c r="M63767"/>
    </row>
    <row r="63768" spans="3:13" ht="12.75" customHeight="1" x14ac:dyDescent="0.2">
      <c r="C63768"/>
      <c r="M63768"/>
    </row>
    <row r="63769" spans="3:13" ht="12.75" customHeight="1" x14ac:dyDescent="0.2">
      <c r="C63769"/>
      <c r="M63769"/>
    </row>
    <row r="63770" spans="3:13" ht="12.75" customHeight="1" x14ac:dyDescent="0.2">
      <c r="C63770"/>
      <c r="M63770"/>
    </row>
    <row r="63771" spans="3:13" ht="12.75" customHeight="1" x14ac:dyDescent="0.2">
      <c r="C63771"/>
      <c r="M63771"/>
    </row>
    <row r="63772" spans="3:13" ht="12.75" customHeight="1" x14ac:dyDescent="0.2">
      <c r="C63772"/>
      <c r="M63772"/>
    </row>
    <row r="63773" spans="3:13" ht="12.75" customHeight="1" x14ac:dyDescent="0.2">
      <c r="C63773"/>
      <c r="M63773"/>
    </row>
    <row r="63774" spans="3:13" ht="12.75" customHeight="1" x14ac:dyDescent="0.2">
      <c r="C63774"/>
      <c r="M63774"/>
    </row>
    <row r="63775" spans="3:13" ht="12.75" customHeight="1" x14ac:dyDescent="0.2">
      <c r="C63775"/>
      <c r="M63775"/>
    </row>
    <row r="63776" spans="3:13" ht="12.75" customHeight="1" x14ac:dyDescent="0.2">
      <c r="C63776"/>
      <c r="M63776"/>
    </row>
    <row r="63777" spans="3:13" ht="12.75" customHeight="1" x14ac:dyDescent="0.2">
      <c r="C63777"/>
      <c r="M63777"/>
    </row>
    <row r="63778" spans="3:13" ht="12.75" customHeight="1" x14ac:dyDescent="0.2">
      <c r="C63778"/>
      <c r="M63778"/>
    </row>
    <row r="63779" spans="3:13" ht="12.75" customHeight="1" x14ac:dyDescent="0.2">
      <c r="C63779"/>
      <c r="M63779"/>
    </row>
    <row r="63780" spans="3:13" ht="12.75" customHeight="1" x14ac:dyDescent="0.2">
      <c r="C63780"/>
      <c r="M63780"/>
    </row>
    <row r="63781" spans="3:13" ht="12.75" customHeight="1" x14ac:dyDescent="0.2">
      <c r="C63781"/>
      <c r="M63781"/>
    </row>
    <row r="63782" spans="3:13" ht="12.75" customHeight="1" x14ac:dyDescent="0.2">
      <c r="C63782"/>
      <c r="M63782"/>
    </row>
    <row r="63783" spans="3:13" ht="12.75" customHeight="1" x14ac:dyDescent="0.2">
      <c r="C63783"/>
      <c r="M63783"/>
    </row>
    <row r="63784" spans="3:13" ht="12.75" customHeight="1" x14ac:dyDescent="0.2">
      <c r="C63784"/>
      <c r="M63784"/>
    </row>
    <row r="63785" spans="3:13" ht="12.75" customHeight="1" x14ac:dyDescent="0.2">
      <c r="C63785"/>
      <c r="M63785"/>
    </row>
    <row r="63786" spans="3:13" ht="12.75" customHeight="1" x14ac:dyDescent="0.2">
      <c r="C63786"/>
      <c r="M63786"/>
    </row>
    <row r="63787" spans="3:13" ht="12.75" customHeight="1" x14ac:dyDescent="0.2">
      <c r="C63787"/>
      <c r="M63787"/>
    </row>
    <row r="63788" spans="3:13" ht="12.75" customHeight="1" x14ac:dyDescent="0.2">
      <c r="C63788"/>
      <c r="M63788"/>
    </row>
    <row r="63789" spans="3:13" ht="12.75" customHeight="1" x14ac:dyDescent="0.2">
      <c r="C63789"/>
      <c r="M63789"/>
    </row>
    <row r="63790" spans="3:13" ht="12.75" customHeight="1" x14ac:dyDescent="0.2">
      <c r="C63790"/>
      <c r="M63790"/>
    </row>
    <row r="63791" spans="3:13" ht="12.75" customHeight="1" x14ac:dyDescent="0.2">
      <c r="C63791"/>
      <c r="M63791"/>
    </row>
    <row r="63792" spans="3:13" ht="12.75" customHeight="1" x14ac:dyDescent="0.2">
      <c r="C63792"/>
      <c r="M63792"/>
    </row>
    <row r="63793" spans="3:13" ht="12.75" customHeight="1" x14ac:dyDescent="0.2">
      <c r="C63793"/>
      <c r="M63793"/>
    </row>
    <row r="63794" spans="3:13" ht="12.75" customHeight="1" x14ac:dyDescent="0.2">
      <c r="C63794"/>
      <c r="M63794"/>
    </row>
    <row r="63795" spans="3:13" ht="12.75" customHeight="1" x14ac:dyDescent="0.2">
      <c r="C63795"/>
      <c r="M63795"/>
    </row>
    <row r="63796" spans="3:13" ht="12.75" customHeight="1" x14ac:dyDescent="0.2">
      <c r="C63796"/>
      <c r="M63796"/>
    </row>
    <row r="63797" spans="3:13" ht="12.75" customHeight="1" x14ac:dyDescent="0.2">
      <c r="C63797"/>
      <c r="M63797"/>
    </row>
    <row r="63798" spans="3:13" ht="12.75" customHeight="1" x14ac:dyDescent="0.2">
      <c r="C63798"/>
      <c r="M63798"/>
    </row>
    <row r="63799" spans="3:13" ht="12.75" customHeight="1" x14ac:dyDescent="0.2">
      <c r="C63799"/>
      <c r="M63799"/>
    </row>
    <row r="63800" spans="3:13" ht="12.75" customHeight="1" x14ac:dyDescent="0.2">
      <c r="C63800"/>
      <c r="M63800"/>
    </row>
    <row r="63801" spans="3:13" ht="12.75" customHeight="1" x14ac:dyDescent="0.2">
      <c r="C63801"/>
      <c r="M63801"/>
    </row>
    <row r="63802" spans="3:13" ht="12.75" customHeight="1" x14ac:dyDescent="0.2">
      <c r="C63802"/>
      <c r="M63802"/>
    </row>
    <row r="63803" spans="3:13" ht="12.75" customHeight="1" x14ac:dyDescent="0.2">
      <c r="C63803"/>
      <c r="M63803"/>
    </row>
    <row r="63804" spans="3:13" ht="12.75" customHeight="1" x14ac:dyDescent="0.2">
      <c r="C63804"/>
      <c r="M63804"/>
    </row>
    <row r="63805" spans="3:13" ht="12.75" customHeight="1" x14ac:dyDescent="0.2">
      <c r="C63805"/>
      <c r="M63805"/>
    </row>
    <row r="63806" spans="3:13" ht="12.75" customHeight="1" x14ac:dyDescent="0.2">
      <c r="C63806"/>
      <c r="M63806"/>
    </row>
    <row r="63807" spans="3:13" ht="12.75" customHeight="1" x14ac:dyDescent="0.2">
      <c r="C63807"/>
      <c r="M63807"/>
    </row>
    <row r="63808" spans="3:13" ht="12.75" customHeight="1" x14ac:dyDescent="0.2">
      <c r="C63808"/>
      <c r="M63808"/>
    </row>
    <row r="63809" spans="3:13" ht="12.75" customHeight="1" x14ac:dyDescent="0.2">
      <c r="C63809"/>
      <c r="M63809"/>
    </row>
    <row r="63810" spans="3:13" ht="12.75" customHeight="1" x14ac:dyDescent="0.2">
      <c r="C63810"/>
      <c r="M63810"/>
    </row>
    <row r="63811" spans="3:13" ht="12.75" customHeight="1" x14ac:dyDescent="0.2">
      <c r="C63811"/>
      <c r="M63811"/>
    </row>
    <row r="63812" spans="3:13" ht="12.75" customHeight="1" x14ac:dyDescent="0.2">
      <c r="C63812"/>
      <c r="M63812"/>
    </row>
    <row r="63813" spans="3:13" ht="12.75" customHeight="1" x14ac:dyDescent="0.2">
      <c r="C63813"/>
      <c r="M63813"/>
    </row>
    <row r="63814" spans="3:13" ht="12.75" customHeight="1" x14ac:dyDescent="0.2">
      <c r="C63814"/>
      <c r="M63814"/>
    </row>
    <row r="63815" spans="3:13" ht="12.75" customHeight="1" x14ac:dyDescent="0.2">
      <c r="C63815"/>
      <c r="M63815"/>
    </row>
    <row r="63816" spans="3:13" ht="12.75" customHeight="1" x14ac:dyDescent="0.2">
      <c r="C63816"/>
      <c r="M63816"/>
    </row>
    <row r="63817" spans="3:13" ht="12.75" customHeight="1" x14ac:dyDescent="0.2">
      <c r="C63817"/>
      <c r="M63817"/>
    </row>
    <row r="63818" spans="3:13" ht="12.75" customHeight="1" x14ac:dyDescent="0.2">
      <c r="C63818"/>
      <c r="M63818"/>
    </row>
    <row r="63819" spans="3:13" ht="12.75" customHeight="1" x14ac:dyDescent="0.2">
      <c r="C63819"/>
      <c r="M63819"/>
    </row>
    <row r="63820" spans="3:13" ht="12.75" customHeight="1" x14ac:dyDescent="0.2">
      <c r="C63820"/>
      <c r="M63820"/>
    </row>
    <row r="63821" spans="3:13" ht="12.75" customHeight="1" x14ac:dyDescent="0.2">
      <c r="C63821"/>
      <c r="M63821"/>
    </row>
    <row r="63822" spans="3:13" ht="12.75" customHeight="1" x14ac:dyDescent="0.2">
      <c r="C63822"/>
      <c r="M63822"/>
    </row>
    <row r="63823" spans="3:13" ht="12.75" customHeight="1" x14ac:dyDescent="0.2">
      <c r="C63823"/>
      <c r="M63823"/>
    </row>
    <row r="63824" spans="3:13" ht="12.75" customHeight="1" x14ac:dyDescent="0.2">
      <c r="C63824"/>
      <c r="M63824"/>
    </row>
    <row r="63825" spans="3:13" ht="12.75" customHeight="1" x14ac:dyDescent="0.2">
      <c r="C63825"/>
      <c r="M63825"/>
    </row>
    <row r="63826" spans="3:13" ht="12.75" customHeight="1" x14ac:dyDescent="0.2">
      <c r="C63826"/>
      <c r="M63826"/>
    </row>
    <row r="63827" spans="3:13" ht="12.75" customHeight="1" x14ac:dyDescent="0.2">
      <c r="C63827"/>
      <c r="M63827"/>
    </row>
    <row r="63828" spans="3:13" ht="12.75" customHeight="1" x14ac:dyDescent="0.2">
      <c r="C63828"/>
      <c r="M63828"/>
    </row>
    <row r="63829" spans="3:13" ht="12.75" customHeight="1" x14ac:dyDescent="0.2">
      <c r="C63829"/>
      <c r="M63829"/>
    </row>
    <row r="63830" spans="3:13" ht="12.75" customHeight="1" x14ac:dyDescent="0.2">
      <c r="C63830"/>
      <c r="M63830"/>
    </row>
    <row r="63831" spans="3:13" ht="12.75" customHeight="1" x14ac:dyDescent="0.2">
      <c r="C63831"/>
      <c r="M63831"/>
    </row>
    <row r="63832" spans="3:13" ht="12.75" customHeight="1" x14ac:dyDescent="0.2">
      <c r="C63832"/>
      <c r="M63832"/>
    </row>
    <row r="63833" spans="3:13" ht="12.75" customHeight="1" x14ac:dyDescent="0.2">
      <c r="C63833"/>
      <c r="M63833"/>
    </row>
    <row r="63834" spans="3:13" ht="12.75" customHeight="1" x14ac:dyDescent="0.2">
      <c r="C63834"/>
      <c r="M63834"/>
    </row>
    <row r="63835" spans="3:13" ht="12.75" customHeight="1" x14ac:dyDescent="0.2">
      <c r="C63835"/>
      <c r="M63835"/>
    </row>
    <row r="63836" spans="3:13" ht="12.75" customHeight="1" x14ac:dyDescent="0.2">
      <c r="C63836"/>
      <c r="M63836"/>
    </row>
    <row r="63837" spans="3:13" ht="12.75" customHeight="1" x14ac:dyDescent="0.2">
      <c r="C63837"/>
      <c r="M63837"/>
    </row>
    <row r="63838" spans="3:13" ht="12.75" customHeight="1" x14ac:dyDescent="0.2">
      <c r="C63838"/>
      <c r="M63838"/>
    </row>
    <row r="63839" spans="3:13" ht="12.75" customHeight="1" x14ac:dyDescent="0.2">
      <c r="C63839"/>
      <c r="M63839"/>
    </row>
    <row r="63840" spans="3:13" ht="12.75" customHeight="1" x14ac:dyDescent="0.2">
      <c r="C63840"/>
      <c r="M63840"/>
    </row>
    <row r="63841" spans="3:13" ht="12.75" customHeight="1" x14ac:dyDescent="0.2">
      <c r="C63841"/>
      <c r="M63841"/>
    </row>
    <row r="63842" spans="3:13" ht="12.75" customHeight="1" x14ac:dyDescent="0.2">
      <c r="C63842"/>
      <c r="M63842"/>
    </row>
    <row r="63843" spans="3:13" ht="12.75" customHeight="1" x14ac:dyDescent="0.2">
      <c r="C63843"/>
      <c r="M63843"/>
    </row>
    <row r="63844" spans="3:13" ht="12.75" customHeight="1" x14ac:dyDescent="0.2">
      <c r="C63844"/>
      <c r="M63844"/>
    </row>
    <row r="63845" spans="3:13" ht="12.75" customHeight="1" x14ac:dyDescent="0.2">
      <c r="C63845"/>
      <c r="M63845"/>
    </row>
    <row r="63846" spans="3:13" ht="12.75" customHeight="1" x14ac:dyDescent="0.2">
      <c r="C63846"/>
      <c r="M63846"/>
    </row>
    <row r="63847" spans="3:13" ht="12.75" customHeight="1" x14ac:dyDescent="0.2">
      <c r="C63847"/>
      <c r="M63847"/>
    </row>
    <row r="63848" spans="3:13" ht="12.75" customHeight="1" x14ac:dyDescent="0.2">
      <c r="C63848"/>
      <c r="M63848"/>
    </row>
    <row r="63849" spans="3:13" ht="12.75" customHeight="1" x14ac:dyDescent="0.2">
      <c r="C63849"/>
      <c r="M63849"/>
    </row>
    <row r="63850" spans="3:13" ht="12.75" customHeight="1" x14ac:dyDescent="0.2">
      <c r="C63850"/>
      <c r="M63850"/>
    </row>
    <row r="63851" spans="3:13" ht="12.75" customHeight="1" x14ac:dyDescent="0.2">
      <c r="C63851"/>
      <c r="M63851"/>
    </row>
    <row r="63852" spans="3:13" ht="12.75" customHeight="1" x14ac:dyDescent="0.2">
      <c r="C63852"/>
      <c r="M63852"/>
    </row>
    <row r="63853" spans="3:13" ht="12.75" customHeight="1" x14ac:dyDescent="0.2">
      <c r="C63853"/>
      <c r="M63853"/>
    </row>
    <row r="63854" spans="3:13" ht="12.75" customHeight="1" x14ac:dyDescent="0.2">
      <c r="C63854"/>
      <c r="M63854"/>
    </row>
    <row r="63855" spans="3:13" ht="12.75" customHeight="1" x14ac:dyDescent="0.2">
      <c r="C63855"/>
      <c r="M63855"/>
    </row>
    <row r="63856" spans="3:13" ht="12.75" customHeight="1" x14ac:dyDescent="0.2">
      <c r="C63856"/>
      <c r="M63856"/>
    </row>
    <row r="63857" spans="3:13" ht="12.75" customHeight="1" x14ac:dyDescent="0.2">
      <c r="C63857"/>
      <c r="M63857"/>
    </row>
    <row r="63858" spans="3:13" ht="12.75" customHeight="1" x14ac:dyDescent="0.2">
      <c r="C63858"/>
      <c r="M63858"/>
    </row>
    <row r="63859" spans="3:13" ht="12.75" customHeight="1" x14ac:dyDescent="0.2">
      <c r="C63859"/>
      <c r="M63859"/>
    </row>
    <row r="63860" spans="3:13" ht="12.75" customHeight="1" x14ac:dyDescent="0.2">
      <c r="C63860"/>
      <c r="M63860"/>
    </row>
    <row r="63861" spans="3:13" ht="12.75" customHeight="1" x14ac:dyDescent="0.2">
      <c r="C63861"/>
      <c r="M63861"/>
    </row>
    <row r="63862" spans="3:13" ht="12.75" customHeight="1" x14ac:dyDescent="0.2">
      <c r="C63862"/>
      <c r="M63862"/>
    </row>
    <row r="63863" spans="3:13" ht="12.75" customHeight="1" x14ac:dyDescent="0.2">
      <c r="C63863"/>
      <c r="M63863"/>
    </row>
    <row r="63864" spans="3:13" ht="12.75" customHeight="1" x14ac:dyDescent="0.2">
      <c r="C63864"/>
      <c r="M63864"/>
    </row>
    <row r="63865" spans="3:13" ht="12.75" customHeight="1" x14ac:dyDescent="0.2">
      <c r="C63865"/>
      <c r="M63865"/>
    </row>
    <row r="63866" spans="3:13" ht="12.75" customHeight="1" x14ac:dyDescent="0.2">
      <c r="C63866"/>
      <c r="M63866"/>
    </row>
    <row r="63867" spans="3:13" ht="12.75" customHeight="1" x14ac:dyDescent="0.2">
      <c r="C63867"/>
      <c r="M63867"/>
    </row>
    <row r="63868" spans="3:13" ht="12.75" customHeight="1" x14ac:dyDescent="0.2">
      <c r="C63868"/>
      <c r="M63868"/>
    </row>
    <row r="63869" spans="3:13" ht="12.75" customHeight="1" x14ac:dyDescent="0.2">
      <c r="C63869"/>
      <c r="M63869"/>
    </row>
    <row r="63870" spans="3:13" ht="12.75" customHeight="1" x14ac:dyDescent="0.2">
      <c r="C63870"/>
      <c r="M63870"/>
    </row>
    <row r="63871" spans="3:13" ht="12.75" customHeight="1" x14ac:dyDescent="0.2">
      <c r="C63871"/>
      <c r="M63871"/>
    </row>
    <row r="63872" spans="3:13" ht="12.75" customHeight="1" x14ac:dyDescent="0.2">
      <c r="C63872"/>
      <c r="M63872"/>
    </row>
    <row r="63873" spans="3:13" ht="12.75" customHeight="1" x14ac:dyDescent="0.2">
      <c r="C63873"/>
      <c r="M63873"/>
    </row>
    <row r="63874" spans="3:13" ht="12.75" customHeight="1" x14ac:dyDescent="0.2">
      <c r="C63874"/>
      <c r="M63874"/>
    </row>
    <row r="63875" spans="3:13" ht="12.75" customHeight="1" x14ac:dyDescent="0.2">
      <c r="C63875"/>
      <c r="M63875"/>
    </row>
    <row r="63876" spans="3:13" ht="12.75" customHeight="1" x14ac:dyDescent="0.2">
      <c r="C63876"/>
      <c r="M63876"/>
    </row>
    <row r="63877" spans="3:13" ht="12.75" customHeight="1" x14ac:dyDescent="0.2">
      <c r="C63877"/>
      <c r="M63877"/>
    </row>
    <row r="63878" spans="3:13" ht="12.75" customHeight="1" x14ac:dyDescent="0.2">
      <c r="C63878"/>
      <c r="M63878"/>
    </row>
    <row r="63879" spans="3:13" ht="12.75" customHeight="1" x14ac:dyDescent="0.2">
      <c r="C63879"/>
      <c r="M63879"/>
    </row>
    <row r="63880" spans="3:13" ht="12.75" customHeight="1" x14ac:dyDescent="0.2">
      <c r="C63880"/>
      <c r="M63880"/>
    </row>
    <row r="63881" spans="3:13" ht="12.75" customHeight="1" x14ac:dyDescent="0.2">
      <c r="C63881"/>
      <c r="M63881"/>
    </row>
    <row r="63882" spans="3:13" ht="12.75" customHeight="1" x14ac:dyDescent="0.2">
      <c r="C63882"/>
      <c r="M63882"/>
    </row>
    <row r="63883" spans="3:13" ht="12.75" customHeight="1" x14ac:dyDescent="0.2">
      <c r="C63883"/>
      <c r="M63883"/>
    </row>
    <row r="63884" spans="3:13" ht="12.75" customHeight="1" x14ac:dyDescent="0.2">
      <c r="C63884"/>
      <c r="M63884"/>
    </row>
    <row r="63885" spans="3:13" ht="12.75" customHeight="1" x14ac:dyDescent="0.2">
      <c r="C63885"/>
      <c r="M63885"/>
    </row>
    <row r="63886" spans="3:13" ht="12.75" customHeight="1" x14ac:dyDescent="0.2">
      <c r="C63886"/>
      <c r="M63886"/>
    </row>
    <row r="63887" spans="3:13" ht="12.75" customHeight="1" x14ac:dyDescent="0.2">
      <c r="C63887"/>
      <c r="M63887"/>
    </row>
    <row r="63888" spans="3:13" ht="12.75" customHeight="1" x14ac:dyDescent="0.2">
      <c r="C63888"/>
      <c r="M63888"/>
    </row>
    <row r="63889" spans="3:13" ht="12.75" customHeight="1" x14ac:dyDescent="0.2">
      <c r="C63889"/>
      <c r="M63889"/>
    </row>
    <row r="63890" spans="3:13" ht="12.75" customHeight="1" x14ac:dyDescent="0.2">
      <c r="C63890"/>
      <c r="M63890"/>
    </row>
    <row r="63891" spans="3:13" ht="12.75" customHeight="1" x14ac:dyDescent="0.2">
      <c r="C63891"/>
      <c r="M63891"/>
    </row>
    <row r="63892" spans="3:13" ht="12.75" customHeight="1" x14ac:dyDescent="0.2">
      <c r="C63892"/>
      <c r="M63892"/>
    </row>
    <row r="63893" spans="3:13" ht="12.75" customHeight="1" x14ac:dyDescent="0.2">
      <c r="C63893"/>
      <c r="M63893"/>
    </row>
    <row r="63894" spans="3:13" ht="12.75" customHeight="1" x14ac:dyDescent="0.2">
      <c r="C63894"/>
      <c r="M63894"/>
    </row>
    <row r="63895" spans="3:13" ht="12.75" customHeight="1" x14ac:dyDescent="0.2">
      <c r="C63895"/>
      <c r="M63895"/>
    </row>
    <row r="63896" spans="3:13" ht="12.75" customHeight="1" x14ac:dyDescent="0.2">
      <c r="C63896"/>
      <c r="M63896"/>
    </row>
    <row r="63897" spans="3:13" ht="12.75" customHeight="1" x14ac:dyDescent="0.2">
      <c r="C63897"/>
      <c r="M63897"/>
    </row>
    <row r="63898" spans="3:13" ht="12.75" customHeight="1" x14ac:dyDescent="0.2">
      <c r="C63898"/>
      <c r="M63898"/>
    </row>
    <row r="63899" spans="3:13" ht="12.75" customHeight="1" x14ac:dyDescent="0.2">
      <c r="C63899"/>
      <c r="M63899"/>
    </row>
    <row r="63900" spans="3:13" ht="12.75" customHeight="1" x14ac:dyDescent="0.2">
      <c r="C63900"/>
      <c r="M63900"/>
    </row>
    <row r="63901" spans="3:13" ht="12.75" customHeight="1" x14ac:dyDescent="0.2">
      <c r="C63901"/>
      <c r="M63901"/>
    </row>
    <row r="63902" spans="3:13" ht="12.75" customHeight="1" x14ac:dyDescent="0.2">
      <c r="C63902"/>
      <c r="M63902"/>
    </row>
    <row r="63903" spans="3:13" ht="12.75" customHeight="1" x14ac:dyDescent="0.2">
      <c r="C63903"/>
      <c r="M63903"/>
    </row>
    <row r="63904" spans="3:13" ht="12.75" customHeight="1" x14ac:dyDescent="0.2">
      <c r="C63904"/>
      <c r="M63904"/>
    </row>
    <row r="63905" spans="3:13" ht="12.75" customHeight="1" x14ac:dyDescent="0.2">
      <c r="C63905"/>
      <c r="M63905"/>
    </row>
    <row r="63906" spans="3:13" ht="12.75" customHeight="1" x14ac:dyDescent="0.2">
      <c r="C63906"/>
      <c r="M63906"/>
    </row>
    <row r="63907" spans="3:13" ht="12.75" customHeight="1" x14ac:dyDescent="0.2">
      <c r="C63907"/>
      <c r="M63907"/>
    </row>
    <row r="63908" spans="3:13" ht="12.75" customHeight="1" x14ac:dyDescent="0.2">
      <c r="C63908"/>
      <c r="M63908"/>
    </row>
    <row r="63909" spans="3:13" ht="12.75" customHeight="1" x14ac:dyDescent="0.2">
      <c r="C63909"/>
      <c r="M63909"/>
    </row>
    <row r="63910" spans="3:13" ht="12.75" customHeight="1" x14ac:dyDescent="0.2">
      <c r="C63910"/>
      <c r="M63910"/>
    </row>
    <row r="63911" spans="3:13" ht="12.75" customHeight="1" x14ac:dyDescent="0.2">
      <c r="C63911"/>
      <c r="M63911"/>
    </row>
    <row r="63912" spans="3:13" ht="12.75" customHeight="1" x14ac:dyDescent="0.2">
      <c r="C63912"/>
      <c r="M63912"/>
    </row>
    <row r="63913" spans="3:13" ht="12.75" customHeight="1" x14ac:dyDescent="0.2">
      <c r="C63913"/>
      <c r="M63913"/>
    </row>
    <row r="63914" spans="3:13" ht="12.75" customHeight="1" x14ac:dyDescent="0.2">
      <c r="C63914"/>
      <c r="M63914"/>
    </row>
    <row r="63915" spans="3:13" ht="12.75" customHeight="1" x14ac:dyDescent="0.2">
      <c r="C63915"/>
      <c r="M63915"/>
    </row>
    <row r="63916" spans="3:13" ht="12.75" customHeight="1" x14ac:dyDescent="0.2">
      <c r="C63916"/>
      <c r="M63916"/>
    </row>
    <row r="63917" spans="3:13" ht="12.75" customHeight="1" x14ac:dyDescent="0.2">
      <c r="C63917"/>
      <c r="M63917"/>
    </row>
    <row r="63918" spans="3:13" ht="12.75" customHeight="1" x14ac:dyDescent="0.2">
      <c r="C63918"/>
      <c r="M63918"/>
    </row>
    <row r="63919" spans="3:13" ht="12.75" customHeight="1" x14ac:dyDescent="0.2">
      <c r="C63919"/>
      <c r="M63919"/>
    </row>
    <row r="63920" spans="3:13" ht="12.75" customHeight="1" x14ac:dyDescent="0.2">
      <c r="C63920"/>
      <c r="M63920"/>
    </row>
    <row r="63921" spans="3:13" ht="12.75" customHeight="1" x14ac:dyDescent="0.2">
      <c r="C63921"/>
      <c r="M63921"/>
    </row>
    <row r="63922" spans="3:13" ht="12.75" customHeight="1" x14ac:dyDescent="0.2">
      <c r="C63922"/>
      <c r="M63922"/>
    </row>
    <row r="63923" spans="3:13" ht="12.75" customHeight="1" x14ac:dyDescent="0.2">
      <c r="C63923"/>
      <c r="M63923"/>
    </row>
    <row r="63924" spans="3:13" ht="12.75" customHeight="1" x14ac:dyDescent="0.2">
      <c r="C63924"/>
      <c r="M63924"/>
    </row>
    <row r="63925" spans="3:13" ht="12.75" customHeight="1" x14ac:dyDescent="0.2">
      <c r="C63925"/>
      <c r="M63925"/>
    </row>
    <row r="63926" spans="3:13" ht="12.75" customHeight="1" x14ac:dyDescent="0.2">
      <c r="C63926"/>
      <c r="M63926"/>
    </row>
    <row r="63927" spans="3:13" ht="12.75" customHeight="1" x14ac:dyDescent="0.2">
      <c r="C63927"/>
      <c r="M63927"/>
    </row>
    <row r="63928" spans="3:13" ht="12.75" customHeight="1" x14ac:dyDescent="0.2">
      <c r="C63928"/>
      <c r="M63928"/>
    </row>
    <row r="63929" spans="3:13" ht="12.75" customHeight="1" x14ac:dyDescent="0.2">
      <c r="C63929"/>
      <c r="M63929"/>
    </row>
    <row r="63930" spans="3:13" ht="12.75" customHeight="1" x14ac:dyDescent="0.2">
      <c r="C63930"/>
      <c r="M63930"/>
    </row>
    <row r="63931" spans="3:13" ht="12.75" customHeight="1" x14ac:dyDescent="0.2">
      <c r="C63931"/>
      <c r="M63931"/>
    </row>
    <row r="63932" spans="3:13" ht="12.75" customHeight="1" x14ac:dyDescent="0.2">
      <c r="C63932"/>
      <c r="M63932"/>
    </row>
    <row r="63933" spans="3:13" ht="12.75" customHeight="1" x14ac:dyDescent="0.2">
      <c r="C63933"/>
      <c r="M63933"/>
    </row>
    <row r="63934" spans="3:13" ht="12.75" customHeight="1" x14ac:dyDescent="0.2">
      <c r="C63934"/>
      <c r="M63934"/>
    </row>
    <row r="63935" spans="3:13" ht="12.75" customHeight="1" x14ac:dyDescent="0.2">
      <c r="C63935"/>
      <c r="M63935"/>
    </row>
    <row r="63936" spans="3:13" ht="12.75" customHeight="1" x14ac:dyDescent="0.2">
      <c r="C63936"/>
      <c r="M63936"/>
    </row>
    <row r="63937" spans="3:13" ht="12.75" customHeight="1" x14ac:dyDescent="0.2">
      <c r="C63937"/>
      <c r="M63937"/>
    </row>
    <row r="63938" spans="3:13" ht="12.75" customHeight="1" x14ac:dyDescent="0.2">
      <c r="C63938"/>
      <c r="M63938"/>
    </row>
    <row r="63939" spans="3:13" ht="12.75" customHeight="1" x14ac:dyDescent="0.2">
      <c r="C63939"/>
      <c r="M63939"/>
    </row>
    <row r="63940" spans="3:13" ht="12.75" customHeight="1" x14ac:dyDescent="0.2">
      <c r="C63940"/>
      <c r="M63940"/>
    </row>
    <row r="63941" spans="3:13" ht="12.75" customHeight="1" x14ac:dyDescent="0.2">
      <c r="C63941"/>
      <c r="M63941"/>
    </row>
    <row r="63942" spans="3:13" ht="12.75" customHeight="1" x14ac:dyDescent="0.2">
      <c r="C63942"/>
      <c r="M63942"/>
    </row>
    <row r="63943" spans="3:13" ht="12.75" customHeight="1" x14ac:dyDescent="0.2">
      <c r="C63943"/>
      <c r="M63943"/>
    </row>
    <row r="63944" spans="3:13" ht="12.75" customHeight="1" x14ac:dyDescent="0.2">
      <c r="C63944"/>
      <c r="M63944"/>
    </row>
    <row r="63945" spans="3:13" ht="12.75" customHeight="1" x14ac:dyDescent="0.2">
      <c r="C63945"/>
      <c r="M63945"/>
    </row>
    <row r="63946" spans="3:13" ht="12.75" customHeight="1" x14ac:dyDescent="0.2">
      <c r="C63946"/>
      <c r="M63946"/>
    </row>
    <row r="63947" spans="3:13" ht="12.75" customHeight="1" x14ac:dyDescent="0.2">
      <c r="C63947"/>
      <c r="M63947"/>
    </row>
    <row r="63948" spans="3:13" ht="12.75" customHeight="1" x14ac:dyDescent="0.2">
      <c r="C63948"/>
      <c r="M63948"/>
    </row>
    <row r="63949" spans="3:13" ht="12.75" customHeight="1" x14ac:dyDescent="0.2">
      <c r="C63949"/>
      <c r="M63949"/>
    </row>
    <row r="63950" spans="3:13" ht="12.75" customHeight="1" x14ac:dyDescent="0.2">
      <c r="C63950"/>
      <c r="M63950"/>
    </row>
    <row r="63951" spans="3:13" ht="12.75" customHeight="1" x14ac:dyDescent="0.2">
      <c r="C63951"/>
      <c r="M63951"/>
    </row>
    <row r="63952" spans="3:13" ht="12.75" customHeight="1" x14ac:dyDescent="0.2">
      <c r="C63952"/>
      <c r="M63952"/>
    </row>
    <row r="63953" spans="3:13" ht="12.75" customHeight="1" x14ac:dyDescent="0.2">
      <c r="C63953"/>
      <c r="M63953"/>
    </row>
    <row r="63954" spans="3:13" ht="12.75" customHeight="1" x14ac:dyDescent="0.2">
      <c r="C63954"/>
      <c r="M63954"/>
    </row>
    <row r="63955" spans="3:13" ht="12.75" customHeight="1" x14ac:dyDescent="0.2">
      <c r="C63955"/>
      <c r="M63955"/>
    </row>
    <row r="63956" spans="3:13" ht="12.75" customHeight="1" x14ac:dyDescent="0.2">
      <c r="C63956"/>
      <c r="M63956"/>
    </row>
    <row r="63957" spans="3:13" ht="12.75" customHeight="1" x14ac:dyDescent="0.2">
      <c r="C63957"/>
      <c r="M63957"/>
    </row>
    <row r="63958" spans="3:13" ht="12.75" customHeight="1" x14ac:dyDescent="0.2">
      <c r="C63958"/>
      <c r="M63958"/>
    </row>
    <row r="63959" spans="3:13" ht="12.75" customHeight="1" x14ac:dyDescent="0.2">
      <c r="C63959"/>
      <c r="M63959"/>
    </row>
    <row r="63960" spans="3:13" ht="12.75" customHeight="1" x14ac:dyDescent="0.2">
      <c r="C63960"/>
      <c r="M63960"/>
    </row>
    <row r="63961" spans="3:13" ht="12.75" customHeight="1" x14ac:dyDescent="0.2">
      <c r="C63961"/>
      <c r="M63961"/>
    </row>
    <row r="63962" spans="3:13" ht="12.75" customHeight="1" x14ac:dyDescent="0.2">
      <c r="C63962"/>
      <c r="M63962"/>
    </row>
    <row r="63963" spans="3:13" ht="12.75" customHeight="1" x14ac:dyDescent="0.2">
      <c r="C63963"/>
      <c r="M63963"/>
    </row>
    <row r="63964" spans="3:13" ht="12.75" customHeight="1" x14ac:dyDescent="0.2">
      <c r="C63964"/>
      <c r="M63964"/>
    </row>
    <row r="63965" spans="3:13" ht="12.75" customHeight="1" x14ac:dyDescent="0.2">
      <c r="C63965"/>
      <c r="M63965"/>
    </row>
    <row r="63966" spans="3:13" ht="12.75" customHeight="1" x14ac:dyDescent="0.2">
      <c r="C63966"/>
      <c r="M63966"/>
    </row>
    <row r="63967" spans="3:13" ht="12.75" customHeight="1" x14ac:dyDescent="0.2">
      <c r="C63967"/>
      <c r="M63967"/>
    </row>
    <row r="63968" spans="3:13" ht="12.75" customHeight="1" x14ac:dyDescent="0.2">
      <c r="C63968"/>
      <c r="M63968"/>
    </row>
    <row r="63969" spans="3:13" ht="12.75" customHeight="1" x14ac:dyDescent="0.2">
      <c r="C63969"/>
      <c r="M63969"/>
    </row>
    <row r="63970" spans="3:13" ht="12.75" customHeight="1" x14ac:dyDescent="0.2">
      <c r="C63970"/>
      <c r="M63970"/>
    </row>
    <row r="63971" spans="3:13" ht="12.75" customHeight="1" x14ac:dyDescent="0.2">
      <c r="C63971"/>
      <c r="M63971"/>
    </row>
    <row r="63972" spans="3:13" ht="12.75" customHeight="1" x14ac:dyDescent="0.2">
      <c r="C63972"/>
      <c r="M63972"/>
    </row>
    <row r="63973" spans="3:13" ht="12.75" customHeight="1" x14ac:dyDescent="0.2">
      <c r="C63973"/>
      <c r="M63973"/>
    </row>
    <row r="63974" spans="3:13" ht="12.75" customHeight="1" x14ac:dyDescent="0.2">
      <c r="C63974"/>
      <c r="M63974"/>
    </row>
    <row r="63975" spans="3:13" ht="12.75" customHeight="1" x14ac:dyDescent="0.2">
      <c r="C63975"/>
      <c r="M63975"/>
    </row>
    <row r="63976" spans="3:13" ht="12.75" customHeight="1" x14ac:dyDescent="0.2">
      <c r="C63976"/>
      <c r="M63976"/>
    </row>
    <row r="63977" spans="3:13" ht="12.75" customHeight="1" x14ac:dyDescent="0.2">
      <c r="C63977"/>
      <c r="M63977"/>
    </row>
    <row r="63978" spans="3:13" ht="12.75" customHeight="1" x14ac:dyDescent="0.2">
      <c r="C63978"/>
      <c r="M63978"/>
    </row>
    <row r="63979" spans="3:13" ht="12.75" customHeight="1" x14ac:dyDescent="0.2">
      <c r="C63979"/>
      <c r="M63979"/>
    </row>
    <row r="63980" spans="3:13" ht="12.75" customHeight="1" x14ac:dyDescent="0.2">
      <c r="C63980"/>
      <c r="M63980"/>
    </row>
    <row r="63981" spans="3:13" ht="12.75" customHeight="1" x14ac:dyDescent="0.2">
      <c r="C63981"/>
      <c r="M63981"/>
    </row>
    <row r="63982" spans="3:13" ht="12.75" customHeight="1" x14ac:dyDescent="0.2">
      <c r="C63982"/>
      <c r="M63982"/>
    </row>
    <row r="63983" spans="3:13" ht="12.75" customHeight="1" x14ac:dyDescent="0.2">
      <c r="C63983"/>
      <c r="M63983"/>
    </row>
    <row r="63984" spans="3:13" ht="12.75" customHeight="1" x14ac:dyDescent="0.2">
      <c r="C63984"/>
      <c r="M63984"/>
    </row>
    <row r="63985" spans="3:13" ht="12.75" customHeight="1" x14ac:dyDescent="0.2">
      <c r="C63985"/>
      <c r="M63985"/>
    </row>
    <row r="63986" spans="3:13" ht="12.75" customHeight="1" x14ac:dyDescent="0.2">
      <c r="C63986"/>
      <c r="M63986"/>
    </row>
    <row r="63987" spans="3:13" ht="12.75" customHeight="1" x14ac:dyDescent="0.2">
      <c r="C63987"/>
      <c r="M63987"/>
    </row>
    <row r="63988" spans="3:13" ht="12.75" customHeight="1" x14ac:dyDescent="0.2">
      <c r="C63988"/>
      <c r="M63988"/>
    </row>
    <row r="63989" spans="3:13" ht="12.75" customHeight="1" x14ac:dyDescent="0.2">
      <c r="C63989"/>
      <c r="M63989"/>
    </row>
    <row r="63990" spans="3:13" ht="12.75" customHeight="1" x14ac:dyDescent="0.2">
      <c r="C63990"/>
      <c r="M63990"/>
    </row>
    <row r="63991" spans="3:13" ht="12.75" customHeight="1" x14ac:dyDescent="0.2">
      <c r="C63991"/>
      <c r="M63991"/>
    </row>
    <row r="63992" spans="3:13" ht="12.75" customHeight="1" x14ac:dyDescent="0.2">
      <c r="C63992"/>
      <c r="M63992"/>
    </row>
    <row r="63993" spans="3:13" ht="12.75" customHeight="1" x14ac:dyDescent="0.2">
      <c r="C63993"/>
      <c r="M63993"/>
    </row>
    <row r="63994" spans="3:13" ht="12.75" customHeight="1" x14ac:dyDescent="0.2">
      <c r="C63994"/>
      <c r="M63994"/>
    </row>
    <row r="63995" spans="3:13" ht="12.75" customHeight="1" x14ac:dyDescent="0.2">
      <c r="C63995"/>
      <c r="M63995"/>
    </row>
    <row r="63996" spans="3:13" ht="12.75" customHeight="1" x14ac:dyDescent="0.2">
      <c r="C63996"/>
      <c r="M63996"/>
    </row>
    <row r="63997" spans="3:13" ht="12.75" customHeight="1" x14ac:dyDescent="0.2">
      <c r="C63997"/>
      <c r="M63997"/>
    </row>
    <row r="63998" spans="3:13" ht="12.75" customHeight="1" x14ac:dyDescent="0.2">
      <c r="C63998"/>
      <c r="M63998"/>
    </row>
    <row r="63999" spans="3:13" ht="12.75" customHeight="1" x14ac:dyDescent="0.2">
      <c r="C63999"/>
      <c r="M63999"/>
    </row>
    <row r="64000" spans="3:13" ht="12.75" customHeight="1" x14ac:dyDescent="0.2">
      <c r="C64000"/>
      <c r="M64000"/>
    </row>
    <row r="64001" spans="3:13" ht="12.75" customHeight="1" x14ac:dyDescent="0.2">
      <c r="C64001"/>
      <c r="M64001"/>
    </row>
    <row r="64002" spans="3:13" ht="12.75" customHeight="1" x14ac:dyDescent="0.2">
      <c r="C64002"/>
      <c r="M64002"/>
    </row>
    <row r="64003" spans="3:13" ht="12.75" customHeight="1" x14ac:dyDescent="0.2">
      <c r="C64003"/>
      <c r="M64003"/>
    </row>
    <row r="64004" spans="3:13" ht="12.75" customHeight="1" x14ac:dyDescent="0.2">
      <c r="C64004"/>
      <c r="M64004"/>
    </row>
    <row r="64005" spans="3:13" ht="12.75" customHeight="1" x14ac:dyDescent="0.2">
      <c r="C64005"/>
      <c r="M64005"/>
    </row>
    <row r="64006" spans="3:13" ht="12.75" customHeight="1" x14ac:dyDescent="0.2">
      <c r="C64006"/>
      <c r="M64006"/>
    </row>
    <row r="64007" spans="3:13" ht="12.75" customHeight="1" x14ac:dyDescent="0.2">
      <c r="C64007"/>
      <c r="M64007"/>
    </row>
    <row r="64008" spans="3:13" ht="12.75" customHeight="1" x14ac:dyDescent="0.2">
      <c r="C64008"/>
      <c r="M64008"/>
    </row>
    <row r="64009" spans="3:13" ht="12.75" customHeight="1" x14ac:dyDescent="0.2">
      <c r="C64009"/>
      <c r="M64009"/>
    </row>
    <row r="64010" spans="3:13" ht="12.75" customHeight="1" x14ac:dyDescent="0.2">
      <c r="C64010"/>
      <c r="M64010"/>
    </row>
    <row r="64011" spans="3:13" ht="12.75" customHeight="1" x14ac:dyDescent="0.2">
      <c r="C64011"/>
      <c r="M64011"/>
    </row>
    <row r="64012" spans="3:13" ht="12.75" customHeight="1" x14ac:dyDescent="0.2">
      <c r="C64012"/>
      <c r="M64012"/>
    </row>
    <row r="64013" spans="3:13" ht="12.75" customHeight="1" x14ac:dyDescent="0.2">
      <c r="C64013"/>
      <c r="M64013"/>
    </row>
    <row r="64014" spans="3:13" ht="12.75" customHeight="1" x14ac:dyDescent="0.2">
      <c r="C64014"/>
      <c r="M64014"/>
    </row>
    <row r="64015" spans="3:13" ht="12.75" customHeight="1" x14ac:dyDescent="0.2">
      <c r="C64015"/>
      <c r="M64015"/>
    </row>
    <row r="64016" spans="3:13" ht="12.75" customHeight="1" x14ac:dyDescent="0.2">
      <c r="C64016"/>
      <c r="M64016"/>
    </row>
    <row r="64017" spans="3:13" ht="12.75" customHeight="1" x14ac:dyDescent="0.2">
      <c r="C64017"/>
      <c r="M64017"/>
    </row>
    <row r="64018" spans="3:13" ht="12.75" customHeight="1" x14ac:dyDescent="0.2">
      <c r="C64018"/>
      <c r="M64018"/>
    </row>
    <row r="64019" spans="3:13" ht="12.75" customHeight="1" x14ac:dyDescent="0.2">
      <c r="C64019"/>
      <c r="M64019"/>
    </row>
    <row r="64020" spans="3:13" ht="12.75" customHeight="1" x14ac:dyDescent="0.2">
      <c r="C64020"/>
      <c r="M64020"/>
    </row>
    <row r="64021" spans="3:13" ht="12.75" customHeight="1" x14ac:dyDescent="0.2">
      <c r="C64021"/>
      <c r="M64021"/>
    </row>
    <row r="64022" spans="3:13" ht="12.75" customHeight="1" x14ac:dyDescent="0.2">
      <c r="C64022"/>
      <c r="M64022"/>
    </row>
    <row r="64023" spans="3:13" ht="12.75" customHeight="1" x14ac:dyDescent="0.2">
      <c r="C64023"/>
      <c r="M64023"/>
    </row>
    <row r="64024" spans="3:13" ht="12.75" customHeight="1" x14ac:dyDescent="0.2">
      <c r="C64024"/>
      <c r="M64024"/>
    </row>
    <row r="64025" spans="3:13" ht="12.75" customHeight="1" x14ac:dyDescent="0.2">
      <c r="C64025"/>
      <c r="M64025"/>
    </row>
    <row r="64026" spans="3:13" ht="12.75" customHeight="1" x14ac:dyDescent="0.2">
      <c r="C64026"/>
      <c r="M64026"/>
    </row>
    <row r="64027" spans="3:13" ht="12.75" customHeight="1" x14ac:dyDescent="0.2">
      <c r="C64027"/>
      <c r="M64027"/>
    </row>
    <row r="64028" spans="3:13" ht="12.75" customHeight="1" x14ac:dyDescent="0.2">
      <c r="C64028"/>
      <c r="M64028"/>
    </row>
    <row r="64029" spans="3:13" ht="12.75" customHeight="1" x14ac:dyDescent="0.2">
      <c r="C64029"/>
      <c r="M64029"/>
    </row>
    <row r="64030" spans="3:13" ht="12.75" customHeight="1" x14ac:dyDescent="0.2">
      <c r="C64030"/>
      <c r="M64030"/>
    </row>
    <row r="64031" spans="3:13" ht="12.75" customHeight="1" x14ac:dyDescent="0.2">
      <c r="C64031"/>
      <c r="M64031"/>
    </row>
    <row r="64032" spans="3:13" ht="12.75" customHeight="1" x14ac:dyDescent="0.2">
      <c r="C64032"/>
      <c r="M64032"/>
    </row>
    <row r="64033" spans="3:13" ht="12.75" customHeight="1" x14ac:dyDescent="0.2">
      <c r="C64033"/>
      <c r="M64033"/>
    </row>
    <row r="64034" spans="3:13" ht="12.75" customHeight="1" x14ac:dyDescent="0.2">
      <c r="C64034"/>
      <c r="M64034"/>
    </row>
    <row r="64035" spans="3:13" ht="12.75" customHeight="1" x14ac:dyDescent="0.2">
      <c r="C64035"/>
      <c r="M64035"/>
    </row>
    <row r="64036" spans="3:13" ht="12.75" customHeight="1" x14ac:dyDescent="0.2">
      <c r="C64036"/>
      <c r="M64036"/>
    </row>
    <row r="64037" spans="3:13" ht="12.75" customHeight="1" x14ac:dyDescent="0.2">
      <c r="C64037"/>
      <c r="M64037"/>
    </row>
    <row r="64038" spans="3:13" ht="12.75" customHeight="1" x14ac:dyDescent="0.2">
      <c r="C64038"/>
      <c r="M64038"/>
    </row>
    <row r="64039" spans="3:13" ht="12.75" customHeight="1" x14ac:dyDescent="0.2">
      <c r="C64039"/>
      <c r="M64039"/>
    </row>
    <row r="64040" spans="3:13" ht="12.75" customHeight="1" x14ac:dyDescent="0.2">
      <c r="C64040"/>
      <c r="M64040"/>
    </row>
    <row r="64041" spans="3:13" ht="12.75" customHeight="1" x14ac:dyDescent="0.2">
      <c r="C64041"/>
      <c r="M64041"/>
    </row>
    <row r="64042" spans="3:13" ht="12.75" customHeight="1" x14ac:dyDescent="0.2">
      <c r="C64042"/>
      <c r="M64042"/>
    </row>
    <row r="64043" spans="3:13" ht="12.75" customHeight="1" x14ac:dyDescent="0.2">
      <c r="C64043"/>
      <c r="M64043"/>
    </row>
    <row r="64044" spans="3:13" ht="12.75" customHeight="1" x14ac:dyDescent="0.2">
      <c r="C64044"/>
      <c r="M64044"/>
    </row>
    <row r="64045" spans="3:13" ht="12.75" customHeight="1" x14ac:dyDescent="0.2">
      <c r="C64045"/>
      <c r="M64045"/>
    </row>
    <row r="64046" spans="3:13" ht="12.75" customHeight="1" x14ac:dyDescent="0.2">
      <c r="C64046"/>
      <c r="M64046"/>
    </row>
    <row r="64047" spans="3:13" ht="12.75" customHeight="1" x14ac:dyDescent="0.2">
      <c r="C64047"/>
      <c r="M64047"/>
    </row>
    <row r="64048" spans="3:13" ht="12.75" customHeight="1" x14ac:dyDescent="0.2">
      <c r="C64048"/>
      <c r="M64048"/>
    </row>
    <row r="64049" spans="3:13" ht="12.75" customHeight="1" x14ac:dyDescent="0.2">
      <c r="C64049"/>
      <c r="M64049"/>
    </row>
    <row r="64050" spans="3:13" ht="12.75" customHeight="1" x14ac:dyDescent="0.2">
      <c r="C64050"/>
      <c r="M64050"/>
    </row>
    <row r="64051" spans="3:13" ht="12.75" customHeight="1" x14ac:dyDescent="0.2">
      <c r="C64051"/>
      <c r="M64051"/>
    </row>
    <row r="64052" spans="3:13" ht="12.75" customHeight="1" x14ac:dyDescent="0.2">
      <c r="C64052"/>
      <c r="M64052"/>
    </row>
    <row r="64053" spans="3:13" ht="12.75" customHeight="1" x14ac:dyDescent="0.2">
      <c r="C64053"/>
      <c r="M64053"/>
    </row>
    <row r="64054" spans="3:13" ht="12.75" customHeight="1" x14ac:dyDescent="0.2">
      <c r="C64054"/>
      <c r="M64054"/>
    </row>
    <row r="64055" spans="3:13" ht="12.75" customHeight="1" x14ac:dyDescent="0.2">
      <c r="C64055"/>
      <c r="M64055"/>
    </row>
    <row r="64056" spans="3:13" ht="12.75" customHeight="1" x14ac:dyDescent="0.2">
      <c r="C64056"/>
      <c r="M64056"/>
    </row>
    <row r="64057" spans="3:13" ht="12.75" customHeight="1" x14ac:dyDescent="0.2">
      <c r="C64057"/>
      <c r="M64057"/>
    </row>
    <row r="64058" spans="3:13" ht="12.75" customHeight="1" x14ac:dyDescent="0.2">
      <c r="C64058"/>
      <c r="M64058"/>
    </row>
    <row r="64059" spans="3:13" ht="12.75" customHeight="1" x14ac:dyDescent="0.2">
      <c r="C64059"/>
      <c r="M64059"/>
    </row>
    <row r="64060" spans="3:13" ht="12.75" customHeight="1" x14ac:dyDescent="0.2">
      <c r="C64060"/>
      <c r="M64060"/>
    </row>
    <row r="64061" spans="3:13" ht="12.75" customHeight="1" x14ac:dyDescent="0.2">
      <c r="C64061"/>
      <c r="M64061"/>
    </row>
    <row r="64062" spans="3:13" ht="12.75" customHeight="1" x14ac:dyDescent="0.2">
      <c r="C64062"/>
      <c r="M64062"/>
    </row>
    <row r="64063" spans="3:13" ht="12.75" customHeight="1" x14ac:dyDescent="0.2">
      <c r="C64063"/>
      <c r="M64063"/>
    </row>
    <row r="64064" spans="3:13" ht="12.75" customHeight="1" x14ac:dyDescent="0.2">
      <c r="C64064"/>
      <c r="M64064"/>
    </row>
    <row r="64065" spans="3:13" ht="12.75" customHeight="1" x14ac:dyDescent="0.2">
      <c r="C64065"/>
      <c r="M64065"/>
    </row>
    <row r="64066" spans="3:13" ht="12.75" customHeight="1" x14ac:dyDescent="0.2">
      <c r="C64066"/>
      <c r="M64066"/>
    </row>
    <row r="64067" spans="3:13" ht="12.75" customHeight="1" x14ac:dyDescent="0.2">
      <c r="C64067"/>
      <c r="M64067"/>
    </row>
    <row r="64068" spans="3:13" ht="12.75" customHeight="1" x14ac:dyDescent="0.2">
      <c r="C64068"/>
      <c r="M64068"/>
    </row>
    <row r="64069" spans="3:13" ht="12.75" customHeight="1" x14ac:dyDescent="0.2">
      <c r="C64069"/>
      <c r="M64069"/>
    </row>
    <row r="64070" spans="3:13" ht="12.75" customHeight="1" x14ac:dyDescent="0.2">
      <c r="C64070"/>
      <c r="M64070"/>
    </row>
    <row r="64071" spans="3:13" ht="12.75" customHeight="1" x14ac:dyDescent="0.2">
      <c r="C64071"/>
      <c r="M64071"/>
    </row>
    <row r="64072" spans="3:13" ht="12.75" customHeight="1" x14ac:dyDescent="0.2">
      <c r="C64072"/>
      <c r="M64072"/>
    </row>
    <row r="64073" spans="3:13" ht="12.75" customHeight="1" x14ac:dyDescent="0.2">
      <c r="C64073"/>
      <c r="M64073"/>
    </row>
    <row r="64074" spans="3:13" ht="12.75" customHeight="1" x14ac:dyDescent="0.2">
      <c r="C64074"/>
      <c r="M64074"/>
    </row>
    <row r="64075" spans="3:13" ht="12.75" customHeight="1" x14ac:dyDescent="0.2">
      <c r="C64075"/>
      <c r="M64075"/>
    </row>
    <row r="64076" spans="3:13" ht="12.75" customHeight="1" x14ac:dyDescent="0.2">
      <c r="C64076"/>
      <c r="M64076"/>
    </row>
    <row r="64077" spans="3:13" ht="12.75" customHeight="1" x14ac:dyDescent="0.2">
      <c r="C64077"/>
      <c r="M64077"/>
    </row>
    <row r="64078" spans="3:13" ht="12.75" customHeight="1" x14ac:dyDescent="0.2">
      <c r="C64078"/>
      <c r="M64078"/>
    </row>
    <row r="64079" spans="3:13" ht="12.75" customHeight="1" x14ac:dyDescent="0.2">
      <c r="C64079"/>
      <c r="M64079"/>
    </row>
    <row r="64080" spans="3:13" ht="12.75" customHeight="1" x14ac:dyDescent="0.2">
      <c r="C64080"/>
      <c r="M64080"/>
    </row>
    <row r="64081" spans="3:13" ht="12.75" customHeight="1" x14ac:dyDescent="0.2">
      <c r="C64081"/>
      <c r="M64081"/>
    </row>
    <row r="64082" spans="3:13" ht="12.75" customHeight="1" x14ac:dyDescent="0.2">
      <c r="C64082"/>
      <c r="M64082"/>
    </row>
    <row r="64083" spans="3:13" ht="12.75" customHeight="1" x14ac:dyDescent="0.2">
      <c r="C64083"/>
      <c r="M64083"/>
    </row>
    <row r="64084" spans="3:13" ht="12.75" customHeight="1" x14ac:dyDescent="0.2">
      <c r="C64084"/>
      <c r="M64084"/>
    </row>
    <row r="64085" spans="3:13" ht="12.75" customHeight="1" x14ac:dyDescent="0.2">
      <c r="C64085"/>
      <c r="M64085"/>
    </row>
    <row r="64086" spans="3:13" ht="12.75" customHeight="1" x14ac:dyDescent="0.2">
      <c r="C64086"/>
      <c r="M64086"/>
    </row>
    <row r="64087" spans="3:13" ht="12.75" customHeight="1" x14ac:dyDescent="0.2">
      <c r="C64087"/>
      <c r="M64087"/>
    </row>
    <row r="64088" spans="3:13" ht="12.75" customHeight="1" x14ac:dyDescent="0.2">
      <c r="C64088"/>
      <c r="M64088"/>
    </row>
    <row r="64089" spans="3:13" ht="12.75" customHeight="1" x14ac:dyDescent="0.2">
      <c r="C64089"/>
      <c r="M64089"/>
    </row>
    <row r="64090" spans="3:13" ht="12.75" customHeight="1" x14ac:dyDescent="0.2">
      <c r="C64090"/>
      <c r="M64090"/>
    </row>
    <row r="64091" spans="3:13" ht="12.75" customHeight="1" x14ac:dyDescent="0.2">
      <c r="C64091"/>
      <c r="M64091"/>
    </row>
    <row r="64092" spans="3:13" ht="12.75" customHeight="1" x14ac:dyDescent="0.2">
      <c r="C64092"/>
      <c r="M64092"/>
    </row>
    <row r="64093" spans="3:13" ht="12.75" customHeight="1" x14ac:dyDescent="0.2">
      <c r="C64093"/>
      <c r="M64093"/>
    </row>
    <row r="64094" spans="3:13" ht="12.75" customHeight="1" x14ac:dyDescent="0.2">
      <c r="C64094"/>
      <c r="M64094"/>
    </row>
    <row r="64095" spans="3:13" ht="12.75" customHeight="1" x14ac:dyDescent="0.2">
      <c r="C64095"/>
      <c r="M64095"/>
    </row>
    <row r="64096" spans="3:13" ht="12.75" customHeight="1" x14ac:dyDescent="0.2">
      <c r="C64096"/>
      <c r="M64096"/>
    </row>
    <row r="64097" spans="3:13" ht="12.75" customHeight="1" x14ac:dyDescent="0.2">
      <c r="C64097"/>
      <c r="M64097"/>
    </row>
    <row r="64098" spans="3:13" ht="12.75" customHeight="1" x14ac:dyDescent="0.2">
      <c r="C64098"/>
      <c r="M64098"/>
    </row>
    <row r="64099" spans="3:13" ht="12.75" customHeight="1" x14ac:dyDescent="0.2">
      <c r="C64099"/>
      <c r="M64099"/>
    </row>
    <row r="64100" spans="3:13" ht="12.75" customHeight="1" x14ac:dyDescent="0.2">
      <c r="C64100"/>
      <c r="M64100"/>
    </row>
    <row r="64101" spans="3:13" ht="12.75" customHeight="1" x14ac:dyDescent="0.2">
      <c r="C64101"/>
      <c r="M64101"/>
    </row>
    <row r="64102" spans="3:13" ht="12.75" customHeight="1" x14ac:dyDescent="0.2">
      <c r="C64102"/>
      <c r="M64102"/>
    </row>
    <row r="64103" spans="3:13" ht="12.75" customHeight="1" x14ac:dyDescent="0.2">
      <c r="C64103"/>
      <c r="M64103"/>
    </row>
    <row r="64104" spans="3:13" ht="12.75" customHeight="1" x14ac:dyDescent="0.2">
      <c r="C64104"/>
      <c r="M64104"/>
    </row>
    <row r="64105" spans="3:13" ht="12.75" customHeight="1" x14ac:dyDescent="0.2">
      <c r="C64105"/>
      <c r="M64105"/>
    </row>
    <row r="64106" spans="3:13" ht="12.75" customHeight="1" x14ac:dyDescent="0.2">
      <c r="C64106"/>
      <c r="M64106"/>
    </row>
    <row r="64107" spans="3:13" ht="12.75" customHeight="1" x14ac:dyDescent="0.2">
      <c r="C64107"/>
      <c r="M64107"/>
    </row>
    <row r="64108" spans="3:13" ht="12.75" customHeight="1" x14ac:dyDescent="0.2">
      <c r="C64108"/>
      <c r="M64108"/>
    </row>
    <row r="64109" spans="3:13" ht="12.75" customHeight="1" x14ac:dyDescent="0.2">
      <c r="C64109"/>
      <c r="M64109"/>
    </row>
    <row r="64110" spans="3:13" ht="12.75" customHeight="1" x14ac:dyDescent="0.2">
      <c r="C64110"/>
      <c r="M64110"/>
    </row>
    <row r="64111" spans="3:13" ht="12.75" customHeight="1" x14ac:dyDescent="0.2">
      <c r="C64111"/>
      <c r="M64111"/>
    </row>
    <row r="64112" spans="3:13" ht="12.75" customHeight="1" x14ac:dyDescent="0.2">
      <c r="C64112"/>
      <c r="M64112"/>
    </row>
    <row r="64113" spans="3:13" ht="12.75" customHeight="1" x14ac:dyDescent="0.2">
      <c r="C64113"/>
      <c r="M64113"/>
    </row>
    <row r="64114" spans="3:13" ht="12.75" customHeight="1" x14ac:dyDescent="0.2">
      <c r="C64114"/>
      <c r="M64114"/>
    </row>
    <row r="64115" spans="3:13" ht="12.75" customHeight="1" x14ac:dyDescent="0.2">
      <c r="C64115"/>
      <c r="M64115"/>
    </row>
    <row r="64116" spans="3:13" ht="12.75" customHeight="1" x14ac:dyDescent="0.2">
      <c r="C64116"/>
      <c r="M64116"/>
    </row>
    <row r="64117" spans="3:13" ht="12.75" customHeight="1" x14ac:dyDescent="0.2">
      <c r="C64117"/>
      <c r="M64117"/>
    </row>
    <row r="64118" spans="3:13" ht="12.75" customHeight="1" x14ac:dyDescent="0.2">
      <c r="C64118"/>
      <c r="M64118"/>
    </row>
    <row r="64119" spans="3:13" ht="12.75" customHeight="1" x14ac:dyDescent="0.2">
      <c r="C64119"/>
      <c r="M64119"/>
    </row>
    <row r="64120" spans="3:13" ht="12.75" customHeight="1" x14ac:dyDescent="0.2">
      <c r="C64120"/>
      <c r="M64120"/>
    </row>
    <row r="64121" spans="3:13" ht="12.75" customHeight="1" x14ac:dyDescent="0.2">
      <c r="C64121"/>
      <c r="M64121"/>
    </row>
    <row r="64122" spans="3:13" ht="12.75" customHeight="1" x14ac:dyDescent="0.2">
      <c r="C64122"/>
      <c r="M64122"/>
    </row>
    <row r="64123" spans="3:13" ht="12.75" customHeight="1" x14ac:dyDescent="0.2">
      <c r="C64123"/>
      <c r="M64123"/>
    </row>
    <row r="64124" spans="3:13" ht="12.75" customHeight="1" x14ac:dyDescent="0.2">
      <c r="C64124"/>
      <c r="M64124"/>
    </row>
    <row r="64125" spans="3:13" ht="12.75" customHeight="1" x14ac:dyDescent="0.2">
      <c r="C64125"/>
      <c r="M64125"/>
    </row>
    <row r="64126" spans="3:13" ht="12.75" customHeight="1" x14ac:dyDescent="0.2">
      <c r="C64126"/>
      <c r="M64126"/>
    </row>
    <row r="64127" spans="3:13" ht="12.75" customHeight="1" x14ac:dyDescent="0.2">
      <c r="C64127"/>
      <c r="M64127"/>
    </row>
    <row r="64128" spans="3:13" ht="12.75" customHeight="1" x14ac:dyDescent="0.2">
      <c r="C64128"/>
      <c r="M64128"/>
    </row>
    <row r="64129" spans="3:13" ht="12.75" customHeight="1" x14ac:dyDescent="0.2">
      <c r="C64129"/>
      <c r="M64129"/>
    </row>
    <row r="64130" spans="3:13" ht="12.75" customHeight="1" x14ac:dyDescent="0.2">
      <c r="C64130"/>
      <c r="M64130"/>
    </row>
    <row r="64131" spans="3:13" ht="12.75" customHeight="1" x14ac:dyDescent="0.2">
      <c r="C64131"/>
      <c r="M64131"/>
    </row>
    <row r="64132" spans="3:13" ht="12.75" customHeight="1" x14ac:dyDescent="0.2">
      <c r="C64132"/>
      <c r="M64132"/>
    </row>
    <row r="64133" spans="3:13" ht="12.75" customHeight="1" x14ac:dyDescent="0.2">
      <c r="C64133"/>
      <c r="M64133"/>
    </row>
    <row r="64134" spans="3:13" ht="12.75" customHeight="1" x14ac:dyDescent="0.2">
      <c r="C64134"/>
      <c r="M64134"/>
    </row>
    <row r="64135" spans="3:13" ht="12.75" customHeight="1" x14ac:dyDescent="0.2">
      <c r="C64135"/>
      <c r="M64135"/>
    </row>
    <row r="64136" spans="3:13" ht="12.75" customHeight="1" x14ac:dyDescent="0.2">
      <c r="C64136"/>
      <c r="M64136"/>
    </row>
    <row r="64137" spans="3:13" ht="12.75" customHeight="1" x14ac:dyDescent="0.2">
      <c r="C64137"/>
      <c r="M64137"/>
    </row>
    <row r="64138" spans="3:13" ht="12.75" customHeight="1" x14ac:dyDescent="0.2">
      <c r="C64138"/>
      <c r="M64138"/>
    </row>
    <row r="64139" spans="3:13" ht="12.75" customHeight="1" x14ac:dyDescent="0.2">
      <c r="C64139"/>
      <c r="M64139"/>
    </row>
    <row r="64140" spans="3:13" ht="12.75" customHeight="1" x14ac:dyDescent="0.2">
      <c r="C64140"/>
      <c r="M64140"/>
    </row>
    <row r="64141" spans="3:13" ht="12.75" customHeight="1" x14ac:dyDescent="0.2">
      <c r="C64141"/>
      <c r="M64141"/>
    </row>
    <row r="64142" spans="3:13" ht="12.75" customHeight="1" x14ac:dyDescent="0.2">
      <c r="C64142"/>
      <c r="M64142"/>
    </row>
    <row r="64143" spans="3:13" ht="12.75" customHeight="1" x14ac:dyDescent="0.2">
      <c r="C64143"/>
      <c r="M64143"/>
    </row>
    <row r="64144" spans="3:13" ht="12.75" customHeight="1" x14ac:dyDescent="0.2">
      <c r="C64144"/>
      <c r="M64144"/>
    </row>
    <row r="64145" spans="3:13" ht="12.75" customHeight="1" x14ac:dyDescent="0.2">
      <c r="C64145"/>
      <c r="M64145"/>
    </row>
    <row r="64146" spans="3:13" ht="12.75" customHeight="1" x14ac:dyDescent="0.2">
      <c r="C64146"/>
      <c r="M64146"/>
    </row>
    <row r="64147" spans="3:13" ht="12.75" customHeight="1" x14ac:dyDescent="0.2">
      <c r="C64147"/>
      <c r="M64147"/>
    </row>
    <row r="64148" spans="3:13" ht="12.75" customHeight="1" x14ac:dyDescent="0.2">
      <c r="C64148"/>
      <c r="M64148"/>
    </row>
    <row r="64149" spans="3:13" ht="12.75" customHeight="1" x14ac:dyDescent="0.2">
      <c r="C64149"/>
      <c r="M64149"/>
    </row>
    <row r="64150" spans="3:13" ht="12.75" customHeight="1" x14ac:dyDescent="0.2">
      <c r="C64150"/>
      <c r="M64150"/>
    </row>
    <row r="64151" spans="3:13" ht="12.75" customHeight="1" x14ac:dyDescent="0.2">
      <c r="C64151"/>
      <c r="M64151"/>
    </row>
    <row r="64152" spans="3:13" ht="12.75" customHeight="1" x14ac:dyDescent="0.2">
      <c r="C64152"/>
      <c r="M64152"/>
    </row>
    <row r="64153" spans="3:13" ht="12.75" customHeight="1" x14ac:dyDescent="0.2">
      <c r="C64153"/>
      <c r="M64153"/>
    </row>
    <row r="64154" spans="3:13" ht="12.75" customHeight="1" x14ac:dyDescent="0.2">
      <c r="C64154"/>
      <c r="M64154"/>
    </row>
    <row r="64155" spans="3:13" ht="12.75" customHeight="1" x14ac:dyDescent="0.2">
      <c r="C64155"/>
      <c r="M64155"/>
    </row>
    <row r="64156" spans="3:13" ht="12.75" customHeight="1" x14ac:dyDescent="0.2">
      <c r="C64156"/>
      <c r="M64156"/>
    </row>
    <row r="64157" spans="3:13" ht="12.75" customHeight="1" x14ac:dyDescent="0.2">
      <c r="C64157"/>
      <c r="M64157"/>
    </row>
    <row r="64158" spans="3:13" ht="12.75" customHeight="1" x14ac:dyDescent="0.2">
      <c r="C64158"/>
      <c r="M64158"/>
    </row>
    <row r="64159" spans="3:13" ht="12.75" customHeight="1" x14ac:dyDescent="0.2">
      <c r="C64159"/>
      <c r="M64159"/>
    </row>
    <row r="64160" spans="3:13" ht="12.75" customHeight="1" x14ac:dyDescent="0.2">
      <c r="C64160"/>
      <c r="M64160"/>
    </row>
    <row r="64161" spans="3:13" ht="12.75" customHeight="1" x14ac:dyDescent="0.2">
      <c r="C64161"/>
      <c r="M64161"/>
    </row>
    <row r="64162" spans="3:13" ht="12.75" customHeight="1" x14ac:dyDescent="0.2">
      <c r="C64162"/>
      <c r="M64162"/>
    </row>
    <row r="64163" spans="3:13" ht="12.75" customHeight="1" x14ac:dyDescent="0.2">
      <c r="C64163"/>
      <c r="M64163"/>
    </row>
    <row r="64164" spans="3:13" ht="12.75" customHeight="1" x14ac:dyDescent="0.2">
      <c r="C64164"/>
      <c r="M64164"/>
    </row>
    <row r="64165" spans="3:13" ht="12.75" customHeight="1" x14ac:dyDescent="0.2">
      <c r="C64165"/>
      <c r="M64165"/>
    </row>
    <row r="64166" spans="3:13" ht="12.75" customHeight="1" x14ac:dyDescent="0.2">
      <c r="C64166"/>
      <c r="M64166"/>
    </row>
    <row r="64167" spans="3:13" ht="12.75" customHeight="1" x14ac:dyDescent="0.2">
      <c r="C64167"/>
      <c r="M64167"/>
    </row>
    <row r="64168" spans="3:13" ht="12.75" customHeight="1" x14ac:dyDescent="0.2">
      <c r="C64168"/>
      <c r="M64168"/>
    </row>
    <row r="64169" spans="3:13" ht="12.75" customHeight="1" x14ac:dyDescent="0.2">
      <c r="C64169"/>
      <c r="M64169"/>
    </row>
    <row r="64170" spans="3:13" ht="12.75" customHeight="1" x14ac:dyDescent="0.2">
      <c r="C64170"/>
      <c r="M64170"/>
    </row>
    <row r="64171" spans="3:13" ht="12.75" customHeight="1" x14ac:dyDescent="0.2">
      <c r="C64171"/>
      <c r="M64171"/>
    </row>
    <row r="64172" spans="3:13" ht="12.75" customHeight="1" x14ac:dyDescent="0.2">
      <c r="C64172"/>
      <c r="M64172"/>
    </row>
    <row r="64173" spans="3:13" ht="12.75" customHeight="1" x14ac:dyDescent="0.2">
      <c r="C64173"/>
      <c r="M64173"/>
    </row>
    <row r="64174" spans="3:13" ht="12.75" customHeight="1" x14ac:dyDescent="0.2">
      <c r="C64174"/>
      <c r="M64174"/>
    </row>
    <row r="64175" spans="3:13" ht="12.75" customHeight="1" x14ac:dyDescent="0.2">
      <c r="C64175"/>
      <c r="M64175"/>
    </row>
    <row r="64176" spans="3:13" ht="12.75" customHeight="1" x14ac:dyDescent="0.2">
      <c r="C64176"/>
      <c r="M64176"/>
    </row>
    <row r="64177" spans="3:13" ht="12.75" customHeight="1" x14ac:dyDescent="0.2">
      <c r="C64177"/>
      <c r="M64177"/>
    </row>
    <row r="64178" spans="3:13" ht="12.75" customHeight="1" x14ac:dyDescent="0.2">
      <c r="C64178"/>
      <c r="M64178"/>
    </row>
    <row r="64179" spans="3:13" ht="12.75" customHeight="1" x14ac:dyDescent="0.2">
      <c r="C64179"/>
      <c r="M64179"/>
    </row>
    <row r="64180" spans="3:13" ht="12.75" customHeight="1" x14ac:dyDescent="0.2">
      <c r="C64180"/>
      <c r="M64180"/>
    </row>
    <row r="64181" spans="3:13" ht="12.75" customHeight="1" x14ac:dyDescent="0.2">
      <c r="C64181"/>
      <c r="M64181"/>
    </row>
    <row r="64182" spans="3:13" ht="12.75" customHeight="1" x14ac:dyDescent="0.2">
      <c r="C64182"/>
      <c r="M64182"/>
    </row>
    <row r="64183" spans="3:13" ht="12.75" customHeight="1" x14ac:dyDescent="0.2">
      <c r="C64183"/>
      <c r="M64183"/>
    </row>
    <row r="64184" spans="3:13" ht="12.75" customHeight="1" x14ac:dyDescent="0.2">
      <c r="C64184"/>
      <c r="M64184"/>
    </row>
    <row r="64185" spans="3:13" ht="12.75" customHeight="1" x14ac:dyDescent="0.2">
      <c r="C64185"/>
      <c r="M64185"/>
    </row>
    <row r="64186" spans="3:13" ht="12.75" customHeight="1" x14ac:dyDescent="0.2">
      <c r="C64186"/>
      <c r="M64186"/>
    </row>
    <row r="64187" spans="3:13" ht="12.75" customHeight="1" x14ac:dyDescent="0.2">
      <c r="C64187"/>
      <c r="M64187"/>
    </row>
    <row r="64188" spans="3:13" ht="12.75" customHeight="1" x14ac:dyDescent="0.2">
      <c r="C64188"/>
      <c r="M64188"/>
    </row>
    <row r="64189" spans="3:13" ht="12.75" customHeight="1" x14ac:dyDescent="0.2">
      <c r="C64189"/>
      <c r="M64189"/>
    </row>
    <row r="64190" spans="3:13" ht="12.75" customHeight="1" x14ac:dyDescent="0.2">
      <c r="C64190"/>
      <c r="M64190"/>
    </row>
    <row r="64191" spans="3:13" ht="12.75" customHeight="1" x14ac:dyDescent="0.2">
      <c r="C64191"/>
      <c r="M64191"/>
    </row>
    <row r="64192" spans="3:13" ht="12.75" customHeight="1" x14ac:dyDescent="0.2">
      <c r="C64192"/>
      <c r="M64192"/>
    </row>
    <row r="64193" spans="3:13" ht="12.75" customHeight="1" x14ac:dyDescent="0.2">
      <c r="C64193"/>
      <c r="M64193"/>
    </row>
    <row r="64194" spans="3:13" ht="12.75" customHeight="1" x14ac:dyDescent="0.2">
      <c r="C64194"/>
      <c r="M64194"/>
    </row>
    <row r="64195" spans="3:13" ht="12.75" customHeight="1" x14ac:dyDescent="0.2">
      <c r="C64195"/>
      <c r="M64195"/>
    </row>
    <row r="64196" spans="3:13" ht="12.75" customHeight="1" x14ac:dyDescent="0.2">
      <c r="C64196"/>
      <c r="M64196"/>
    </row>
    <row r="64197" spans="3:13" ht="12.75" customHeight="1" x14ac:dyDescent="0.2">
      <c r="C64197"/>
      <c r="M64197"/>
    </row>
    <row r="64198" spans="3:13" ht="12.75" customHeight="1" x14ac:dyDescent="0.2">
      <c r="C64198"/>
      <c r="M64198"/>
    </row>
    <row r="64199" spans="3:13" ht="12.75" customHeight="1" x14ac:dyDescent="0.2">
      <c r="C64199"/>
      <c r="M64199"/>
    </row>
    <row r="64200" spans="3:13" ht="12.75" customHeight="1" x14ac:dyDescent="0.2">
      <c r="C64200"/>
      <c r="M64200"/>
    </row>
    <row r="64201" spans="3:13" ht="12.75" customHeight="1" x14ac:dyDescent="0.2">
      <c r="C64201"/>
      <c r="M64201"/>
    </row>
    <row r="64202" spans="3:13" ht="12.75" customHeight="1" x14ac:dyDescent="0.2">
      <c r="C64202"/>
      <c r="M64202"/>
    </row>
    <row r="64203" spans="3:13" ht="12.75" customHeight="1" x14ac:dyDescent="0.2">
      <c r="C64203"/>
      <c r="M64203"/>
    </row>
    <row r="64204" spans="3:13" ht="12.75" customHeight="1" x14ac:dyDescent="0.2">
      <c r="C64204"/>
      <c r="M64204"/>
    </row>
    <row r="64205" spans="3:13" ht="12.75" customHeight="1" x14ac:dyDescent="0.2">
      <c r="C64205"/>
      <c r="M64205"/>
    </row>
    <row r="64206" spans="3:13" ht="12.75" customHeight="1" x14ac:dyDescent="0.2">
      <c r="C64206"/>
      <c r="M64206"/>
    </row>
    <row r="64207" spans="3:13" ht="12.75" customHeight="1" x14ac:dyDescent="0.2">
      <c r="C64207"/>
      <c r="M64207"/>
    </row>
    <row r="64208" spans="3:13" ht="12.75" customHeight="1" x14ac:dyDescent="0.2">
      <c r="C64208"/>
      <c r="M64208"/>
    </row>
    <row r="64209" spans="3:13" ht="12.75" customHeight="1" x14ac:dyDescent="0.2">
      <c r="C64209"/>
      <c r="M64209"/>
    </row>
    <row r="64210" spans="3:13" ht="12.75" customHeight="1" x14ac:dyDescent="0.2">
      <c r="C64210"/>
      <c r="M64210"/>
    </row>
    <row r="64211" spans="3:13" ht="12.75" customHeight="1" x14ac:dyDescent="0.2">
      <c r="C64211"/>
      <c r="M64211"/>
    </row>
    <row r="64212" spans="3:13" ht="12.75" customHeight="1" x14ac:dyDescent="0.2">
      <c r="C64212"/>
      <c r="M64212"/>
    </row>
    <row r="64213" spans="3:13" ht="12.75" customHeight="1" x14ac:dyDescent="0.2">
      <c r="C64213"/>
      <c r="M64213"/>
    </row>
    <row r="64214" spans="3:13" ht="12.75" customHeight="1" x14ac:dyDescent="0.2">
      <c r="C64214"/>
      <c r="M64214"/>
    </row>
    <row r="64215" spans="3:13" ht="12.75" customHeight="1" x14ac:dyDescent="0.2">
      <c r="C64215"/>
      <c r="M64215"/>
    </row>
    <row r="64216" spans="3:13" ht="12.75" customHeight="1" x14ac:dyDescent="0.2">
      <c r="C64216"/>
      <c r="M64216"/>
    </row>
    <row r="64217" spans="3:13" ht="12.75" customHeight="1" x14ac:dyDescent="0.2">
      <c r="C64217"/>
      <c r="M64217"/>
    </row>
    <row r="64218" spans="3:13" ht="12.75" customHeight="1" x14ac:dyDescent="0.2">
      <c r="C64218"/>
      <c r="M64218"/>
    </row>
    <row r="64219" spans="3:13" ht="12.75" customHeight="1" x14ac:dyDescent="0.2">
      <c r="C64219"/>
      <c r="M64219"/>
    </row>
    <row r="64220" spans="3:13" ht="12.75" customHeight="1" x14ac:dyDescent="0.2">
      <c r="C64220"/>
      <c r="M64220"/>
    </row>
    <row r="64221" spans="3:13" ht="12.75" customHeight="1" x14ac:dyDescent="0.2">
      <c r="C64221"/>
      <c r="M64221"/>
    </row>
    <row r="64222" spans="3:13" ht="12.75" customHeight="1" x14ac:dyDescent="0.2">
      <c r="C64222"/>
      <c r="M64222"/>
    </row>
    <row r="64223" spans="3:13" ht="12.75" customHeight="1" x14ac:dyDescent="0.2">
      <c r="C64223"/>
      <c r="M64223"/>
    </row>
    <row r="64224" spans="3:13" ht="12.75" customHeight="1" x14ac:dyDescent="0.2">
      <c r="C64224"/>
      <c r="M64224"/>
    </row>
    <row r="64225" spans="3:13" ht="12.75" customHeight="1" x14ac:dyDescent="0.2">
      <c r="C64225"/>
      <c r="M64225"/>
    </row>
    <row r="64226" spans="3:13" ht="12.75" customHeight="1" x14ac:dyDescent="0.2">
      <c r="C64226"/>
      <c r="M64226"/>
    </row>
    <row r="64227" spans="3:13" ht="12.75" customHeight="1" x14ac:dyDescent="0.2">
      <c r="C64227"/>
      <c r="M64227"/>
    </row>
    <row r="64228" spans="3:13" ht="12.75" customHeight="1" x14ac:dyDescent="0.2">
      <c r="C64228"/>
      <c r="M64228"/>
    </row>
    <row r="64229" spans="3:13" ht="12.75" customHeight="1" x14ac:dyDescent="0.2">
      <c r="C64229"/>
      <c r="M64229"/>
    </row>
    <row r="64230" spans="3:13" ht="12.75" customHeight="1" x14ac:dyDescent="0.2">
      <c r="C64230"/>
      <c r="M64230"/>
    </row>
    <row r="64231" spans="3:13" ht="12.75" customHeight="1" x14ac:dyDescent="0.2">
      <c r="C64231"/>
      <c r="M64231"/>
    </row>
    <row r="64232" spans="3:13" ht="12.75" customHeight="1" x14ac:dyDescent="0.2">
      <c r="C64232"/>
      <c r="M64232"/>
    </row>
    <row r="64233" spans="3:13" ht="12.75" customHeight="1" x14ac:dyDescent="0.2">
      <c r="C64233"/>
      <c r="M64233"/>
    </row>
    <row r="64234" spans="3:13" ht="12.75" customHeight="1" x14ac:dyDescent="0.2">
      <c r="C64234"/>
      <c r="M64234"/>
    </row>
    <row r="64235" spans="3:13" ht="12.75" customHeight="1" x14ac:dyDescent="0.2">
      <c r="C64235"/>
      <c r="M64235"/>
    </row>
    <row r="64236" spans="3:13" ht="12.75" customHeight="1" x14ac:dyDescent="0.2">
      <c r="C64236"/>
      <c r="M64236"/>
    </row>
    <row r="64237" spans="3:13" ht="12.75" customHeight="1" x14ac:dyDescent="0.2">
      <c r="C64237"/>
      <c r="M64237"/>
    </row>
    <row r="64238" spans="3:13" ht="12.75" customHeight="1" x14ac:dyDescent="0.2">
      <c r="C64238"/>
      <c r="M64238"/>
    </row>
    <row r="64239" spans="3:13" ht="12.75" customHeight="1" x14ac:dyDescent="0.2">
      <c r="C64239"/>
      <c r="M64239"/>
    </row>
    <row r="64240" spans="3:13" ht="12.75" customHeight="1" x14ac:dyDescent="0.2">
      <c r="C64240"/>
      <c r="M64240"/>
    </row>
    <row r="64241" spans="3:13" ht="12.75" customHeight="1" x14ac:dyDescent="0.2">
      <c r="C64241"/>
      <c r="M64241"/>
    </row>
    <row r="64242" spans="3:13" ht="12.75" customHeight="1" x14ac:dyDescent="0.2">
      <c r="C64242"/>
      <c r="M64242"/>
    </row>
    <row r="64243" spans="3:13" ht="12.75" customHeight="1" x14ac:dyDescent="0.2">
      <c r="C64243"/>
      <c r="M64243"/>
    </row>
    <row r="64244" spans="3:13" ht="12.75" customHeight="1" x14ac:dyDescent="0.2">
      <c r="C64244"/>
      <c r="M64244"/>
    </row>
    <row r="64245" spans="3:13" ht="12.75" customHeight="1" x14ac:dyDescent="0.2">
      <c r="C64245"/>
      <c r="M64245"/>
    </row>
    <row r="64246" spans="3:13" ht="12.75" customHeight="1" x14ac:dyDescent="0.2">
      <c r="C64246"/>
      <c r="M64246"/>
    </row>
    <row r="64247" spans="3:13" ht="12.75" customHeight="1" x14ac:dyDescent="0.2">
      <c r="C64247"/>
      <c r="M64247"/>
    </row>
    <row r="64248" spans="3:13" ht="12.75" customHeight="1" x14ac:dyDescent="0.2">
      <c r="C64248"/>
      <c r="M64248"/>
    </row>
    <row r="64249" spans="3:13" ht="12.75" customHeight="1" x14ac:dyDescent="0.2">
      <c r="C64249"/>
      <c r="M64249"/>
    </row>
    <row r="64250" spans="3:13" ht="12.75" customHeight="1" x14ac:dyDescent="0.2">
      <c r="C64250"/>
      <c r="M64250"/>
    </row>
    <row r="64251" spans="3:13" ht="12.75" customHeight="1" x14ac:dyDescent="0.2">
      <c r="C64251"/>
      <c r="M64251"/>
    </row>
    <row r="64252" spans="3:13" ht="12.75" customHeight="1" x14ac:dyDescent="0.2">
      <c r="C64252"/>
      <c r="M64252"/>
    </row>
    <row r="64253" spans="3:13" ht="12.75" customHeight="1" x14ac:dyDescent="0.2">
      <c r="C64253"/>
      <c r="M64253"/>
    </row>
    <row r="64254" spans="3:13" ht="12.75" customHeight="1" x14ac:dyDescent="0.2">
      <c r="C64254"/>
      <c r="M64254"/>
    </row>
    <row r="64255" spans="3:13" ht="12.75" customHeight="1" x14ac:dyDescent="0.2">
      <c r="C64255"/>
      <c r="M64255"/>
    </row>
    <row r="64256" spans="3:13" ht="12.75" customHeight="1" x14ac:dyDescent="0.2">
      <c r="C64256"/>
      <c r="M64256"/>
    </row>
    <row r="64257" spans="3:13" ht="12.75" customHeight="1" x14ac:dyDescent="0.2">
      <c r="C64257"/>
      <c r="M64257"/>
    </row>
    <row r="64258" spans="3:13" ht="12.75" customHeight="1" x14ac:dyDescent="0.2">
      <c r="C64258"/>
      <c r="M64258"/>
    </row>
    <row r="64259" spans="3:13" ht="12.75" customHeight="1" x14ac:dyDescent="0.2">
      <c r="C64259"/>
      <c r="M64259"/>
    </row>
    <row r="64260" spans="3:13" ht="12.75" customHeight="1" x14ac:dyDescent="0.2">
      <c r="C64260"/>
      <c r="M64260"/>
    </row>
    <row r="64261" spans="3:13" ht="12.75" customHeight="1" x14ac:dyDescent="0.2">
      <c r="C64261"/>
      <c r="M64261"/>
    </row>
    <row r="64262" spans="3:13" ht="12.75" customHeight="1" x14ac:dyDescent="0.2">
      <c r="C64262"/>
      <c r="M64262"/>
    </row>
    <row r="64263" spans="3:13" ht="12.75" customHeight="1" x14ac:dyDescent="0.2">
      <c r="C64263"/>
      <c r="M64263"/>
    </row>
    <row r="64264" spans="3:13" ht="12.75" customHeight="1" x14ac:dyDescent="0.2">
      <c r="C64264"/>
      <c r="M64264"/>
    </row>
    <row r="64265" spans="3:13" ht="12.75" customHeight="1" x14ac:dyDescent="0.2">
      <c r="C64265"/>
      <c r="M64265"/>
    </row>
    <row r="64266" spans="3:13" ht="12.75" customHeight="1" x14ac:dyDescent="0.2">
      <c r="C64266"/>
      <c r="M64266"/>
    </row>
    <row r="64267" spans="3:13" ht="12.75" customHeight="1" x14ac:dyDescent="0.2">
      <c r="C64267"/>
      <c r="M64267"/>
    </row>
    <row r="64268" spans="3:13" ht="12.75" customHeight="1" x14ac:dyDescent="0.2">
      <c r="C64268"/>
      <c r="M64268"/>
    </row>
    <row r="64269" spans="3:13" ht="12.75" customHeight="1" x14ac:dyDescent="0.2">
      <c r="C64269"/>
      <c r="M64269"/>
    </row>
    <row r="64270" spans="3:13" ht="12.75" customHeight="1" x14ac:dyDescent="0.2">
      <c r="C64270"/>
      <c r="M64270"/>
    </row>
    <row r="64271" spans="3:13" ht="12.75" customHeight="1" x14ac:dyDescent="0.2">
      <c r="C64271"/>
      <c r="M64271"/>
    </row>
    <row r="64272" spans="3:13" ht="12.75" customHeight="1" x14ac:dyDescent="0.2">
      <c r="C64272"/>
      <c r="M64272"/>
    </row>
    <row r="64273" spans="3:13" ht="12.75" customHeight="1" x14ac:dyDescent="0.2">
      <c r="C64273"/>
      <c r="M64273"/>
    </row>
    <row r="64274" spans="3:13" ht="12.75" customHeight="1" x14ac:dyDescent="0.2">
      <c r="C64274"/>
      <c r="M64274"/>
    </row>
    <row r="64275" spans="3:13" ht="12.75" customHeight="1" x14ac:dyDescent="0.2">
      <c r="C64275"/>
      <c r="M64275"/>
    </row>
    <row r="64276" spans="3:13" ht="12.75" customHeight="1" x14ac:dyDescent="0.2">
      <c r="C64276"/>
      <c r="M64276"/>
    </row>
    <row r="64277" spans="3:13" ht="12.75" customHeight="1" x14ac:dyDescent="0.2">
      <c r="C64277"/>
      <c r="M64277"/>
    </row>
    <row r="64278" spans="3:13" ht="12.75" customHeight="1" x14ac:dyDescent="0.2">
      <c r="C64278"/>
      <c r="M64278"/>
    </row>
    <row r="64279" spans="3:13" ht="12.75" customHeight="1" x14ac:dyDescent="0.2">
      <c r="C64279"/>
      <c r="M64279"/>
    </row>
    <row r="64280" spans="3:13" ht="12.75" customHeight="1" x14ac:dyDescent="0.2">
      <c r="C64280"/>
      <c r="M64280"/>
    </row>
    <row r="64281" spans="3:13" ht="12.75" customHeight="1" x14ac:dyDescent="0.2">
      <c r="C64281"/>
      <c r="M64281"/>
    </row>
    <row r="64282" spans="3:13" ht="12.75" customHeight="1" x14ac:dyDescent="0.2">
      <c r="C64282"/>
      <c r="M64282"/>
    </row>
    <row r="64283" spans="3:13" ht="12.75" customHeight="1" x14ac:dyDescent="0.2">
      <c r="C64283"/>
      <c r="M64283"/>
    </row>
    <row r="64284" spans="3:13" ht="12.75" customHeight="1" x14ac:dyDescent="0.2">
      <c r="C64284"/>
      <c r="M64284"/>
    </row>
    <row r="64285" spans="3:13" ht="12.75" customHeight="1" x14ac:dyDescent="0.2">
      <c r="C64285"/>
      <c r="M64285"/>
    </row>
    <row r="64286" spans="3:13" ht="12.75" customHeight="1" x14ac:dyDescent="0.2">
      <c r="C64286"/>
      <c r="M64286"/>
    </row>
    <row r="64287" spans="3:13" ht="12.75" customHeight="1" x14ac:dyDescent="0.2">
      <c r="C64287"/>
      <c r="M64287"/>
    </row>
    <row r="64288" spans="3:13" ht="12.75" customHeight="1" x14ac:dyDescent="0.2">
      <c r="C64288"/>
      <c r="M64288"/>
    </row>
    <row r="64289" spans="3:13" ht="12.75" customHeight="1" x14ac:dyDescent="0.2">
      <c r="C64289"/>
      <c r="M64289"/>
    </row>
    <row r="64290" spans="3:13" ht="12.75" customHeight="1" x14ac:dyDescent="0.2">
      <c r="C64290"/>
      <c r="M64290"/>
    </row>
    <row r="64291" spans="3:13" ht="12.75" customHeight="1" x14ac:dyDescent="0.2">
      <c r="C64291"/>
      <c r="M64291"/>
    </row>
    <row r="64292" spans="3:13" ht="12.75" customHeight="1" x14ac:dyDescent="0.2">
      <c r="C64292"/>
      <c r="M64292"/>
    </row>
    <row r="64293" spans="3:13" ht="12.75" customHeight="1" x14ac:dyDescent="0.2">
      <c r="C64293"/>
      <c r="M64293"/>
    </row>
    <row r="64294" spans="3:13" ht="12.75" customHeight="1" x14ac:dyDescent="0.2">
      <c r="C64294"/>
      <c r="M64294"/>
    </row>
    <row r="64295" spans="3:13" ht="12.75" customHeight="1" x14ac:dyDescent="0.2">
      <c r="C64295"/>
      <c r="M64295"/>
    </row>
    <row r="64296" spans="3:13" ht="12.75" customHeight="1" x14ac:dyDescent="0.2">
      <c r="C64296"/>
      <c r="M64296"/>
    </row>
    <row r="64297" spans="3:13" ht="12.75" customHeight="1" x14ac:dyDescent="0.2">
      <c r="C64297"/>
      <c r="M64297"/>
    </row>
    <row r="64298" spans="3:13" ht="12.75" customHeight="1" x14ac:dyDescent="0.2">
      <c r="C64298"/>
      <c r="M64298"/>
    </row>
    <row r="64299" spans="3:13" ht="12.75" customHeight="1" x14ac:dyDescent="0.2">
      <c r="C64299"/>
      <c r="M64299"/>
    </row>
    <row r="64300" spans="3:13" ht="12.75" customHeight="1" x14ac:dyDescent="0.2">
      <c r="C64300"/>
      <c r="M64300"/>
    </row>
    <row r="64301" spans="3:13" ht="12.75" customHeight="1" x14ac:dyDescent="0.2">
      <c r="C64301"/>
      <c r="M64301"/>
    </row>
    <row r="64302" spans="3:13" ht="12.75" customHeight="1" x14ac:dyDescent="0.2">
      <c r="C64302"/>
      <c r="M64302"/>
    </row>
    <row r="64303" spans="3:13" ht="12.75" customHeight="1" x14ac:dyDescent="0.2">
      <c r="C64303"/>
      <c r="M64303"/>
    </row>
    <row r="64304" spans="3:13" ht="12.75" customHeight="1" x14ac:dyDescent="0.2">
      <c r="C64304"/>
      <c r="M64304"/>
    </row>
    <row r="64305" spans="3:13" ht="12.75" customHeight="1" x14ac:dyDescent="0.2">
      <c r="C64305"/>
      <c r="M64305"/>
    </row>
    <row r="64306" spans="3:13" ht="12.75" customHeight="1" x14ac:dyDescent="0.2">
      <c r="C64306"/>
      <c r="M64306"/>
    </row>
    <row r="64307" spans="3:13" ht="12.75" customHeight="1" x14ac:dyDescent="0.2">
      <c r="C64307"/>
      <c r="M64307"/>
    </row>
    <row r="64308" spans="3:13" ht="12.75" customHeight="1" x14ac:dyDescent="0.2">
      <c r="C64308"/>
      <c r="M64308"/>
    </row>
    <row r="64309" spans="3:13" ht="12.75" customHeight="1" x14ac:dyDescent="0.2">
      <c r="C64309"/>
      <c r="M64309"/>
    </row>
    <row r="64310" spans="3:13" ht="12.75" customHeight="1" x14ac:dyDescent="0.2">
      <c r="C64310"/>
      <c r="M64310"/>
    </row>
    <row r="64311" spans="3:13" ht="12.75" customHeight="1" x14ac:dyDescent="0.2">
      <c r="C64311"/>
      <c r="M64311"/>
    </row>
    <row r="64312" spans="3:13" ht="12.75" customHeight="1" x14ac:dyDescent="0.2">
      <c r="C64312"/>
      <c r="M64312"/>
    </row>
    <row r="64313" spans="3:13" ht="12.75" customHeight="1" x14ac:dyDescent="0.2">
      <c r="C64313"/>
      <c r="M64313"/>
    </row>
    <row r="64314" spans="3:13" ht="12.75" customHeight="1" x14ac:dyDescent="0.2">
      <c r="C64314"/>
      <c r="M64314"/>
    </row>
    <row r="64315" spans="3:13" ht="12.75" customHeight="1" x14ac:dyDescent="0.2">
      <c r="C64315"/>
      <c r="M64315"/>
    </row>
    <row r="64316" spans="3:13" ht="12.75" customHeight="1" x14ac:dyDescent="0.2">
      <c r="C64316"/>
      <c r="M64316"/>
    </row>
    <row r="64317" spans="3:13" ht="12.75" customHeight="1" x14ac:dyDescent="0.2">
      <c r="C64317"/>
      <c r="M64317"/>
    </row>
    <row r="64318" spans="3:13" ht="12.75" customHeight="1" x14ac:dyDescent="0.2">
      <c r="C64318"/>
      <c r="M64318"/>
    </row>
    <row r="64319" spans="3:13" ht="12.75" customHeight="1" x14ac:dyDescent="0.2">
      <c r="C64319"/>
      <c r="M64319"/>
    </row>
    <row r="64320" spans="3:13" ht="12.75" customHeight="1" x14ac:dyDescent="0.2">
      <c r="C64320"/>
      <c r="M64320"/>
    </row>
    <row r="64321" spans="3:13" ht="12.75" customHeight="1" x14ac:dyDescent="0.2">
      <c r="C64321"/>
      <c r="M64321"/>
    </row>
    <row r="64322" spans="3:13" ht="12.75" customHeight="1" x14ac:dyDescent="0.2">
      <c r="C64322"/>
      <c r="M64322"/>
    </row>
    <row r="64323" spans="3:13" ht="12.75" customHeight="1" x14ac:dyDescent="0.2">
      <c r="C64323"/>
      <c r="M64323"/>
    </row>
    <row r="64324" spans="3:13" ht="12.75" customHeight="1" x14ac:dyDescent="0.2">
      <c r="C64324"/>
      <c r="M64324"/>
    </row>
    <row r="64325" spans="3:13" ht="12.75" customHeight="1" x14ac:dyDescent="0.2">
      <c r="C64325"/>
      <c r="M64325"/>
    </row>
    <row r="64326" spans="3:13" ht="12.75" customHeight="1" x14ac:dyDescent="0.2">
      <c r="C64326"/>
      <c r="M64326"/>
    </row>
    <row r="64327" spans="3:13" ht="12.75" customHeight="1" x14ac:dyDescent="0.2">
      <c r="C64327"/>
      <c r="M64327"/>
    </row>
    <row r="64328" spans="3:13" ht="12.75" customHeight="1" x14ac:dyDescent="0.2">
      <c r="C64328"/>
      <c r="M64328"/>
    </row>
    <row r="64329" spans="3:13" ht="12.75" customHeight="1" x14ac:dyDescent="0.2">
      <c r="C64329"/>
      <c r="M64329"/>
    </row>
    <row r="64330" spans="3:13" ht="12.75" customHeight="1" x14ac:dyDescent="0.2">
      <c r="C64330"/>
      <c r="M64330"/>
    </row>
    <row r="64331" spans="3:13" ht="12.75" customHeight="1" x14ac:dyDescent="0.2">
      <c r="C64331"/>
      <c r="M64331"/>
    </row>
    <row r="64332" spans="3:13" ht="12.75" customHeight="1" x14ac:dyDescent="0.2">
      <c r="C64332"/>
      <c r="M64332"/>
    </row>
    <row r="64333" spans="3:13" ht="12.75" customHeight="1" x14ac:dyDescent="0.2">
      <c r="C64333"/>
      <c r="M64333"/>
    </row>
    <row r="64334" spans="3:13" ht="12.75" customHeight="1" x14ac:dyDescent="0.2">
      <c r="C64334"/>
      <c r="M64334"/>
    </row>
    <row r="64335" spans="3:13" ht="12.75" customHeight="1" x14ac:dyDescent="0.2">
      <c r="C64335"/>
      <c r="M64335"/>
    </row>
    <row r="64336" spans="3:13" ht="12.75" customHeight="1" x14ac:dyDescent="0.2">
      <c r="C64336"/>
      <c r="M64336"/>
    </row>
    <row r="64337" spans="3:13" ht="12.75" customHeight="1" x14ac:dyDescent="0.2">
      <c r="C64337"/>
      <c r="M64337"/>
    </row>
    <row r="64338" spans="3:13" ht="12.75" customHeight="1" x14ac:dyDescent="0.2">
      <c r="C64338"/>
      <c r="M64338"/>
    </row>
    <row r="64339" spans="3:13" ht="12.75" customHeight="1" x14ac:dyDescent="0.2">
      <c r="C64339"/>
      <c r="M64339"/>
    </row>
    <row r="64340" spans="3:13" ht="12.75" customHeight="1" x14ac:dyDescent="0.2">
      <c r="C64340"/>
      <c r="M64340"/>
    </row>
    <row r="64341" spans="3:13" ht="12.75" customHeight="1" x14ac:dyDescent="0.2">
      <c r="C64341"/>
      <c r="M64341"/>
    </row>
    <row r="64342" spans="3:13" ht="12.75" customHeight="1" x14ac:dyDescent="0.2">
      <c r="C64342"/>
      <c r="M64342"/>
    </row>
    <row r="64343" spans="3:13" ht="12.75" customHeight="1" x14ac:dyDescent="0.2">
      <c r="C64343"/>
      <c r="M64343"/>
    </row>
    <row r="64344" spans="3:13" ht="12.75" customHeight="1" x14ac:dyDescent="0.2">
      <c r="C64344"/>
      <c r="M64344"/>
    </row>
    <row r="64345" spans="3:13" ht="12.75" customHeight="1" x14ac:dyDescent="0.2">
      <c r="C64345"/>
      <c r="M64345"/>
    </row>
    <row r="64346" spans="3:13" ht="12.75" customHeight="1" x14ac:dyDescent="0.2">
      <c r="C64346"/>
      <c r="M64346"/>
    </row>
    <row r="64347" spans="3:13" ht="12.75" customHeight="1" x14ac:dyDescent="0.2">
      <c r="C64347"/>
      <c r="M64347"/>
    </row>
    <row r="64348" spans="3:13" ht="12.75" customHeight="1" x14ac:dyDescent="0.2">
      <c r="C64348"/>
      <c r="M64348"/>
    </row>
    <row r="64349" spans="3:13" ht="12.75" customHeight="1" x14ac:dyDescent="0.2">
      <c r="C64349"/>
      <c r="M64349"/>
    </row>
    <row r="64350" spans="3:13" ht="12.75" customHeight="1" x14ac:dyDescent="0.2">
      <c r="C64350"/>
      <c r="M64350"/>
    </row>
    <row r="64351" spans="3:13" ht="12.75" customHeight="1" x14ac:dyDescent="0.2">
      <c r="C64351"/>
      <c r="M64351"/>
    </row>
    <row r="64352" spans="3:13" ht="12.75" customHeight="1" x14ac:dyDescent="0.2">
      <c r="C64352"/>
      <c r="M64352"/>
    </row>
    <row r="64353" spans="3:13" ht="12.75" customHeight="1" x14ac:dyDescent="0.2">
      <c r="C64353"/>
      <c r="M64353"/>
    </row>
    <row r="64354" spans="3:13" ht="12.75" customHeight="1" x14ac:dyDescent="0.2">
      <c r="C64354"/>
      <c r="M64354"/>
    </row>
    <row r="64355" spans="3:13" ht="12.75" customHeight="1" x14ac:dyDescent="0.2">
      <c r="C64355"/>
      <c r="M64355"/>
    </row>
    <row r="64356" spans="3:13" ht="12.75" customHeight="1" x14ac:dyDescent="0.2">
      <c r="C64356"/>
      <c r="M64356"/>
    </row>
    <row r="64357" spans="3:13" ht="12.75" customHeight="1" x14ac:dyDescent="0.2">
      <c r="C64357"/>
      <c r="M64357"/>
    </row>
    <row r="64358" spans="3:13" ht="12.75" customHeight="1" x14ac:dyDescent="0.2">
      <c r="C64358"/>
      <c r="M64358"/>
    </row>
    <row r="64359" spans="3:13" ht="12.75" customHeight="1" x14ac:dyDescent="0.2">
      <c r="C64359"/>
      <c r="M64359"/>
    </row>
    <row r="64360" spans="3:13" ht="12.75" customHeight="1" x14ac:dyDescent="0.2">
      <c r="C64360"/>
      <c r="M64360"/>
    </row>
    <row r="64361" spans="3:13" ht="12.75" customHeight="1" x14ac:dyDescent="0.2">
      <c r="C64361"/>
      <c r="M64361"/>
    </row>
    <row r="64362" spans="3:13" ht="12.75" customHeight="1" x14ac:dyDescent="0.2">
      <c r="C64362"/>
      <c r="M64362"/>
    </row>
    <row r="64363" spans="3:13" ht="12.75" customHeight="1" x14ac:dyDescent="0.2">
      <c r="C64363"/>
      <c r="M64363"/>
    </row>
    <row r="64364" spans="3:13" ht="12.75" customHeight="1" x14ac:dyDescent="0.2">
      <c r="C64364"/>
      <c r="M64364"/>
    </row>
    <row r="64365" spans="3:13" ht="12.75" customHeight="1" x14ac:dyDescent="0.2">
      <c r="C64365"/>
      <c r="M64365"/>
    </row>
    <row r="64366" spans="3:13" ht="12.75" customHeight="1" x14ac:dyDescent="0.2">
      <c r="C64366"/>
      <c r="M64366"/>
    </row>
    <row r="64367" spans="3:13" ht="12.75" customHeight="1" x14ac:dyDescent="0.2">
      <c r="C64367"/>
      <c r="M64367"/>
    </row>
    <row r="64368" spans="3:13" ht="12.75" customHeight="1" x14ac:dyDescent="0.2">
      <c r="C64368"/>
      <c r="M64368"/>
    </row>
    <row r="64369" spans="3:13" ht="12.75" customHeight="1" x14ac:dyDescent="0.2">
      <c r="C64369"/>
      <c r="M64369"/>
    </row>
    <row r="64370" spans="3:13" ht="12.75" customHeight="1" x14ac:dyDescent="0.2">
      <c r="C64370"/>
      <c r="M64370"/>
    </row>
    <row r="64371" spans="3:13" ht="12.75" customHeight="1" x14ac:dyDescent="0.2">
      <c r="C64371"/>
      <c r="M64371"/>
    </row>
    <row r="64372" spans="3:13" ht="12.75" customHeight="1" x14ac:dyDescent="0.2">
      <c r="C64372"/>
      <c r="M64372"/>
    </row>
    <row r="64373" spans="3:13" ht="12.75" customHeight="1" x14ac:dyDescent="0.2">
      <c r="C64373"/>
      <c r="M64373"/>
    </row>
    <row r="64374" spans="3:13" ht="12.75" customHeight="1" x14ac:dyDescent="0.2">
      <c r="C64374"/>
      <c r="M64374"/>
    </row>
    <row r="64375" spans="3:13" ht="12.75" customHeight="1" x14ac:dyDescent="0.2">
      <c r="C64375"/>
      <c r="M64375"/>
    </row>
    <row r="64376" spans="3:13" ht="12.75" customHeight="1" x14ac:dyDescent="0.2">
      <c r="C64376"/>
      <c r="M64376"/>
    </row>
    <row r="64377" spans="3:13" ht="12.75" customHeight="1" x14ac:dyDescent="0.2">
      <c r="C64377"/>
      <c r="M64377"/>
    </row>
    <row r="64378" spans="3:13" ht="12.75" customHeight="1" x14ac:dyDescent="0.2">
      <c r="C64378"/>
      <c r="M64378"/>
    </row>
    <row r="64379" spans="3:13" ht="12.75" customHeight="1" x14ac:dyDescent="0.2">
      <c r="C64379"/>
      <c r="M64379"/>
    </row>
    <row r="64380" spans="3:13" ht="12.75" customHeight="1" x14ac:dyDescent="0.2">
      <c r="C64380"/>
      <c r="M64380"/>
    </row>
    <row r="64381" spans="3:13" ht="12.75" customHeight="1" x14ac:dyDescent="0.2">
      <c r="C64381"/>
      <c r="M64381"/>
    </row>
    <row r="64382" spans="3:13" ht="12.75" customHeight="1" x14ac:dyDescent="0.2">
      <c r="C64382"/>
      <c r="M64382"/>
    </row>
    <row r="64383" spans="3:13" ht="12.75" customHeight="1" x14ac:dyDescent="0.2">
      <c r="C64383"/>
      <c r="M64383"/>
    </row>
    <row r="64384" spans="3:13" ht="12.75" customHeight="1" x14ac:dyDescent="0.2">
      <c r="C64384"/>
      <c r="M64384"/>
    </row>
    <row r="64385" spans="3:13" ht="12.75" customHeight="1" x14ac:dyDescent="0.2">
      <c r="C64385"/>
      <c r="M64385"/>
    </row>
    <row r="64386" spans="3:13" ht="12.75" customHeight="1" x14ac:dyDescent="0.2">
      <c r="C64386"/>
      <c r="M64386"/>
    </row>
    <row r="64387" spans="3:13" ht="12.75" customHeight="1" x14ac:dyDescent="0.2">
      <c r="C64387"/>
      <c r="M64387"/>
    </row>
    <row r="64388" spans="3:13" ht="12.75" customHeight="1" x14ac:dyDescent="0.2">
      <c r="C64388"/>
      <c r="M64388"/>
    </row>
    <row r="64389" spans="3:13" ht="12.75" customHeight="1" x14ac:dyDescent="0.2">
      <c r="C64389"/>
      <c r="M64389"/>
    </row>
    <row r="64390" spans="3:13" ht="12.75" customHeight="1" x14ac:dyDescent="0.2">
      <c r="C64390"/>
      <c r="M64390"/>
    </row>
    <row r="64391" spans="3:13" ht="12.75" customHeight="1" x14ac:dyDescent="0.2">
      <c r="C64391"/>
      <c r="M64391"/>
    </row>
    <row r="64392" spans="3:13" ht="12.75" customHeight="1" x14ac:dyDescent="0.2">
      <c r="C64392"/>
      <c r="M64392"/>
    </row>
    <row r="64393" spans="3:13" ht="12.75" customHeight="1" x14ac:dyDescent="0.2">
      <c r="C64393"/>
      <c r="M64393"/>
    </row>
    <row r="64394" spans="3:13" ht="12.75" customHeight="1" x14ac:dyDescent="0.2">
      <c r="C64394"/>
      <c r="M64394"/>
    </row>
    <row r="64395" spans="3:13" ht="12.75" customHeight="1" x14ac:dyDescent="0.2">
      <c r="C64395"/>
      <c r="M64395"/>
    </row>
    <row r="64396" spans="3:13" ht="12.75" customHeight="1" x14ac:dyDescent="0.2">
      <c r="C64396"/>
      <c r="M64396"/>
    </row>
    <row r="64397" spans="3:13" ht="12.75" customHeight="1" x14ac:dyDescent="0.2">
      <c r="C64397"/>
      <c r="M64397"/>
    </row>
    <row r="64398" spans="3:13" ht="12.75" customHeight="1" x14ac:dyDescent="0.2">
      <c r="C64398"/>
      <c r="M64398"/>
    </row>
    <row r="64399" spans="3:13" ht="12.75" customHeight="1" x14ac:dyDescent="0.2">
      <c r="C64399"/>
      <c r="M64399"/>
    </row>
    <row r="64400" spans="3:13" ht="12.75" customHeight="1" x14ac:dyDescent="0.2">
      <c r="C64400"/>
      <c r="M64400"/>
    </row>
    <row r="64401" spans="3:13" ht="12.75" customHeight="1" x14ac:dyDescent="0.2">
      <c r="C64401"/>
      <c r="M64401"/>
    </row>
    <row r="64402" spans="3:13" ht="12.75" customHeight="1" x14ac:dyDescent="0.2">
      <c r="C64402"/>
      <c r="M64402"/>
    </row>
    <row r="64403" spans="3:13" ht="12.75" customHeight="1" x14ac:dyDescent="0.2">
      <c r="C64403"/>
      <c r="M64403"/>
    </row>
    <row r="64404" spans="3:13" ht="12.75" customHeight="1" x14ac:dyDescent="0.2">
      <c r="C64404"/>
      <c r="M64404"/>
    </row>
    <row r="64405" spans="3:13" ht="12.75" customHeight="1" x14ac:dyDescent="0.2">
      <c r="C64405"/>
      <c r="M64405"/>
    </row>
    <row r="64406" spans="3:13" ht="12.75" customHeight="1" x14ac:dyDescent="0.2">
      <c r="C64406"/>
      <c r="M64406"/>
    </row>
    <row r="64407" spans="3:13" ht="12.75" customHeight="1" x14ac:dyDescent="0.2">
      <c r="C64407"/>
      <c r="M64407"/>
    </row>
    <row r="64408" spans="3:13" ht="12.75" customHeight="1" x14ac:dyDescent="0.2">
      <c r="C64408"/>
      <c r="M64408"/>
    </row>
    <row r="64409" spans="3:13" ht="12.75" customHeight="1" x14ac:dyDescent="0.2">
      <c r="C64409"/>
      <c r="M64409"/>
    </row>
    <row r="64410" spans="3:13" ht="12.75" customHeight="1" x14ac:dyDescent="0.2">
      <c r="C64410"/>
      <c r="M64410"/>
    </row>
    <row r="64411" spans="3:13" ht="12.75" customHeight="1" x14ac:dyDescent="0.2">
      <c r="C64411"/>
      <c r="M64411"/>
    </row>
    <row r="64412" spans="3:13" ht="12.75" customHeight="1" x14ac:dyDescent="0.2">
      <c r="C64412"/>
      <c r="M64412"/>
    </row>
    <row r="64413" spans="3:13" ht="12.75" customHeight="1" x14ac:dyDescent="0.2">
      <c r="C64413"/>
      <c r="M64413"/>
    </row>
    <row r="64414" spans="3:13" ht="12.75" customHeight="1" x14ac:dyDescent="0.2">
      <c r="C64414"/>
      <c r="M64414"/>
    </row>
    <row r="64415" spans="3:13" ht="12.75" customHeight="1" x14ac:dyDescent="0.2">
      <c r="C64415"/>
      <c r="M64415"/>
    </row>
    <row r="64416" spans="3:13" ht="12.75" customHeight="1" x14ac:dyDescent="0.2">
      <c r="C64416"/>
      <c r="M64416"/>
    </row>
    <row r="64417" spans="3:13" ht="12.75" customHeight="1" x14ac:dyDescent="0.2">
      <c r="C64417"/>
      <c r="M64417"/>
    </row>
    <row r="64418" spans="3:13" ht="12.75" customHeight="1" x14ac:dyDescent="0.2">
      <c r="C64418"/>
      <c r="M64418"/>
    </row>
    <row r="64419" spans="3:13" ht="12.75" customHeight="1" x14ac:dyDescent="0.2">
      <c r="C64419"/>
      <c r="M64419"/>
    </row>
    <row r="64420" spans="3:13" ht="12.75" customHeight="1" x14ac:dyDescent="0.2">
      <c r="C64420"/>
      <c r="M64420"/>
    </row>
    <row r="64421" spans="3:13" ht="12.75" customHeight="1" x14ac:dyDescent="0.2">
      <c r="C64421"/>
      <c r="M64421"/>
    </row>
    <row r="64422" spans="3:13" ht="12.75" customHeight="1" x14ac:dyDescent="0.2">
      <c r="C64422"/>
      <c r="M64422"/>
    </row>
    <row r="64423" spans="3:13" ht="12.75" customHeight="1" x14ac:dyDescent="0.2">
      <c r="C64423"/>
      <c r="M64423"/>
    </row>
    <row r="64424" spans="3:13" ht="12.75" customHeight="1" x14ac:dyDescent="0.2">
      <c r="C64424"/>
      <c r="M64424"/>
    </row>
    <row r="64425" spans="3:13" ht="12.75" customHeight="1" x14ac:dyDescent="0.2">
      <c r="C64425"/>
      <c r="M64425"/>
    </row>
    <row r="64426" spans="3:13" ht="12.75" customHeight="1" x14ac:dyDescent="0.2">
      <c r="C64426"/>
      <c r="M64426"/>
    </row>
    <row r="64427" spans="3:13" ht="12.75" customHeight="1" x14ac:dyDescent="0.2">
      <c r="C64427"/>
      <c r="M64427"/>
    </row>
    <row r="64428" spans="3:13" ht="12.75" customHeight="1" x14ac:dyDescent="0.2">
      <c r="C64428"/>
      <c r="M64428"/>
    </row>
    <row r="64429" spans="3:13" ht="12.75" customHeight="1" x14ac:dyDescent="0.2">
      <c r="C64429"/>
      <c r="M64429"/>
    </row>
    <row r="64430" spans="3:13" ht="12.75" customHeight="1" x14ac:dyDescent="0.2">
      <c r="C64430"/>
      <c r="M64430"/>
    </row>
    <row r="64431" spans="3:13" ht="12.75" customHeight="1" x14ac:dyDescent="0.2">
      <c r="C64431"/>
      <c r="M64431"/>
    </row>
    <row r="64432" spans="3:13" ht="12.75" customHeight="1" x14ac:dyDescent="0.2">
      <c r="C64432"/>
      <c r="M64432"/>
    </row>
    <row r="64433" spans="3:13" ht="12.75" customHeight="1" x14ac:dyDescent="0.2">
      <c r="C64433"/>
      <c r="M64433"/>
    </row>
    <row r="64434" spans="3:13" ht="12.75" customHeight="1" x14ac:dyDescent="0.2">
      <c r="C64434"/>
      <c r="M64434"/>
    </row>
    <row r="64435" spans="3:13" ht="12.75" customHeight="1" x14ac:dyDescent="0.2">
      <c r="C64435"/>
      <c r="M64435"/>
    </row>
    <row r="64436" spans="3:13" ht="12.75" customHeight="1" x14ac:dyDescent="0.2">
      <c r="C64436"/>
      <c r="M64436"/>
    </row>
    <row r="64437" spans="3:13" ht="12.75" customHeight="1" x14ac:dyDescent="0.2">
      <c r="C64437"/>
      <c r="M64437"/>
    </row>
    <row r="64438" spans="3:13" ht="12.75" customHeight="1" x14ac:dyDescent="0.2">
      <c r="C64438"/>
      <c r="M64438"/>
    </row>
    <row r="64439" spans="3:13" ht="12.75" customHeight="1" x14ac:dyDescent="0.2">
      <c r="C64439"/>
      <c r="M64439"/>
    </row>
    <row r="64440" spans="3:13" ht="12.75" customHeight="1" x14ac:dyDescent="0.2">
      <c r="C64440"/>
      <c r="M64440"/>
    </row>
    <row r="64441" spans="3:13" ht="12.75" customHeight="1" x14ac:dyDescent="0.2">
      <c r="C64441"/>
      <c r="M64441"/>
    </row>
    <row r="64442" spans="3:13" ht="12.75" customHeight="1" x14ac:dyDescent="0.2">
      <c r="C64442"/>
      <c r="M64442"/>
    </row>
    <row r="64443" spans="3:13" ht="12.75" customHeight="1" x14ac:dyDescent="0.2">
      <c r="C64443"/>
      <c r="M64443"/>
    </row>
    <row r="64444" spans="3:13" ht="12.75" customHeight="1" x14ac:dyDescent="0.2">
      <c r="C64444"/>
      <c r="M64444"/>
    </row>
    <row r="64445" spans="3:13" ht="12.75" customHeight="1" x14ac:dyDescent="0.2">
      <c r="C64445"/>
      <c r="M64445"/>
    </row>
    <row r="64446" spans="3:13" ht="12.75" customHeight="1" x14ac:dyDescent="0.2">
      <c r="C64446"/>
      <c r="M64446"/>
    </row>
    <row r="64447" spans="3:13" ht="12.75" customHeight="1" x14ac:dyDescent="0.2">
      <c r="C64447"/>
      <c r="M64447"/>
    </row>
    <row r="64448" spans="3:13" ht="12.75" customHeight="1" x14ac:dyDescent="0.2">
      <c r="C64448"/>
      <c r="M64448"/>
    </row>
    <row r="64449" spans="3:13" ht="12.75" customHeight="1" x14ac:dyDescent="0.2">
      <c r="C64449"/>
      <c r="M64449"/>
    </row>
    <row r="64450" spans="3:13" ht="12.75" customHeight="1" x14ac:dyDescent="0.2">
      <c r="C64450"/>
      <c r="M64450"/>
    </row>
    <row r="64451" spans="3:13" ht="12.75" customHeight="1" x14ac:dyDescent="0.2">
      <c r="C64451"/>
      <c r="M64451"/>
    </row>
    <row r="64452" spans="3:13" ht="12.75" customHeight="1" x14ac:dyDescent="0.2">
      <c r="C64452"/>
      <c r="M64452"/>
    </row>
    <row r="64453" spans="3:13" ht="12.75" customHeight="1" x14ac:dyDescent="0.2">
      <c r="C64453"/>
      <c r="M64453"/>
    </row>
    <row r="64454" spans="3:13" ht="12.75" customHeight="1" x14ac:dyDescent="0.2">
      <c r="C64454"/>
      <c r="M64454"/>
    </row>
    <row r="64455" spans="3:13" ht="12.75" customHeight="1" x14ac:dyDescent="0.2">
      <c r="C64455"/>
      <c r="M64455"/>
    </row>
    <row r="64456" spans="3:13" ht="12.75" customHeight="1" x14ac:dyDescent="0.2">
      <c r="C64456"/>
      <c r="M64456"/>
    </row>
    <row r="64457" spans="3:13" ht="12.75" customHeight="1" x14ac:dyDescent="0.2">
      <c r="C64457"/>
      <c r="M64457"/>
    </row>
    <row r="64458" spans="3:13" ht="12.75" customHeight="1" x14ac:dyDescent="0.2">
      <c r="C64458"/>
      <c r="M64458"/>
    </row>
    <row r="64459" spans="3:13" ht="12.75" customHeight="1" x14ac:dyDescent="0.2">
      <c r="C64459"/>
      <c r="M64459"/>
    </row>
    <row r="64460" spans="3:13" ht="12.75" customHeight="1" x14ac:dyDescent="0.2">
      <c r="C64460"/>
      <c r="M64460"/>
    </row>
    <row r="64461" spans="3:13" ht="12.75" customHeight="1" x14ac:dyDescent="0.2">
      <c r="C64461"/>
      <c r="M64461"/>
    </row>
    <row r="64462" spans="3:13" ht="12.75" customHeight="1" x14ac:dyDescent="0.2">
      <c r="C64462"/>
      <c r="M64462"/>
    </row>
    <row r="64463" spans="3:13" ht="12.75" customHeight="1" x14ac:dyDescent="0.2">
      <c r="C64463"/>
      <c r="M64463"/>
    </row>
    <row r="64464" spans="3:13" ht="12.75" customHeight="1" x14ac:dyDescent="0.2">
      <c r="C64464"/>
      <c r="M64464"/>
    </row>
    <row r="64465" spans="3:13" ht="12.75" customHeight="1" x14ac:dyDescent="0.2">
      <c r="C64465"/>
      <c r="M64465"/>
    </row>
    <row r="64466" spans="3:13" ht="12.75" customHeight="1" x14ac:dyDescent="0.2">
      <c r="C64466"/>
      <c r="M64466"/>
    </row>
    <row r="64467" spans="3:13" ht="12.75" customHeight="1" x14ac:dyDescent="0.2">
      <c r="C64467"/>
      <c r="M64467"/>
    </row>
    <row r="64468" spans="3:13" ht="12.75" customHeight="1" x14ac:dyDescent="0.2">
      <c r="C64468"/>
      <c r="M64468"/>
    </row>
    <row r="64469" spans="3:13" ht="12.75" customHeight="1" x14ac:dyDescent="0.2">
      <c r="C64469"/>
      <c r="M64469"/>
    </row>
    <row r="64470" spans="3:13" ht="12.75" customHeight="1" x14ac:dyDescent="0.2">
      <c r="C64470"/>
      <c r="M64470"/>
    </row>
    <row r="64471" spans="3:13" ht="12.75" customHeight="1" x14ac:dyDescent="0.2">
      <c r="C64471"/>
      <c r="M64471"/>
    </row>
    <row r="64472" spans="3:13" ht="12.75" customHeight="1" x14ac:dyDescent="0.2">
      <c r="C64472"/>
      <c r="M64472"/>
    </row>
    <row r="64473" spans="3:13" ht="12.75" customHeight="1" x14ac:dyDescent="0.2">
      <c r="C64473"/>
      <c r="M64473"/>
    </row>
    <row r="64474" spans="3:13" ht="12.75" customHeight="1" x14ac:dyDescent="0.2">
      <c r="C64474"/>
      <c r="M64474"/>
    </row>
    <row r="64475" spans="3:13" ht="12.75" customHeight="1" x14ac:dyDescent="0.2">
      <c r="C64475"/>
      <c r="M64475"/>
    </row>
    <row r="64476" spans="3:13" ht="12.75" customHeight="1" x14ac:dyDescent="0.2">
      <c r="C64476"/>
      <c r="M64476"/>
    </row>
    <row r="64477" spans="3:13" ht="12.75" customHeight="1" x14ac:dyDescent="0.2">
      <c r="C64477"/>
      <c r="M64477"/>
    </row>
    <row r="64478" spans="3:13" ht="12.75" customHeight="1" x14ac:dyDescent="0.2">
      <c r="C64478"/>
      <c r="M64478"/>
    </row>
    <row r="64479" spans="3:13" ht="12.75" customHeight="1" x14ac:dyDescent="0.2">
      <c r="C64479"/>
      <c r="M64479"/>
    </row>
    <row r="64480" spans="3:13" ht="12.75" customHeight="1" x14ac:dyDescent="0.2">
      <c r="C64480"/>
      <c r="M64480"/>
    </row>
    <row r="64481" spans="3:13" ht="12.75" customHeight="1" x14ac:dyDescent="0.2">
      <c r="C64481"/>
      <c r="M64481"/>
    </row>
    <row r="64482" spans="3:13" ht="12.75" customHeight="1" x14ac:dyDescent="0.2">
      <c r="C64482"/>
      <c r="M64482"/>
    </row>
    <row r="64483" spans="3:13" ht="12.75" customHeight="1" x14ac:dyDescent="0.2">
      <c r="C64483"/>
      <c r="M64483"/>
    </row>
    <row r="64484" spans="3:13" ht="12.75" customHeight="1" x14ac:dyDescent="0.2">
      <c r="C64484"/>
      <c r="M64484"/>
    </row>
    <row r="64485" spans="3:13" ht="12.75" customHeight="1" x14ac:dyDescent="0.2">
      <c r="C64485"/>
      <c r="M64485"/>
    </row>
    <row r="64486" spans="3:13" ht="12.75" customHeight="1" x14ac:dyDescent="0.2">
      <c r="C64486"/>
      <c r="M64486"/>
    </row>
    <row r="64487" spans="3:13" ht="12.75" customHeight="1" x14ac:dyDescent="0.2">
      <c r="C64487"/>
      <c r="M64487"/>
    </row>
    <row r="64488" spans="3:13" ht="12.75" customHeight="1" x14ac:dyDescent="0.2">
      <c r="C64488"/>
      <c r="M64488"/>
    </row>
    <row r="64489" spans="3:13" ht="12.75" customHeight="1" x14ac:dyDescent="0.2">
      <c r="C64489"/>
      <c r="M64489"/>
    </row>
    <row r="64490" spans="3:13" ht="12.75" customHeight="1" x14ac:dyDescent="0.2">
      <c r="C64490"/>
      <c r="M64490"/>
    </row>
    <row r="64491" spans="3:13" ht="12.75" customHeight="1" x14ac:dyDescent="0.2">
      <c r="C64491"/>
      <c r="M64491"/>
    </row>
    <row r="64492" spans="3:13" ht="12.75" customHeight="1" x14ac:dyDescent="0.2">
      <c r="C64492"/>
      <c r="M64492"/>
    </row>
    <row r="64493" spans="3:13" ht="12.75" customHeight="1" x14ac:dyDescent="0.2">
      <c r="C64493"/>
      <c r="M64493"/>
    </row>
    <row r="64494" spans="3:13" ht="12.75" customHeight="1" x14ac:dyDescent="0.2">
      <c r="C64494"/>
      <c r="M64494"/>
    </row>
    <row r="64495" spans="3:13" ht="12.75" customHeight="1" x14ac:dyDescent="0.2">
      <c r="C64495"/>
      <c r="M64495"/>
    </row>
    <row r="64496" spans="3:13" ht="12.75" customHeight="1" x14ac:dyDescent="0.2">
      <c r="C64496"/>
      <c r="M64496"/>
    </row>
    <row r="64497" spans="3:13" ht="12.75" customHeight="1" x14ac:dyDescent="0.2">
      <c r="C64497"/>
      <c r="M64497"/>
    </row>
    <row r="64498" spans="3:13" ht="12.75" customHeight="1" x14ac:dyDescent="0.2">
      <c r="C64498"/>
      <c r="M64498"/>
    </row>
    <row r="64499" spans="3:13" ht="12.75" customHeight="1" x14ac:dyDescent="0.2">
      <c r="C64499"/>
      <c r="M64499"/>
    </row>
    <row r="64500" spans="3:13" ht="12.75" customHeight="1" x14ac:dyDescent="0.2">
      <c r="C64500"/>
      <c r="M64500"/>
    </row>
    <row r="64501" spans="3:13" ht="12.75" customHeight="1" x14ac:dyDescent="0.2">
      <c r="C64501"/>
      <c r="M64501"/>
    </row>
    <row r="64502" spans="3:13" ht="12.75" customHeight="1" x14ac:dyDescent="0.2">
      <c r="C64502"/>
      <c r="M64502"/>
    </row>
    <row r="64503" spans="3:13" ht="12.75" customHeight="1" x14ac:dyDescent="0.2">
      <c r="C64503"/>
      <c r="M64503"/>
    </row>
    <row r="64504" spans="3:13" ht="12.75" customHeight="1" x14ac:dyDescent="0.2">
      <c r="C64504"/>
      <c r="M64504"/>
    </row>
    <row r="64505" spans="3:13" ht="12.75" customHeight="1" x14ac:dyDescent="0.2">
      <c r="C64505"/>
      <c r="M64505"/>
    </row>
    <row r="64506" spans="3:13" ht="12.75" customHeight="1" x14ac:dyDescent="0.2">
      <c r="C64506"/>
      <c r="M64506"/>
    </row>
    <row r="64507" spans="3:13" ht="12.75" customHeight="1" x14ac:dyDescent="0.2">
      <c r="C64507"/>
      <c r="M64507"/>
    </row>
    <row r="64508" spans="3:13" ht="12.75" customHeight="1" x14ac:dyDescent="0.2">
      <c r="C64508"/>
      <c r="M64508"/>
    </row>
    <row r="64509" spans="3:13" ht="12.75" customHeight="1" x14ac:dyDescent="0.2">
      <c r="C64509"/>
      <c r="M64509"/>
    </row>
    <row r="64510" spans="3:13" ht="12.75" customHeight="1" x14ac:dyDescent="0.2">
      <c r="C64510"/>
      <c r="M64510"/>
    </row>
    <row r="64511" spans="3:13" ht="12.75" customHeight="1" x14ac:dyDescent="0.2">
      <c r="C64511"/>
      <c r="M64511"/>
    </row>
    <row r="64512" spans="3:13" ht="12.75" customHeight="1" x14ac:dyDescent="0.2">
      <c r="C64512"/>
      <c r="M64512"/>
    </row>
    <row r="64513" spans="3:13" ht="12.75" customHeight="1" x14ac:dyDescent="0.2">
      <c r="C64513"/>
      <c r="M64513"/>
    </row>
    <row r="64514" spans="3:13" ht="12.75" customHeight="1" x14ac:dyDescent="0.2">
      <c r="C64514"/>
      <c r="M64514"/>
    </row>
    <row r="64515" spans="3:13" ht="12.75" customHeight="1" x14ac:dyDescent="0.2">
      <c r="C64515"/>
      <c r="M64515"/>
    </row>
    <row r="64516" spans="3:13" ht="12.75" customHeight="1" x14ac:dyDescent="0.2">
      <c r="C64516"/>
      <c r="M64516"/>
    </row>
    <row r="64517" spans="3:13" ht="12.75" customHeight="1" x14ac:dyDescent="0.2">
      <c r="C64517"/>
      <c r="M64517"/>
    </row>
    <row r="64518" spans="3:13" ht="12.75" customHeight="1" x14ac:dyDescent="0.2">
      <c r="C64518"/>
      <c r="M64518"/>
    </row>
    <row r="64519" spans="3:13" ht="12.75" customHeight="1" x14ac:dyDescent="0.2">
      <c r="C64519"/>
      <c r="M64519"/>
    </row>
    <row r="64520" spans="3:13" ht="12.75" customHeight="1" x14ac:dyDescent="0.2">
      <c r="C64520"/>
      <c r="M64520"/>
    </row>
    <row r="64521" spans="3:13" ht="12.75" customHeight="1" x14ac:dyDescent="0.2">
      <c r="C64521"/>
      <c r="M64521"/>
    </row>
    <row r="64522" spans="3:13" ht="12.75" customHeight="1" x14ac:dyDescent="0.2">
      <c r="C64522"/>
      <c r="M64522"/>
    </row>
    <row r="64523" spans="3:13" ht="12.75" customHeight="1" x14ac:dyDescent="0.2">
      <c r="C64523"/>
      <c r="M64523"/>
    </row>
    <row r="64524" spans="3:13" ht="12.75" customHeight="1" x14ac:dyDescent="0.2">
      <c r="C64524"/>
      <c r="M64524"/>
    </row>
    <row r="64525" spans="3:13" ht="12.75" customHeight="1" x14ac:dyDescent="0.2">
      <c r="C64525"/>
      <c r="M64525"/>
    </row>
    <row r="64526" spans="3:13" ht="12.75" customHeight="1" x14ac:dyDescent="0.2">
      <c r="C64526"/>
      <c r="M64526"/>
    </row>
    <row r="64527" spans="3:13" ht="12.75" customHeight="1" x14ac:dyDescent="0.2">
      <c r="C64527"/>
      <c r="M64527"/>
    </row>
    <row r="64528" spans="3:13" ht="12.75" customHeight="1" x14ac:dyDescent="0.2">
      <c r="C64528"/>
      <c r="M64528"/>
    </row>
    <row r="64529" spans="3:13" ht="12.75" customHeight="1" x14ac:dyDescent="0.2">
      <c r="C64529"/>
      <c r="M64529"/>
    </row>
    <row r="64530" spans="3:13" ht="12.75" customHeight="1" x14ac:dyDescent="0.2">
      <c r="C64530"/>
      <c r="M64530"/>
    </row>
    <row r="64531" spans="3:13" ht="12.75" customHeight="1" x14ac:dyDescent="0.2">
      <c r="C64531"/>
      <c r="M64531"/>
    </row>
    <row r="64532" spans="3:13" ht="12.75" customHeight="1" x14ac:dyDescent="0.2">
      <c r="C64532"/>
      <c r="M64532"/>
    </row>
    <row r="64533" spans="3:13" ht="12.75" customHeight="1" x14ac:dyDescent="0.2">
      <c r="C64533"/>
      <c r="M64533"/>
    </row>
    <row r="64534" spans="3:13" ht="12.75" customHeight="1" x14ac:dyDescent="0.2">
      <c r="C64534"/>
      <c r="M64534"/>
    </row>
    <row r="64535" spans="3:13" ht="12.75" customHeight="1" x14ac:dyDescent="0.2">
      <c r="C64535"/>
      <c r="M64535"/>
    </row>
    <row r="64536" spans="3:13" ht="12.75" customHeight="1" x14ac:dyDescent="0.2">
      <c r="C64536"/>
      <c r="M64536"/>
    </row>
    <row r="64537" spans="3:13" ht="12.75" customHeight="1" x14ac:dyDescent="0.2">
      <c r="C64537"/>
      <c r="M64537"/>
    </row>
    <row r="64538" spans="3:13" ht="12.75" customHeight="1" x14ac:dyDescent="0.2">
      <c r="C64538"/>
      <c r="M64538"/>
    </row>
    <row r="64539" spans="3:13" ht="12.75" customHeight="1" x14ac:dyDescent="0.2">
      <c r="C64539"/>
      <c r="M64539"/>
    </row>
    <row r="64540" spans="3:13" ht="12.75" customHeight="1" x14ac:dyDescent="0.2">
      <c r="C64540"/>
      <c r="M64540"/>
    </row>
    <row r="64541" spans="3:13" ht="12.75" customHeight="1" x14ac:dyDescent="0.2">
      <c r="C64541"/>
      <c r="M64541"/>
    </row>
    <row r="64542" spans="3:13" ht="12.75" customHeight="1" x14ac:dyDescent="0.2">
      <c r="C64542"/>
      <c r="M64542"/>
    </row>
    <row r="64543" spans="3:13" ht="12.75" customHeight="1" x14ac:dyDescent="0.2">
      <c r="C64543"/>
      <c r="M64543"/>
    </row>
    <row r="64544" spans="3:13" ht="12.75" customHeight="1" x14ac:dyDescent="0.2">
      <c r="C64544"/>
      <c r="M64544"/>
    </row>
    <row r="64545" spans="3:13" ht="12.75" customHeight="1" x14ac:dyDescent="0.2">
      <c r="C64545"/>
      <c r="M64545"/>
    </row>
    <row r="64546" spans="3:13" ht="12.75" customHeight="1" x14ac:dyDescent="0.2">
      <c r="C64546"/>
      <c r="M64546"/>
    </row>
    <row r="64547" spans="3:13" ht="12.75" customHeight="1" x14ac:dyDescent="0.2">
      <c r="C64547"/>
      <c r="M64547"/>
    </row>
    <row r="64548" spans="3:13" ht="12.75" customHeight="1" x14ac:dyDescent="0.2">
      <c r="C64548"/>
      <c r="M64548"/>
    </row>
    <row r="64549" spans="3:13" ht="12.75" customHeight="1" x14ac:dyDescent="0.2">
      <c r="C64549"/>
      <c r="M64549"/>
    </row>
    <row r="64550" spans="3:13" ht="12.75" customHeight="1" x14ac:dyDescent="0.2">
      <c r="C64550"/>
      <c r="M64550"/>
    </row>
    <row r="64551" spans="3:13" ht="12.75" customHeight="1" x14ac:dyDescent="0.2">
      <c r="C64551"/>
      <c r="M64551"/>
    </row>
    <row r="64552" spans="3:13" ht="12.75" customHeight="1" x14ac:dyDescent="0.2">
      <c r="C64552"/>
      <c r="M64552"/>
    </row>
    <row r="64553" spans="3:13" ht="12.75" customHeight="1" x14ac:dyDescent="0.2">
      <c r="C64553"/>
      <c r="M64553"/>
    </row>
    <row r="64554" spans="3:13" ht="12.75" customHeight="1" x14ac:dyDescent="0.2">
      <c r="C64554"/>
      <c r="M64554"/>
    </row>
    <row r="64555" spans="3:13" ht="12.75" customHeight="1" x14ac:dyDescent="0.2">
      <c r="C64555"/>
      <c r="M64555"/>
    </row>
    <row r="64556" spans="3:13" ht="12.75" customHeight="1" x14ac:dyDescent="0.2">
      <c r="C64556"/>
      <c r="M64556"/>
    </row>
    <row r="64557" spans="3:13" ht="12.75" customHeight="1" x14ac:dyDescent="0.2">
      <c r="C64557"/>
      <c r="M64557"/>
    </row>
    <row r="64558" spans="3:13" ht="12.75" customHeight="1" x14ac:dyDescent="0.2">
      <c r="C64558"/>
      <c r="M64558"/>
    </row>
    <row r="64559" spans="3:13" ht="12.75" customHeight="1" x14ac:dyDescent="0.2">
      <c r="C64559"/>
      <c r="M64559"/>
    </row>
    <row r="64560" spans="3:13" ht="12.75" customHeight="1" x14ac:dyDescent="0.2">
      <c r="C64560"/>
      <c r="M64560"/>
    </row>
    <row r="64561" spans="3:13" ht="12.75" customHeight="1" x14ac:dyDescent="0.2">
      <c r="C64561"/>
      <c r="M64561"/>
    </row>
    <row r="64562" spans="3:13" ht="12.75" customHeight="1" x14ac:dyDescent="0.2">
      <c r="C64562"/>
      <c r="M64562"/>
    </row>
    <row r="64563" spans="3:13" ht="12.75" customHeight="1" x14ac:dyDescent="0.2">
      <c r="C64563"/>
      <c r="M64563"/>
    </row>
    <row r="64564" spans="3:13" ht="12.75" customHeight="1" x14ac:dyDescent="0.2">
      <c r="C64564"/>
      <c r="M64564"/>
    </row>
    <row r="64565" spans="3:13" ht="12.75" customHeight="1" x14ac:dyDescent="0.2">
      <c r="C64565"/>
      <c r="M64565"/>
    </row>
    <row r="64566" spans="3:13" ht="12.75" customHeight="1" x14ac:dyDescent="0.2">
      <c r="C64566"/>
      <c r="M64566"/>
    </row>
    <row r="64567" spans="3:13" ht="12.75" customHeight="1" x14ac:dyDescent="0.2">
      <c r="C64567"/>
      <c r="M64567"/>
    </row>
    <row r="64568" spans="3:13" ht="12.75" customHeight="1" x14ac:dyDescent="0.2">
      <c r="C64568"/>
      <c r="M64568"/>
    </row>
    <row r="64569" spans="3:13" ht="12.75" customHeight="1" x14ac:dyDescent="0.2">
      <c r="C64569"/>
      <c r="M64569"/>
    </row>
    <row r="64570" spans="3:13" ht="12.75" customHeight="1" x14ac:dyDescent="0.2">
      <c r="C64570"/>
      <c r="M64570"/>
    </row>
    <row r="64571" spans="3:13" ht="12.75" customHeight="1" x14ac:dyDescent="0.2">
      <c r="C64571"/>
      <c r="M64571"/>
    </row>
    <row r="64572" spans="3:13" ht="12.75" customHeight="1" x14ac:dyDescent="0.2">
      <c r="C64572"/>
      <c r="M64572"/>
    </row>
    <row r="64573" spans="3:13" ht="12.75" customHeight="1" x14ac:dyDescent="0.2">
      <c r="C64573"/>
      <c r="M64573"/>
    </row>
    <row r="64574" spans="3:13" ht="12.75" customHeight="1" x14ac:dyDescent="0.2">
      <c r="C64574"/>
      <c r="M64574"/>
    </row>
    <row r="64575" spans="3:13" ht="12.75" customHeight="1" x14ac:dyDescent="0.2">
      <c r="C64575"/>
      <c r="M64575"/>
    </row>
    <row r="64576" spans="3:13" ht="12.75" customHeight="1" x14ac:dyDescent="0.2">
      <c r="C64576"/>
      <c r="M64576"/>
    </row>
    <row r="64577" spans="3:13" ht="12.75" customHeight="1" x14ac:dyDescent="0.2">
      <c r="C64577"/>
      <c r="M64577"/>
    </row>
    <row r="64578" spans="3:13" ht="12.75" customHeight="1" x14ac:dyDescent="0.2">
      <c r="C64578"/>
      <c r="M64578"/>
    </row>
    <row r="64579" spans="3:13" ht="12.75" customHeight="1" x14ac:dyDescent="0.2">
      <c r="C64579"/>
      <c r="M64579"/>
    </row>
    <row r="64580" spans="3:13" ht="12.75" customHeight="1" x14ac:dyDescent="0.2">
      <c r="C64580"/>
      <c r="M64580"/>
    </row>
    <row r="64581" spans="3:13" ht="12.75" customHeight="1" x14ac:dyDescent="0.2">
      <c r="C64581"/>
      <c r="M64581"/>
    </row>
    <row r="64582" spans="3:13" ht="12.75" customHeight="1" x14ac:dyDescent="0.2">
      <c r="C64582"/>
      <c r="M64582"/>
    </row>
    <row r="64583" spans="3:13" ht="12.75" customHeight="1" x14ac:dyDescent="0.2">
      <c r="C64583"/>
      <c r="M64583"/>
    </row>
    <row r="64584" spans="3:13" ht="12.75" customHeight="1" x14ac:dyDescent="0.2">
      <c r="C64584"/>
      <c r="M64584"/>
    </row>
    <row r="64585" spans="3:13" ht="12.75" customHeight="1" x14ac:dyDescent="0.2">
      <c r="C64585"/>
      <c r="M64585"/>
    </row>
    <row r="64586" spans="3:13" ht="12.75" customHeight="1" x14ac:dyDescent="0.2">
      <c r="C64586"/>
      <c r="M64586"/>
    </row>
    <row r="64587" spans="3:13" ht="12.75" customHeight="1" x14ac:dyDescent="0.2">
      <c r="C64587"/>
      <c r="M64587"/>
    </row>
    <row r="64588" spans="3:13" ht="12.75" customHeight="1" x14ac:dyDescent="0.2">
      <c r="C64588"/>
      <c r="M64588"/>
    </row>
    <row r="64589" spans="3:13" ht="12.75" customHeight="1" x14ac:dyDescent="0.2">
      <c r="C64589"/>
      <c r="M64589"/>
    </row>
    <row r="64590" spans="3:13" ht="12.75" customHeight="1" x14ac:dyDescent="0.2">
      <c r="C64590"/>
      <c r="M64590"/>
    </row>
    <row r="64591" spans="3:13" ht="12.75" customHeight="1" x14ac:dyDescent="0.2">
      <c r="C64591"/>
      <c r="M64591"/>
    </row>
    <row r="64592" spans="3:13" ht="12.75" customHeight="1" x14ac:dyDescent="0.2">
      <c r="C64592"/>
      <c r="M64592"/>
    </row>
    <row r="64593" spans="3:13" ht="12.75" customHeight="1" x14ac:dyDescent="0.2">
      <c r="C64593"/>
      <c r="M64593"/>
    </row>
    <row r="64594" spans="3:13" ht="12.75" customHeight="1" x14ac:dyDescent="0.2">
      <c r="C64594"/>
      <c r="M64594"/>
    </row>
    <row r="64595" spans="3:13" ht="12.75" customHeight="1" x14ac:dyDescent="0.2">
      <c r="C64595"/>
      <c r="M64595"/>
    </row>
    <row r="64596" spans="3:13" ht="12.75" customHeight="1" x14ac:dyDescent="0.2">
      <c r="C64596"/>
      <c r="M64596"/>
    </row>
    <row r="64597" spans="3:13" ht="12.75" customHeight="1" x14ac:dyDescent="0.2">
      <c r="C64597"/>
      <c r="M64597"/>
    </row>
    <row r="64598" spans="3:13" ht="12.75" customHeight="1" x14ac:dyDescent="0.2">
      <c r="C64598"/>
      <c r="M64598"/>
    </row>
    <row r="64599" spans="3:13" ht="12.75" customHeight="1" x14ac:dyDescent="0.2">
      <c r="C64599"/>
      <c r="M64599"/>
    </row>
    <row r="64600" spans="3:13" ht="12.75" customHeight="1" x14ac:dyDescent="0.2">
      <c r="C64600"/>
      <c r="M64600"/>
    </row>
    <row r="64601" spans="3:13" ht="12.75" customHeight="1" x14ac:dyDescent="0.2">
      <c r="C64601"/>
      <c r="M64601"/>
    </row>
    <row r="64602" spans="3:13" ht="12.75" customHeight="1" x14ac:dyDescent="0.2">
      <c r="C64602"/>
      <c r="M64602"/>
    </row>
    <row r="64603" spans="3:13" ht="12.75" customHeight="1" x14ac:dyDescent="0.2">
      <c r="C64603"/>
      <c r="M64603"/>
    </row>
    <row r="64604" spans="3:13" ht="12.75" customHeight="1" x14ac:dyDescent="0.2">
      <c r="C64604"/>
      <c r="M64604"/>
    </row>
    <row r="64605" spans="3:13" ht="12.75" customHeight="1" x14ac:dyDescent="0.2">
      <c r="C64605"/>
      <c r="M64605"/>
    </row>
    <row r="64606" spans="3:13" ht="12.75" customHeight="1" x14ac:dyDescent="0.2">
      <c r="C64606"/>
      <c r="M64606"/>
    </row>
    <row r="64607" spans="3:13" ht="12.75" customHeight="1" x14ac:dyDescent="0.2">
      <c r="C64607"/>
      <c r="M64607"/>
    </row>
    <row r="64608" spans="3:13" ht="12.75" customHeight="1" x14ac:dyDescent="0.2">
      <c r="C64608"/>
      <c r="M64608"/>
    </row>
    <row r="64609" spans="3:13" ht="12.75" customHeight="1" x14ac:dyDescent="0.2">
      <c r="C64609"/>
      <c r="M64609"/>
    </row>
    <row r="64610" spans="3:13" ht="12.75" customHeight="1" x14ac:dyDescent="0.2">
      <c r="C64610"/>
      <c r="M64610"/>
    </row>
    <row r="64611" spans="3:13" ht="12.75" customHeight="1" x14ac:dyDescent="0.2">
      <c r="C64611"/>
      <c r="M64611"/>
    </row>
    <row r="64612" spans="3:13" ht="12.75" customHeight="1" x14ac:dyDescent="0.2">
      <c r="C64612"/>
      <c r="M64612"/>
    </row>
    <row r="64613" spans="3:13" ht="12.75" customHeight="1" x14ac:dyDescent="0.2">
      <c r="C64613"/>
      <c r="M64613"/>
    </row>
    <row r="64614" spans="3:13" ht="12.75" customHeight="1" x14ac:dyDescent="0.2">
      <c r="C64614"/>
      <c r="M64614"/>
    </row>
    <row r="64615" spans="3:13" ht="12.75" customHeight="1" x14ac:dyDescent="0.2">
      <c r="C64615"/>
      <c r="M64615"/>
    </row>
    <row r="64616" spans="3:13" ht="12.75" customHeight="1" x14ac:dyDescent="0.2">
      <c r="C64616"/>
      <c r="M64616"/>
    </row>
    <row r="64617" spans="3:13" ht="12.75" customHeight="1" x14ac:dyDescent="0.2">
      <c r="C64617"/>
      <c r="M64617"/>
    </row>
    <row r="64618" spans="3:13" ht="12.75" customHeight="1" x14ac:dyDescent="0.2">
      <c r="C64618"/>
      <c r="M64618"/>
    </row>
    <row r="64619" spans="3:13" ht="12.75" customHeight="1" x14ac:dyDescent="0.2">
      <c r="C64619"/>
      <c r="M64619"/>
    </row>
    <row r="64620" spans="3:13" ht="12.75" customHeight="1" x14ac:dyDescent="0.2">
      <c r="C64620"/>
      <c r="M64620"/>
    </row>
    <row r="64621" spans="3:13" ht="12.75" customHeight="1" x14ac:dyDescent="0.2">
      <c r="C64621"/>
      <c r="M64621"/>
    </row>
    <row r="64622" spans="3:13" ht="12.75" customHeight="1" x14ac:dyDescent="0.2">
      <c r="C64622"/>
      <c r="M64622"/>
    </row>
    <row r="64623" spans="3:13" ht="12.75" customHeight="1" x14ac:dyDescent="0.2">
      <c r="C64623"/>
      <c r="M64623"/>
    </row>
    <row r="64624" spans="3:13" ht="12.75" customHeight="1" x14ac:dyDescent="0.2">
      <c r="C64624"/>
      <c r="M64624"/>
    </row>
    <row r="64625" spans="3:13" ht="12.75" customHeight="1" x14ac:dyDescent="0.2">
      <c r="C64625"/>
      <c r="M64625"/>
    </row>
    <row r="64626" spans="3:13" ht="12.75" customHeight="1" x14ac:dyDescent="0.2">
      <c r="C64626"/>
      <c r="M64626"/>
    </row>
    <row r="64627" spans="3:13" ht="12.75" customHeight="1" x14ac:dyDescent="0.2">
      <c r="C64627"/>
      <c r="M64627"/>
    </row>
    <row r="64628" spans="3:13" ht="12.75" customHeight="1" x14ac:dyDescent="0.2">
      <c r="C64628"/>
      <c r="M64628"/>
    </row>
    <row r="64629" spans="3:13" ht="12.75" customHeight="1" x14ac:dyDescent="0.2">
      <c r="C64629"/>
      <c r="M64629"/>
    </row>
    <row r="64630" spans="3:13" ht="12.75" customHeight="1" x14ac:dyDescent="0.2">
      <c r="C64630"/>
      <c r="M64630"/>
    </row>
    <row r="64631" spans="3:13" ht="12.75" customHeight="1" x14ac:dyDescent="0.2">
      <c r="C64631"/>
      <c r="M64631"/>
    </row>
    <row r="64632" spans="3:13" ht="12.75" customHeight="1" x14ac:dyDescent="0.2">
      <c r="C64632"/>
      <c r="M64632"/>
    </row>
    <row r="64633" spans="3:13" ht="12.75" customHeight="1" x14ac:dyDescent="0.2">
      <c r="C64633"/>
      <c r="M64633"/>
    </row>
    <row r="64634" spans="3:13" ht="12.75" customHeight="1" x14ac:dyDescent="0.2">
      <c r="C64634"/>
      <c r="M64634"/>
    </row>
    <row r="64635" spans="3:13" ht="12.75" customHeight="1" x14ac:dyDescent="0.2">
      <c r="C64635"/>
      <c r="M64635"/>
    </row>
    <row r="64636" spans="3:13" ht="12.75" customHeight="1" x14ac:dyDescent="0.2">
      <c r="C64636"/>
      <c r="M64636"/>
    </row>
    <row r="64637" spans="3:13" ht="12.75" customHeight="1" x14ac:dyDescent="0.2">
      <c r="C64637"/>
      <c r="M64637"/>
    </row>
    <row r="64638" spans="3:13" ht="12.75" customHeight="1" x14ac:dyDescent="0.2">
      <c r="C64638"/>
      <c r="M64638"/>
    </row>
    <row r="64639" spans="3:13" ht="12.75" customHeight="1" x14ac:dyDescent="0.2">
      <c r="C64639"/>
      <c r="M64639"/>
    </row>
    <row r="64640" spans="3:13" ht="12.75" customHeight="1" x14ac:dyDescent="0.2">
      <c r="C64640"/>
      <c r="M64640"/>
    </row>
    <row r="64641" spans="3:13" ht="12.75" customHeight="1" x14ac:dyDescent="0.2">
      <c r="C64641"/>
      <c r="M64641"/>
    </row>
    <row r="64642" spans="3:13" ht="12.75" customHeight="1" x14ac:dyDescent="0.2">
      <c r="C64642"/>
      <c r="M64642"/>
    </row>
    <row r="64643" spans="3:13" ht="12.75" customHeight="1" x14ac:dyDescent="0.2">
      <c r="C64643"/>
      <c r="M64643"/>
    </row>
    <row r="64644" spans="3:13" ht="12.75" customHeight="1" x14ac:dyDescent="0.2">
      <c r="C64644"/>
      <c r="M64644"/>
    </row>
    <row r="64645" spans="3:13" ht="12.75" customHeight="1" x14ac:dyDescent="0.2">
      <c r="C64645"/>
      <c r="M64645"/>
    </row>
    <row r="64646" spans="3:13" ht="12.75" customHeight="1" x14ac:dyDescent="0.2">
      <c r="C64646"/>
      <c r="M64646"/>
    </row>
    <row r="64647" spans="3:13" ht="12.75" customHeight="1" x14ac:dyDescent="0.2">
      <c r="C64647"/>
      <c r="M64647"/>
    </row>
    <row r="64648" spans="3:13" ht="12.75" customHeight="1" x14ac:dyDescent="0.2">
      <c r="C64648"/>
      <c r="M64648"/>
    </row>
    <row r="64649" spans="3:13" ht="12.75" customHeight="1" x14ac:dyDescent="0.2">
      <c r="C64649"/>
      <c r="M64649"/>
    </row>
    <row r="64650" spans="3:13" ht="12.75" customHeight="1" x14ac:dyDescent="0.2">
      <c r="C64650"/>
      <c r="M64650"/>
    </row>
    <row r="64651" spans="3:13" ht="12.75" customHeight="1" x14ac:dyDescent="0.2">
      <c r="C64651"/>
      <c r="M64651"/>
    </row>
    <row r="64652" spans="3:13" ht="12.75" customHeight="1" x14ac:dyDescent="0.2">
      <c r="C64652"/>
      <c r="M64652"/>
    </row>
    <row r="64653" spans="3:13" ht="12.75" customHeight="1" x14ac:dyDescent="0.2">
      <c r="C64653"/>
      <c r="M64653"/>
    </row>
    <row r="64654" spans="3:13" ht="12.75" customHeight="1" x14ac:dyDescent="0.2">
      <c r="C64654"/>
      <c r="M64654"/>
    </row>
    <row r="64655" spans="3:13" ht="12.75" customHeight="1" x14ac:dyDescent="0.2">
      <c r="C64655"/>
      <c r="M64655"/>
    </row>
    <row r="64656" spans="3:13" ht="12.75" customHeight="1" x14ac:dyDescent="0.2">
      <c r="C64656"/>
      <c r="M64656"/>
    </row>
    <row r="64657" spans="3:13" ht="12.75" customHeight="1" x14ac:dyDescent="0.2">
      <c r="C64657"/>
      <c r="M64657"/>
    </row>
    <row r="64658" spans="3:13" ht="12.75" customHeight="1" x14ac:dyDescent="0.2">
      <c r="C64658"/>
      <c r="M64658"/>
    </row>
    <row r="64659" spans="3:13" ht="12.75" customHeight="1" x14ac:dyDescent="0.2">
      <c r="C64659"/>
      <c r="M64659"/>
    </row>
    <row r="64660" spans="3:13" ht="12.75" customHeight="1" x14ac:dyDescent="0.2">
      <c r="C64660"/>
      <c r="M64660"/>
    </row>
    <row r="64661" spans="3:13" ht="12.75" customHeight="1" x14ac:dyDescent="0.2">
      <c r="C64661"/>
      <c r="M64661"/>
    </row>
    <row r="64662" spans="3:13" ht="12.75" customHeight="1" x14ac:dyDescent="0.2">
      <c r="C64662"/>
      <c r="M64662"/>
    </row>
    <row r="64663" spans="3:13" ht="12.75" customHeight="1" x14ac:dyDescent="0.2">
      <c r="C64663"/>
      <c r="M64663"/>
    </row>
    <row r="64664" spans="3:13" ht="12.75" customHeight="1" x14ac:dyDescent="0.2">
      <c r="C64664"/>
      <c r="M64664"/>
    </row>
    <row r="64665" spans="3:13" ht="12.75" customHeight="1" x14ac:dyDescent="0.2">
      <c r="C64665"/>
      <c r="M64665"/>
    </row>
    <row r="64666" spans="3:13" ht="12.75" customHeight="1" x14ac:dyDescent="0.2">
      <c r="C64666"/>
      <c r="M64666"/>
    </row>
    <row r="64667" spans="3:13" ht="12.75" customHeight="1" x14ac:dyDescent="0.2">
      <c r="C64667"/>
      <c r="M64667"/>
    </row>
    <row r="64668" spans="3:13" ht="12.75" customHeight="1" x14ac:dyDescent="0.2">
      <c r="C64668"/>
      <c r="M64668"/>
    </row>
    <row r="64669" spans="3:13" ht="12.75" customHeight="1" x14ac:dyDescent="0.2">
      <c r="C64669"/>
      <c r="M64669"/>
    </row>
    <row r="64670" spans="3:13" ht="12.75" customHeight="1" x14ac:dyDescent="0.2">
      <c r="C64670"/>
      <c r="M64670"/>
    </row>
    <row r="64671" spans="3:13" ht="12.75" customHeight="1" x14ac:dyDescent="0.2">
      <c r="C64671"/>
      <c r="M64671"/>
    </row>
    <row r="64672" spans="3:13" ht="12.75" customHeight="1" x14ac:dyDescent="0.2">
      <c r="C64672"/>
      <c r="M64672"/>
    </row>
    <row r="64673" spans="3:13" ht="12.75" customHeight="1" x14ac:dyDescent="0.2">
      <c r="C64673"/>
      <c r="M64673"/>
    </row>
    <row r="64674" spans="3:13" ht="12.75" customHeight="1" x14ac:dyDescent="0.2">
      <c r="C64674"/>
      <c r="M64674"/>
    </row>
    <row r="64675" spans="3:13" ht="12.75" customHeight="1" x14ac:dyDescent="0.2">
      <c r="C64675"/>
      <c r="M64675"/>
    </row>
    <row r="64676" spans="3:13" ht="12.75" customHeight="1" x14ac:dyDescent="0.2">
      <c r="C64676"/>
      <c r="M64676"/>
    </row>
    <row r="64677" spans="3:13" ht="12.75" customHeight="1" x14ac:dyDescent="0.2">
      <c r="C64677"/>
      <c r="M64677"/>
    </row>
    <row r="64678" spans="3:13" ht="12.75" customHeight="1" x14ac:dyDescent="0.2">
      <c r="C64678"/>
      <c r="M64678"/>
    </row>
    <row r="64679" spans="3:13" ht="12.75" customHeight="1" x14ac:dyDescent="0.2">
      <c r="C64679"/>
      <c r="M64679"/>
    </row>
    <row r="64680" spans="3:13" ht="12.75" customHeight="1" x14ac:dyDescent="0.2">
      <c r="C64680"/>
      <c r="M64680"/>
    </row>
    <row r="64681" spans="3:13" ht="12.75" customHeight="1" x14ac:dyDescent="0.2">
      <c r="C64681"/>
      <c r="M64681"/>
    </row>
    <row r="64682" spans="3:13" ht="12.75" customHeight="1" x14ac:dyDescent="0.2">
      <c r="C64682"/>
      <c r="M64682"/>
    </row>
    <row r="64683" spans="3:13" ht="12.75" customHeight="1" x14ac:dyDescent="0.2">
      <c r="C64683"/>
      <c r="M64683"/>
    </row>
    <row r="64684" spans="3:13" ht="12.75" customHeight="1" x14ac:dyDescent="0.2">
      <c r="C64684"/>
      <c r="M64684"/>
    </row>
    <row r="64685" spans="3:13" ht="12.75" customHeight="1" x14ac:dyDescent="0.2">
      <c r="C64685"/>
      <c r="M64685"/>
    </row>
    <row r="64686" spans="3:13" ht="12.75" customHeight="1" x14ac:dyDescent="0.2">
      <c r="C64686"/>
      <c r="M64686"/>
    </row>
    <row r="64687" spans="3:13" ht="12.75" customHeight="1" x14ac:dyDescent="0.2">
      <c r="C64687"/>
      <c r="M64687"/>
    </row>
    <row r="64688" spans="3:13" ht="12.75" customHeight="1" x14ac:dyDescent="0.2">
      <c r="C64688"/>
      <c r="M64688"/>
    </row>
    <row r="64689" spans="3:13" ht="12.75" customHeight="1" x14ac:dyDescent="0.2">
      <c r="C64689"/>
      <c r="M64689"/>
    </row>
    <row r="64690" spans="3:13" ht="12.75" customHeight="1" x14ac:dyDescent="0.2">
      <c r="C64690"/>
      <c r="M64690"/>
    </row>
    <row r="64691" spans="3:13" ht="12.75" customHeight="1" x14ac:dyDescent="0.2">
      <c r="C64691"/>
      <c r="M64691"/>
    </row>
    <row r="64692" spans="3:13" ht="12.75" customHeight="1" x14ac:dyDescent="0.2">
      <c r="C64692"/>
      <c r="M64692"/>
    </row>
    <row r="64693" spans="3:13" ht="12.75" customHeight="1" x14ac:dyDescent="0.2">
      <c r="C64693"/>
      <c r="M64693"/>
    </row>
    <row r="64694" spans="3:13" ht="12.75" customHeight="1" x14ac:dyDescent="0.2">
      <c r="C64694"/>
      <c r="M64694"/>
    </row>
    <row r="64695" spans="3:13" ht="12.75" customHeight="1" x14ac:dyDescent="0.2">
      <c r="C64695"/>
      <c r="M64695"/>
    </row>
    <row r="64696" spans="3:13" ht="12.75" customHeight="1" x14ac:dyDescent="0.2">
      <c r="C64696"/>
      <c r="M64696"/>
    </row>
    <row r="64697" spans="3:13" ht="12.75" customHeight="1" x14ac:dyDescent="0.2">
      <c r="C64697"/>
      <c r="M64697"/>
    </row>
    <row r="64698" spans="3:13" ht="12.75" customHeight="1" x14ac:dyDescent="0.2">
      <c r="C64698"/>
      <c r="M64698"/>
    </row>
    <row r="64699" spans="3:13" ht="12.75" customHeight="1" x14ac:dyDescent="0.2">
      <c r="C64699"/>
      <c r="M64699"/>
    </row>
    <row r="64700" spans="3:13" ht="12.75" customHeight="1" x14ac:dyDescent="0.2">
      <c r="C64700"/>
      <c r="M64700"/>
    </row>
    <row r="64701" spans="3:13" ht="12.75" customHeight="1" x14ac:dyDescent="0.2">
      <c r="C64701"/>
      <c r="M64701"/>
    </row>
    <row r="64702" spans="3:13" ht="12.75" customHeight="1" x14ac:dyDescent="0.2">
      <c r="C64702"/>
      <c r="M64702"/>
    </row>
    <row r="64703" spans="3:13" ht="12.75" customHeight="1" x14ac:dyDescent="0.2">
      <c r="C64703"/>
      <c r="M64703"/>
    </row>
    <row r="64704" spans="3:13" ht="12.75" customHeight="1" x14ac:dyDescent="0.2">
      <c r="C64704"/>
      <c r="M64704"/>
    </row>
    <row r="64705" spans="3:13" ht="12.75" customHeight="1" x14ac:dyDescent="0.2">
      <c r="C64705"/>
      <c r="M64705"/>
    </row>
    <row r="64706" spans="3:13" ht="12.75" customHeight="1" x14ac:dyDescent="0.2">
      <c r="C64706"/>
      <c r="M64706"/>
    </row>
    <row r="64707" spans="3:13" ht="12.75" customHeight="1" x14ac:dyDescent="0.2">
      <c r="C64707"/>
      <c r="M64707"/>
    </row>
    <row r="64708" spans="3:13" ht="12.75" customHeight="1" x14ac:dyDescent="0.2">
      <c r="C64708"/>
      <c r="M64708"/>
    </row>
    <row r="64709" spans="3:13" ht="12.75" customHeight="1" x14ac:dyDescent="0.2">
      <c r="C64709"/>
      <c r="M64709"/>
    </row>
    <row r="64710" spans="3:13" ht="12.75" customHeight="1" x14ac:dyDescent="0.2">
      <c r="C64710"/>
      <c r="M64710"/>
    </row>
    <row r="64711" spans="3:13" ht="12.75" customHeight="1" x14ac:dyDescent="0.2">
      <c r="C64711"/>
      <c r="M64711"/>
    </row>
    <row r="64712" spans="3:13" ht="12.75" customHeight="1" x14ac:dyDescent="0.2">
      <c r="C64712"/>
      <c r="M64712"/>
    </row>
    <row r="64713" spans="3:13" ht="12.75" customHeight="1" x14ac:dyDescent="0.2">
      <c r="C64713"/>
      <c r="M64713"/>
    </row>
    <row r="64714" spans="3:13" ht="12.75" customHeight="1" x14ac:dyDescent="0.2">
      <c r="C64714"/>
      <c r="M64714"/>
    </row>
    <row r="64715" spans="3:13" ht="12.75" customHeight="1" x14ac:dyDescent="0.2">
      <c r="C64715"/>
      <c r="M64715"/>
    </row>
    <row r="64716" spans="3:13" ht="12.75" customHeight="1" x14ac:dyDescent="0.2">
      <c r="C64716"/>
      <c r="M64716"/>
    </row>
    <row r="64717" spans="3:13" ht="12.75" customHeight="1" x14ac:dyDescent="0.2">
      <c r="C64717"/>
      <c r="M64717"/>
    </row>
    <row r="64718" spans="3:13" ht="12.75" customHeight="1" x14ac:dyDescent="0.2">
      <c r="C64718"/>
      <c r="M64718"/>
    </row>
    <row r="64719" spans="3:13" ht="12.75" customHeight="1" x14ac:dyDescent="0.2">
      <c r="C64719"/>
      <c r="M64719"/>
    </row>
    <row r="64720" spans="3:13" ht="12.75" customHeight="1" x14ac:dyDescent="0.2">
      <c r="C64720"/>
      <c r="M64720"/>
    </row>
    <row r="64721" spans="3:13" ht="12.75" customHeight="1" x14ac:dyDescent="0.2">
      <c r="C64721"/>
      <c r="M64721"/>
    </row>
    <row r="64722" spans="3:13" ht="12.75" customHeight="1" x14ac:dyDescent="0.2">
      <c r="C64722"/>
      <c r="M64722"/>
    </row>
    <row r="64723" spans="3:13" ht="12.75" customHeight="1" x14ac:dyDescent="0.2">
      <c r="C64723"/>
      <c r="M64723"/>
    </row>
    <row r="64724" spans="3:13" ht="12.75" customHeight="1" x14ac:dyDescent="0.2">
      <c r="C64724"/>
      <c r="M64724"/>
    </row>
    <row r="64725" spans="3:13" ht="12.75" customHeight="1" x14ac:dyDescent="0.2">
      <c r="C64725"/>
      <c r="M64725"/>
    </row>
    <row r="64726" spans="3:13" ht="12.75" customHeight="1" x14ac:dyDescent="0.2">
      <c r="C64726"/>
      <c r="M64726"/>
    </row>
    <row r="64727" spans="3:13" ht="12.75" customHeight="1" x14ac:dyDescent="0.2">
      <c r="C64727"/>
      <c r="M64727"/>
    </row>
    <row r="64728" spans="3:13" ht="12.75" customHeight="1" x14ac:dyDescent="0.2">
      <c r="C64728"/>
      <c r="M64728"/>
    </row>
    <row r="64729" spans="3:13" ht="12.75" customHeight="1" x14ac:dyDescent="0.2">
      <c r="C64729"/>
      <c r="M64729"/>
    </row>
    <row r="64730" spans="3:13" ht="12.75" customHeight="1" x14ac:dyDescent="0.2">
      <c r="C64730"/>
      <c r="M64730"/>
    </row>
    <row r="64731" spans="3:13" ht="12.75" customHeight="1" x14ac:dyDescent="0.2">
      <c r="C64731"/>
      <c r="M64731"/>
    </row>
    <row r="64732" spans="3:13" ht="12.75" customHeight="1" x14ac:dyDescent="0.2">
      <c r="C64732"/>
      <c r="M64732"/>
    </row>
    <row r="64733" spans="3:13" ht="12.75" customHeight="1" x14ac:dyDescent="0.2">
      <c r="C64733"/>
      <c r="M64733"/>
    </row>
    <row r="64734" spans="3:13" ht="12.75" customHeight="1" x14ac:dyDescent="0.2">
      <c r="C64734"/>
      <c r="M64734"/>
    </row>
    <row r="64735" spans="3:13" ht="12.75" customHeight="1" x14ac:dyDescent="0.2">
      <c r="C64735"/>
      <c r="M64735"/>
    </row>
    <row r="64736" spans="3:13" ht="12.75" customHeight="1" x14ac:dyDescent="0.2">
      <c r="C64736"/>
      <c r="M64736"/>
    </row>
    <row r="64737" spans="3:13" ht="12.75" customHeight="1" x14ac:dyDescent="0.2">
      <c r="C64737"/>
      <c r="M64737"/>
    </row>
    <row r="64738" spans="3:13" ht="12.75" customHeight="1" x14ac:dyDescent="0.2">
      <c r="C64738"/>
      <c r="M64738"/>
    </row>
    <row r="64739" spans="3:13" ht="12.75" customHeight="1" x14ac:dyDescent="0.2">
      <c r="C64739"/>
      <c r="M64739"/>
    </row>
    <row r="64740" spans="3:13" ht="12.75" customHeight="1" x14ac:dyDescent="0.2">
      <c r="C64740"/>
      <c r="M64740"/>
    </row>
    <row r="64741" spans="3:13" ht="12.75" customHeight="1" x14ac:dyDescent="0.2">
      <c r="C64741"/>
      <c r="M64741"/>
    </row>
    <row r="64742" spans="3:13" ht="12.75" customHeight="1" x14ac:dyDescent="0.2">
      <c r="C64742"/>
      <c r="M64742"/>
    </row>
    <row r="64743" spans="3:13" ht="12.75" customHeight="1" x14ac:dyDescent="0.2">
      <c r="C64743"/>
      <c r="M64743"/>
    </row>
    <row r="64744" spans="3:13" ht="12.75" customHeight="1" x14ac:dyDescent="0.2">
      <c r="C64744"/>
      <c r="M64744"/>
    </row>
    <row r="64745" spans="3:13" ht="12.75" customHeight="1" x14ac:dyDescent="0.2">
      <c r="C64745"/>
      <c r="M64745"/>
    </row>
    <row r="64746" spans="3:13" ht="12.75" customHeight="1" x14ac:dyDescent="0.2">
      <c r="C64746"/>
      <c r="M64746"/>
    </row>
    <row r="64747" spans="3:13" ht="12.75" customHeight="1" x14ac:dyDescent="0.2">
      <c r="C64747"/>
      <c r="M64747"/>
    </row>
    <row r="64748" spans="3:13" ht="12.75" customHeight="1" x14ac:dyDescent="0.2">
      <c r="C64748"/>
      <c r="M64748"/>
    </row>
    <row r="64749" spans="3:13" ht="12.75" customHeight="1" x14ac:dyDescent="0.2">
      <c r="C64749"/>
      <c r="M64749"/>
    </row>
    <row r="64750" spans="3:13" ht="12.75" customHeight="1" x14ac:dyDescent="0.2">
      <c r="C64750"/>
      <c r="M64750"/>
    </row>
    <row r="64751" spans="3:13" ht="12.75" customHeight="1" x14ac:dyDescent="0.2">
      <c r="C64751"/>
      <c r="M64751"/>
    </row>
    <row r="64752" spans="3:13" ht="12.75" customHeight="1" x14ac:dyDescent="0.2">
      <c r="C64752"/>
      <c r="M64752"/>
    </row>
    <row r="64753" spans="3:13" ht="12.75" customHeight="1" x14ac:dyDescent="0.2">
      <c r="C64753"/>
      <c r="M64753"/>
    </row>
    <row r="64754" spans="3:13" ht="12.75" customHeight="1" x14ac:dyDescent="0.2">
      <c r="C64754"/>
      <c r="M64754"/>
    </row>
    <row r="64755" spans="3:13" ht="12.75" customHeight="1" x14ac:dyDescent="0.2">
      <c r="C64755"/>
      <c r="M64755"/>
    </row>
    <row r="64756" spans="3:13" ht="12.75" customHeight="1" x14ac:dyDescent="0.2">
      <c r="C64756"/>
      <c r="M64756"/>
    </row>
    <row r="64757" spans="3:13" ht="12.75" customHeight="1" x14ac:dyDescent="0.2">
      <c r="C64757"/>
      <c r="M64757"/>
    </row>
    <row r="64758" spans="3:13" ht="12.75" customHeight="1" x14ac:dyDescent="0.2">
      <c r="C64758"/>
      <c r="M64758"/>
    </row>
    <row r="64759" spans="3:13" ht="12.75" customHeight="1" x14ac:dyDescent="0.2">
      <c r="C64759"/>
      <c r="M64759"/>
    </row>
    <row r="64760" spans="3:13" ht="12.75" customHeight="1" x14ac:dyDescent="0.2">
      <c r="C64760"/>
      <c r="M64760"/>
    </row>
    <row r="64761" spans="3:13" ht="12.75" customHeight="1" x14ac:dyDescent="0.2">
      <c r="C64761"/>
      <c r="M64761"/>
    </row>
    <row r="64762" spans="3:13" ht="12.75" customHeight="1" x14ac:dyDescent="0.2">
      <c r="C64762"/>
      <c r="M64762"/>
    </row>
    <row r="64763" spans="3:13" ht="12.75" customHeight="1" x14ac:dyDescent="0.2">
      <c r="C64763"/>
      <c r="M64763"/>
    </row>
    <row r="64764" spans="3:13" ht="12.75" customHeight="1" x14ac:dyDescent="0.2">
      <c r="C64764"/>
      <c r="M64764"/>
    </row>
    <row r="64765" spans="3:13" ht="12.75" customHeight="1" x14ac:dyDescent="0.2">
      <c r="C64765"/>
      <c r="M64765"/>
    </row>
    <row r="64766" spans="3:13" ht="12.75" customHeight="1" x14ac:dyDescent="0.2">
      <c r="C64766"/>
      <c r="M64766"/>
    </row>
    <row r="64767" spans="3:13" ht="12.75" customHeight="1" x14ac:dyDescent="0.2">
      <c r="C64767"/>
      <c r="M64767"/>
    </row>
    <row r="64768" spans="3:13" ht="12.75" customHeight="1" x14ac:dyDescent="0.2">
      <c r="C64768"/>
      <c r="M64768"/>
    </row>
    <row r="64769" spans="3:13" ht="12.75" customHeight="1" x14ac:dyDescent="0.2">
      <c r="C64769"/>
      <c r="M64769"/>
    </row>
    <row r="64770" spans="3:13" ht="12.75" customHeight="1" x14ac:dyDescent="0.2">
      <c r="C64770"/>
      <c r="M64770"/>
    </row>
    <row r="64771" spans="3:13" ht="12.75" customHeight="1" x14ac:dyDescent="0.2">
      <c r="C64771"/>
      <c r="M64771"/>
    </row>
    <row r="64772" spans="3:13" ht="12.75" customHeight="1" x14ac:dyDescent="0.2">
      <c r="C64772"/>
      <c r="M64772"/>
    </row>
    <row r="64773" spans="3:13" ht="12.75" customHeight="1" x14ac:dyDescent="0.2">
      <c r="C64773"/>
      <c r="M64773"/>
    </row>
    <row r="64774" spans="3:13" ht="12.75" customHeight="1" x14ac:dyDescent="0.2">
      <c r="C64774"/>
      <c r="M64774"/>
    </row>
    <row r="64775" spans="3:13" ht="12.75" customHeight="1" x14ac:dyDescent="0.2">
      <c r="C64775"/>
      <c r="M64775"/>
    </row>
    <row r="64776" spans="3:13" ht="12.75" customHeight="1" x14ac:dyDescent="0.2">
      <c r="C64776"/>
      <c r="M64776"/>
    </row>
    <row r="64777" spans="3:13" ht="12.75" customHeight="1" x14ac:dyDescent="0.2">
      <c r="C64777"/>
      <c r="M64777"/>
    </row>
    <row r="64778" spans="3:13" ht="12.75" customHeight="1" x14ac:dyDescent="0.2">
      <c r="C64778"/>
      <c r="M64778"/>
    </row>
    <row r="64779" spans="3:13" ht="12.75" customHeight="1" x14ac:dyDescent="0.2">
      <c r="C64779"/>
      <c r="M64779"/>
    </row>
    <row r="64780" spans="3:13" ht="12.75" customHeight="1" x14ac:dyDescent="0.2">
      <c r="C64780"/>
      <c r="M64780"/>
    </row>
    <row r="64781" spans="3:13" ht="12.75" customHeight="1" x14ac:dyDescent="0.2">
      <c r="C64781"/>
      <c r="M64781"/>
    </row>
    <row r="64782" spans="3:13" ht="12.75" customHeight="1" x14ac:dyDescent="0.2">
      <c r="C64782"/>
      <c r="M64782"/>
    </row>
    <row r="64783" spans="3:13" ht="12.75" customHeight="1" x14ac:dyDescent="0.2">
      <c r="C64783"/>
      <c r="M64783"/>
    </row>
    <row r="64784" spans="3:13" ht="12.75" customHeight="1" x14ac:dyDescent="0.2">
      <c r="C64784"/>
      <c r="M64784"/>
    </row>
    <row r="64785" spans="3:13" ht="12.75" customHeight="1" x14ac:dyDescent="0.2">
      <c r="C64785"/>
      <c r="M64785"/>
    </row>
    <row r="64786" spans="3:13" ht="12.75" customHeight="1" x14ac:dyDescent="0.2">
      <c r="C64786"/>
      <c r="M64786"/>
    </row>
    <row r="64787" spans="3:13" ht="12.75" customHeight="1" x14ac:dyDescent="0.2">
      <c r="C64787"/>
      <c r="M64787"/>
    </row>
    <row r="64788" spans="3:13" ht="12.75" customHeight="1" x14ac:dyDescent="0.2">
      <c r="C64788"/>
      <c r="M64788"/>
    </row>
    <row r="64789" spans="3:13" ht="12.75" customHeight="1" x14ac:dyDescent="0.2">
      <c r="C64789"/>
      <c r="M64789"/>
    </row>
    <row r="64790" spans="3:13" ht="12.75" customHeight="1" x14ac:dyDescent="0.2">
      <c r="C64790"/>
      <c r="M64790"/>
    </row>
    <row r="64791" spans="3:13" ht="12.75" customHeight="1" x14ac:dyDescent="0.2">
      <c r="C64791"/>
      <c r="M64791"/>
    </row>
    <row r="64792" spans="3:13" ht="12.75" customHeight="1" x14ac:dyDescent="0.2">
      <c r="C64792"/>
      <c r="M64792"/>
    </row>
    <row r="64793" spans="3:13" ht="12.75" customHeight="1" x14ac:dyDescent="0.2">
      <c r="C64793"/>
      <c r="M64793"/>
    </row>
    <row r="64794" spans="3:13" ht="12.75" customHeight="1" x14ac:dyDescent="0.2">
      <c r="C64794"/>
      <c r="M64794"/>
    </row>
    <row r="64795" spans="3:13" ht="12.75" customHeight="1" x14ac:dyDescent="0.2">
      <c r="C64795"/>
      <c r="M64795"/>
    </row>
    <row r="64796" spans="3:13" ht="12.75" customHeight="1" x14ac:dyDescent="0.2">
      <c r="C64796"/>
      <c r="M64796"/>
    </row>
    <row r="64797" spans="3:13" ht="12.75" customHeight="1" x14ac:dyDescent="0.2">
      <c r="C64797"/>
      <c r="M64797"/>
    </row>
    <row r="64798" spans="3:13" ht="12.75" customHeight="1" x14ac:dyDescent="0.2">
      <c r="C64798"/>
      <c r="M64798"/>
    </row>
    <row r="64799" spans="3:13" ht="12.75" customHeight="1" x14ac:dyDescent="0.2">
      <c r="C64799"/>
      <c r="M64799"/>
    </row>
    <row r="64800" spans="3:13" ht="12.75" customHeight="1" x14ac:dyDescent="0.2">
      <c r="C64800"/>
      <c r="M64800"/>
    </row>
    <row r="64801" spans="3:13" ht="12.75" customHeight="1" x14ac:dyDescent="0.2">
      <c r="C64801"/>
      <c r="M64801"/>
    </row>
    <row r="64802" spans="3:13" ht="12.75" customHeight="1" x14ac:dyDescent="0.2">
      <c r="C64802"/>
      <c r="M64802"/>
    </row>
    <row r="64803" spans="3:13" ht="12.75" customHeight="1" x14ac:dyDescent="0.2">
      <c r="C64803"/>
      <c r="M64803"/>
    </row>
    <row r="64804" spans="3:13" ht="12.75" customHeight="1" x14ac:dyDescent="0.2">
      <c r="C64804"/>
      <c r="M64804"/>
    </row>
    <row r="64805" spans="3:13" ht="12.75" customHeight="1" x14ac:dyDescent="0.2">
      <c r="C64805"/>
      <c r="M64805"/>
    </row>
    <row r="64806" spans="3:13" ht="12.75" customHeight="1" x14ac:dyDescent="0.2">
      <c r="C64806"/>
      <c r="M64806"/>
    </row>
    <row r="64807" spans="3:13" ht="12.75" customHeight="1" x14ac:dyDescent="0.2">
      <c r="C64807"/>
      <c r="M64807"/>
    </row>
    <row r="64808" spans="3:13" ht="12.75" customHeight="1" x14ac:dyDescent="0.2">
      <c r="C64808"/>
      <c r="M64808"/>
    </row>
    <row r="64809" spans="3:13" ht="12.75" customHeight="1" x14ac:dyDescent="0.2">
      <c r="C64809"/>
      <c r="M64809"/>
    </row>
    <row r="64810" spans="3:13" ht="12.75" customHeight="1" x14ac:dyDescent="0.2">
      <c r="C64810"/>
      <c r="M64810"/>
    </row>
    <row r="64811" spans="3:13" ht="12.75" customHeight="1" x14ac:dyDescent="0.2">
      <c r="C64811"/>
      <c r="M64811"/>
    </row>
    <row r="64812" spans="3:13" ht="12.75" customHeight="1" x14ac:dyDescent="0.2">
      <c r="C64812"/>
      <c r="M64812"/>
    </row>
    <row r="64813" spans="3:13" ht="12.75" customHeight="1" x14ac:dyDescent="0.2">
      <c r="C64813"/>
      <c r="M64813"/>
    </row>
    <row r="64814" spans="3:13" ht="12.75" customHeight="1" x14ac:dyDescent="0.2">
      <c r="C64814"/>
      <c r="M64814"/>
    </row>
    <row r="64815" spans="3:13" ht="12.75" customHeight="1" x14ac:dyDescent="0.2">
      <c r="C64815"/>
      <c r="M64815"/>
    </row>
    <row r="64816" spans="3:13" ht="12.75" customHeight="1" x14ac:dyDescent="0.2">
      <c r="C64816"/>
      <c r="M64816"/>
    </row>
    <row r="64817" spans="3:13" ht="12.75" customHeight="1" x14ac:dyDescent="0.2">
      <c r="C64817"/>
      <c r="M64817"/>
    </row>
    <row r="64818" spans="3:13" ht="12.75" customHeight="1" x14ac:dyDescent="0.2">
      <c r="C64818"/>
      <c r="M64818"/>
    </row>
    <row r="64819" spans="3:13" ht="12.75" customHeight="1" x14ac:dyDescent="0.2">
      <c r="C64819"/>
      <c r="M64819"/>
    </row>
    <row r="64820" spans="3:13" ht="12.75" customHeight="1" x14ac:dyDescent="0.2">
      <c r="C64820"/>
      <c r="M64820"/>
    </row>
    <row r="64821" spans="3:13" ht="12.75" customHeight="1" x14ac:dyDescent="0.2">
      <c r="C64821"/>
      <c r="M64821"/>
    </row>
    <row r="64822" spans="3:13" ht="12.75" customHeight="1" x14ac:dyDescent="0.2">
      <c r="C64822"/>
      <c r="M64822"/>
    </row>
    <row r="64823" spans="3:13" ht="12.75" customHeight="1" x14ac:dyDescent="0.2">
      <c r="C64823"/>
      <c r="M64823"/>
    </row>
    <row r="64824" spans="3:13" ht="12.75" customHeight="1" x14ac:dyDescent="0.2">
      <c r="C64824"/>
      <c r="M64824"/>
    </row>
    <row r="64825" spans="3:13" ht="12.75" customHeight="1" x14ac:dyDescent="0.2">
      <c r="C64825"/>
      <c r="M64825"/>
    </row>
    <row r="64826" spans="3:13" ht="12.75" customHeight="1" x14ac:dyDescent="0.2">
      <c r="C64826"/>
      <c r="M64826"/>
    </row>
    <row r="64827" spans="3:13" ht="12.75" customHeight="1" x14ac:dyDescent="0.2">
      <c r="C64827"/>
      <c r="M64827"/>
    </row>
    <row r="64828" spans="3:13" ht="12.75" customHeight="1" x14ac:dyDescent="0.2">
      <c r="C64828"/>
      <c r="M64828"/>
    </row>
    <row r="64829" spans="3:13" ht="12.75" customHeight="1" x14ac:dyDescent="0.2">
      <c r="C64829"/>
      <c r="M64829"/>
    </row>
    <row r="64830" spans="3:13" ht="12.75" customHeight="1" x14ac:dyDescent="0.2">
      <c r="C64830"/>
      <c r="M64830"/>
    </row>
    <row r="64831" spans="3:13" ht="12.75" customHeight="1" x14ac:dyDescent="0.2">
      <c r="C64831"/>
      <c r="M64831"/>
    </row>
    <row r="64832" spans="3:13" ht="12.75" customHeight="1" x14ac:dyDescent="0.2">
      <c r="C64832"/>
      <c r="M64832"/>
    </row>
    <row r="64833" spans="3:13" ht="12.75" customHeight="1" x14ac:dyDescent="0.2">
      <c r="C64833"/>
      <c r="M64833"/>
    </row>
    <row r="64834" spans="3:13" ht="12.75" customHeight="1" x14ac:dyDescent="0.2">
      <c r="C64834"/>
      <c r="M64834"/>
    </row>
    <row r="64835" spans="3:13" ht="12.75" customHeight="1" x14ac:dyDescent="0.2">
      <c r="C64835"/>
      <c r="M64835"/>
    </row>
    <row r="64836" spans="3:13" ht="12.75" customHeight="1" x14ac:dyDescent="0.2">
      <c r="C64836"/>
      <c r="M64836"/>
    </row>
    <row r="64837" spans="3:13" ht="12.75" customHeight="1" x14ac:dyDescent="0.2">
      <c r="C64837"/>
      <c r="M64837"/>
    </row>
    <row r="64838" spans="3:13" ht="12.75" customHeight="1" x14ac:dyDescent="0.2">
      <c r="C64838"/>
      <c r="M64838"/>
    </row>
    <row r="64839" spans="3:13" ht="12.75" customHeight="1" x14ac:dyDescent="0.2">
      <c r="C64839"/>
      <c r="M64839"/>
    </row>
    <row r="64840" spans="3:13" ht="12.75" customHeight="1" x14ac:dyDescent="0.2">
      <c r="C64840"/>
      <c r="M64840"/>
    </row>
    <row r="64841" spans="3:13" ht="12.75" customHeight="1" x14ac:dyDescent="0.2">
      <c r="C64841"/>
      <c r="M64841"/>
    </row>
    <row r="64842" spans="3:13" ht="12.75" customHeight="1" x14ac:dyDescent="0.2">
      <c r="C64842"/>
      <c r="M64842"/>
    </row>
    <row r="64843" spans="3:13" ht="12.75" customHeight="1" x14ac:dyDescent="0.2">
      <c r="C64843"/>
      <c r="M64843"/>
    </row>
    <row r="64844" spans="3:13" ht="12.75" customHeight="1" x14ac:dyDescent="0.2">
      <c r="C64844"/>
      <c r="M64844"/>
    </row>
    <row r="64845" spans="3:13" ht="12.75" customHeight="1" x14ac:dyDescent="0.2">
      <c r="C64845"/>
      <c r="M64845"/>
    </row>
    <row r="64846" spans="3:13" ht="12.75" customHeight="1" x14ac:dyDescent="0.2">
      <c r="C64846"/>
      <c r="M64846"/>
    </row>
    <row r="64847" spans="3:13" ht="12.75" customHeight="1" x14ac:dyDescent="0.2">
      <c r="C64847"/>
      <c r="M64847"/>
    </row>
    <row r="64848" spans="3:13" ht="12.75" customHeight="1" x14ac:dyDescent="0.2">
      <c r="C64848"/>
      <c r="M64848"/>
    </row>
    <row r="64849" spans="3:13" ht="12.75" customHeight="1" x14ac:dyDescent="0.2">
      <c r="C64849"/>
      <c r="M64849"/>
    </row>
    <row r="64850" spans="3:13" ht="12.75" customHeight="1" x14ac:dyDescent="0.2">
      <c r="C64850"/>
      <c r="M64850"/>
    </row>
    <row r="64851" spans="3:13" ht="12.75" customHeight="1" x14ac:dyDescent="0.2">
      <c r="C64851"/>
      <c r="M64851"/>
    </row>
    <row r="64852" spans="3:13" ht="12.75" customHeight="1" x14ac:dyDescent="0.2">
      <c r="C64852"/>
      <c r="M64852"/>
    </row>
    <row r="64853" spans="3:13" ht="12.75" customHeight="1" x14ac:dyDescent="0.2">
      <c r="C64853"/>
      <c r="M64853"/>
    </row>
    <row r="64854" spans="3:13" ht="12.75" customHeight="1" x14ac:dyDescent="0.2">
      <c r="C64854"/>
      <c r="M64854"/>
    </row>
    <row r="64855" spans="3:13" ht="12.75" customHeight="1" x14ac:dyDescent="0.2">
      <c r="C64855"/>
      <c r="M64855"/>
    </row>
    <row r="64856" spans="3:13" ht="12.75" customHeight="1" x14ac:dyDescent="0.2">
      <c r="C64856"/>
      <c r="M64856"/>
    </row>
    <row r="64857" spans="3:13" ht="12.75" customHeight="1" x14ac:dyDescent="0.2">
      <c r="C64857"/>
      <c r="M64857"/>
    </row>
    <row r="64858" spans="3:13" ht="12.75" customHeight="1" x14ac:dyDescent="0.2">
      <c r="C64858"/>
      <c r="M64858"/>
    </row>
    <row r="64859" spans="3:13" ht="12.75" customHeight="1" x14ac:dyDescent="0.2">
      <c r="C64859"/>
      <c r="M64859"/>
    </row>
    <row r="64860" spans="3:13" ht="12.75" customHeight="1" x14ac:dyDescent="0.2">
      <c r="C64860"/>
      <c r="M64860"/>
    </row>
    <row r="64861" spans="3:13" ht="12.75" customHeight="1" x14ac:dyDescent="0.2">
      <c r="C64861"/>
      <c r="M64861"/>
    </row>
    <row r="64862" spans="3:13" ht="12.75" customHeight="1" x14ac:dyDescent="0.2">
      <c r="C64862"/>
      <c r="M64862"/>
    </row>
    <row r="64863" spans="3:13" ht="12.75" customHeight="1" x14ac:dyDescent="0.2">
      <c r="C64863"/>
      <c r="M64863"/>
    </row>
    <row r="64864" spans="3:13" ht="12.75" customHeight="1" x14ac:dyDescent="0.2">
      <c r="C64864"/>
      <c r="M64864"/>
    </row>
    <row r="64865" spans="3:13" ht="12.75" customHeight="1" x14ac:dyDescent="0.2">
      <c r="C64865"/>
      <c r="M64865"/>
    </row>
    <row r="64866" spans="3:13" ht="12.75" customHeight="1" x14ac:dyDescent="0.2">
      <c r="C64866"/>
      <c r="M64866"/>
    </row>
    <row r="64867" spans="3:13" ht="12.75" customHeight="1" x14ac:dyDescent="0.2">
      <c r="C64867"/>
      <c r="M64867"/>
    </row>
    <row r="64868" spans="3:13" ht="12.75" customHeight="1" x14ac:dyDescent="0.2">
      <c r="C64868"/>
      <c r="M64868"/>
    </row>
    <row r="64869" spans="3:13" ht="12.75" customHeight="1" x14ac:dyDescent="0.2">
      <c r="C64869"/>
      <c r="M64869"/>
    </row>
    <row r="64870" spans="3:13" ht="12.75" customHeight="1" x14ac:dyDescent="0.2">
      <c r="C64870"/>
      <c r="M64870"/>
    </row>
    <row r="64871" spans="3:13" ht="12.75" customHeight="1" x14ac:dyDescent="0.2">
      <c r="C64871"/>
      <c r="M64871"/>
    </row>
    <row r="64872" spans="3:13" ht="12.75" customHeight="1" x14ac:dyDescent="0.2">
      <c r="C64872"/>
      <c r="M64872"/>
    </row>
    <row r="64873" spans="3:13" ht="12.75" customHeight="1" x14ac:dyDescent="0.2">
      <c r="C64873"/>
      <c r="M64873"/>
    </row>
    <row r="64874" spans="3:13" ht="12.75" customHeight="1" x14ac:dyDescent="0.2">
      <c r="C64874"/>
      <c r="M64874"/>
    </row>
    <row r="64875" spans="3:13" ht="12.75" customHeight="1" x14ac:dyDescent="0.2">
      <c r="C64875"/>
      <c r="M64875"/>
    </row>
    <row r="64876" spans="3:13" ht="12.75" customHeight="1" x14ac:dyDescent="0.2">
      <c r="C64876"/>
      <c r="M64876"/>
    </row>
    <row r="64877" spans="3:13" ht="12.75" customHeight="1" x14ac:dyDescent="0.2">
      <c r="C64877"/>
      <c r="M64877"/>
    </row>
    <row r="64878" spans="3:13" ht="12.75" customHeight="1" x14ac:dyDescent="0.2">
      <c r="C64878"/>
      <c r="M64878"/>
    </row>
    <row r="64879" spans="3:13" ht="12.75" customHeight="1" x14ac:dyDescent="0.2">
      <c r="C64879"/>
      <c r="M64879"/>
    </row>
    <row r="64880" spans="3:13" ht="12.75" customHeight="1" x14ac:dyDescent="0.2">
      <c r="C64880"/>
      <c r="M64880"/>
    </row>
    <row r="64881" spans="3:13" ht="12.75" customHeight="1" x14ac:dyDescent="0.2">
      <c r="C64881"/>
      <c r="M64881"/>
    </row>
    <row r="64882" spans="3:13" ht="12.75" customHeight="1" x14ac:dyDescent="0.2">
      <c r="C64882"/>
      <c r="M64882"/>
    </row>
    <row r="64883" spans="3:13" ht="12.75" customHeight="1" x14ac:dyDescent="0.2">
      <c r="C64883"/>
      <c r="M64883"/>
    </row>
    <row r="64884" spans="3:13" ht="12.75" customHeight="1" x14ac:dyDescent="0.2">
      <c r="C64884"/>
      <c r="M64884"/>
    </row>
    <row r="64885" spans="3:13" ht="12.75" customHeight="1" x14ac:dyDescent="0.2">
      <c r="C64885"/>
      <c r="M64885"/>
    </row>
    <row r="64886" spans="3:13" ht="12.75" customHeight="1" x14ac:dyDescent="0.2">
      <c r="C64886"/>
      <c r="M64886"/>
    </row>
    <row r="64887" spans="3:13" ht="12.75" customHeight="1" x14ac:dyDescent="0.2">
      <c r="C64887"/>
      <c r="M64887"/>
    </row>
    <row r="64888" spans="3:13" ht="12.75" customHeight="1" x14ac:dyDescent="0.2">
      <c r="C64888"/>
      <c r="M64888"/>
    </row>
    <row r="64889" spans="3:13" ht="12.75" customHeight="1" x14ac:dyDescent="0.2">
      <c r="C64889"/>
      <c r="M64889"/>
    </row>
    <row r="64890" spans="3:13" ht="12.75" customHeight="1" x14ac:dyDescent="0.2">
      <c r="C64890"/>
      <c r="M64890"/>
    </row>
    <row r="64891" spans="3:13" ht="12.75" customHeight="1" x14ac:dyDescent="0.2">
      <c r="C64891"/>
      <c r="M64891"/>
    </row>
    <row r="64892" spans="3:13" ht="12.75" customHeight="1" x14ac:dyDescent="0.2">
      <c r="C64892"/>
      <c r="M64892"/>
    </row>
    <row r="64893" spans="3:13" ht="12.75" customHeight="1" x14ac:dyDescent="0.2">
      <c r="C64893"/>
      <c r="M64893"/>
    </row>
    <row r="64894" spans="3:13" ht="12.75" customHeight="1" x14ac:dyDescent="0.2">
      <c r="C64894"/>
      <c r="M64894"/>
    </row>
    <row r="64895" spans="3:13" ht="12.75" customHeight="1" x14ac:dyDescent="0.2">
      <c r="C64895"/>
      <c r="M64895"/>
    </row>
    <row r="64896" spans="3:13" ht="12.75" customHeight="1" x14ac:dyDescent="0.2">
      <c r="C64896"/>
      <c r="M64896"/>
    </row>
    <row r="64897" spans="3:13" ht="12.75" customHeight="1" x14ac:dyDescent="0.2">
      <c r="C64897"/>
      <c r="M64897"/>
    </row>
    <row r="64898" spans="3:13" ht="12.75" customHeight="1" x14ac:dyDescent="0.2">
      <c r="C64898"/>
      <c r="M64898"/>
    </row>
    <row r="64899" spans="3:13" ht="12.75" customHeight="1" x14ac:dyDescent="0.2">
      <c r="C64899"/>
      <c r="M64899"/>
    </row>
    <row r="64900" spans="3:13" ht="12.75" customHeight="1" x14ac:dyDescent="0.2">
      <c r="C64900"/>
      <c r="M64900"/>
    </row>
    <row r="64901" spans="3:13" ht="12.75" customHeight="1" x14ac:dyDescent="0.2">
      <c r="C64901"/>
      <c r="M64901"/>
    </row>
    <row r="64902" spans="3:13" ht="12.75" customHeight="1" x14ac:dyDescent="0.2">
      <c r="C64902"/>
      <c r="M64902"/>
    </row>
    <row r="64903" spans="3:13" ht="12.75" customHeight="1" x14ac:dyDescent="0.2">
      <c r="C64903"/>
      <c r="M64903"/>
    </row>
    <row r="64904" spans="3:13" ht="12.75" customHeight="1" x14ac:dyDescent="0.2">
      <c r="C64904"/>
      <c r="M64904"/>
    </row>
    <row r="64905" spans="3:13" ht="12.75" customHeight="1" x14ac:dyDescent="0.2">
      <c r="C64905"/>
      <c r="M64905"/>
    </row>
    <row r="64906" spans="3:13" ht="12.75" customHeight="1" x14ac:dyDescent="0.2">
      <c r="C64906"/>
      <c r="M64906"/>
    </row>
    <row r="64907" spans="3:13" ht="12.75" customHeight="1" x14ac:dyDescent="0.2">
      <c r="C64907"/>
      <c r="M64907"/>
    </row>
    <row r="64908" spans="3:13" ht="12.75" customHeight="1" x14ac:dyDescent="0.2">
      <c r="C64908"/>
      <c r="M64908"/>
    </row>
    <row r="64909" spans="3:13" ht="12.75" customHeight="1" x14ac:dyDescent="0.2">
      <c r="C64909"/>
      <c r="M64909"/>
    </row>
    <row r="64910" spans="3:13" ht="12.75" customHeight="1" x14ac:dyDescent="0.2">
      <c r="C64910"/>
      <c r="M64910"/>
    </row>
    <row r="64911" spans="3:13" ht="12.75" customHeight="1" x14ac:dyDescent="0.2">
      <c r="C64911"/>
      <c r="M64911"/>
    </row>
    <row r="64912" spans="3:13" ht="12.75" customHeight="1" x14ac:dyDescent="0.2">
      <c r="C64912"/>
      <c r="M64912"/>
    </row>
    <row r="64913" spans="3:13" ht="12.75" customHeight="1" x14ac:dyDescent="0.2">
      <c r="C64913"/>
      <c r="M64913"/>
    </row>
    <row r="64914" spans="3:13" ht="12.75" customHeight="1" x14ac:dyDescent="0.2">
      <c r="C64914"/>
      <c r="M64914"/>
    </row>
    <row r="64915" spans="3:13" ht="12.75" customHeight="1" x14ac:dyDescent="0.2">
      <c r="C64915"/>
      <c r="M64915"/>
    </row>
    <row r="64916" spans="3:13" ht="12.75" customHeight="1" x14ac:dyDescent="0.2">
      <c r="C64916"/>
      <c r="M64916"/>
    </row>
    <row r="64917" spans="3:13" ht="12.75" customHeight="1" x14ac:dyDescent="0.2">
      <c r="C64917"/>
      <c r="M64917"/>
    </row>
    <row r="64918" spans="3:13" ht="12.75" customHeight="1" x14ac:dyDescent="0.2">
      <c r="C64918"/>
      <c r="M64918"/>
    </row>
    <row r="64919" spans="3:13" ht="12.75" customHeight="1" x14ac:dyDescent="0.2">
      <c r="C64919"/>
      <c r="M64919"/>
    </row>
    <row r="64920" spans="3:13" ht="12.75" customHeight="1" x14ac:dyDescent="0.2">
      <c r="C64920"/>
      <c r="M64920"/>
    </row>
    <row r="64921" spans="3:13" ht="12.75" customHeight="1" x14ac:dyDescent="0.2">
      <c r="C64921"/>
      <c r="M64921"/>
    </row>
    <row r="64922" spans="3:13" ht="12.75" customHeight="1" x14ac:dyDescent="0.2">
      <c r="C64922"/>
      <c r="M64922"/>
    </row>
    <row r="64923" spans="3:13" ht="12.75" customHeight="1" x14ac:dyDescent="0.2">
      <c r="C64923"/>
      <c r="M64923"/>
    </row>
    <row r="64924" spans="3:13" ht="12.75" customHeight="1" x14ac:dyDescent="0.2">
      <c r="C64924"/>
      <c r="M64924"/>
    </row>
    <row r="64925" spans="3:13" ht="12.75" customHeight="1" x14ac:dyDescent="0.2">
      <c r="C64925"/>
      <c r="M64925"/>
    </row>
    <row r="64926" spans="3:13" ht="12.75" customHeight="1" x14ac:dyDescent="0.2">
      <c r="C64926"/>
      <c r="M64926"/>
    </row>
    <row r="64927" spans="3:13" ht="12.75" customHeight="1" x14ac:dyDescent="0.2">
      <c r="C64927"/>
      <c r="M64927"/>
    </row>
    <row r="64928" spans="3:13" ht="12.75" customHeight="1" x14ac:dyDescent="0.2">
      <c r="C64928"/>
      <c r="M64928"/>
    </row>
    <row r="64929" spans="3:13" ht="12.75" customHeight="1" x14ac:dyDescent="0.2">
      <c r="C64929"/>
      <c r="M64929"/>
    </row>
    <row r="64930" spans="3:13" ht="12.75" customHeight="1" x14ac:dyDescent="0.2">
      <c r="C64930"/>
      <c r="M64930"/>
    </row>
    <row r="64931" spans="3:13" ht="12.75" customHeight="1" x14ac:dyDescent="0.2">
      <c r="C64931"/>
      <c r="M64931"/>
    </row>
    <row r="64932" spans="3:13" ht="12.75" customHeight="1" x14ac:dyDescent="0.2">
      <c r="C64932"/>
      <c r="M64932"/>
    </row>
    <row r="64933" spans="3:13" ht="12.75" customHeight="1" x14ac:dyDescent="0.2">
      <c r="C64933"/>
      <c r="M64933"/>
    </row>
    <row r="64934" spans="3:13" ht="12.75" customHeight="1" x14ac:dyDescent="0.2">
      <c r="C64934"/>
      <c r="M64934"/>
    </row>
    <row r="64935" spans="3:13" ht="12.75" customHeight="1" x14ac:dyDescent="0.2">
      <c r="C64935"/>
      <c r="M64935"/>
    </row>
    <row r="64936" spans="3:13" ht="12.75" customHeight="1" x14ac:dyDescent="0.2">
      <c r="C64936"/>
      <c r="M64936"/>
    </row>
    <row r="64937" spans="3:13" ht="12.75" customHeight="1" x14ac:dyDescent="0.2">
      <c r="C64937"/>
      <c r="M64937"/>
    </row>
    <row r="64938" spans="3:13" ht="12.75" customHeight="1" x14ac:dyDescent="0.2">
      <c r="C64938"/>
      <c r="M64938"/>
    </row>
    <row r="64939" spans="3:13" ht="12.75" customHeight="1" x14ac:dyDescent="0.2">
      <c r="C64939"/>
      <c r="M64939"/>
    </row>
    <row r="64940" spans="3:13" ht="12.75" customHeight="1" x14ac:dyDescent="0.2">
      <c r="C64940"/>
      <c r="M64940"/>
    </row>
    <row r="64941" spans="3:13" ht="12.75" customHeight="1" x14ac:dyDescent="0.2">
      <c r="C64941"/>
      <c r="M64941"/>
    </row>
    <row r="64942" spans="3:13" ht="12.75" customHeight="1" x14ac:dyDescent="0.2">
      <c r="C64942"/>
      <c r="M64942"/>
    </row>
    <row r="64943" spans="3:13" ht="12.75" customHeight="1" x14ac:dyDescent="0.2">
      <c r="C64943"/>
      <c r="M64943"/>
    </row>
    <row r="64944" spans="3:13" ht="12.75" customHeight="1" x14ac:dyDescent="0.2">
      <c r="C64944"/>
      <c r="M64944"/>
    </row>
    <row r="64945" spans="3:13" ht="12.75" customHeight="1" x14ac:dyDescent="0.2">
      <c r="C64945"/>
      <c r="M64945"/>
    </row>
    <row r="64946" spans="3:13" ht="12.75" customHeight="1" x14ac:dyDescent="0.2">
      <c r="C64946"/>
      <c r="M64946"/>
    </row>
    <row r="64947" spans="3:13" ht="12.75" customHeight="1" x14ac:dyDescent="0.2">
      <c r="C64947"/>
      <c r="M64947"/>
    </row>
    <row r="64948" spans="3:13" ht="12.75" customHeight="1" x14ac:dyDescent="0.2">
      <c r="C64948"/>
      <c r="M64948"/>
    </row>
    <row r="64949" spans="3:13" ht="12.75" customHeight="1" x14ac:dyDescent="0.2">
      <c r="C64949"/>
      <c r="M64949"/>
    </row>
    <row r="64950" spans="3:13" ht="12.75" customHeight="1" x14ac:dyDescent="0.2">
      <c r="C64950"/>
      <c r="M64950"/>
    </row>
    <row r="64951" spans="3:13" ht="12.75" customHeight="1" x14ac:dyDescent="0.2">
      <c r="C64951"/>
      <c r="M64951"/>
    </row>
    <row r="64952" spans="3:13" ht="12.75" customHeight="1" x14ac:dyDescent="0.2">
      <c r="C64952"/>
      <c r="M64952"/>
    </row>
    <row r="64953" spans="3:13" ht="12.75" customHeight="1" x14ac:dyDescent="0.2">
      <c r="C64953"/>
      <c r="M64953"/>
    </row>
    <row r="64954" spans="3:13" ht="12.75" customHeight="1" x14ac:dyDescent="0.2">
      <c r="C64954"/>
      <c r="M64954"/>
    </row>
    <row r="64955" spans="3:13" ht="12.75" customHeight="1" x14ac:dyDescent="0.2">
      <c r="C64955"/>
      <c r="M64955"/>
    </row>
    <row r="64956" spans="3:13" ht="12.75" customHeight="1" x14ac:dyDescent="0.2">
      <c r="C64956"/>
      <c r="M64956"/>
    </row>
    <row r="64957" spans="3:13" ht="12.75" customHeight="1" x14ac:dyDescent="0.2">
      <c r="C64957"/>
      <c r="M64957"/>
    </row>
    <row r="64958" spans="3:13" ht="12.75" customHeight="1" x14ac:dyDescent="0.2">
      <c r="C64958"/>
      <c r="M64958"/>
    </row>
    <row r="64959" spans="3:13" ht="12.75" customHeight="1" x14ac:dyDescent="0.2">
      <c r="C64959"/>
      <c r="M64959"/>
    </row>
    <row r="64960" spans="3:13" ht="12.75" customHeight="1" x14ac:dyDescent="0.2">
      <c r="C64960"/>
      <c r="M64960"/>
    </row>
    <row r="64961" spans="3:13" ht="12.75" customHeight="1" x14ac:dyDescent="0.2">
      <c r="C64961"/>
      <c r="M64961"/>
    </row>
    <row r="64962" spans="3:13" ht="12.75" customHeight="1" x14ac:dyDescent="0.2">
      <c r="C64962"/>
      <c r="M64962"/>
    </row>
    <row r="64963" spans="3:13" ht="12.75" customHeight="1" x14ac:dyDescent="0.2">
      <c r="C64963"/>
      <c r="M64963"/>
    </row>
    <row r="64964" spans="3:13" ht="12.75" customHeight="1" x14ac:dyDescent="0.2">
      <c r="C64964"/>
      <c r="M64964"/>
    </row>
    <row r="64965" spans="3:13" ht="12.75" customHeight="1" x14ac:dyDescent="0.2">
      <c r="C64965"/>
      <c r="M64965"/>
    </row>
    <row r="64966" spans="3:13" ht="12.75" customHeight="1" x14ac:dyDescent="0.2">
      <c r="C64966"/>
      <c r="M64966"/>
    </row>
    <row r="64967" spans="3:13" ht="12.75" customHeight="1" x14ac:dyDescent="0.2">
      <c r="C64967"/>
      <c r="M64967"/>
    </row>
    <row r="64968" spans="3:13" ht="12.75" customHeight="1" x14ac:dyDescent="0.2">
      <c r="C64968"/>
      <c r="M64968"/>
    </row>
    <row r="64969" spans="3:13" ht="12.75" customHeight="1" x14ac:dyDescent="0.2">
      <c r="C64969"/>
      <c r="M64969"/>
    </row>
    <row r="64970" spans="3:13" ht="12.75" customHeight="1" x14ac:dyDescent="0.2">
      <c r="C64970"/>
      <c r="M64970"/>
    </row>
    <row r="64971" spans="3:13" ht="12.75" customHeight="1" x14ac:dyDescent="0.2">
      <c r="C64971"/>
      <c r="M64971"/>
    </row>
    <row r="64972" spans="3:13" ht="12.75" customHeight="1" x14ac:dyDescent="0.2">
      <c r="C64972"/>
      <c r="M64972"/>
    </row>
    <row r="64973" spans="3:13" ht="12.75" customHeight="1" x14ac:dyDescent="0.2">
      <c r="C64973"/>
      <c r="M64973"/>
    </row>
    <row r="64974" spans="3:13" ht="12.75" customHeight="1" x14ac:dyDescent="0.2">
      <c r="C64974"/>
      <c r="M64974"/>
    </row>
    <row r="64975" spans="3:13" ht="12.75" customHeight="1" x14ac:dyDescent="0.2">
      <c r="C64975"/>
      <c r="M64975"/>
    </row>
    <row r="64976" spans="3:13" ht="12.75" customHeight="1" x14ac:dyDescent="0.2">
      <c r="C64976"/>
      <c r="M64976"/>
    </row>
    <row r="64977" spans="3:13" ht="12.75" customHeight="1" x14ac:dyDescent="0.2">
      <c r="C64977"/>
      <c r="M64977"/>
    </row>
    <row r="64978" spans="3:13" ht="12.75" customHeight="1" x14ac:dyDescent="0.2">
      <c r="C64978"/>
      <c r="M64978"/>
    </row>
    <row r="64979" spans="3:13" ht="12.75" customHeight="1" x14ac:dyDescent="0.2">
      <c r="C64979"/>
      <c r="M64979"/>
    </row>
    <row r="64980" spans="3:13" ht="12.75" customHeight="1" x14ac:dyDescent="0.2">
      <c r="C64980"/>
      <c r="M64980"/>
    </row>
    <row r="64981" spans="3:13" ht="12.75" customHeight="1" x14ac:dyDescent="0.2">
      <c r="C64981"/>
      <c r="M64981"/>
    </row>
    <row r="64982" spans="3:13" ht="12.75" customHeight="1" x14ac:dyDescent="0.2">
      <c r="C64982"/>
      <c r="M64982"/>
    </row>
    <row r="64983" spans="3:13" ht="12.75" customHeight="1" x14ac:dyDescent="0.2">
      <c r="C64983"/>
      <c r="M64983"/>
    </row>
    <row r="64984" spans="3:13" ht="12.75" customHeight="1" x14ac:dyDescent="0.2">
      <c r="C64984"/>
      <c r="M64984"/>
    </row>
    <row r="64985" spans="3:13" ht="12.75" customHeight="1" x14ac:dyDescent="0.2">
      <c r="C64985"/>
      <c r="M64985"/>
    </row>
    <row r="64986" spans="3:13" ht="12.75" customHeight="1" x14ac:dyDescent="0.2">
      <c r="C64986"/>
      <c r="M64986"/>
    </row>
    <row r="64987" spans="3:13" ht="12.75" customHeight="1" x14ac:dyDescent="0.2">
      <c r="C64987"/>
      <c r="M64987"/>
    </row>
    <row r="64988" spans="3:13" ht="12.75" customHeight="1" x14ac:dyDescent="0.2">
      <c r="C64988"/>
      <c r="M64988"/>
    </row>
    <row r="64989" spans="3:13" ht="12.75" customHeight="1" x14ac:dyDescent="0.2">
      <c r="C64989"/>
      <c r="M64989"/>
    </row>
    <row r="64990" spans="3:13" ht="12.75" customHeight="1" x14ac:dyDescent="0.2">
      <c r="C64990"/>
      <c r="M64990"/>
    </row>
    <row r="64991" spans="3:13" ht="12.75" customHeight="1" x14ac:dyDescent="0.2">
      <c r="C64991"/>
      <c r="M64991"/>
    </row>
    <row r="64992" spans="3:13" ht="12.75" customHeight="1" x14ac:dyDescent="0.2">
      <c r="C64992"/>
      <c r="M64992"/>
    </row>
    <row r="64993" spans="3:13" ht="12.75" customHeight="1" x14ac:dyDescent="0.2">
      <c r="C64993"/>
      <c r="M64993"/>
    </row>
    <row r="64994" spans="3:13" ht="12.75" customHeight="1" x14ac:dyDescent="0.2">
      <c r="C64994"/>
      <c r="M64994"/>
    </row>
    <row r="64995" spans="3:13" ht="12.75" customHeight="1" x14ac:dyDescent="0.2">
      <c r="C64995"/>
      <c r="M64995"/>
    </row>
    <row r="64996" spans="3:13" ht="12.75" customHeight="1" x14ac:dyDescent="0.2">
      <c r="C64996"/>
      <c r="M64996"/>
    </row>
    <row r="64997" spans="3:13" ht="12.75" customHeight="1" x14ac:dyDescent="0.2">
      <c r="C64997"/>
      <c r="M64997"/>
    </row>
    <row r="64998" spans="3:13" ht="12.75" customHeight="1" x14ac:dyDescent="0.2">
      <c r="C64998"/>
      <c r="M64998"/>
    </row>
    <row r="64999" spans="3:13" ht="12.75" customHeight="1" x14ac:dyDescent="0.2">
      <c r="C64999"/>
      <c r="M64999"/>
    </row>
    <row r="65000" spans="3:13" ht="12.75" customHeight="1" x14ac:dyDescent="0.2">
      <c r="C65000"/>
      <c r="M65000"/>
    </row>
    <row r="65001" spans="3:13" ht="12.75" customHeight="1" x14ac:dyDescent="0.2">
      <c r="C65001"/>
      <c r="M65001"/>
    </row>
    <row r="65002" spans="3:13" ht="12.75" customHeight="1" x14ac:dyDescent="0.2">
      <c r="C65002"/>
      <c r="M65002"/>
    </row>
    <row r="65003" spans="3:13" ht="12.75" customHeight="1" x14ac:dyDescent="0.2">
      <c r="C65003"/>
      <c r="M65003"/>
    </row>
    <row r="65004" spans="3:13" ht="12.75" customHeight="1" x14ac:dyDescent="0.2">
      <c r="C65004"/>
      <c r="M65004"/>
    </row>
    <row r="65005" spans="3:13" ht="12.75" customHeight="1" x14ac:dyDescent="0.2">
      <c r="C65005"/>
      <c r="M65005"/>
    </row>
    <row r="65006" spans="3:13" ht="12.75" customHeight="1" x14ac:dyDescent="0.2">
      <c r="C65006"/>
      <c r="M65006"/>
    </row>
    <row r="65007" spans="3:13" ht="12.75" customHeight="1" x14ac:dyDescent="0.2">
      <c r="C65007"/>
      <c r="M65007"/>
    </row>
    <row r="65008" spans="3:13" ht="12.75" customHeight="1" x14ac:dyDescent="0.2">
      <c r="C65008"/>
      <c r="M65008"/>
    </row>
    <row r="65009" spans="3:13" ht="12.75" customHeight="1" x14ac:dyDescent="0.2">
      <c r="C65009"/>
      <c r="M65009"/>
    </row>
    <row r="65010" spans="3:13" ht="12.75" customHeight="1" x14ac:dyDescent="0.2">
      <c r="C65010"/>
      <c r="M65010"/>
    </row>
    <row r="65011" spans="3:13" ht="12.75" customHeight="1" x14ac:dyDescent="0.2">
      <c r="C65011"/>
      <c r="M65011"/>
    </row>
    <row r="65012" spans="3:13" ht="12.75" customHeight="1" x14ac:dyDescent="0.2">
      <c r="C65012"/>
      <c r="M65012"/>
    </row>
    <row r="65013" spans="3:13" ht="12.75" customHeight="1" x14ac:dyDescent="0.2">
      <c r="C65013"/>
      <c r="M65013"/>
    </row>
    <row r="65014" spans="3:13" ht="12.75" customHeight="1" x14ac:dyDescent="0.2">
      <c r="C65014"/>
      <c r="M65014"/>
    </row>
    <row r="65015" spans="3:13" ht="12.75" customHeight="1" x14ac:dyDescent="0.2">
      <c r="C65015"/>
      <c r="M65015"/>
    </row>
    <row r="65016" spans="3:13" ht="12.75" customHeight="1" x14ac:dyDescent="0.2">
      <c r="C65016"/>
      <c r="M65016"/>
    </row>
    <row r="65017" spans="3:13" ht="12.75" customHeight="1" x14ac:dyDescent="0.2">
      <c r="C65017"/>
      <c r="M65017"/>
    </row>
    <row r="65018" spans="3:13" ht="12.75" customHeight="1" x14ac:dyDescent="0.2">
      <c r="C65018"/>
      <c r="M65018"/>
    </row>
    <row r="65019" spans="3:13" ht="12.75" customHeight="1" x14ac:dyDescent="0.2">
      <c r="C65019"/>
      <c r="M65019"/>
    </row>
    <row r="65020" spans="3:13" ht="12.75" customHeight="1" x14ac:dyDescent="0.2">
      <c r="C65020"/>
      <c r="M65020"/>
    </row>
    <row r="65021" spans="3:13" ht="12.75" customHeight="1" x14ac:dyDescent="0.2">
      <c r="C65021"/>
      <c r="M65021"/>
    </row>
    <row r="65022" spans="3:13" ht="12.75" customHeight="1" x14ac:dyDescent="0.2">
      <c r="C65022"/>
      <c r="M65022"/>
    </row>
    <row r="65023" spans="3:13" ht="12.75" customHeight="1" x14ac:dyDescent="0.2">
      <c r="C65023"/>
      <c r="M65023"/>
    </row>
    <row r="65024" spans="3:13" ht="12.75" customHeight="1" x14ac:dyDescent="0.2">
      <c r="C65024"/>
      <c r="M65024"/>
    </row>
    <row r="65025" spans="3:13" ht="12.75" customHeight="1" x14ac:dyDescent="0.2">
      <c r="C65025"/>
      <c r="M65025"/>
    </row>
    <row r="65026" spans="3:13" ht="12.75" customHeight="1" x14ac:dyDescent="0.2">
      <c r="C65026"/>
      <c r="M65026"/>
    </row>
    <row r="65027" spans="3:13" ht="12.75" customHeight="1" x14ac:dyDescent="0.2">
      <c r="C65027"/>
      <c r="M65027"/>
    </row>
    <row r="65028" spans="3:13" ht="12.75" customHeight="1" x14ac:dyDescent="0.2">
      <c r="C65028"/>
      <c r="M65028"/>
    </row>
    <row r="65029" spans="3:13" ht="12.75" customHeight="1" x14ac:dyDescent="0.2">
      <c r="C65029"/>
      <c r="M65029"/>
    </row>
    <row r="65030" spans="3:13" ht="12.75" customHeight="1" x14ac:dyDescent="0.2">
      <c r="C65030"/>
      <c r="M65030"/>
    </row>
    <row r="65031" spans="3:13" ht="12.75" customHeight="1" x14ac:dyDescent="0.2">
      <c r="C65031"/>
      <c r="M65031"/>
    </row>
    <row r="65032" spans="3:13" ht="12.75" customHeight="1" x14ac:dyDescent="0.2">
      <c r="C65032"/>
      <c r="M65032"/>
    </row>
    <row r="65033" spans="3:13" ht="12.75" customHeight="1" x14ac:dyDescent="0.2">
      <c r="C65033"/>
      <c r="M65033"/>
    </row>
    <row r="65034" spans="3:13" ht="12.75" customHeight="1" x14ac:dyDescent="0.2">
      <c r="C65034"/>
      <c r="M65034"/>
    </row>
    <row r="65035" spans="3:13" ht="12.75" customHeight="1" x14ac:dyDescent="0.2">
      <c r="C65035"/>
      <c r="M65035"/>
    </row>
    <row r="65036" spans="3:13" ht="12.75" customHeight="1" x14ac:dyDescent="0.2">
      <c r="C65036"/>
      <c r="M65036"/>
    </row>
    <row r="65037" spans="3:13" ht="12.75" customHeight="1" x14ac:dyDescent="0.2">
      <c r="C65037"/>
      <c r="M65037"/>
    </row>
    <row r="65038" spans="3:13" ht="12.75" customHeight="1" x14ac:dyDescent="0.2">
      <c r="C65038"/>
      <c r="M65038"/>
    </row>
    <row r="65039" spans="3:13" ht="12.75" customHeight="1" x14ac:dyDescent="0.2">
      <c r="C65039"/>
      <c r="M65039"/>
    </row>
    <row r="65040" spans="3:13" ht="12.75" customHeight="1" x14ac:dyDescent="0.2">
      <c r="C65040"/>
      <c r="M65040"/>
    </row>
    <row r="65041" spans="3:13" ht="12.75" customHeight="1" x14ac:dyDescent="0.2">
      <c r="C65041"/>
      <c r="M65041"/>
    </row>
    <row r="65042" spans="3:13" ht="12.75" customHeight="1" x14ac:dyDescent="0.2">
      <c r="C65042"/>
      <c r="M65042"/>
    </row>
    <row r="65043" spans="3:13" ht="12.75" customHeight="1" x14ac:dyDescent="0.2">
      <c r="C65043"/>
      <c r="M65043"/>
    </row>
    <row r="65044" spans="3:13" ht="12.75" customHeight="1" x14ac:dyDescent="0.2">
      <c r="C65044"/>
      <c r="M65044"/>
    </row>
    <row r="65045" spans="3:13" ht="12.75" customHeight="1" x14ac:dyDescent="0.2">
      <c r="C65045"/>
      <c r="M65045"/>
    </row>
    <row r="65046" spans="3:13" ht="12.75" customHeight="1" x14ac:dyDescent="0.2">
      <c r="C65046"/>
      <c r="M65046"/>
    </row>
    <row r="65047" spans="3:13" ht="12.75" customHeight="1" x14ac:dyDescent="0.2">
      <c r="C65047"/>
      <c r="M65047"/>
    </row>
    <row r="65048" spans="3:13" ht="12.75" customHeight="1" x14ac:dyDescent="0.2">
      <c r="C65048"/>
      <c r="M65048"/>
    </row>
    <row r="65049" spans="3:13" ht="12.75" customHeight="1" x14ac:dyDescent="0.2">
      <c r="C65049"/>
      <c r="M65049"/>
    </row>
    <row r="65050" spans="3:13" ht="12.75" customHeight="1" x14ac:dyDescent="0.2">
      <c r="C65050"/>
      <c r="M65050"/>
    </row>
    <row r="65051" spans="3:13" ht="12.75" customHeight="1" x14ac:dyDescent="0.2">
      <c r="C65051"/>
      <c r="M65051"/>
    </row>
    <row r="65052" spans="3:13" ht="12.75" customHeight="1" x14ac:dyDescent="0.2">
      <c r="C65052"/>
      <c r="M65052"/>
    </row>
    <row r="65053" spans="3:13" ht="12.75" customHeight="1" x14ac:dyDescent="0.2">
      <c r="C65053"/>
      <c r="M65053"/>
    </row>
    <row r="65054" spans="3:13" ht="12.75" customHeight="1" x14ac:dyDescent="0.2">
      <c r="C65054"/>
      <c r="M65054"/>
    </row>
    <row r="65055" spans="3:13" ht="12.75" customHeight="1" x14ac:dyDescent="0.2">
      <c r="C65055"/>
      <c r="M65055"/>
    </row>
    <row r="65056" spans="3:13" ht="12.75" customHeight="1" x14ac:dyDescent="0.2">
      <c r="C65056"/>
      <c r="M65056"/>
    </row>
    <row r="65057" spans="3:13" ht="12.75" customHeight="1" x14ac:dyDescent="0.2">
      <c r="C65057"/>
      <c r="M65057"/>
    </row>
    <row r="65058" spans="3:13" ht="12.75" customHeight="1" x14ac:dyDescent="0.2">
      <c r="C65058"/>
      <c r="M65058"/>
    </row>
    <row r="65059" spans="3:13" ht="12.75" customHeight="1" x14ac:dyDescent="0.2">
      <c r="C65059"/>
      <c r="M65059"/>
    </row>
    <row r="65060" spans="3:13" ht="12.75" customHeight="1" x14ac:dyDescent="0.2">
      <c r="C65060"/>
      <c r="M65060"/>
    </row>
    <row r="65061" spans="3:13" ht="12.75" customHeight="1" x14ac:dyDescent="0.2">
      <c r="C65061"/>
      <c r="M65061"/>
    </row>
    <row r="65062" spans="3:13" ht="12.75" customHeight="1" x14ac:dyDescent="0.2">
      <c r="C65062"/>
      <c r="M65062"/>
    </row>
    <row r="65063" spans="3:13" ht="12.75" customHeight="1" x14ac:dyDescent="0.2">
      <c r="C65063"/>
      <c r="M65063"/>
    </row>
    <row r="65064" spans="3:13" ht="12.75" customHeight="1" x14ac:dyDescent="0.2">
      <c r="C65064"/>
      <c r="M65064"/>
    </row>
    <row r="65065" spans="3:13" ht="12.75" customHeight="1" x14ac:dyDescent="0.2">
      <c r="C65065"/>
      <c r="M65065"/>
    </row>
    <row r="65066" spans="3:13" ht="12.75" customHeight="1" x14ac:dyDescent="0.2">
      <c r="C65066"/>
      <c r="M65066"/>
    </row>
    <row r="65067" spans="3:13" ht="12.75" customHeight="1" x14ac:dyDescent="0.2">
      <c r="C65067"/>
      <c r="M65067"/>
    </row>
    <row r="65068" spans="3:13" ht="12.75" customHeight="1" x14ac:dyDescent="0.2">
      <c r="C65068"/>
      <c r="M65068"/>
    </row>
    <row r="65069" spans="3:13" ht="12.75" customHeight="1" x14ac:dyDescent="0.2">
      <c r="C65069"/>
      <c r="M65069"/>
    </row>
    <row r="65070" spans="3:13" ht="12.75" customHeight="1" x14ac:dyDescent="0.2">
      <c r="C65070"/>
      <c r="M65070"/>
    </row>
    <row r="65071" spans="3:13" ht="12.75" customHeight="1" x14ac:dyDescent="0.2">
      <c r="C65071"/>
      <c r="M65071"/>
    </row>
    <row r="65072" spans="3:13" ht="12.75" customHeight="1" x14ac:dyDescent="0.2">
      <c r="C65072"/>
      <c r="M65072"/>
    </row>
    <row r="65073" spans="3:13" ht="12.75" customHeight="1" x14ac:dyDescent="0.2">
      <c r="C65073"/>
      <c r="M65073"/>
    </row>
    <row r="65074" spans="3:13" ht="12.75" customHeight="1" x14ac:dyDescent="0.2">
      <c r="C65074"/>
      <c r="M65074"/>
    </row>
    <row r="65075" spans="3:13" ht="12.75" customHeight="1" x14ac:dyDescent="0.2">
      <c r="C65075"/>
      <c r="M65075"/>
    </row>
    <row r="65076" spans="3:13" ht="12.75" customHeight="1" x14ac:dyDescent="0.2">
      <c r="C65076"/>
      <c r="M65076"/>
    </row>
    <row r="65077" spans="3:13" ht="12.75" customHeight="1" x14ac:dyDescent="0.2">
      <c r="C65077"/>
      <c r="M65077"/>
    </row>
    <row r="65078" spans="3:13" ht="12.75" customHeight="1" x14ac:dyDescent="0.2">
      <c r="C65078"/>
      <c r="M65078"/>
    </row>
    <row r="65079" spans="3:13" ht="12.75" customHeight="1" x14ac:dyDescent="0.2">
      <c r="C65079"/>
      <c r="M65079"/>
    </row>
    <row r="65080" spans="3:13" ht="12.75" customHeight="1" x14ac:dyDescent="0.2">
      <c r="C65080"/>
      <c r="M65080"/>
    </row>
    <row r="65081" spans="3:13" ht="12.75" customHeight="1" x14ac:dyDescent="0.2">
      <c r="C65081"/>
      <c r="M65081"/>
    </row>
    <row r="65082" spans="3:13" ht="12.75" customHeight="1" x14ac:dyDescent="0.2">
      <c r="C65082"/>
      <c r="M65082"/>
    </row>
    <row r="65083" spans="3:13" ht="12.75" customHeight="1" x14ac:dyDescent="0.2">
      <c r="C65083"/>
      <c r="M65083"/>
    </row>
    <row r="65084" spans="3:13" ht="12.75" customHeight="1" x14ac:dyDescent="0.2">
      <c r="C65084"/>
      <c r="M65084"/>
    </row>
    <row r="65085" spans="3:13" ht="12.75" customHeight="1" x14ac:dyDescent="0.2">
      <c r="C65085"/>
      <c r="M65085"/>
    </row>
    <row r="65086" spans="3:13" ht="12.75" customHeight="1" x14ac:dyDescent="0.2">
      <c r="C65086"/>
      <c r="M65086"/>
    </row>
    <row r="65087" spans="3:13" ht="12.75" customHeight="1" x14ac:dyDescent="0.2">
      <c r="C65087"/>
      <c r="M65087"/>
    </row>
    <row r="65088" spans="3:13" ht="12.75" customHeight="1" x14ac:dyDescent="0.2">
      <c r="C65088"/>
      <c r="M65088"/>
    </row>
    <row r="65089" spans="3:13" ht="12.75" customHeight="1" x14ac:dyDescent="0.2">
      <c r="C65089"/>
      <c r="M65089"/>
    </row>
    <row r="65090" spans="3:13" ht="12.75" customHeight="1" x14ac:dyDescent="0.2">
      <c r="C65090"/>
      <c r="M65090"/>
    </row>
    <row r="65091" spans="3:13" ht="12.75" customHeight="1" x14ac:dyDescent="0.2">
      <c r="C65091"/>
      <c r="M65091"/>
    </row>
    <row r="65092" spans="3:13" ht="12.75" customHeight="1" x14ac:dyDescent="0.2">
      <c r="C65092"/>
      <c r="M65092"/>
    </row>
    <row r="65093" spans="3:13" ht="12.75" customHeight="1" x14ac:dyDescent="0.2">
      <c r="C65093"/>
      <c r="M65093"/>
    </row>
    <row r="65094" spans="3:13" ht="12.75" customHeight="1" x14ac:dyDescent="0.2">
      <c r="C65094"/>
      <c r="M65094"/>
    </row>
    <row r="65095" spans="3:13" ht="12.75" customHeight="1" x14ac:dyDescent="0.2">
      <c r="C65095"/>
      <c r="M65095"/>
    </row>
    <row r="65096" spans="3:13" ht="12.75" customHeight="1" x14ac:dyDescent="0.2">
      <c r="C65096"/>
      <c r="M65096"/>
    </row>
    <row r="65097" spans="3:13" ht="12.75" customHeight="1" x14ac:dyDescent="0.2">
      <c r="C65097"/>
      <c r="M65097"/>
    </row>
    <row r="65098" spans="3:13" ht="12.75" customHeight="1" x14ac:dyDescent="0.2">
      <c r="C65098"/>
      <c r="M65098"/>
    </row>
    <row r="65099" spans="3:13" ht="12.75" customHeight="1" x14ac:dyDescent="0.2">
      <c r="C65099"/>
      <c r="M65099"/>
    </row>
    <row r="65100" spans="3:13" ht="12.75" customHeight="1" x14ac:dyDescent="0.2">
      <c r="C65100"/>
      <c r="M65100"/>
    </row>
    <row r="65101" spans="3:13" ht="12.75" customHeight="1" x14ac:dyDescent="0.2">
      <c r="C65101"/>
      <c r="M65101"/>
    </row>
    <row r="65102" spans="3:13" ht="12.75" customHeight="1" x14ac:dyDescent="0.2">
      <c r="C65102"/>
      <c r="M65102"/>
    </row>
    <row r="65103" spans="3:13" ht="12.75" customHeight="1" x14ac:dyDescent="0.2">
      <c r="C65103"/>
      <c r="M65103"/>
    </row>
    <row r="65104" spans="3:13" ht="12.75" customHeight="1" x14ac:dyDescent="0.2">
      <c r="C65104"/>
      <c r="M65104"/>
    </row>
    <row r="65105" spans="3:13" ht="12.75" customHeight="1" x14ac:dyDescent="0.2">
      <c r="C65105"/>
      <c r="M65105"/>
    </row>
    <row r="65106" spans="3:13" ht="12.75" customHeight="1" x14ac:dyDescent="0.2">
      <c r="C65106"/>
      <c r="M65106"/>
    </row>
    <row r="65107" spans="3:13" ht="12.75" customHeight="1" x14ac:dyDescent="0.2">
      <c r="C65107"/>
      <c r="M65107"/>
    </row>
    <row r="65108" spans="3:13" ht="12.75" customHeight="1" x14ac:dyDescent="0.2">
      <c r="C65108"/>
      <c r="M65108"/>
    </row>
    <row r="65109" spans="3:13" ht="12.75" customHeight="1" x14ac:dyDescent="0.2">
      <c r="C65109"/>
      <c r="M65109"/>
    </row>
    <row r="65110" spans="3:13" ht="12.75" customHeight="1" x14ac:dyDescent="0.2">
      <c r="C65110"/>
      <c r="M65110"/>
    </row>
    <row r="65111" spans="3:13" ht="12.75" customHeight="1" x14ac:dyDescent="0.2">
      <c r="C65111"/>
      <c r="M65111"/>
    </row>
    <row r="65112" spans="3:13" ht="12.75" customHeight="1" x14ac:dyDescent="0.2">
      <c r="C65112"/>
      <c r="M65112"/>
    </row>
    <row r="65113" spans="3:13" ht="12.75" customHeight="1" x14ac:dyDescent="0.2">
      <c r="C65113"/>
      <c r="M65113"/>
    </row>
    <row r="65114" spans="3:13" ht="12.75" customHeight="1" x14ac:dyDescent="0.2">
      <c r="C65114"/>
      <c r="M65114"/>
    </row>
    <row r="65115" spans="3:13" ht="12.75" customHeight="1" x14ac:dyDescent="0.2">
      <c r="C65115"/>
      <c r="M65115"/>
    </row>
    <row r="65116" spans="3:13" ht="12.75" customHeight="1" x14ac:dyDescent="0.2">
      <c r="C65116"/>
      <c r="M65116"/>
    </row>
    <row r="65117" spans="3:13" ht="12.75" customHeight="1" x14ac:dyDescent="0.2">
      <c r="C65117"/>
      <c r="M65117"/>
    </row>
    <row r="65118" spans="3:13" ht="12.75" customHeight="1" x14ac:dyDescent="0.2">
      <c r="C65118"/>
      <c r="M65118"/>
    </row>
    <row r="65119" spans="3:13" ht="12.75" customHeight="1" x14ac:dyDescent="0.2">
      <c r="C65119"/>
      <c r="M65119"/>
    </row>
    <row r="65120" spans="3:13" ht="12.75" customHeight="1" x14ac:dyDescent="0.2">
      <c r="C65120"/>
      <c r="M65120"/>
    </row>
    <row r="65121" spans="3:13" ht="12.75" customHeight="1" x14ac:dyDescent="0.2">
      <c r="C65121"/>
      <c r="M65121"/>
    </row>
    <row r="65122" spans="3:13" ht="12.75" customHeight="1" x14ac:dyDescent="0.2">
      <c r="C65122"/>
      <c r="M65122"/>
    </row>
    <row r="65123" spans="3:13" ht="12.75" customHeight="1" x14ac:dyDescent="0.2">
      <c r="C65123"/>
      <c r="M65123"/>
    </row>
    <row r="65124" spans="3:13" ht="12.75" customHeight="1" x14ac:dyDescent="0.2">
      <c r="C65124"/>
      <c r="M65124"/>
    </row>
    <row r="65125" spans="3:13" ht="12.75" customHeight="1" x14ac:dyDescent="0.2">
      <c r="C65125"/>
      <c r="M65125"/>
    </row>
    <row r="65126" spans="3:13" ht="12.75" customHeight="1" x14ac:dyDescent="0.2">
      <c r="C65126"/>
      <c r="M65126"/>
    </row>
    <row r="65127" spans="3:13" ht="12.75" customHeight="1" x14ac:dyDescent="0.2">
      <c r="C65127"/>
      <c r="M65127"/>
    </row>
    <row r="65128" spans="3:13" ht="12.75" customHeight="1" x14ac:dyDescent="0.2">
      <c r="C65128"/>
      <c r="M65128"/>
    </row>
    <row r="65129" spans="3:13" ht="12.75" customHeight="1" x14ac:dyDescent="0.2">
      <c r="C65129"/>
      <c r="M65129"/>
    </row>
    <row r="65130" spans="3:13" ht="12.75" customHeight="1" x14ac:dyDescent="0.2">
      <c r="C65130"/>
      <c r="M65130"/>
    </row>
    <row r="65131" spans="3:13" ht="12.75" customHeight="1" x14ac:dyDescent="0.2">
      <c r="C65131"/>
      <c r="M65131"/>
    </row>
    <row r="65132" spans="3:13" ht="12.75" customHeight="1" x14ac:dyDescent="0.2">
      <c r="C65132"/>
      <c r="M65132"/>
    </row>
    <row r="65133" spans="3:13" ht="12.75" customHeight="1" x14ac:dyDescent="0.2">
      <c r="C65133"/>
      <c r="M65133"/>
    </row>
    <row r="65134" spans="3:13" ht="12.75" customHeight="1" x14ac:dyDescent="0.2">
      <c r="C65134"/>
      <c r="M65134"/>
    </row>
    <row r="65135" spans="3:13" ht="12.75" customHeight="1" x14ac:dyDescent="0.2">
      <c r="C65135"/>
      <c r="M65135"/>
    </row>
    <row r="65136" spans="3:13" ht="12.75" customHeight="1" x14ac:dyDescent="0.2">
      <c r="C65136"/>
      <c r="M65136"/>
    </row>
    <row r="65137" spans="3:13" ht="12.75" customHeight="1" x14ac:dyDescent="0.2">
      <c r="C65137"/>
      <c r="M65137"/>
    </row>
    <row r="65138" spans="3:13" ht="12.75" customHeight="1" x14ac:dyDescent="0.2">
      <c r="C65138"/>
      <c r="M65138"/>
    </row>
    <row r="65139" spans="3:13" ht="12.75" customHeight="1" x14ac:dyDescent="0.2">
      <c r="C65139"/>
      <c r="M65139"/>
    </row>
    <row r="65140" spans="3:13" ht="12.75" customHeight="1" x14ac:dyDescent="0.2">
      <c r="C65140"/>
      <c r="M65140"/>
    </row>
    <row r="65141" spans="3:13" ht="12.75" customHeight="1" x14ac:dyDescent="0.2">
      <c r="C65141"/>
      <c r="M65141"/>
    </row>
    <row r="65142" spans="3:13" ht="12.75" customHeight="1" x14ac:dyDescent="0.2">
      <c r="C65142"/>
      <c r="M65142"/>
    </row>
    <row r="65143" spans="3:13" ht="12.75" customHeight="1" x14ac:dyDescent="0.2">
      <c r="C65143"/>
      <c r="M65143"/>
    </row>
    <row r="65144" spans="3:13" ht="12.75" customHeight="1" x14ac:dyDescent="0.2">
      <c r="C65144"/>
      <c r="M65144"/>
    </row>
    <row r="65145" spans="3:13" ht="12.75" customHeight="1" x14ac:dyDescent="0.2">
      <c r="C65145"/>
      <c r="M65145"/>
    </row>
    <row r="65146" spans="3:13" ht="12.75" customHeight="1" x14ac:dyDescent="0.2">
      <c r="C65146"/>
      <c r="M65146"/>
    </row>
    <row r="65147" spans="3:13" ht="12.75" customHeight="1" x14ac:dyDescent="0.2">
      <c r="C65147"/>
      <c r="M65147"/>
    </row>
    <row r="65148" spans="3:13" ht="12.75" customHeight="1" x14ac:dyDescent="0.2">
      <c r="C65148"/>
      <c r="M65148"/>
    </row>
    <row r="65149" spans="3:13" ht="12.75" customHeight="1" x14ac:dyDescent="0.2">
      <c r="C65149"/>
      <c r="M65149"/>
    </row>
    <row r="65150" spans="3:13" ht="12.75" customHeight="1" x14ac:dyDescent="0.2">
      <c r="C65150"/>
      <c r="M65150"/>
    </row>
    <row r="65151" spans="3:13" ht="12.75" customHeight="1" x14ac:dyDescent="0.2">
      <c r="C65151"/>
      <c r="M65151"/>
    </row>
    <row r="65152" spans="3:13" ht="12.75" customHeight="1" x14ac:dyDescent="0.2">
      <c r="C65152"/>
      <c r="M65152"/>
    </row>
    <row r="65153" spans="3:13" ht="12.75" customHeight="1" x14ac:dyDescent="0.2">
      <c r="C65153"/>
      <c r="M65153"/>
    </row>
    <row r="65154" spans="3:13" ht="12.75" customHeight="1" x14ac:dyDescent="0.2">
      <c r="C65154"/>
      <c r="M65154"/>
    </row>
    <row r="65155" spans="3:13" ht="12.75" customHeight="1" x14ac:dyDescent="0.2">
      <c r="C65155"/>
      <c r="M65155"/>
    </row>
    <row r="65156" spans="3:13" ht="12.75" customHeight="1" x14ac:dyDescent="0.2">
      <c r="C65156"/>
      <c r="M65156"/>
    </row>
    <row r="65157" spans="3:13" ht="12.75" customHeight="1" x14ac:dyDescent="0.2">
      <c r="C65157"/>
      <c r="M65157"/>
    </row>
    <row r="65158" spans="3:13" ht="12.75" customHeight="1" x14ac:dyDescent="0.2">
      <c r="C65158"/>
      <c r="M65158"/>
    </row>
    <row r="65159" spans="3:13" ht="12.75" customHeight="1" x14ac:dyDescent="0.2">
      <c r="C65159"/>
      <c r="M65159"/>
    </row>
    <row r="65160" spans="3:13" ht="12.75" customHeight="1" x14ac:dyDescent="0.2">
      <c r="C65160"/>
      <c r="M65160"/>
    </row>
    <row r="65161" spans="3:13" ht="12.75" customHeight="1" x14ac:dyDescent="0.2">
      <c r="C65161"/>
      <c r="M65161"/>
    </row>
    <row r="65162" spans="3:13" ht="12.75" customHeight="1" x14ac:dyDescent="0.2">
      <c r="C65162"/>
      <c r="M65162"/>
    </row>
    <row r="65163" spans="3:13" ht="12.75" customHeight="1" x14ac:dyDescent="0.2">
      <c r="C65163"/>
      <c r="M65163"/>
    </row>
    <row r="65164" spans="3:13" ht="12.75" customHeight="1" x14ac:dyDescent="0.2">
      <c r="C65164"/>
      <c r="M65164"/>
    </row>
    <row r="65165" spans="3:13" ht="12.75" customHeight="1" x14ac:dyDescent="0.2">
      <c r="C65165"/>
      <c r="M65165"/>
    </row>
    <row r="65166" spans="3:13" ht="12.75" customHeight="1" x14ac:dyDescent="0.2">
      <c r="C65166"/>
      <c r="M65166"/>
    </row>
    <row r="65167" spans="3:13" ht="12.75" customHeight="1" x14ac:dyDescent="0.2">
      <c r="C65167"/>
      <c r="M65167"/>
    </row>
    <row r="65168" spans="3:13" ht="12.75" customHeight="1" x14ac:dyDescent="0.2">
      <c r="C65168"/>
      <c r="M65168"/>
    </row>
    <row r="65169" spans="3:13" ht="12.75" customHeight="1" x14ac:dyDescent="0.2">
      <c r="C65169"/>
      <c r="M65169"/>
    </row>
    <row r="65170" spans="3:13" ht="12.75" customHeight="1" x14ac:dyDescent="0.2">
      <c r="C65170"/>
      <c r="M65170"/>
    </row>
    <row r="65171" spans="3:13" ht="12.75" customHeight="1" x14ac:dyDescent="0.2">
      <c r="C65171"/>
      <c r="M65171"/>
    </row>
    <row r="65172" spans="3:13" ht="12.75" customHeight="1" x14ac:dyDescent="0.2">
      <c r="C65172"/>
      <c r="M65172"/>
    </row>
    <row r="65173" spans="3:13" ht="12.75" customHeight="1" x14ac:dyDescent="0.2">
      <c r="C65173"/>
      <c r="M65173"/>
    </row>
    <row r="65174" spans="3:13" ht="12.75" customHeight="1" x14ac:dyDescent="0.2">
      <c r="C65174"/>
      <c r="M65174"/>
    </row>
    <row r="65175" spans="3:13" ht="12.75" customHeight="1" x14ac:dyDescent="0.2">
      <c r="C65175"/>
      <c r="M65175"/>
    </row>
    <row r="65176" spans="3:13" ht="12.75" customHeight="1" x14ac:dyDescent="0.2">
      <c r="C65176"/>
      <c r="M65176"/>
    </row>
    <row r="65177" spans="3:13" ht="12.75" customHeight="1" x14ac:dyDescent="0.2">
      <c r="C65177"/>
      <c r="M65177"/>
    </row>
    <row r="65178" spans="3:13" ht="12.75" customHeight="1" x14ac:dyDescent="0.2">
      <c r="C65178"/>
      <c r="M65178"/>
    </row>
    <row r="65179" spans="3:13" ht="12.75" customHeight="1" x14ac:dyDescent="0.2">
      <c r="C65179"/>
      <c r="M65179"/>
    </row>
    <row r="65180" spans="3:13" ht="12.75" customHeight="1" x14ac:dyDescent="0.2">
      <c r="C65180"/>
      <c r="M65180"/>
    </row>
    <row r="65181" spans="3:13" ht="12.75" customHeight="1" x14ac:dyDescent="0.2">
      <c r="C65181"/>
      <c r="M65181"/>
    </row>
    <row r="65182" spans="3:13" ht="12.75" customHeight="1" x14ac:dyDescent="0.2">
      <c r="C65182"/>
      <c r="M65182"/>
    </row>
    <row r="65183" spans="3:13" ht="12.75" customHeight="1" x14ac:dyDescent="0.2">
      <c r="C65183"/>
      <c r="M65183"/>
    </row>
    <row r="65184" spans="3:13" ht="12.75" customHeight="1" x14ac:dyDescent="0.2">
      <c r="C65184"/>
      <c r="M65184"/>
    </row>
    <row r="65185" spans="3:13" ht="12.75" customHeight="1" x14ac:dyDescent="0.2">
      <c r="C65185"/>
      <c r="M65185"/>
    </row>
    <row r="65186" spans="3:13" ht="12.75" customHeight="1" x14ac:dyDescent="0.2">
      <c r="C65186"/>
      <c r="M65186"/>
    </row>
    <row r="65187" spans="3:13" ht="12.75" customHeight="1" x14ac:dyDescent="0.2">
      <c r="C65187"/>
      <c r="M65187"/>
    </row>
    <row r="65188" spans="3:13" ht="12.75" customHeight="1" x14ac:dyDescent="0.2">
      <c r="C65188"/>
      <c r="M65188"/>
    </row>
    <row r="65189" spans="3:13" ht="12.75" customHeight="1" x14ac:dyDescent="0.2">
      <c r="C65189"/>
      <c r="M65189"/>
    </row>
    <row r="65190" spans="3:13" ht="12.75" customHeight="1" x14ac:dyDescent="0.2">
      <c r="C65190"/>
      <c r="M65190"/>
    </row>
    <row r="65191" spans="3:13" ht="12.75" customHeight="1" x14ac:dyDescent="0.2">
      <c r="C65191"/>
      <c r="M65191"/>
    </row>
    <row r="65192" spans="3:13" ht="12.75" customHeight="1" x14ac:dyDescent="0.2">
      <c r="C65192"/>
      <c r="M65192"/>
    </row>
    <row r="65193" spans="3:13" ht="12.75" customHeight="1" x14ac:dyDescent="0.2">
      <c r="C65193"/>
      <c r="M65193"/>
    </row>
    <row r="65194" spans="3:13" ht="12.75" customHeight="1" x14ac:dyDescent="0.2">
      <c r="C65194"/>
      <c r="M65194"/>
    </row>
    <row r="65195" spans="3:13" ht="12.75" customHeight="1" x14ac:dyDescent="0.2">
      <c r="C65195"/>
      <c r="M65195"/>
    </row>
    <row r="65196" spans="3:13" ht="12.75" customHeight="1" x14ac:dyDescent="0.2">
      <c r="C65196"/>
      <c r="M65196"/>
    </row>
    <row r="65197" spans="3:13" ht="12.75" customHeight="1" x14ac:dyDescent="0.2">
      <c r="C65197"/>
      <c r="M65197"/>
    </row>
    <row r="65198" spans="3:13" ht="12.75" customHeight="1" x14ac:dyDescent="0.2">
      <c r="C65198"/>
      <c r="M65198"/>
    </row>
    <row r="65199" spans="3:13" ht="12.75" customHeight="1" x14ac:dyDescent="0.2">
      <c r="C65199"/>
      <c r="M65199"/>
    </row>
    <row r="65200" spans="3:13" ht="12.75" customHeight="1" x14ac:dyDescent="0.2">
      <c r="C65200"/>
      <c r="M65200"/>
    </row>
    <row r="65201" spans="3:13" ht="12.75" customHeight="1" x14ac:dyDescent="0.2">
      <c r="C65201"/>
      <c r="M65201"/>
    </row>
    <row r="65202" spans="3:13" ht="12.75" customHeight="1" x14ac:dyDescent="0.2">
      <c r="C65202"/>
      <c r="M65202"/>
    </row>
    <row r="65203" spans="3:13" ht="12.75" customHeight="1" x14ac:dyDescent="0.2">
      <c r="C65203"/>
      <c r="M65203"/>
    </row>
    <row r="65204" spans="3:13" ht="12.75" customHeight="1" x14ac:dyDescent="0.2">
      <c r="C65204"/>
      <c r="M65204"/>
    </row>
    <row r="65205" spans="3:13" ht="12.75" customHeight="1" x14ac:dyDescent="0.2">
      <c r="C65205"/>
      <c r="M65205"/>
    </row>
    <row r="65206" spans="3:13" ht="12.75" customHeight="1" x14ac:dyDescent="0.2">
      <c r="C65206"/>
      <c r="M65206"/>
    </row>
    <row r="65207" spans="3:13" ht="12.75" customHeight="1" x14ac:dyDescent="0.2">
      <c r="C65207"/>
      <c r="M65207"/>
    </row>
    <row r="65208" spans="3:13" ht="12.75" customHeight="1" x14ac:dyDescent="0.2">
      <c r="C65208"/>
      <c r="M65208"/>
    </row>
    <row r="65209" spans="3:13" ht="12.75" customHeight="1" x14ac:dyDescent="0.2">
      <c r="C65209"/>
      <c r="M65209"/>
    </row>
    <row r="65210" spans="3:13" ht="12.75" customHeight="1" x14ac:dyDescent="0.2">
      <c r="C65210"/>
      <c r="M65210"/>
    </row>
    <row r="65211" spans="3:13" ht="12.75" customHeight="1" x14ac:dyDescent="0.2">
      <c r="C65211"/>
      <c r="M65211"/>
    </row>
    <row r="65212" spans="3:13" ht="12.75" customHeight="1" x14ac:dyDescent="0.2">
      <c r="C65212"/>
      <c r="M65212"/>
    </row>
    <row r="65213" spans="3:13" ht="12.75" customHeight="1" x14ac:dyDescent="0.2">
      <c r="C65213"/>
      <c r="M65213"/>
    </row>
    <row r="65214" spans="3:13" ht="12.75" customHeight="1" x14ac:dyDescent="0.2">
      <c r="C65214"/>
      <c r="M65214"/>
    </row>
    <row r="65215" spans="3:13" ht="12.75" customHeight="1" x14ac:dyDescent="0.2">
      <c r="C65215"/>
      <c r="M65215"/>
    </row>
    <row r="65216" spans="3:13" ht="12.75" customHeight="1" x14ac:dyDescent="0.2">
      <c r="C65216"/>
      <c r="M65216"/>
    </row>
    <row r="65217" spans="3:13" ht="12.75" customHeight="1" x14ac:dyDescent="0.2">
      <c r="C65217"/>
      <c r="M65217"/>
    </row>
    <row r="65218" spans="3:13" ht="12.75" customHeight="1" x14ac:dyDescent="0.2">
      <c r="C65218"/>
      <c r="M65218"/>
    </row>
    <row r="65219" spans="3:13" ht="12.75" customHeight="1" x14ac:dyDescent="0.2">
      <c r="C65219"/>
      <c r="M65219"/>
    </row>
    <row r="65220" spans="3:13" ht="12.75" customHeight="1" x14ac:dyDescent="0.2">
      <c r="C65220"/>
      <c r="M65220"/>
    </row>
    <row r="65221" spans="3:13" ht="12.75" customHeight="1" x14ac:dyDescent="0.2">
      <c r="C65221"/>
      <c r="M65221"/>
    </row>
    <row r="65222" spans="3:13" ht="12.75" customHeight="1" x14ac:dyDescent="0.2">
      <c r="C65222"/>
      <c r="M65222"/>
    </row>
    <row r="65223" spans="3:13" ht="12.75" customHeight="1" x14ac:dyDescent="0.2">
      <c r="C65223"/>
      <c r="M65223"/>
    </row>
    <row r="65224" spans="3:13" ht="12.75" customHeight="1" x14ac:dyDescent="0.2">
      <c r="C65224"/>
      <c r="M65224"/>
    </row>
    <row r="65225" spans="3:13" ht="12.75" customHeight="1" x14ac:dyDescent="0.2">
      <c r="C65225"/>
      <c r="M65225"/>
    </row>
    <row r="65226" spans="3:13" ht="12.75" customHeight="1" x14ac:dyDescent="0.2">
      <c r="C65226"/>
      <c r="M65226"/>
    </row>
    <row r="65227" spans="3:13" ht="12.75" customHeight="1" x14ac:dyDescent="0.2">
      <c r="C65227"/>
      <c r="M65227"/>
    </row>
    <row r="65228" spans="3:13" ht="12.75" customHeight="1" x14ac:dyDescent="0.2">
      <c r="C65228"/>
      <c r="M65228"/>
    </row>
    <row r="65229" spans="3:13" ht="12.75" customHeight="1" x14ac:dyDescent="0.2">
      <c r="C65229"/>
      <c r="M65229"/>
    </row>
    <row r="65230" spans="3:13" ht="12.75" customHeight="1" x14ac:dyDescent="0.2">
      <c r="C65230"/>
      <c r="M65230"/>
    </row>
    <row r="65231" spans="3:13" ht="12.75" customHeight="1" x14ac:dyDescent="0.2">
      <c r="C65231"/>
      <c r="M65231"/>
    </row>
    <row r="65232" spans="3:13" ht="12.75" customHeight="1" x14ac:dyDescent="0.2">
      <c r="C65232"/>
      <c r="M65232"/>
    </row>
    <row r="65233" spans="3:13" ht="12.75" customHeight="1" x14ac:dyDescent="0.2">
      <c r="C65233"/>
      <c r="M65233"/>
    </row>
    <row r="65234" spans="3:13" ht="12.75" customHeight="1" x14ac:dyDescent="0.2">
      <c r="C65234"/>
      <c r="M65234"/>
    </row>
    <row r="65235" spans="3:13" ht="12.75" customHeight="1" x14ac:dyDescent="0.2">
      <c r="C65235"/>
      <c r="M65235"/>
    </row>
    <row r="65236" spans="3:13" ht="12.75" customHeight="1" x14ac:dyDescent="0.2">
      <c r="C65236"/>
      <c r="M65236"/>
    </row>
    <row r="65237" spans="3:13" ht="12.75" customHeight="1" x14ac:dyDescent="0.2">
      <c r="C65237"/>
      <c r="M65237"/>
    </row>
    <row r="65238" spans="3:13" ht="12.75" customHeight="1" x14ac:dyDescent="0.2">
      <c r="C65238"/>
      <c r="M65238"/>
    </row>
    <row r="65239" spans="3:13" ht="12.75" customHeight="1" x14ac:dyDescent="0.2">
      <c r="C65239"/>
      <c r="M65239"/>
    </row>
    <row r="65240" spans="3:13" ht="12.75" customHeight="1" x14ac:dyDescent="0.2">
      <c r="C65240"/>
      <c r="M65240"/>
    </row>
    <row r="65241" spans="3:13" ht="12.75" customHeight="1" x14ac:dyDescent="0.2">
      <c r="C65241"/>
      <c r="M65241"/>
    </row>
    <row r="65242" spans="3:13" ht="12.75" customHeight="1" x14ac:dyDescent="0.2">
      <c r="C65242"/>
      <c r="M65242"/>
    </row>
    <row r="65243" spans="3:13" ht="12.75" customHeight="1" x14ac:dyDescent="0.2">
      <c r="C65243"/>
      <c r="M65243"/>
    </row>
    <row r="65244" spans="3:13" ht="12.75" customHeight="1" x14ac:dyDescent="0.2">
      <c r="C65244"/>
      <c r="M65244"/>
    </row>
    <row r="65245" spans="3:13" ht="12.75" customHeight="1" x14ac:dyDescent="0.2">
      <c r="C65245"/>
      <c r="M65245"/>
    </row>
    <row r="65246" spans="3:13" ht="12.75" customHeight="1" x14ac:dyDescent="0.2">
      <c r="C65246"/>
      <c r="M65246"/>
    </row>
    <row r="65247" spans="3:13" ht="12.75" customHeight="1" x14ac:dyDescent="0.2">
      <c r="C65247"/>
      <c r="M65247"/>
    </row>
    <row r="65248" spans="3:13" ht="12.75" customHeight="1" x14ac:dyDescent="0.2">
      <c r="C65248"/>
      <c r="M65248"/>
    </row>
    <row r="65249" spans="3:13" ht="12.75" customHeight="1" x14ac:dyDescent="0.2">
      <c r="C65249"/>
      <c r="M65249"/>
    </row>
    <row r="65250" spans="3:13" ht="12.75" customHeight="1" x14ac:dyDescent="0.2">
      <c r="C65250"/>
      <c r="M65250"/>
    </row>
    <row r="65251" spans="3:13" ht="12.75" customHeight="1" x14ac:dyDescent="0.2">
      <c r="C65251"/>
      <c r="M65251"/>
    </row>
    <row r="65252" spans="3:13" ht="12.75" customHeight="1" x14ac:dyDescent="0.2">
      <c r="C65252"/>
      <c r="M65252"/>
    </row>
    <row r="65253" spans="3:13" ht="12.75" customHeight="1" x14ac:dyDescent="0.2">
      <c r="C65253"/>
      <c r="M65253"/>
    </row>
    <row r="65254" spans="3:13" ht="12.75" customHeight="1" x14ac:dyDescent="0.2">
      <c r="C65254"/>
      <c r="M65254"/>
    </row>
    <row r="65255" spans="3:13" ht="12.75" customHeight="1" x14ac:dyDescent="0.2">
      <c r="C65255"/>
      <c r="M65255"/>
    </row>
    <row r="65256" spans="3:13" ht="12.75" customHeight="1" x14ac:dyDescent="0.2">
      <c r="C65256"/>
      <c r="M65256"/>
    </row>
    <row r="65257" spans="3:13" ht="12.75" customHeight="1" x14ac:dyDescent="0.2">
      <c r="C65257"/>
      <c r="M65257"/>
    </row>
    <row r="65258" spans="3:13" ht="12.75" customHeight="1" x14ac:dyDescent="0.2">
      <c r="C65258"/>
      <c r="M65258"/>
    </row>
    <row r="65259" spans="3:13" ht="12.75" customHeight="1" x14ac:dyDescent="0.2">
      <c r="C65259"/>
      <c r="M65259"/>
    </row>
    <row r="65260" spans="3:13" ht="12.75" customHeight="1" x14ac:dyDescent="0.2">
      <c r="C65260"/>
      <c r="M65260"/>
    </row>
    <row r="65261" spans="3:13" ht="12.75" customHeight="1" x14ac:dyDescent="0.2">
      <c r="C65261"/>
      <c r="M65261"/>
    </row>
    <row r="65262" spans="3:13" ht="12.75" customHeight="1" x14ac:dyDescent="0.2">
      <c r="C65262"/>
      <c r="M65262"/>
    </row>
    <row r="65263" spans="3:13" ht="12.75" customHeight="1" x14ac:dyDescent="0.2">
      <c r="C65263"/>
      <c r="M65263"/>
    </row>
    <row r="65264" spans="3:13" ht="12.75" customHeight="1" x14ac:dyDescent="0.2">
      <c r="C65264"/>
      <c r="M65264"/>
    </row>
    <row r="65265" spans="3:13" ht="12.75" customHeight="1" x14ac:dyDescent="0.2">
      <c r="C65265"/>
      <c r="M65265"/>
    </row>
    <row r="65266" spans="3:13" ht="12.75" customHeight="1" x14ac:dyDescent="0.2">
      <c r="C65266"/>
      <c r="M65266"/>
    </row>
    <row r="65267" spans="3:13" ht="12.75" customHeight="1" x14ac:dyDescent="0.2">
      <c r="C65267"/>
      <c r="M65267"/>
    </row>
    <row r="65268" spans="3:13" ht="12.75" customHeight="1" x14ac:dyDescent="0.2">
      <c r="C65268"/>
      <c r="M65268"/>
    </row>
    <row r="65269" spans="3:13" ht="12.75" customHeight="1" x14ac:dyDescent="0.2">
      <c r="C65269"/>
      <c r="M65269"/>
    </row>
    <row r="65270" spans="3:13" ht="12.75" customHeight="1" x14ac:dyDescent="0.2">
      <c r="C65270"/>
      <c r="M65270"/>
    </row>
    <row r="65271" spans="3:13" ht="12.75" customHeight="1" x14ac:dyDescent="0.2">
      <c r="C65271"/>
      <c r="M65271"/>
    </row>
    <row r="65272" spans="3:13" ht="12.75" customHeight="1" x14ac:dyDescent="0.2">
      <c r="C65272"/>
      <c r="M65272"/>
    </row>
    <row r="65273" spans="3:13" ht="12.75" customHeight="1" x14ac:dyDescent="0.2">
      <c r="C65273"/>
      <c r="M65273"/>
    </row>
    <row r="65274" spans="3:13" ht="12.75" customHeight="1" x14ac:dyDescent="0.2">
      <c r="C65274"/>
      <c r="M65274"/>
    </row>
    <row r="65275" spans="3:13" ht="12.75" customHeight="1" x14ac:dyDescent="0.2">
      <c r="C65275"/>
      <c r="M65275"/>
    </row>
    <row r="65276" spans="3:13" ht="12.75" customHeight="1" x14ac:dyDescent="0.2">
      <c r="C65276"/>
      <c r="M65276"/>
    </row>
    <row r="65277" spans="3:13" ht="12.75" customHeight="1" x14ac:dyDescent="0.2">
      <c r="C65277"/>
      <c r="M65277"/>
    </row>
    <row r="65278" spans="3:13" ht="12.75" customHeight="1" x14ac:dyDescent="0.2">
      <c r="C65278"/>
      <c r="M65278"/>
    </row>
    <row r="65279" spans="3:13" ht="12.75" customHeight="1" x14ac:dyDescent="0.2">
      <c r="C65279"/>
      <c r="M65279"/>
    </row>
    <row r="65280" spans="3:13" ht="12.75" customHeight="1" x14ac:dyDescent="0.2">
      <c r="C65280"/>
      <c r="M65280"/>
    </row>
    <row r="65281" spans="3:13" ht="12.75" customHeight="1" x14ac:dyDescent="0.2">
      <c r="C65281"/>
      <c r="M65281"/>
    </row>
    <row r="65282" spans="3:13" ht="12.75" customHeight="1" x14ac:dyDescent="0.2">
      <c r="C65282"/>
      <c r="M65282"/>
    </row>
    <row r="65283" spans="3:13" ht="12.75" customHeight="1" x14ac:dyDescent="0.2">
      <c r="C65283"/>
      <c r="M65283"/>
    </row>
    <row r="65284" spans="3:13" ht="12.75" customHeight="1" x14ac:dyDescent="0.2">
      <c r="C65284"/>
      <c r="M65284"/>
    </row>
    <row r="65285" spans="3:13" ht="12.75" customHeight="1" x14ac:dyDescent="0.2">
      <c r="C65285"/>
      <c r="M65285"/>
    </row>
    <row r="65286" spans="3:13" ht="12.75" customHeight="1" x14ac:dyDescent="0.2">
      <c r="C65286"/>
      <c r="M65286"/>
    </row>
    <row r="65287" spans="3:13" ht="12.75" customHeight="1" x14ac:dyDescent="0.2">
      <c r="C65287"/>
      <c r="M65287"/>
    </row>
    <row r="65288" spans="3:13" ht="12.75" customHeight="1" x14ac:dyDescent="0.2">
      <c r="C65288"/>
      <c r="M65288"/>
    </row>
    <row r="65289" spans="3:13" ht="12.75" customHeight="1" x14ac:dyDescent="0.2">
      <c r="C65289"/>
      <c r="M65289"/>
    </row>
    <row r="65290" spans="3:13" ht="12.75" customHeight="1" x14ac:dyDescent="0.2">
      <c r="C65290"/>
      <c r="M65290"/>
    </row>
    <row r="65291" spans="3:13" ht="12.75" customHeight="1" x14ac:dyDescent="0.2">
      <c r="C65291"/>
      <c r="M65291"/>
    </row>
    <row r="65292" spans="3:13" ht="12.75" customHeight="1" x14ac:dyDescent="0.2">
      <c r="C65292"/>
      <c r="M65292"/>
    </row>
    <row r="65293" spans="3:13" ht="12.75" customHeight="1" x14ac:dyDescent="0.2">
      <c r="C65293"/>
      <c r="M65293"/>
    </row>
    <row r="65294" spans="3:13" ht="12.75" customHeight="1" x14ac:dyDescent="0.2">
      <c r="C65294"/>
      <c r="M65294"/>
    </row>
    <row r="65295" spans="3:13" ht="12.75" customHeight="1" x14ac:dyDescent="0.2">
      <c r="C65295"/>
      <c r="M65295"/>
    </row>
    <row r="65296" spans="3:13" ht="12.75" customHeight="1" x14ac:dyDescent="0.2">
      <c r="C65296"/>
      <c r="M65296"/>
    </row>
    <row r="65297" spans="3:13" ht="12.75" customHeight="1" x14ac:dyDescent="0.2">
      <c r="C65297"/>
      <c r="M65297"/>
    </row>
    <row r="65298" spans="3:13" ht="12.75" customHeight="1" x14ac:dyDescent="0.2">
      <c r="C65298"/>
      <c r="M65298"/>
    </row>
    <row r="65299" spans="3:13" ht="12.75" customHeight="1" x14ac:dyDescent="0.2">
      <c r="C65299"/>
      <c r="M65299"/>
    </row>
    <row r="65300" spans="3:13" ht="12.75" customHeight="1" x14ac:dyDescent="0.2">
      <c r="C65300"/>
      <c r="M65300"/>
    </row>
    <row r="65301" spans="3:13" ht="12.75" customHeight="1" x14ac:dyDescent="0.2">
      <c r="C65301"/>
      <c r="M65301"/>
    </row>
    <row r="65302" spans="3:13" ht="12.75" customHeight="1" x14ac:dyDescent="0.2">
      <c r="C65302"/>
      <c r="M65302"/>
    </row>
    <row r="65303" spans="3:13" ht="12.75" customHeight="1" x14ac:dyDescent="0.2">
      <c r="C65303"/>
      <c r="M65303"/>
    </row>
    <row r="65304" spans="3:13" ht="12.75" customHeight="1" x14ac:dyDescent="0.2">
      <c r="C65304"/>
      <c r="M65304"/>
    </row>
    <row r="65305" spans="3:13" ht="12.75" customHeight="1" x14ac:dyDescent="0.2">
      <c r="C65305"/>
      <c r="M65305"/>
    </row>
    <row r="65306" spans="3:13" ht="12.75" customHeight="1" x14ac:dyDescent="0.2">
      <c r="C65306"/>
      <c r="M65306"/>
    </row>
    <row r="65307" spans="3:13" ht="12.75" customHeight="1" x14ac:dyDescent="0.2">
      <c r="C65307"/>
      <c r="M65307"/>
    </row>
    <row r="65308" spans="3:13" ht="12.75" customHeight="1" x14ac:dyDescent="0.2">
      <c r="C65308"/>
      <c r="M65308"/>
    </row>
    <row r="65309" spans="3:13" ht="12.75" customHeight="1" x14ac:dyDescent="0.2">
      <c r="C65309"/>
      <c r="M65309"/>
    </row>
    <row r="65310" spans="3:13" ht="12.75" customHeight="1" x14ac:dyDescent="0.2">
      <c r="C65310"/>
      <c r="M65310"/>
    </row>
    <row r="65311" spans="3:13" ht="12.75" customHeight="1" x14ac:dyDescent="0.2">
      <c r="C65311"/>
      <c r="M65311"/>
    </row>
    <row r="65312" spans="3:13" ht="12.75" customHeight="1" x14ac:dyDescent="0.2">
      <c r="C65312"/>
      <c r="M65312"/>
    </row>
    <row r="65313" spans="3:13" ht="12.75" customHeight="1" x14ac:dyDescent="0.2">
      <c r="C65313"/>
      <c r="M65313"/>
    </row>
    <row r="65314" spans="3:13" ht="12.75" customHeight="1" x14ac:dyDescent="0.2">
      <c r="C65314"/>
      <c r="M65314"/>
    </row>
    <row r="65315" spans="3:13" ht="12.75" customHeight="1" x14ac:dyDescent="0.2">
      <c r="C65315"/>
      <c r="M65315"/>
    </row>
    <row r="65316" spans="3:13" ht="12.75" customHeight="1" x14ac:dyDescent="0.2">
      <c r="C65316"/>
      <c r="M65316"/>
    </row>
    <row r="65317" spans="3:13" ht="12.75" customHeight="1" x14ac:dyDescent="0.2">
      <c r="C65317"/>
      <c r="M65317"/>
    </row>
    <row r="65318" spans="3:13" ht="12.75" customHeight="1" x14ac:dyDescent="0.2">
      <c r="C65318"/>
      <c r="M65318"/>
    </row>
    <row r="65319" spans="3:13" ht="12.75" customHeight="1" x14ac:dyDescent="0.2">
      <c r="C65319"/>
      <c r="M65319"/>
    </row>
    <row r="65320" spans="3:13" ht="12.75" customHeight="1" x14ac:dyDescent="0.2">
      <c r="C65320"/>
      <c r="M65320"/>
    </row>
    <row r="65321" spans="3:13" ht="12.75" customHeight="1" x14ac:dyDescent="0.2">
      <c r="C65321"/>
      <c r="M65321"/>
    </row>
    <row r="65322" spans="3:13" ht="12.75" customHeight="1" x14ac:dyDescent="0.2">
      <c r="C65322"/>
      <c r="M65322"/>
    </row>
    <row r="65323" spans="3:13" ht="12.75" customHeight="1" x14ac:dyDescent="0.2">
      <c r="C65323"/>
      <c r="M65323"/>
    </row>
    <row r="65324" spans="3:13" ht="12.75" customHeight="1" x14ac:dyDescent="0.2">
      <c r="C65324"/>
      <c r="M65324"/>
    </row>
    <row r="65325" spans="3:13" ht="12.75" customHeight="1" x14ac:dyDescent="0.2">
      <c r="C65325"/>
      <c r="M65325"/>
    </row>
    <row r="65326" spans="3:13" ht="12.75" customHeight="1" x14ac:dyDescent="0.2">
      <c r="C65326"/>
      <c r="M65326"/>
    </row>
    <row r="65327" spans="3:13" ht="12.75" customHeight="1" x14ac:dyDescent="0.2">
      <c r="C65327"/>
      <c r="M65327"/>
    </row>
    <row r="65328" spans="3:13" ht="12.75" customHeight="1" x14ac:dyDescent="0.2">
      <c r="C65328"/>
      <c r="M65328"/>
    </row>
    <row r="65329" spans="3:13" ht="12.75" customHeight="1" x14ac:dyDescent="0.2">
      <c r="C65329"/>
      <c r="M65329"/>
    </row>
    <row r="65330" spans="3:13" ht="12.75" customHeight="1" x14ac:dyDescent="0.2">
      <c r="C65330"/>
      <c r="M65330"/>
    </row>
    <row r="65331" spans="3:13" ht="12.75" customHeight="1" x14ac:dyDescent="0.2">
      <c r="C65331"/>
      <c r="M65331"/>
    </row>
    <row r="65332" spans="3:13" ht="12.75" customHeight="1" x14ac:dyDescent="0.2">
      <c r="C65332"/>
      <c r="M65332"/>
    </row>
    <row r="65333" spans="3:13" ht="12.75" customHeight="1" x14ac:dyDescent="0.2">
      <c r="C65333"/>
      <c r="M65333"/>
    </row>
    <row r="65334" spans="3:13" ht="12.75" customHeight="1" x14ac:dyDescent="0.2">
      <c r="C65334"/>
      <c r="M65334"/>
    </row>
    <row r="65335" spans="3:13" ht="12.75" customHeight="1" x14ac:dyDescent="0.2">
      <c r="C65335"/>
      <c r="M65335"/>
    </row>
    <row r="65336" spans="3:13" ht="12.75" customHeight="1" x14ac:dyDescent="0.2">
      <c r="C65336"/>
      <c r="M65336"/>
    </row>
    <row r="65337" spans="3:13" ht="12.75" customHeight="1" x14ac:dyDescent="0.2">
      <c r="C65337"/>
      <c r="M65337"/>
    </row>
    <row r="65338" spans="3:13" ht="12.75" customHeight="1" x14ac:dyDescent="0.2">
      <c r="C65338"/>
      <c r="M65338"/>
    </row>
    <row r="65339" spans="3:13" ht="12.75" customHeight="1" x14ac:dyDescent="0.2">
      <c r="C65339"/>
      <c r="M65339"/>
    </row>
    <row r="65340" spans="3:13" ht="12.75" customHeight="1" x14ac:dyDescent="0.2">
      <c r="C65340"/>
      <c r="M65340"/>
    </row>
    <row r="65341" spans="3:13" ht="12.75" customHeight="1" x14ac:dyDescent="0.2">
      <c r="C65341"/>
      <c r="M65341"/>
    </row>
    <row r="65342" spans="3:13" ht="12.75" customHeight="1" x14ac:dyDescent="0.2">
      <c r="C65342"/>
      <c r="M65342"/>
    </row>
    <row r="65343" spans="3:13" ht="12.75" customHeight="1" x14ac:dyDescent="0.2">
      <c r="C65343"/>
      <c r="M65343"/>
    </row>
    <row r="65344" spans="3:13" ht="12.75" customHeight="1" x14ac:dyDescent="0.2">
      <c r="C65344"/>
      <c r="M65344"/>
    </row>
    <row r="65345" spans="3:13" ht="12.75" customHeight="1" x14ac:dyDescent="0.2">
      <c r="C65345"/>
      <c r="M65345"/>
    </row>
    <row r="65346" spans="3:13" ht="12.75" customHeight="1" x14ac:dyDescent="0.2">
      <c r="C65346"/>
      <c r="M65346"/>
    </row>
    <row r="65347" spans="3:13" ht="12.75" customHeight="1" x14ac:dyDescent="0.2">
      <c r="C65347"/>
      <c r="M65347"/>
    </row>
    <row r="65348" spans="3:13" ht="12.75" customHeight="1" x14ac:dyDescent="0.2">
      <c r="C65348"/>
      <c r="M65348"/>
    </row>
    <row r="65349" spans="3:13" ht="12.75" customHeight="1" x14ac:dyDescent="0.2">
      <c r="C65349"/>
      <c r="M65349"/>
    </row>
    <row r="65350" spans="3:13" ht="12.75" customHeight="1" x14ac:dyDescent="0.2">
      <c r="C65350"/>
      <c r="M65350"/>
    </row>
    <row r="65351" spans="3:13" ht="12.75" customHeight="1" x14ac:dyDescent="0.2">
      <c r="C65351"/>
      <c r="M65351"/>
    </row>
    <row r="65352" spans="3:13" ht="12.75" customHeight="1" x14ac:dyDescent="0.2">
      <c r="C65352"/>
      <c r="M65352"/>
    </row>
    <row r="65353" spans="3:13" ht="12.75" customHeight="1" x14ac:dyDescent="0.2">
      <c r="C65353"/>
      <c r="M65353"/>
    </row>
    <row r="65354" spans="3:13" ht="12.75" customHeight="1" x14ac:dyDescent="0.2">
      <c r="C65354"/>
      <c r="M65354"/>
    </row>
    <row r="65355" spans="3:13" ht="12.75" customHeight="1" x14ac:dyDescent="0.2">
      <c r="C65355"/>
      <c r="M65355"/>
    </row>
    <row r="65356" spans="3:13" ht="12.75" customHeight="1" x14ac:dyDescent="0.2">
      <c r="C65356"/>
      <c r="M65356"/>
    </row>
    <row r="65357" spans="3:13" ht="12.75" customHeight="1" x14ac:dyDescent="0.2">
      <c r="C65357"/>
      <c r="M65357"/>
    </row>
    <row r="65358" spans="3:13" ht="12.75" customHeight="1" x14ac:dyDescent="0.2">
      <c r="C65358"/>
      <c r="M65358"/>
    </row>
    <row r="65359" spans="3:13" ht="12.75" customHeight="1" x14ac:dyDescent="0.2">
      <c r="C65359"/>
      <c r="M65359"/>
    </row>
    <row r="65360" spans="3:13" ht="12.75" customHeight="1" x14ac:dyDescent="0.2">
      <c r="C65360"/>
      <c r="M65360"/>
    </row>
    <row r="65361" spans="3:13" ht="12.75" customHeight="1" x14ac:dyDescent="0.2">
      <c r="C65361"/>
      <c r="M65361"/>
    </row>
    <row r="65362" spans="3:13" ht="12.75" customHeight="1" x14ac:dyDescent="0.2">
      <c r="C65362"/>
      <c r="M65362"/>
    </row>
    <row r="65363" spans="3:13" ht="12.75" customHeight="1" x14ac:dyDescent="0.2">
      <c r="C65363"/>
      <c r="M65363"/>
    </row>
    <row r="65364" spans="3:13" ht="12.75" customHeight="1" x14ac:dyDescent="0.2">
      <c r="C65364"/>
      <c r="M65364"/>
    </row>
    <row r="65365" spans="3:13" ht="12.75" customHeight="1" x14ac:dyDescent="0.2">
      <c r="C65365"/>
      <c r="M65365"/>
    </row>
    <row r="65366" spans="3:13" ht="12.75" customHeight="1" x14ac:dyDescent="0.2">
      <c r="C65366"/>
      <c r="M65366"/>
    </row>
    <row r="65367" spans="3:13" ht="12.75" customHeight="1" x14ac:dyDescent="0.2">
      <c r="C65367"/>
      <c r="M65367"/>
    </row>
    <row r="65368" spans="3:13" ht="12.75" customHeight="1" x14ac:dyDescent="0.2">
      <c r="C65368"/>
      <c r="M65368"/>
    </row>
    <row r="65369" spans="3:13" ht="12.75" customHeight="1" x14ac:dyDescent="0.2">
      <c r="C65369"/>
      <c r="M65369"/>
    </row>
    <row r="65370" spans="3:13" ht="12.75" customHeight="1" x14ac:dyDescent="0.2">
      <c r="C65370"/>
      <c r="M65370"/>
    </row>
    <row r="65371" spans="3:13" ht="12.75" customHeight="1" x14ac:dyDescent="0.2">
      <c r="C65371"/>
      <c r="M65371"/>
    </row>
    <row r="65372" spans="3:13" ht="12.75" customHeight="1" x14ac:dyDescent="0.2">
      <c r="C65372"/>
      <c r="M65372"/>
    </row>
    <row r="65373" spans="3:13" ht="12.75" customHeight="1" x14ac:dyDescent="0.2">
      <c r="C65373"/>
      <c r="M65373"/>
    </row>
    <row r="65374" spans="3:13" ht="12.75" customHeight="1" x14ac:dyDescent="0.2">
      <c r="C65374"/>
      <c r="M65374"/>
    </row>
    <row r="65375" spans="3:13" ht="12.75" customHeight="1" x14ac:dyDescent="0.2">
      <c r="C65375"/>
      <c r="M65375"/>
    </row>
    <row r="65376" spans="3:13" ht="12.75" customHeight="1" x14ac:dyDescent="0.2">
      <c r="C65376"/>
      <c r="M65376"/>
    </row>
    <row r="65377" spans="3:13" ht="12.75" customHeight="1" x14ac:dyDescent="0.2">
      <c r="C65377"/>
      <c r="M65377"/>
    </row>
    <row r="65378" spans="3:13" ht="12.75" customHeight="1" x14ac:dyDescent="0.2">
      <c r="C65378"/>
      <c r="M65378"/>
    </row>
    <row r="65379" spans="3:13" ht="12.75" customHeight="1" x14ac:dyDescent="0.2">
      <c r="C65379"/>
      <c r="M65379"/>
    </row>
    <row r="65380" spans="3:13" ht="12.75" customHeight="1" x14ac:dyDescent="0.2">
      <c r="C65380"/>
      <c r="M65380"/>
    </row>
    <row r="65381" spans="3:13" ht="12.75" customHeight="1" x14ac:dyDescent="0.2">
      <c r="C65381"/>
      <c r="M65381"/>
    </row>
    <row r="65382" spans="3:13" ht="12.75" customHeight="1" x14ac:dyDescent="0.2">
      <c r="C65382"/>
      <c r="M65382"/>
    </row>
    <row r="65383" spans="3:13" ht="12.75" customHeight="1" x14ac:dyDescent="0.2">
      <c r="C65383"/>
      <c r="M65383"/>
    </row>
    <row r="65384" spans="3:13" ht="12.75" customHeight="1" x14ac:dyDescent="0.2">
      <c r="C65384"/>
      <c r="M65384"/>
    </row>
    <row r="65385" spans="3:13" ht="12.75" customHeight="1" x14ac:dyDescent="0.2">
      <c r="C65385"/>
      <c r="M65385"/>
    </row>
    <row r="65386" spans="3:13" ht="12.75" customHeight="1" x14ac:dyDescent="0.2">
      <c r="C65386"/>
      <c r="M65386"/>
    </row>
    <row r="65387" spans="3:13" ht="12.75" customHeight="1" x14ac:dyDescent="0.2">
      <c r="C65387"/>
      <c r="M65387"/>
    </row>
    <row r="65388" spans="3:13" ht="12.75" customHeight="1" x14ac:dyDescent="0.2">
      <c r="C65388"/>
      <c r="M65388"/>
    </row>
    <row r="65389" spans="3:13" ht="12.75" customHeight="1" x14ac:dyDescent="0.2">
      <c r="C65389"/>
      <c r="M65389"/>
    </row>
    <row r="65390" spans="3:13" ht="12.75" customHeight="1" x14ac:dyDescent="0.2">
      <c r="C65390"/>
      <c r="M65390"/>
    </row>
    <row r="65391" spans="3:13" ht="12.75" customHeight="1" x14ac:dyDescent="0.2">
      <c r="C65391"/>
      <c r="M65391"/>
    </row>
    <row r="65392" spans="3:13" ht="12.75" customHeight="1" x14ac:dyDescent="0.2">
      <c r="C65392"/>
      <c r="M65392"/>
    </row>
    <row r="65393" spans="3:13" ht="12.75" customHeight="1" x14ac:dyDescent="0.2">
      <c r="C65393"/>
      <c r="M65393"/>
    </row>
    <row r="65394" spans="3:13" ht="12.75" customHeight="1" x14ac:dyDescent="0.2">
      <c r="C65394"/>
      <c r="M65394"/>
    </row>
    <row r="65395" spans="3:13" ht="12.75" customHeight="1" x14ac:dyDescent="0.2">
      <c r="C65395"/>
      <c r="M65395"/>
    </row>
    <row r="65396" spans="3:13" ht="12.75" customHeight="1" x14ac:dyDescent="0.2">
      <c r="C65396"/>
      <c r="M65396"/>
    </row>
    <row r="65397" spans="3:13" ht="12.75" customHeight="1" x14ac:dyDescent="0.2">
      <c r="C65397"/>
      <c r="M65397"/>
    </row>
    <row r="65398" spans="3:13" ht="12.75" customHeight="1" x14ac:dyDescent="0.2">
      <c r="C65398"/>
      <c r="M65398"/>
    </row>
    <row r="65399" spans="3:13" ht="12.75" customHeight="1" x14ac:dyDescent="0.2">
      <c r="C65399"/>
      <c r="M65399"/>
    </row>
    <row r="65400" spans="3:13" ht="12.75" customHeight="1" x14ac:dyDescent="0.2">
      <c r="C65400"/>
      <c r="M65400"/>
    </row>
    <row r="65401" spans="3:13" ht="12.75" customHeight="1" x14ac:dyDescent="0.2">
      <c r="C65401"/>
      <c r="M65401"/>
    </row>
    <row r="65402" spans="3:13" ht="12.75" customHeight="1" x14ac:dyDescent="0.2">
      <c r="C65402"/>
      <c r="M65402"/>
    </row>
    <row r="65403" spans="3:13" ht="12.75" customHeight="1" x14ac:dyDescent="0.2">
      <c r="C65403"/>
      <c r="M65403"/>
    </row>
    <row r="65404" spans="3:13" ht="12.75" customHeight="1" x14ac:dyDescent="0.2">
      <c r="C65404"/>
      <c r="M65404"/>
    </row>
    <row r="65405" spans="3:13" ht="12.75" customHeight="1" x14ac:dyDescent="0.2">
      <c r="C65405"/>
      <c r="M65405"/>
    </row>
    <row r="65406" spans="3:13" ht="12.75" customHeight="1" x14ac:dyDescent="0.2">
      <c r="C65406"/>
      <c r="M65406"/>
    </row>
    <row r="65407" spans="3:13" ht="12.75" customHeight="1" x14ac:dyDescent="0.2">
      <c r="C65407"/>
      <c r="M65407"/>
    </row>
    <row r="65408" spans="3:13" ht="12.75" customHeight="1" x14ac:dyDescent="0.2">
      <c r="C65408"/>
      <c r="M65408"/>
    </row>
    <row r="65409" spans="3:13" ht="12.75" customHeight="1" x14ac:dyDescent="0.2">
      <c r="C65409"/>
      <c r="M65409"/>
    </row>
    <row r="65410" spans="3:13" ht="12.75" customHeight="1" x14ac:dyDescent="0.2">
      <c r="C65410"/>
      <c r="M65410"/>
    </row>
    <row r="65411" spans="3:13" ht="12.75" customHeight="1" x14ac:dyDescent="0.2">
      <c r="C65411"/>
      <c r="M65411"/>
    </row>
    <row r="65412" spans="3:13" ht="12.75" customHeight="1" x14ac:dyDescent="0.2">
      <c r="C65412"/>
      <c r="M65412"/>
    </row>
    <row r="65413" spans="3:13" ht="12.75" customHeight="1" x14ac:dyDescent="0.2">
      <c r="C65413"/>
      <c r="M65413"/>
    </row>
    <row r="65414" spans="3:13" ht="12.75" customHeight="1" x14ac:dyDescent="0.2">
      <c r="C65414"/>
      <c r="M65414"/>
    </row>
    <row r="65415" spans="3:13" ht="12.75" customHeight="1" x14ac:dyDescent="0.2">
      <c r="C65415"/>
      <c r="M65415"/>
    </row>
    <row r="65416" spans="3:13" ht="12.75" customHeight="1" x14ac:dyDescent="0.2">
      <c r="C65416"/>
      <c r="M65416"/>
    </row>
    <row r="65417" spans="3:13" ht="12.75" customHeight="1" x14ac:dyDescent="0.2">
      <c r="C65417"/>
      <c r="M65417"/>
    </row>
    <row r="65418" spans="3:13" ht="12.75" customHeight="1" x14ac:dyDescent="0.2">
      <c r="C65418"/>
      <c r="M65418"/>
    </row>
    <row r="65419" spans="3:13" ht="12.75" customHeight="1" x14ac:dyDescent="0.2">
      <c r="C65419"/>
      <c r="M65419"/>
    </row>
    <row r="65420" spans="3:13" ht="12.75" customHeight="1" x14ac:dyDescent="0.2">
      <c r="C65420"/>
      <c r="M65420"/>
    </row>
    <row r="65421" spans="3:13" ht="12.75" customHeight="1" x14ac:dyDescent="0.2">
      <c r="C65421"/>
      <c r="M65421"/>
    </row>
    <row r="65422" spans="3:13" ht="12.75" customHeight="1" x14ac:dyDescent="0.2">
      <c r="C65422"/>
      <c r="M65422"/>
    </row>
    <row r="65423" spans="3:13" ht="12.75" customHeight="1" x14ac:dyDescent="0.2">
      <c r="C65423"/>
      <c r="M65423"/>
    </row>
    <row r="65424" spans="3:13" ht="12.75" customHeight="1" x14ac:dyDescent="0.2">
      <c r="C65424"/>
      <c r="M65424"/>
    </row>
    <row r="65425" spans="3:13" ht="12.75" customHeight="1" x14ac:dyDescent="0.2">
      <c r="C65425"/>
      <c r="M65425"/>
    </row>
    <row r="65426" spans="3:13" ht="12.75" customHeight="1" x14ac:dyDescent="0.2">
      <c r="C65426"/>
      <c r="M65426"/>
    </row>
    <row r="65427" spans="3:13" ht="12.75" customHeight="1" x14ac:dyDescent="0.2">
      <c r="C65427"/>
      <c r="M65427"/>
    </row>
    <row r="65428" spans="3:13" ht="12.75" customHeight="1" x14ac:dyDescent="0.2">
      <c r="C65428"/>
      <c r="M65428"/>
    </row>
    <row r="65429" spans="3:13" ht="12.75" customHeight="1" x14ac:dyDescent="0.2">
      <c r="C65429"/>
      <c r="M65429"/>
    </row>
    <row r="65430" spans="3:13" ht="12.75" customHeight="1" x14ac:dyDescent="0.2">
      <c r="C65430"/>
      <c r="M65430"/>
    </row>
    <row r="65431" spans="3:13" ht="12.75" customHeight="1" x14ac:dyDescent="0.2">
      <c r="C65431"/>
      <c r="M65431"/>
    </row>
    <row r="65432" spans="3:13" ht="12.75" customHeight="1" x14ac:dyDescent="0.2">
      <c r="C65432"/>
      <c r="M65432"/>
    </row>
    <row r="65433" spans="3:13" ht="12.75" customHeight="1" x14ac:dyDescent="0.2">
      <c r="C65433"/>
      <c r="M65433"/>
    </row>
    <row r="65434" spans="3:13" ht="12.75" customHeight="1" x14ac:dyDescent="0.2">
      <c r="C65434"/>
      <c r="M65434"/>
    </row>
    <row r="65435" spans="3:13" ht="12.75" customHeight="1" x14ac:dyDescent="0.2">
      <c r="C65435"/>
      <c r="M65435"/>
    </row>
    <row r="65436" spans="3:13" ht="12.75" customHeight="1" x14ac:dyDescent="0.2">
      <c r="C65436"/>
      <c r="M65436"/>
    </row>
    <row r="65437" spans="3:13" ht="12.75" customHeight="1" x14ac:dyDescent="0.2">
      <c r="C65437"/>
      <c r="M65437"/>
    </row>
    <row r="65438" spans="3:13" ht="12.75" customHeight="1" x14ac:dyDescent="0.2">
      <c r="C65438"/>
      <c r="M65438"/>
    </row>
    <row r="65439" spans="3:13" ht="12.75" customHeight="1" x14ac:dyDescent="0.2">
      <c r="C65439"/>
      <c r="M65439"/>
    </row>
    <row r="65440" spans="3:13" ht="12.75" customHeight="1" x14ac:dyDescent="0.2">
      <c r="C65440"/>
      <c r="M65440"/>
    </row>
    <row r="65441" spans="3:13" ht="12.75" customHeight="1" x14ac:dyDescent="0.2">
      <c r="C65441"/>
      <c r="M65441"/>
    </row>
    <row r="65442" spans="3:13" ht="12.75" customHeight="1" x14ac:dyDescent="0.2">
      <c r="C65442"/>
      <c r="M65442"/>
    </row>
    <row r="65443" spans="3:13" ht="12.75" customHeight="1" x14ac:dyDescent="0.2">
      <c r="C65443"/>
      <c r="M65443"/>
    </row>
    <row r="65444" spans="3:13" ht="12.75" customHeight="1" x14ac:dyDescent="0.2">
      <c r="C65444"/>
      <c r="M65444"/>
    </row>
    <row r="65445" spans="3:13" ht="12.75" customHeight="1" x14ac:dyDescent="0.2">
      <c r="C65445"/>
      <c r="M65445"/>
    </row>
    <row r="65446" spans="3:13" ht="12.75" customHeight="1" x14ac:dyDescent="0.2">
      <c r="C65446"/>
      <c r="M65446"/>
    </row>
    <row r="65447" spans="3:13" ht="12.75" customHeight="1" x14ac:dyDescent="0.2">
      <c r="C65447"/>
      <c r="M65447"/>
    </row>
    <row r="65448" spans="3:13" ht="12.75" customHeight="1" x14ac:dyDescent="0.2">
      <c r="C65448"/>
      <c r="M65448"/>
    </row>
    <row r="65449" spans="3:13" ht="12.75" customHeight="1" x14ac:dyDescent="0.2">
      <c r="C65449"/>
      <c r="M65449"/>
    </row>
    <row r="65450" spans="3:13" ht="12.75" customHeight="1" x14ac:dyDescent="0.2">
      <c r="C65450"/>
      <c r="M65450"/>
    </row>
    <row r="65451" spans="3:13" ht="12.75" customHeight="1" x14ac:dyDescent="0.2">
      <c r="C65451"/>
      <c r="M65451"/>
    </row>
    <row r="65452" spans="3:13" ht="12.75" customHeight="1" x14ac:dyDescent="0.2">
      <c r="C65452"/>
      <c r="M65452"/>
    </row>
    <row r="65453" spans="3:13" ht="12.75" customHeight="1" x14ac:dyDescent="0.2">
      <c r="C65453"/>
      <c r="M65453"/>
    </row>
    <row r="65454" spans="3:13" ht="12.75" customHeight="1" x14ac:dyDescent="0.2">
      <c r="C65454"/>
      <c r="M65454"/>
    </row>
    <row r="65455" spans="3:13" ht="12.75" customHeight="1" x14ac:dyDescent="0.2">
      <c r="C65455"/>
      <c r="M65455"/>
    </row>
    <row r="65456" spans="3:13" ht="12.75" customHeight="1" x14ac:dyDescent="0.2">
      <c r="C65456"/>
      <c r="M65456"/>
    </row>
    <row r="65457" spans="3:13" ht="12.75" customHeight="1" x14ac:dyDescent="0.2">
      <c r="C65457"/>
      <c r="M65457"/>
    </row>
    <row r="65458" spans="3:13" ht="12.75" customHeight="1" x14ac:dyDescent="0.2">
      <c r="C65458"/>
      <c r="M65458"/>
    </row>
    <row r="65459" spans="3:13" ht="12.75" customHeight="1" x14ac:dyDescent="0.2">
      <c r="C65459"/>
      <c r="M65459"/>
    </row>
    <row r="65460" spans="3:13" ht="12.75" customHeight="1" x14ac:dyDescent="0.2">
      <c r="C65460"/>
      <c r="M65460"/>
    </row>
    <row r="65461" spans="3:13" ht="0" hidden="1" customHeight="1" x14ac:dyDescent="0.2"/>
    <row r="65462" spans="3:13" ht="0" hidden="1" customHeight="1" x14ac:dyDescent="0.2"/>
    <row r="65463" spans="3:13" ht="0" hidden="1" customHeight="1" x14ac:dyDescent="0.2"/>
    <row r="65464" spans="3:13" ht="0" hidden="1" customHeight="1" x14ac:dyDescent="0.2"/>
    <row r="65465" spans="3:13" ht="0" hidden="1" customHeight="1" x14ac:dyDescent="0.2"/>
    <row r="65466" spans="3:13" ht="0" hidden="1" customHeight="1" x14ac:dyDescent="0.2"/>
    <row r="65467" spans="3:13" ht="0" hidden="1" customHeight="1" x14ac:dyDescent="0.2"/>
    <row r="65468" spans="3:13" ht="0" hidden="1" customHeight="1" x14ac:dyDescent="0.2"/>
    <row r="65469" spans="3:13" ht="0" hidden="1" customHeight="1" x14ac:dyDescent="0.2"/>
  </sheetData>
  <sheetProtection password="BD1F" sheet="1" objects="1" scenarios="1" autoFilter="0"/>
  <autoFilter ref="C15:C192"/>
  <mergeCells count="15">
    <mergeCell ref="F1:H1"/>
    <mergeCell ref="Q1:R1"/>
    <mergeCell ref="Y1:Z1"/>
    <mergeCell ref="F2:H2"/>
    <mergeCell ref="Q2:R2"/>
    <mergeCell ref="Y2:Z2"/>
    <mergeCell ref="E15:H15"/>
    <mergeCell ref="E4:F4"/>
    <mergeCell ref="G4:H4"/>
    <mergeCell ref="S4:T4"/>
    <mergeCell ref="U4:Z4"/>
    <mergeCell ref="E5:F5"/>
    <mergeCell ref="G5:H5"/>
    <mergeCell ref="S5:T5"/>
    <mergeCell ref="U5:Z5"/>
  </mergeCells>
  <phoneticPr fontId="38" type="noConversion"/>
  <conditionalFormatting sqref="D14:I14 D26:I26 D27:H27 D68:I84 D42:I46 D152:I158 D96:I97 D187:I189 D38:I38 D17:I23 D28:I36 D129:I130 D138:I139 D167:I174 D179:I182 D87:I88 D90:I93 D191:I191 D132:I133 D126:I127 D122:I123">
    <cfRule type="expression" dxfId="726" priority="6953" stopIfTrue="1">
      <formula>$B14=1</formula>
    </cfRule>
    <cfRule type="expression" dxfId="725" priority="6954" stopIfTrue="1">
      <formula>OR($B14=0,$B14=2,$B14=3,$B14=4)</formula>
    </cfRule>
  </conditionalFormatting>
  <conditionalFormatting sqref="M12:N15 M68:N84 M42:N46 M152:N158 M96:N97 M187:N189 M38:N38 M17:N23 M26:N36 M129:N130 M138:N139 M167:N174 M179:N182 M87:N88 M90:N93 M191:N192 M132:N133 M126:N127 M122:N123">
    <cfRule type="expression" dxfId="724" priority="6955" stopIfTrue="1">
      <formula>ACOMPANHAMENTO="BM"</formula>
    </cfRule>
    <cfRule type="expression" dxfId="723" priority="6956" stopIfTrue="1">
      <formula>OR($B12=0,$B12=2,$B12=3,$B12=4)</formula>
    </cfRule>
    <cfRule type="expression" dxfId="722" priority="6957" stopIfTrue="1">
      <formula>$B12=1</formula>
    </cfRule>
  </conditionalFormatting>
  <conditionalFormatting sqref="K12:K15 K17:K88 K90:K145 K149:K192">
    <cfRule type="expression" dxfId="721" priority="6958" stopIfTrue="1">
      <formula>OR(ACOMPANHAMENTO="BM",$A$12&lt;&gt;"Manual")</formula>
    </cfRule>
    <cfRule type="expression" dxfId="720" priority="6959" stopIfTrue="1">
      <formula>$B12=1</formula>
    </cfRule>
    <cfRule type="expression" dxfId="719" priority="6960" stopIfTrue="1">
      <formula>OR($B12=2,$B12=3,$B12=4,$B12=0)</formula>
    </cfRule>
  </conditionalFormatting>
  <conditionalFormatting sqref="O12:AA15 O17:AA88 O90:AA145 O149:AA192">
    <cfRule type="expression" dxfId="718" priority="6961" stopIfTrue="1">
      <formula>ACOMPANHAMENTO="BM"</formula>
    </cfRule>
    <cfRule type="expression" dxfId="717" priority="6962" stopIfTrue="1">
      <formula>AND(O$12&lt;&gt;".",OR($B12=0,$B12=2,$B12=3,$B12=4,AND(O$12="",$B12&lt;&gt;"Empty"),OFFSET(O$12,0,-1)=""))</formula>
    </cfRule>
    <cfRule type="expression" dxfId="716" priority="6963" stopIfTrue="1">
      <formula>AND($B12=1,O$12&lt;&gt;".")</formula>
    </cfRule>
  </conditionalFormatting>
  <conditionalFormatting sqref="D16:I16">
    <cfRule type="expression" dxfId="715" priority="1937" stopIfTrue="1">
      <formula>$B16=1</formula>
    </cfRule>
    <cfRule type="expression" dxfId="714" priority="1938" stopIfTrue="1">
      <formula>OR($B16=0,$B16=2,$B16=3,$B16=4)</formula>
    </cfRule>
  </conditionalFormatting>
  <conditionalFormatting sqref="M16:N16">
    <cfRule type="expression" dxfId="713" priority="1939" stopIfTrue="1">
      <formula>ACOMPANHAMENTO="BM"</formula>
    </cfRule>
    <cfRule type="expression" dxfId="712" priority="1940" stopIfTrue="1">
      <formula>OR($B16=0,$B16=2,$B16=3,$B16=4)</formula>
    </cfRule>
    <cfRule type="expression" dxfId="711" priority="1941" stopIfTrue="1">
      <formula>$B16=1</formula>
    </cfRule>
  </conditionalFormatting>
  <conditionalFormatting sqref="K16">
    <cfRule type="expression" dxfId="710" priority="1942" stopIfTrue="1">
      <formula>OR(ACOMPANHAMENTO="BM",$A$12&lt;&gt;"Manual")</formula>
    </cfRule>
    <cfRule type="expression" dxfId="709" priority="1943" stopIfTrue="1">
      <formula>$B16=1</formula>
    </cfRule>
    <cfRule type="expression" dxfId="708" priority="1944" stopIfTrue="1">
      <formula>OR($B16=2,$B16=3,$B16=4,$B16=0)</formula>
    </cfRule>
  </conditionalFormatting>
  <conditionalFormatting sqref="O16:AA16">
    <cfRule type="expression" dxfId="707" priority="1945" stopIfTrue="1">
      <formula>ACOMPANHAMENTO="BM"</formula>
    </cfRule>
    <cfRule type="expression" dxfId="706" priority="1946" stopIfTrue="1">
      <formula>AND(O$12&lt;&gt;".",OR($B16=0,$B16=2,$B16=3,$B16=4,AND(O$12="",$B16&lt;&gt;"Empty"),OFFSET(O$12,0,-1)=""))</formula>
    </cfRule>
    <cfRule type="expression" dxfId="705" priority="1947" stopIfTrue="1">
      <formula>AND($B16=1,O$12&lt;&gt;".")</formula>
    </cfRule>
  </conditionalFormatting>
  <conditionalFormatting sqref="D60:I60">
    <cfRule type="expression" dxfId="704" priority="1421" stopIfTrue="1">
      <formula>$B60=1</formula>
    </cfRule>
    <cfRule type="expression" dxfId="703" priority="1422" stopIfTrue="1">
      <formula>OR($B60=0,$B60=2,$B60=3,$B60=4)</formula>
    </cfRule>
  </conditionalFormatting>
  <conditionalFormatting sqref="M60:N60">
    <cfRule type="expression" dxfId="702" priority="1423" stopIfTrue="1">
      <formula>ACOMPANHAMENTO="BM"</formula>
    </cfRule>
    <cfRule type="expression" dxfId="701" priority="1424" stopIfTrue="1">
      <formula>OR($B60=0,$B60=2,$B60=3,$B60=4)</formula>
    </cfRule>
    <cfRule type="expression" dxfId="700" priority="1425" stopIfTrue="1">
      <formula>$B60=1</formula>
    </cfRule>
  </conditionalFormatting>
  <conditionalFormatting sqref="D61:I61">
    <cfRule type="expression" dxfId="699" priority="1237" stopIfTrue="1">
      <formula>$B61=1</formula>
    </cfRule>
    <cfRule type="expression" dxfId="698" priority="1238" stopIfTrue="1">
      <formula>OR($B61=0,$B61=2,$B61=3,$B61=4)</formula>
    </cfRule>
  </conditionalFormatting>
  <conditionalFormatting sqref="M61:N61">
    <cfRule type="expression" dxfId="697" priority="1239" stopIfTrue="1">
      <formula>ACOMPANHAMENTO="BM"</formula>
    </cfRule>
    <cfRule type="expression" dxfId="696" priority="1240" stopIfTrue="1">
      <formula>OR($B61=0,$B61=2,$B61=3,$B61=4)</formula>
    </cfRule>
    <cfRule type="expression" dxfId="695" priority="1241" stopIfTrue="1">
      <formula>$B61=1</formula>
    </cfRule>
  </conditionalFormatting>
  <conditionalFormatting sqref="I27">
    <cfRule type="expression" dxfId="694" priority="1191" stopIfTrue="1">
      <formula>$B27=1</formula>
    </cfRule>
    <cfRule type="expression" dxfId="693" priority="1192" stopIfTrue="1">
      <formula>OR($B27=0,$B27=2,$B27=3,$B27=4)</formula>
    </cfRule>
  </conditionalFormatting>
  <conditionalFormatting sqref="D62:I64">
    <cfRule type="expression" dxfId="692" priority="1068" stopIfTrue="1">
      <formula>$B62=1</formula>
    </cfRule>
    <cfRule type="expression" dxfId="691" priority="1069" stopIfTrue="1">
      <formula>OR($B62=0,$B62=2,$B62=3,$B62=4)</formula>
    </cfRule>
  </conditionalFormatting>
  <conditionalFormatting sqref="M62:N64">
    <cfRule type="expression" dxfId="690" priority="1070" stopIfTrue="1">
      <formula>ACOMPANHAMENTO="BM"</formula>
    </cfRule>
    <cfRule type="expression" dxfId="689" priority="1071" stopIfTrue="1">
      <formula>OR($B62=0,$B62=2,$B62=3,$B62=4)</formula>
    </cfRule>
    <cfRule type="expression" dxfId="688" priority="1072" stopIfTrue="1">
      <formula>$B62=1</formula>
    </cfRule>
  </conditionalFormatting>
  <conditionalFormatting sqref="D94:I94">
    <cfRule type="expression" dxfId="687" priority="1057" stopIfTrue="1">
      <formula>$B94=1</formula>
    </cfRule>
    <cfRule type="expression" dxfId="686" priority="1058" stopIfTrue="1">
      <formula>OR($B94=0,$B94=2,$B94=3,$B94=4)</formula>
    </cfRule>
  </conditionalFormatting>
  <conditionalFormatting sqref="M94:N94">
    <cfRule type="expression" dxfId="685" priority="1059" stopIfTrue="1">
      <formula>ACOMPANHAMENTO="BM"</formula>
    </cfRule>
    <cfRule type="expression" dxfId="684" priority="1060" stopIfTrue="1">
      <formula>OR($B94=0,$B94=2,$B94=3,$B94=4)</formula>
    </cfRule>
    <cfRule type="expression" dxfId="683" priority="1061" stopIfTrue="1">
      <formula>$B94=1</formula>
    </cfRule>
  </conditionalFormatting>
  <conditionalFormatting sqref="D95:I95 D100:I100">
    <cfRule type="expression" dxfId="682" priority="1046" stopIfTrue="1">
      <formula>$B95=1</formula>
    </cfRule>
    <cfRule type="expression" dxfId="681" priority="1047" stopIfTrue="1">
      <formula>OR($B95=0,$B95=2,$B95=3,$B95=4)</formula>
    </cfRule>
  </conditionalFormatting>
  <conditionalFormatting sqref="M95:N95 M100:N100">
    <cfRule type="expression" dxfId="680" priority="1048" stopIfTrue="1">
      <formula>ACOMPANHAMENTO="BM"</formula>
    </cfRule>
    <cfRule type="expression" dxfId="679" priority="1049" stopIfTrue="1">
      <formula>OR($B95=0,$B95=2,$B95=3,$B95=4)</formula>
    </cfRule>
    <cfRule type="expression" dxfId="678" priority="1050" stopIfTrue="1">
      <formula>$B95=1</formula>
    </cfRule>
  </conditionalFormatting>
  <conditionalFormatting sqref="D40:I40">
    <cfRule type="expression" dxfId="677" priority="1024" stopIfTrue="1">
      <formula>$B40=1</formula>
    </cfRule>
    <cfRule type="expression" dxfId="676" priority="1025" stopIfTrue="1">
      <formula>OR($B40=0,$B40=2,$B40=3,$B40=4)</formula>
    </cfRule>
  </conditionalFormatting>
  <conditionalFormatting sqref="M40:N40">
    <cfRule type="expression" dxfId="675" priority="1026" stopIfTrue="1">
      <formula>ACOMPANHAMENTO="BM"</formula>
    </cfRule>
    <cfRule type="expression" dxfId="674" priority="1027" stopIfTrue="1">
      <formula>OR($B40=0,$B40=2,$B40=3,$B40=4)</formula>
    </cfRule>
    <cfRule type="expression" dxfId="673" priority="1028" stopIfTrue="1">
      <formula>$B40=1</formula>
    </cfRule>
  </conditionalFormatting>
  <conditionalFormatting sqref="D39:I39">
    <cfRule type="expression" dxfId="672" priority="1002" stopIfTrue="1">
      <formula>$B39=1</formula>
    </cfRule>
    <cfRule type="expression" dxfId="671" priority="1003" stopIfTrue="1">
      <formula>OR($B39=0,$B39=2,$B39=3,$B39=4)</formula>
    </cfRule>
  </conditionalFormatting>
  <conditionalFormatting sqref="M39:N39">
    <cfRule type="expression" dxfId="670" priority="1004" stopIfTrue="1">
      <formula>ACOMPANHAMENTO="BM"</formula>
    </cfRule>
    <cfRule type="expression" dxfId="669" priority="1005" stopIfTrue="1">
      <formula>OR($B39=0,$B39=2,$B39=3,$B39=4)</formula>
    </cfRule>
    <cfRule type="expression" dxfId="668" priority="1006" stopIfTrue="1">
      <formula>$B39=1</formula>
    </cfRule>
  </conditionalFormatting>
  <conditionalFormatting sqref="D47:I49 D51:I54 D56:I57">
    <cfRule type="expression" dxfId="667" priority="969" stopIfTrue="1">
      <formula>$B47=1</formula>
    </cfRule>
    <cfRule type="expression" dxfId="666" priority="970" stopIfTrue="1">
      <formula>OR($B47=0,$B47=2,$B47=3,$B47=4)</formula>
    </cfRule>
  </conditionalFormatting>
  <conditionalFormatting sqref="M47:N49 M51:N54 M56:N57">
    <cfRule type="expression" dxfId="665" priority="971" stopIfTrue="1">
      <formula>ACOMPANHAMENTO="BM"</formula>
    </cfRule>
    <cfRule type="expression" dxfId="664" priority="972" stopIfTrue="1">
      <formula>OR($B47=0,$B47=2,$B47=3,$B47=4)</formula>
    </cfRule>
    <cfRule type="expression" dxfId="663" priority="973" stopIfTrue="1">
      <formula>$B47=1</formula>
    </cfRule>
  </conditionalFormatting>
  <conditionalFormatting sqref="D98:I98">
    <cfRule type="expression" dxfId="662" priority="914" stopIfTrue="1">
      <formula>$B98=1</formula>
    </cfRule>
    <cfRule type="expression" dxfId="661" priority="915" stopIfTrue="1">
      <formula>OR($B98=0,$B98=2,$B98=3,$B98=4)</formula>
    </cfRule>
  </conditionalFormatting>
  <conditionalFormatting sqref="M98:N98">
    <cfRule type="expression" dxfId="660" priority="916" stopIfTrue="1">
      <formula>ACOMPANHAMENTO="BM"</formula>
    </cfRule>
    <cfRule type="expression" dxfId="659" priority="917" stopIfTrue="1">
      <formula>OR($B98=0,$B98=2,$B98=3,$B98=4)</formula>
    </cfRule>
    <cfRule type="expression" dxfId="658" priority="918" stopIfTrue="1">
      <formula>$B98=1</formula>
    </cfRule>
  </conditionalFormatting>
  <conditionalFormatting sqref="D101:I102 D104:I110">
    <cfRule type="expression" dxfId="657" priority="881" stopIfTrue="1">
      <formula>$B101=1</formula>
    </cfRule>
    <cfRule type="expression" dxfId="656" priority="882" stopIfTrue="1">
      <formula>OR($B101=0,$B101=2,$B101=3,$B101=4)</formula>
    </cfRule>
  </conditionalFormatting>
  <conditionalFormatting sqref="M101:N102 M104:N110">
    <cfRule type="expression" dxfId="655" priority="883" stopIfTrue="1">
      <formula>ACOMPANHAMENTO="BM"</formula>
    </cfRule>
    <cfRule type="expression" dxfId="654" priority="884" stopIfTrue="1">
      <formula>OR($B101=0,$B101=2,$B101=3,$B101=4)</formula>
    </cfRule>
    <cfRule type="expression" dxfId="653" priority="885" stopIfTrue="1">
      <formula>$B101=1</formula>
    </cfRule>
  </conditionalFormatting>
  <conditionalFormatting sqref="D50:I50">
    <cfRule type="expression" dxfId="652" priority="793" stopIfTrue="1">
      <formula>$B50=1</formula>
    </cfRule>
    <cfRule type="expression" dxfId="651" priority="794" stopIfTrue="1">
      <formula>OR($B50=0,$B50=2,$B50=3,$B50=4)</formula>
    </cfRule>
  </conditionalFormatting>
  <conditionalFormatting sqref="M50:N50">
    <cfRule type="expression" dxfId="650" priority="795" stopIfTrue="1">
      <formula>ACOMPANHAMENTO="BM"</formula>
    </cfRule>
    <cfRule type="expression" dxfId="649" priority="796" stopIfTrue="1">
      <formula>OR($B50=0,$B50=2,$B50=3,$B50=4)</formula>
    </cfRule>
    <cfRule type="expression" dxfId="648" priority="797" stopIfTrue="1">
      <formula>$B50=1</formula>
    </cfRule>
  </conditionalFormatting>
  <conditionalFormatting sqref="D58:I59">
    <cfRule type="expression" dxfId="647" priority="782" stopIfTrue="1">
      <formula>$B58=1</formula>
    </cfRule>
    <cfRule type="expression" dxfId="646" priority="783" stopIfTrue="1">
      <formula>OR($B58=0,$B58=2,$B58=3,$B58=4)</formula>
    </cfRule>
  </conditionalFormatting>
  <conditionalFormatting sqref="M58:N59">
    <cfRule type="expression" dxfId="645" priority="784" stopIfTrue="1">
      <formula>ACOMPANHAMENTO="BM"</formula>
    </cfRule>
    <cfRule type="expression" dxfId="644" priority="785" stopIfTrue="1">
      <formula>OR($B58=0,$B58=2,$B58=3,$B58=4)</formula>
    </cfRule>
    <cfRule type="expression" dxfId="643" priority="786" stopIfTrue="1">
      <formula>$B58=1</formula>
    </cfRule>
  </conditionalFormatting>
  <conditionalFormatting sqref="D103:I103">
    <cfRule type="expression" dxfId="642" priority="749" stopIfTrue="1">
      <formula>$B103=1</formula>
    </cfRule>
    <cfRule type="expression" dxfId="641" priority="750" stopIfTrue="1">
      <formula>OR($B103=0,$B103=2,$B103=3,$B103=4)</formula>
    </cfRule>
  </conditionalFormatting>
  <conditionalFormatting sqref="M103:N103">
    <cfRule type="expression" dxfId="640" priority="751" stopIfTrue="1">
      <formula>ACOMPANHAMENTO="BM"</formula>
    </cfRule>
    <cfRule type="expression" dxfId="639" priority="752" stopIfTrue="1">
      <formula>OR($B103=0,$B103=2,$B103=3,$B103=4)</formula>
    </cfRule>
    <cfRule type="expression" dxfId="638" priority="753" stopIfTrue="1">
      <formula>$B103=1</formula>
    </cfRule>
  </conditionalFormatting>
  <conditionalFormatting sqref="D55:I55">
    <cfRule type="expression" dxfId="637" priority="727" stopIfTrue="1">
      <formula>$B55=1</formula>
    </cfRule>
    <cfRule type="expression" dxfId="636" priority="728" stopIfTrue="1">
      <formula>OR($B55=0,$B55=2,$B55=3,$B55=4)</formula>
    </cfRule>
  </conditionalFormatting>
  <conditionalFormatting sqref="M55:N55">
    <cfRule type="expression" dxfId="635" priority="729" stopIfTrue="1">
      <formula>ACOMPANHAMENTO="BM"</formula>
    </cfRule>
    <cfRule type="expression" dxfId="634" priority="730" stopIfTrue="1">
      <formula>OR($B55=0,$B55=2,$B55=3,$B55=4)</formula>
    </cfRule>
    <cfRule type="expression" dxfId="633" priority="731" stopIfTrue="1">
      <formula>$B55=1</formula>
    </cfRule>
  </conditionalFormatting>
  <conditionalFormatting sqref="D37:I37">
    <cfRule type="expression" dxfId="632" priority="716" stopIfTrue="1">
      <formula>$B37=1</formula>
    </cfRule>
    <cfRule type="expression" dxfId="631" priority="717" stopIfTrue="1">
      <formula>OR($B37=0,$B37=2,$B37=3,$B37=4)</formula>
    </cfRule>
  </conditionalFormatting>
  <conditionalFormatting sqref="M37:N37">
    <cfRule type="expression" dxfId="630" priority="718" stopIfTrue="1">
      <formula>ACOMPANHAMENTO="BM"</formula>
    </cfRule>
    <cfRule type="expression" dxfId="629" priority="719" stopIfTrue="1">
      <formula>OR($B37=0,$B37=2,$B37=3,$B37=4)</formula>
    </cfRule>
    <cfRule type="expression" dxfId="628" priority="720" stopIfTrue="1">
      <formula>$B37=1</formula>
    </cfRule>
  </conditionalFormatting>
  <conditionalFormatting sqref="D111:I117">
    <cfRule type="expression" dxfId="627" priority="650" stopIfTrue="1">
      <formula>$B111=1</formula>
    </cfRule>
    <cfRule type="expression" dxfId="626" priority="651" stopIfTrue="1">
      <formula>OR($B111=0,$B111=2,$B111=3,$B111=4)</formula>
    </cfRule>
  </conditionalFormatting>
  <conditionalFormatting sqref="M111:N117">
    <cfRule type="expression" dxfId="625" priority="652" stopIfTrue="1">
      <formula>ACOMPANHAMENTO="BM"</formula>
    </cfRule>
    <cfRule type="expression" dxfId="624" priority="653" stopIfTrue="1">
      <formula>OR($B111=0,$B111=2,$B111=3,$B111=4)</formula>
    </cfRule>
    <cfRule type="expression" dxfId="623" priority="654" stopIfTrue="1">
      <formula>$B111=1</formula>
    </cfRule>
  </conditionalFormatting>
  <conditionalFormatting sqref="D120:I120">
    <cfRule type="expression" dxfId="622" priority="639" stopIfTrue="1">
      <formula>$B120=1</formula>
    </cfRule>
    <cfRule type="expression" dxfId="621" priority="640" stopIfTrue="1">
      <formula>OR($B120=0,$B120=2,$B120=3,$B120=4)</formula>
    </cfRule>
  </conditionalFormatting>
  <conditionalFormatting sqref="M120:N120">
    <cfRule type="expression" dxfId="620" priority="641" stopIfTrue="1">
      <formula>ACOMPANHAMENTO="BM"</formula>
    </cfRule>
    <cfRule type="expression" dxfId="619" priority="642" stopIfTrue="1">
      <formula>OR($B120=0,$B120=2,$B120=3,$B120=4)</formula>
    </cfRule>
    <cfRule type="expression" dxfId="618" priority="643" stopIfTrue="1">
      <formula>$B120=1</formula>
    </cfRule>
  </conditionalFormatting>
  <conditionalFormatting sqref="D149:I149">
    <cfRule type="expression" dxfId="617" priority="628" stopIfTrue="1">
      <formula>$B149=1</formula>
    </cfRule>
    <cfRule type="expression" dxfId="616" priority="629" stopIfTrue="1">
      <formula>OR($B149=0,$B149=2,$B149=3,$B149=4)</formula>
    </cfRule>
  </conditionalFormatting>
  <conditionalFormatting sqref="M149:N149">
    <cfRule type="expression" dxfId="615" priority="630" stopIfTrue="1">
      <formula>ACOMPANHAMENTO="BM"</formula>
    </cfRule>
    <cfRule type="expression" dxfId="614" priority="631" stopIfTrue="1">
      <formula>OR($B149=0,$B149=2,$B149=3,$B149=4)</formula>
    </cfRule>
    <cfRule type="expression" dxfId="613" priority="632" stopIfTrue="1">
      <formula>$B149=1</formula>
    </cfRule>
  </conditionalFormatting>
  <conditionalFormatting sqref="D150:I150">
    <cfRule type="expression" dxfId="612" priority="617" stopIfTrue="1">
      <formula>$B150=1</formula>
    </cfRule>
    <cfRule type="expression" dxfId="611" priority="618" stopIfTrue="1">
      <formula>OR($B150=0,$B150=2,$B150=3,$B150=4)</formula>
    </cfRule>
  </conditionalFormatting>
  <conditionalFormatting sqref="M150:N150">
    <cfRule type="expression" dxfId="610" priority="619" stopIfTrue="1">
      <formula>ACOMPANHAMENTO="BM"</formula>
    </cfRule>
    <cfRule type="expression" dxfId="609" priority="620" stopIfTrue="1">
      <formula>OR($B150=0,$B150=2,$B150=3,$B150=4)</formula>
    </cfRule>
    <cfRule type="expression" dxfId="608" priority="621" stopIfTrue="1">
      <formula>$B150=1</formula>
    </cfRule>
  </conditionalFormatting>
  <conditionalFormatting sqref="D151:I151 D159:I160 D166:I166">
    <cfRule type="expression" dxfId="607" priority="606" stopIfTrue="1">
      <formula>$B151=1</formula>
    </cfRule>
    <cfRule type="expression" dxfId="606" priority="607" stopIfTrue="1">
      <formula>OR($B151=0,$B151=2,$B151=3,$B151=4)</formula>
    </cfRule>
  </conditionalFormatting>
  <conditionalFormatting sqref="M151:N151 M159:N160 M166:N166">
    <cfRule type="expression" dxfId="605" priority="608" stopIfTrue="1">
      <formula>ACOMPANHAMENTO="BM"</formula>
    </cfRule>
    <cfRule type="expression" dxfId="604" priority="609" stopIfTrue="1">
      <formula>OR($B151=0,$B151=2,$B151=3,$B151=4)</formula>
    </cfRule>
    <cfRule type="expression" dxfId="603" priority="610" stopIfTrue="1">
      <formula>$B151=1</formula>
    </cfRule>
  </conditionalFormatting>
  <conditionalFormatting sqref="D124:I124">
    <cfRule type="expression" dxfId="602" priority="562" stopIfTrue="1">
      <formula>$B124=1</formula>
    </cfRule>
    <cfRule type="expression" dxfId="601" priority="563" stopIfTrue="1">
      <formula>OR($B124=0,$B124=2,$B124=3,$B124=4)</formula>
    </cfRule>
  </conditionalFormatting>
  <conditionalFormatting sqref="M124:N124">
    <cfRule type="expression" dxfId="600" priority="564" stopIfTrue="1">
      <formula>ACOMPANHAMENTO="BM"</formula>
    </cfRule>
    <cfRule type="expression" dxfId="599" priority="565" stopIfTrue="1">
      <formula>OR($B124=0,$B124=2,$B124=3,$B124=4)</formula>
    </cfRule>
    <cfRule type="expression" dxfId="598" priority="566" stopIfTrue="1">
      <formula>$B124=1</formula>
    </cfRule>
  </conditionalFormatting>
  <conditionalFormatting sqref="D161:I165">
    <cfRule type="expression" dxfId="597" priority="452" stopIfTrue="1">
      <formula>$B161=1</formula>
    </cfRule>
    <cfRule type="expression" dxfId="596" priority="453" stopIfTrue="1">
      <formula>OR($B161=0,$B161=2,$B161=3,$B161=4)</formula>
    </cfRule>
  </conditionalFormatting>
  <conditionalFormatting sqref="M161:N165">
    <cfRule type="expression" dxfId="595" priority="454" stopIfTrue="1">
      <formula>ACOMPANHAMENTO="BM"</formula>
    </cfRule>
    <cfRule type="expression" dxfId="594" priority="455" stopIfTrue="1">
      <formula>OR($B161=0,$B161=2,$B161=3,$B161=4)</formula>
    </cfRule>
    <cfRule type="expression" dxfId="593" priority="456" stopIfTrue="1">
      <formula>$B161=1</formula>
    </cfRule>
  </conditionalFormatting>
  <conditionalFormatting sqref="D85:I85">
    <cfRule type="expression" dxfId="592" priority="430" stopIfTrue="1">
      <formula>$B85=1</formula>
    </cfRule>
    <cfRule type="expression" dxfId="591" priority="431" stopIfTrue="1">
      <formula>OR($B85=0,$B85=2,$B85=3,$B85=4)</formula>
    </cfRule>
  </conditionalFormatting>
  <conditionalFormatting sqref="M85:N85">
    <cfRule type="expression" dxfId="590" priority="432" stopIfTrue="1">
      <formula>ACOMPANHAMENTO="BM"</formula>
    </cfRule>
    <cfRule type="expression" dxfId="589" priority="433" stopIfTrue="1">
      <formula>OR($B85=0,$B85=2,$B85=3,$B85=4)</formula>
    </cfRule>
    <cfRule type="expression" dxfId="588" priority="434" stopIfTrue="1">
      <formula>$B85=1</formula>
    </cfRule>
  </conditionalFormatting>
  <conditionalFormatting sqref="D86:I86">
    <cfRule type="expression" dxfId="587" priority="419" stopIfTrue="1">
      <formula>$B86=1</formula>
    </cfRule>
    <cfRule type="expression" dxfId="586" priority="420" stopIfTrue="1">
      <formula>OR($B86=0,$B86=2,$B86=3,$B86=4)</formula>
    </cfRule>
  </conditionalFormatting>
  <conditionalFormatting sqref="M86:N86">
    <cfRule type="expression" dxfId="585" priority="421" stopIfTrue="1">
      <formula>ACOMPANHAMENTO="BM"</formula>
    </cfRule>
    <cfRule type="expression" dxfId="584" priority="422" stopIfTrue="1">
      <formula>OR($B86=0,$B86=2,$B86=3,$B86=4)</formula>
    </cfRule>
    <cfRule type="expression" dxfId="583" priority="423" stopIfTrue="1">
      <formula>$B86=1</formula>
    </cfRule>
  </conditionalFormatting>
  <conditionalFormatting sqref="D184:I186">
    <cfRule type="expression" dxfId="582" priority="408" stopIfTrue="1">
      <formula>$B184=1</formula>
    </cfRule>
    <cfRule type="expression" dxfId="581" priority="409" stopIfTrue="1">
      <formula>OR($B184=0,$B184=2,$B184=3,$B184=4)</formula>
    </cfRule>
  </conditionalFormatting>
  <conditionalFormatting sqref="M184:N186">
    <cfRule type="expression" dxfId="580" priority="410" stopIfTrue="1">
      <formula>ACOMPANHAMENTO="BM"</formula>
    </cfRule>
    <cfRule type="expression" dxfId="579" priority="411" stopIfTrue="1">
      <formula>OR($B184=0,$B184=2,$B184=3,$B184=4)</formula>
    </cfRule>
    <cfRule type="expression" dxfId="578" priority="412" stopIfTrue="1">
      <formula>$B184=1</formula>
    </cfRule>
  </conditionalFormatting>
  <conditionalFormatting sqref="D99:I99">
    <cfRule type="expression" dxfId="577" priority="375" stopIfTrue="1">
      <formula>$B99=1</formula>
    </cfRule>
    <cfRule type="expression" dxfId="576" priority="376" stopIfTrue="1">
      <formula>OR($B99=0,$B99=2,$B99=3,$B99=4)</formula>
    </cfRule>
  </conditionalFormatting>
  <conditionalFormatting sqref="M99:N99">
    <cfRule type="expression" dxfId="575" priority="377" stopIfTrue="1">
      <formula>ACOMPANHAMENTO="BM"</formula>
    </cfRule>
    <cfRule type="expression" dxfId="574" priority="378" stopIfTrue="1">
      <formula>OR($B99=0,$B99=2,$B99=3,$B99=4)</formula>
    </cfRule>
    <cfRule type="expression" dxfId="573" priority="379" stopIfTrue="1">
      <formula>$B99=1</formula>
    </cfRule>
  </conditionalFormatting>
  <conditionalFormatting sqref="D66:I66">
    <cfRule type="expression" dxfId="572" priority="353" stopIfTrue="1">
      <formula>$B66=1</formula>
    </cfRule>
    <cfRule type="expression" dxfId="571" priority="354" stopIfTrue="1">
      <formula>OR($B66=0,$B66=2,$B66=3,$B66=4)</formula>
    </cfRule>
  </conditionalFormatting>
  <conditionalFormatting sqref="M66:N66">
    <cfRule type="expression" dxfId="570" priority="355" stopIfTrue="1">
      <formula>ACOMPANHAMENTO="BM"</formula>
    </cfRule>
    <cfRule type="expression" dxfId="569" priority="356" stopIfTrue="1">
      <formula>OR($B66=0,$B66=2,$B66=3,$B66=4)</formula>
    </cfRule>
    <cfRule type="expression" dxfId="568" priority="357" stopIfTrue="1">
      <formula>$B66=1</formula>
    </cfRule>
  </conditionalFormatting>
  <conditionalFormatting sqref="D67:I67">
    <cfRule type="expression" dxfId="567" priority="342" stopIfTrue="1">
      <formula>$B67=1</formula>
    </cfRule>
    <cfRule type="expression" dxfId="566" priority="343" stopIfTrue="1">
      <formula>OR($B67=0,$B67=2,$B67=3,$B67=4)</formula>
    </cfRule>
  </conditionalFormatting>
  <conditionalFormatting sqref="M67:N67">
    <cfRule type="expression" dxfId="565" priority="344" stopIfTrue="1">
      <formula>ACOMPANHAMENTO="BM"</formula>
    </cfRule>
    <cfRule type="expression" dxfId="564" priority="345" stopIfTrue="1">
      <formula>OR($B67=0,$B67=2,$B67=3,$B67=4)</formula>
    </cfRule>
    <cfRule type="expression" dxfId="563" priority="346" stopIfTrue="1">
      <formula>$B67=1</formula>
    </cfRule>
  </conditionalFormatting>
  <conditionalFormatting sqref="D41:I41">
    <cfRule type="expression" dxfId="562" priority="331" stopIfTrue="1">
      <formula>$B41=1</formula>
    </cfRule>
    <cfRule type="expression" dxfId="561" priority="332" stopIfTrue="1">
      <formula>OR($B41=0,$B41=2,$B41=3,$B41=4)</formula>
    </cfRule>
  </conditionalFormatting>
  <conditionalFormatting sqref="M41:N41">
    <cfRule type="expression" dxfId="560" priority="333" stopIfTrue="1">
      <formula>ACOMPANHAMENTO="BM"</formula>
    </cfRule>
    <cfRule type="expression" dxfId="559" priority="334" stopIfTrue="1">
      <formula>OR($B41=0,$B41=2,$B41=3,$B41=4)</formula>
    </cfRule>
    <cfRule type="expression" dxfId="558" priority="335" stopIfTrue="1">
      <formula>$B41=1</formula>
    </cfRule>
  </conditionalFormatting>
  <conditionalFormatting sqref="D65:I65">
    <cfRule type="expression" dxfId="557" priority="298" stopIfTrue="1">
      <formula>$B65=1</formula>
    </cfRule>
    <cfRule type="expression" dxfId="556" priority="299" stopIfTrue="1">
      <formula>OR($B65=0,$B65=2,$B65=3,$B65=4)</formula>
    </cfRule>
  </conditionalFormatting>
  <conditionalFormatting sqref="M65:N65">
    <cfRule type="expression" dxfId="555" priority="300" stopIfTrue="1">
      <formula>ACOMPANHAMENTO="BM"</formula>
    </cfRule>
    <cfRule type="expression" dxfId="554" priority="301" stopIfTrue="1">
      <formula>OR($B65=0,$B65=2,$B65=3,$B65=4)</formula>
    </cfRule>
    <cfRule type="expression" dxfId="553" priority="302" stopIfTrue="1">
      <formula>$B65=1</formula>
    </cfRule>
  </conditionalFormatting>
  <conditionalFormatting sqref="D24:I24">
    <cfRule type="expression" dxfId="552" priority="276" stopIfTrue="1">
      <formula>$B24=1</formula>
    </cfRule>
    <cfRule type="expression" dxfId="551" priority="277" stopIfTrue="1">
      <formula>OR($B24=0,$B24=2,$B24=3,$B24=4)</formula>
    </cfRule>
  </conditionalFormatting>
  <conditionalFormatting sqref="M24:N24">
    <cfRule type="expression" dxfId="550" priority="278" stopIfTrue="1">
      <formula>ACOMPANHAMENTO="BM"</formula>
    </cfRule>
    <cfRule type="expression" dxfId="549" priority="279" stopIfTrue="1">
      <formula>OR($B24=0,$B24=2,$B24=3,$B24=4)</formula>
    </cfRule>
    <cfRule type="expression" dxfId="548" priority="280" stopIfTrue="1">
      <formula>$B24=1</formula>
    </cfRule>
  </conditionalFormatting>
  <conditionalFormatting sqref="D25:I25">
    <cfRule type="expression" dxfId="547" priority="265" stopIfTrue="1">
      <formula>$B25=1</formula>
    </cfRule>
    <cfRule type="expression" dxfId="546" priority="266" stopIfTrue="1">
      <formula>OR($B25=0,$B25=2,$B25=3,$B25=4)</formula>
    </cfRule>
  </conditionalFormatting>
  <conditionalFormatting sqref="M25:N25">
    <cfRule type="expression" dxfId="545" priority="267" stopIfTrue="1">
      <formula>ACOMPANHAMENTO="BM"</formula>
    </cfRule>
    <cfRule type="expression" dxfId="544" priority="268" stopIfTrue="1">
      <formula>OR($B25=0,$B25=2,$B25=3,$B25=4)</formula>
    </cfRule>
    <cfRule type="expression" dxfId="543" priority="269" stopIfTrue="1">
      <formula>$B25=1</formula>
    </cfRule>
  </conditionalFormatting>
  <conditionalFormatting sqref="D125:I125">
    <cfRule type="expression" dxfId="542" priority="199" stopIfTrue="1">
      <formula>$B125=1</formula>
    </cfRule>
    <cfRule type="expression" dxfId="541" priority="200" stopIfTrue="1">
      <formula>OR($B125=0,$B125=2,$B125=3,$B125=4)</formula>
    </cfRule>
  </conditionalFormatting>
  <conditionalFormatting sqref="M125:N125">
    <cfRule type="expression" dxfId="540" priority="201" stopIfTrue="1">
      <formula>ACOMPANHAMENTO="BM"</formula>
    </cfRule>
    <cfRule type="expression" dxfId="539" priority="202" stopIfTrue="1">
      <formula>OR($B125=0,$B125=2,$B125=3,$B125=4)</formula>
    </cfRule>
    <cfRule type="expression" dxfId="538" priority="203" stopIfTrue="1">
      <formula>$B125=1</formula>
    </cfRule>
  </conditionalFormatting>
  <conditionalFormatting sqref="D118:I118">
    <cfRule type="expression" dxfId="537" priority="188" stopIfTrue="1">
      <formula>$B118=1</formula>
    </cfRule>
    <cfRule type="expression" dxfId="536" priority="189" stopIfTrue="1">
      <formula>OR($B118=0,$B118=2,$B118=3,$B118=4)</formula>
    </cfRule>
  </conditionalFormatting>
  <conditionalFormatting sqref="M118:N118">
    <cfRule type="expression" dxfId="535" priority="190" stopIfTrue="1">
      <formula>ACOMPANHAMENTO="BM"</formula>
    </cfRule>
    <cfRule type="expression" dxfId="534" priority="191" stopIfTrue="1">
      <formula>OR($B118=0,$B118=2,$B118=3,$B118=4)</formula>
    </cfRule>
    <cfRule type="expression" dxfId="533" priority="192" stopIfTrue="1">
      <formula>$B118=1</formula>
    </cfRule>
  </conditionalFormatting>
  <conditionalFormatting sqref="D119:I119">
    <cfRule type="expression" dxfId="532" priority="177" stopIfTrue="1">
      <formula>$B119=1</formula>
    </cfRule>
    <cfRule type="expression" dxfId="531" priority="178" stopIfTrue="1">
      <formula>OR($B119=0,$B119=2,$B119=3,$B119=4)</formula>
    </cfRule>
  </conditionalFormatting>
  <conditionalFormatting sqref="M119:N119">
    <cfRule type="expression" dxfId="530" priority="179" stopIfTrue="1">
      <formula>ACOMPANHAMENTO="BM"</formula>
    </cfRule>
    <cfRule type="expression" dxfId="529" priority="180" stopIfTrue="1">
      <formula>OR($B119=0,$B119=2,$B119=3,$B119=4)</formula>
    </cfRule>
    <cfRule type="expression" dxfId="528" priority="181" stopIfTrue="1">
      <formula>$B119=1</formula>
    </cfRule>
  </conditionalFormatting>
  <conditionalFormatting sqref="D128:I128">
    <cfRule type="expression" dxfId="527" priority="166" stopIfTrue="1">
      <formula>$B128=1</formula>
    </cfRule>
    <cfRule type="expression" dxfId="526" priority="167" stopIfTrue="1">
      <formula>OR($B128=0,$B128=2,$B128=3,$B128=4)</formula>
    </cfRule>
  </conditionalFormatting>
  <conditionalFormatting sqref="M128:N128">
    <cfRule type="expression" dxfId="525" priority="168" stopIfTrue="1">
      <formula>ACOMPANHAMENTO="BM"</formula>
    </cfRule>
    <cfRule type="expression" dxfId="524" priority="169" stopIfTrue="1">
      <formula>OR($B128=0,$B128=2,$B128=3,$B128=4)</formula>
    </cfRule>
    <cfRule type="expression" dxfId="523" priority="170" stopIfTrue="1">
      <formula>$B128=1</formula>
    </cfRule>
  </conditionalFormatting>
  <conditionalFormatting sqref="D134:I137">
    <cfRule type="expression" dxfId="522" priority="155" stopIfTrue="1">
      <formula>$B134=1</formula>
    </cfRule>
    <cfRule type="expression" dxfId="521" priority="156" stopIfTrue="1">
      <formula>OR($B134=0,$B134=2,$B134=3,$B134=4)</formula>
    </cfRule>
  </conditionalFormatting>
  <conditionalFormatting sqref="M134:N137">
    <cfRule type="expression" dxfId="520" priority="157" stopIfTrue="1">
      <formula>ACOMPANHAMENTO="BM"</formula>
    </cfRule>
    <cfRule type="expression" dxfId="519" priority="158" stopIfTrue="1">
      <formula>OR($B134=0,$B134=2,$B134=3,$B134=4)</formula>
    </cfRule>
    <cfRule type="expression" dxfId="518" priority="159" stopIfTrue="1">
      <formula>$B134=1</formula>
    </cfRule>
  </conditionalFormatting>
  <conditionalFormatting sqref="D175:I178">
    <cfRule type="expression" dxfId="517" priority="122" stopIfTrue="1">
      <formula>$B175=1</formula>
    </cfRule>
    <cfRule type="expression" dxfId="516" priority="123" stopIfTrue="1">
      <formula>OR($B175=0,$B175=2,$B175=3,$B175=4)</formula>
    </cfRule>
  </conditionalFormatting>
  <conditionalFormatting sqref="M175:N178">
    <cfRule type="expression" dxfId="515" priority="124" stopIfTrue="1">
      <formula>ACOMPANHAMENTO="BM"</formula>
    </cfRule>
    <cfRule type="expression" dxfId="514" priority="125" stopIfTrue="1">
      <formula>OR($B175=0,$B175=2,$B175=3,$B175=4)</formula>
    </cfRule>
    <cfRule type="expression" dxfId="513" priority="126" stopIfTrue="1">
      <formula>$B175=1</formula>
    </cfRule>
  </conditionalFormatting>
  <conditionalFormatting sqref="D140:I144">
    <cfRule type="expression" dxfId="512" priority="111" stopIfTrue="1">
      <formula>$B140=1</formula>
    </cfRule>
    <cfRule type="expression" dxfId="511" priority="112" stopIfTrue="1">
      <formula>OR($B140=0,$B140=2,$B140=3,$B140=4)</formula>
    </cfRule>
  </conditionalFormatting>
  <conditionalFormatting sqref="M140:N144">
    <cfRule type="expression" dxfId="510" priority="113" stopIfTrue="1">
      <formula>ACOMPANHAMENTO="BM"</formula>
    </cfRule>
    <cfRule type="expression" dxfId="509" priority="114" stopIfTrue="1">
      <formula>OR($B140=0,$B140=2,$B140=3,$B140=4)</formula>
    </cfRule>
    <cfRule type="expression" dxfId="508" priority="115" stopIfTrue="1">
      <formula>$B140=1</formula>
    </cfRule>
  </conditionalFormatting>
  <conditionalFormatting sqref="D145:I145">
    <cfRule type="expression" dxfId="507" priority="100" stopIfTrue="1">
      <formula>$B145=1</formula>
    </cfRule>
    <cfRule type="expression" dxfId="506" priority="101" stopIfTrue="1">
      <formula>OR($B145=0,$B145=2,$B145=3,$B145=4)</formula>
    </cfRule>
  </conditionalFormatting>
  <conditionalFormatting sqref="M145:N145">
    <cfRule type="expression" dxfId="505" priority="102" stopIfTrue="1">
      <formula>ACOMPANHAMENTO="BM"</formula>
    </cfRule>
    <cfRule type="expression" dxfId="504" priority="103" stopIfTrue="1">
      <formula>OR($B145=0,$B145=2,$B145=3,$B145=4)</formula>
    </cfRule>
    <cfRule type="expression" dxfId="503" priority="104" stopIfTrue="1">
      <formula>$B145=1</formula>
    </cfRule>
  </conditionalFormatting>
  <conditionalFormatting sqref="D89:I89">
    <cfRule type="expression" dxfId="502" priority="78" stopIfTrue="1">
      <formula>$B89=1</formula>
    </cfRule>
    <cfRule type="expression" dxfId="501" priority="79" stopIfTrue="1">
      <formula>OR($B89=0,$B89=2,$B89=3,$B89=4)</formula>
    </cfRule>
  </conditionalFormatting>
  <conditionalFormatting sqref="M89:N89">
    <cfRule type="expression" dxfId="500" priority="80" stopIfTrue="1">
      <formula>ACOMPANHAMENTO="BM"</formula>
    </cfRule>
    <cfRule type="expression" dxfId="499" priority="81" stopIfTrue="1">
      <formula>OR($B89=0,$B89=2,$B89=3,$B89=4)</formula>
    </cfRule>
    <cfRule type="expression" dxfId="498" priority="82" stopIfTrue="1">
      <formula>$B89=1</formula>
    </cfRule>
  </conditionalFormatting>
  <conditionalFormatting sqref="K89">
    <cfRule type="expression" dxfId="497" priority="83" stopIfTrue="1">
      <formula>OR(ACOMPANHAMENTO="BM",$A$12&lt;&gt;"Manual")</formula>
    </cfRule>
    <cfRule type="expression" dxfId="496" priority="84" stopIfTrue="1">
      <formula>$B89=1</formula>
    </cfRule>
    <cfRule type="expression" dxfId="495" priority="85" stopIfTrue="1">
      <formula>OR($B89=2,$B89=3,$B89=4,$B89=0)</formula>
    </cfRule>
  </conditionalFormatting>
  <conditionalFormatting sqref="O89:AA89">
    <cfRule type="expression" dxfId="494" priority="86" stopIfTrue="1">
      <formula>ACOMPANHAMENTO="BM"</formula>
    </cfRule>
    <cfRule type="expression" dxfId="493" priority="87" stopIfTrue="1">
      <formula>AND(O$12&lt;&gt;".",OR($B89=0,$B89=2,$B89=3,$B89=4,AND(O$12="",$B89&lt;&gt;"Empty"),OFFSET(O$12,0,-1)=""))</formula>
    </cfRule>
    <cfRule type="expression" dxfId="492" priority="88" stopIfTrue="1">
      <formula>AND($B89=1,O$12&lt;&gt;".")</formula>
    </cfRule>
  </conditionalFormatting>
  <conditionalFormatting sqref="D190:I190">
    <cfRule type="expression" dxfId="491" priority="67" stopIfTrue="1">
      <formula>$B190=1</formula>
    </cfRule>
    <cfRule type="expression" dxfId="490" priority="68" stopIfTrue="1">
      <formula>OR($B190=0,$B190=2,$B190=3,$B190=4)</formula>
    </cfRule>
  </conditionalFormatting>
  <conditionalFormatting sqref="M190:N190">
    <cfRule type="expression" dxfId="489" priority="69" stopIfTrue="1">
      <formula>ACOMPANHAMENTO="BM"</formula>
    </cfRule>
    <cfRule type="expression" dxfId="488" priority="70" stopIfTrue="1">
      <formula>OR($B190=0,$B190=2,$B190=3,$B190=4)</formula>
    </cfRule>
    <cfRule type="expression" dxfId="487" priority="71" stopIfTrue="1">
      <formula>$B190=1</formula>
    </cfRule>
  </conditionalFormatting>
  <conditionalFormatting sqref="D131:I131">
    <cfRule type="expression" dxfId="486" priority="56" stopIfTrue="1">
      <formula>$B131=1</formula>
    </cfRule>
    <cfRule type="expression" dxfId="485" priority="57" stopIfTrue="1">
      <formula>OR($B131=0,$B131=2,$B131=3,$B131=4)</formula>
    </cfRule>
  </conditionalFormatting>
  <conditionalFormatting sqref="M131:N131">
    <cfRule type="expression" dxfId="484" priority="58" stopIfTrue="1">
      <formula>ACOMPANHAMENTO="BM"</formula>
    </cfRule>
    <cfRule type="expression" dxfId="483" priority="59" stopIfTrue="1">
      <formula>OR($B131=0,$B131=2,$B131=3,$B131=4)</formula>
    </cfRule>
    <cfRule type="expression" dxfId="482" priority="60" stopIfTrue="1">
      <formula>$B131=1</formula>
    </cfRule>
  </conditionalFormatting>
  <conditionalFormatting sqref="D183:I183">
    <cfRule type="expression" dxfId="481" priority="45" stopIfTrue="1">
      <formula>$B183=1</formula>
    </cfRule>
    <cfRule type="expression" dxfId="480" priority="46" stopIfTrue="1">
      <formula>OR($B183=0,$B183=2,$B183=3,$B183=4)</formula>
    </cfRule>
  </conditionalFormatting>
  <conditionalFormatting sqref="M183:N183">
    <cfRule type="expression" dxfId="479" priority="47" stopIfTrue="1">
      <formula>ACOMPANHAMENTO="BM"</formula>
    </cfRule>
    <cfRule type="expression" dxfId="478" priority="48" stopIfTrue="1">
      <formula>OR($B183=0,$B183=2,$B183=3,$B183=4)</formula>
    </cfRule>
    <cfRule type="expression" dxfId="477" priority="49" stopIfTrue="1">
      <formula>$B183=1</formula>
    </cfRule>
  </conditionalFormatting>
  <conditionalFormatting sqref="D121:I121">
    <cfRule type="expression" dxfId="476" priority="23" stopIfTrue="1">
      <formula>$B121=1</formula>
    </cfRule>
    <cfRule type="expression" dxfId="475" priority="24" stopIfTrue="1">
      <formula>OR($B121=0,$B121=2,$B121=3,$B121=4)</formula>
    </cfRule>
  </conditionalFormatting>
  <conditionalFormatting sqref="M121:N121">
    <cfRule type="expression" dxfId="474" priority="25" stopIfTrue="1">
      <formula>ACOMPANHAMENTO="BM"</formula>
    </cfRule>
    <cfRule type="expression" dxfId="473" priority="26" stopIfTrue="1">
      <formula>OR($B121=0,$B121=2,$B121=3,$B121=4)</formula>
    </cfRule>
    <cfRule type="expression" dxfId="472" priority="27" stopIfTrue="1">
      <formula>$B121=1</formula>
    </cfRule>
  </conditionalFormatting>
  <conditionalFormatting sqref="D146:I147">
    <cfRule type="expression" dxfId="471" priority="12" stopIfTrue="1">
      <formula>$B146=1</formula>
    </cfRule>
    <cfRule type="expression" dxfId="470" priority="13" stopIfTrue="1">
      <formula>OR($B146=0,$B146=2,$B146=3,$B146=4)</formula>
    </cfRule>
  </conditionalFormatting>
  <conditionalFormatting sqref="M146:N147">
    <cfRule type="expression" dxfId="469" priority="14" stopIfTrue="1">
      <formula>ACOMPANHAMENTO="BM"</formula>
    </cfRule>
    <cfRule type="expression" dxfId="468" priority="15" stopIfTrue="1">
      <formula>OR($B146=0,$B146=2,$B146=3,$B146=4)</formula>
    </cfRule>
    <cfRule type="expression" dxfId="467" priority="16" stopIfTrue="1">
      <formula>$B146=1</formula>
    </cfRule>
  </conditionalFormatting>
  <conditionalFormatting sqref="K146:K147">
    <cfRule type="expression" dxfId="466" priority="17" stopIfTrue="1">
      <formula>OR(ACOMPANHAMENTO="BM",$A$12&lt;&gt;"Manual")</formula>
    </cfRule>
    <cfRule type="expression" dxfId="465" priority="18" stopIfTrue="1">
      <formula>$B146=1</formula>
    </cfRule>
    <cfRule type="expression" dxfId="464" priority="19" stopIfTrue="1">
      <formula>OR($B146=2,$B146=3,$B146=4,$B146=0)</formula>
    </cfRule>
  </conditionalFormatting>
  <conditionalFormatting sqref="O146:AA147">
    <cfRule type="expression" dxfId="463" priority="20" stopIfTrue="1">
      <formula>ACOMPANHAMENTO="BM"</formula>
    </cfRule>
    <cfRule type="expression" dxfId="462" priority="21" stopIfTrue="1">
      <formula>AND(O$12&lt;&gt;".",OR($B146=0,$B146=2,$B146=3,$B146=4,AND(O$12="",$B146&lt;&gt;"Empty"),OFFSET(O$12,0,-1)=""))</formula>
    </cfRule>
    <cfRule type="expression" dxfId="461" priority="22" stopIfTrue="1">
      <formula>AND($B146=1,O$12&lt;&gt;".")</formula>
    </cfRule>
  </conditionalFormatting>
  <conditionalFormatting sqref="D148:I148">
    <cfRule type="expression" dxfId="460" priority="1" stopIfTrue="1">
      <formula>$B148=1</formula>
    </cfRule>
    <cfRule type="expression" dxfId="459" priority="2" stopIfTrue="1">
      <formula>OR($B148=0,$B148=2,$B148=3,$B148=4)</formula>
    </cfRule>
  </conditionalFormatting>
  <conditionalFormatting sqref="M148:N148">
    <cfRule type="expression" dxfId="458" priority="3" stopIfTrue="1">
      <formula>ACOMPANHAMENTO="BM"</formula>
    </cfRule>
    <cfRule type="expression" dxfId="457" priority="4" stopIfTrue="1">
      <formula>OR($B148=0,$B148=2,$B148=3,$B148=4)</formula>
    </cfRule>
    <cfRule type="expression" dxfId="456" priority="5" stopIfTrue="1">
      <formula>$B148=1</formula>
    </cfRule>
  </conditionalFormatting>
  <conditionalFormatting sqref="K148">
    <cfRule type="expression" dxfId="455" priority="6" stopIfTrue="1">
      <formula>OR(ACOMPANHAMENTO="BM",$A$12&lt;&gt;"Manual")</formula>
    </cfRule>
    <cfRule type="expression" dxfId="454" priority="7" stopIfTrue="1">
      <formula>$B148=1</formula>
    </cfRule>
    <cfRule type="expression" dxfId="453" priority="8" stopIfTrue="1">
      <formula>OR($B148=2,$B148=3,$B148=4,$B148=0)</formula>
    </cfRule>
  </conditionalFormatting>
  <conditionalFormatting sqref="O148:AA148">
    <cfRule type="expression" dxfId="452" priority="9" stopIfTrue="1">
      <formula>ACOMPANHAMENTO="BM"</formula>
    </cfRule>
    <cfRule type="expression" dxfId="451" priority="10" stopIfTrue="1">
      <formula>AND(O$12&lt;&gt;".",OR($B148=0,$B148=2,$B148=3,$B148=4,AND(O$12="",$B148&lt;&gt;"Empty"),OFFSET(O$12,0,-1)=""))</formula>
    </cfRule>
    <cfRule type="expression" dxfId="450" priority="11" stopIfTrue="1">
      <formula>AND($B148=1,O$12&lt;&gt;".")</formula>
    </cfRule>
  </conditionalFormatting>
  <dataValidations count="4">
    <dataValidation type="decimal" operator="greaterThan" allowBlank="1" showErrorMessage="1" error="Apenas números decimais maiores que zero." sqref="O14 Q14:Z14 Q16:Z191 O16:O191">
      <formula1>0</formula1>
      <formula2>0</formula2>
    </dataValidation>
    <dataValidation type="list" allowBlank="1" showErrorMessage="1" sqref="K14 K16:K191">
      <formula1>EVENTOS.ListaValidacao</formula1>
      <formula2>0</formula2>
    </dataValidation>
    <dataValidation allowBlank="1" showInputMessage="1" showErrorMessage="1" prompt="A quantidade é digitada nas colunas Q em diante, após preencher o nome das frentes de obra na célula Q12 em diante" sqref="H14 H16:H191"/>
    <dataValidation allowBlank="1" showInputMessage="1" showErrorMessage="1" prompt="A frente de obra é uma porção física da obra. Exemplos: Única; Rua A; Rua B; Trecho 01; Trecho 02; 1º Andar; 2º Andar; Copa; Banheiro" sqref="Q12"/>
  </dataValidations>
  <pageMargins left="0.78740157480314998" right="0.78740157480314998" top="0.78740157480314998" bottom="0.78740157480314998" header="0.59055118110236204" footer="0.59055118110236204"/>
  <pageSetup paperSize="9" scale="65" firstPageNumber="0" orientation="landscape" r:id="rId1"/>
  <headerFooter alignWithMargins="0">
    <oddHeader>&amp;C&amp;14I</oddHeader>
    <oddFooter>&amp;LPMv3.0.6&amp;R&amp;P / &amp;N</oddFooter>
  </headerFooter>
  <colBreaks count="1" manualBreakCount="1">
    <brk id="27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8">
    <pageSetUpPr fitToPage="1"/>
  </sheetPr>
  <dimension ref="B2:F65"/>
  <sheetViews>
    <sheetView showGridLines="0" zoomScale="90" zoomScaleNormal="90" workbookViewId="0">
      <pane ySplit="14" topLeftCell="A15" activePane="bottomLeft" state="frozen"/>
      <selection pane="bottomLeft"/>
    </sheetView>
  </sheetViews>
  <sheetFormatPr defaultRowHeight="12.75" x14ac:dyDescent="0.2"/>
  <cols>
    <col min="2" max="2" width="0" hidden="1" customWidth="1"/>
    <col min="3" max="3" width="12.7109375" customWidth="1"/>
    <col min="4" max="4" width="30.7109375" customWidth="1"/>
    <col min="6" max="6" width="25.7109375" customWidth="1"/>
  </cols>
  <sheetData>
    <row r="2" spans="2:6" ht="15.75" x14ac:dyDescent="0.2">
      <c r="C2" s="102" t="s">
        <v>264</v>
      </c>
    </row>
    <row r="4" spans="2:6" x14ac:dyDescent="0.2">
      <c r="C4" t="s">
        <v>265</v>
      </c>
    </row>
    <row r="6" spans="2:6" x14ac:dyDescent="0.2">
      <c r="C6" s="748" t="s">
        <v>408</v>
      </c>
      <c r="D6" s="748"/>
      <c r="E6" s="748"/>
      <c r="F6" s="748"/>
    </row>
    <row r="8" spans="2:6" ht="33.75" customHeight="1" x14ac:dyDescent="0.2"/>
    <row r="9" spans="2:6" ht="12" customHeight="1" x14ac:dyDescent="0.2">
      <c r="C9" s="749" t="str">
        <f>IF(ACOMPANHAMENTO="BM","Foi selecionado na aba 'MENU' o acompanhamento por BM. Não há necessidade de definição de Eventos.","")</f>
        <v>Foi selecionado na aba 'MENU' o acompanhamento por BM. Não há necessidade de definição de Eventos.</v>
      </c>
      <c r="D9" s="749"/>
      <c r="E9" s="749"/>
      <c r="F9" s="749"/>
    </row>
    <row r="10" spans="2:6" ht="12" customHeight="1" x14ac:dyDescent="0.2">
      <c r="C10" s="749"/>
      <c r="D10" s="749"/>
      <c r="E10" s="749"/>
      <c r="F10" s="749"/>
    </row>
    <row r="11" spans="2:6" ht="12" customHeight="1" x14ac:dyDescent="0.2">
      <c r="C11" s="749"/>
      <c r="D11" s="749"/>
      <c r="E11" s="749"/>
      <c r="F11" s="749"/>
    </row>
    <row r="12" spans="2:6" ht="12" customHeight="1" x14ac:dyDescent="0.2"/>
    <row r="13" spans="2:6" ht="15" x14ac:dyDescent="0.25">
      <c r="C13" s="230" t="s">
        <v>266</v>
      </c>
      <c r="D13" s="750" t="s">
        <v>267</v>
      </c>
      <c r="E13" s="750"/>
      <c r="F13" s="231" t="s">
        <v>268</v>
      </c>
    </row>
    <row r="14" spans="2:6" hidden="1" x14ac:dyDescent="0.2">
      <c r="B14" t="e">
        <f ca="1">CONCATENATE(C14,".",D14)</f>
        <v>#VALUE!</v>
      </c>
      <c r="C14" s="232" t="e">
        <f ca="1">OFFSET(C14,-1,0)+1</f>
        <v>#VALUE!</v>
      </c>
      <c r="D14" s="747"/>
      <c r="E14" s="747"/>
      <c r="F14" s="233">
        <f ca="1">IF(AUTOEVENTO="Manual",ROUND(SUMPRODUCT((CÁLCULO!$M$15:$M$192=EVENTOS!$C14)*(OFFSET(CÁLCULO!$AA$15,0,1):OFFSET(CÁLCULO!$AL$192,0,-1))),2),0)</f>
        <v>0</v>
      </c>
    </row>
    <row r="15" spans="2:6" x14ac:dyDescent="0.2">
      <c r="B15" t="str">
        <f>CONCATENATE(C15,".",D15)</f>
        <v>1.Administração Local</v>
      </c>
      <c r="C15" s="234">
        <v>1</v>
      </c>
      <c r="D15" s="751" t="s">
        <v>269</v>
      </c>
      <c r="E15" s="751"/>
      <c r="F15" s="235">
        <f ca="1">IF(AUTOEVENTO="Manual",ROUND(SUMIF(CÁLCULO!$M$15:$M$192,1,ORÇAMENTO!$X$15:$X$192),2),0)</f>
        <v>0</v>
      </c>
    </row>
    <row r="16" spans="2:6" x14ac:dyDescent="0.2">
      <c r="B16" t="str">
        <f t="shared" ref="B16:B64" ca="1" si="0">CONCATENATE(C16,".",D16)</f>
        <v>2.</v>
      </c>
      <c r="C16" s="232">
        <f t="shared" ref="C16:C64" ca="1" si="1">OFFSET(C16,-1,0)+1</f>
        <v>2</v>
      </c>
      <c r="D16" s="747"/>
      <c r="E16" s="747"/>
      <c r="F16" s="233">
        <f ca="1">IF(AUTOEVENTO="Manual",ROUND(SUMPRODUCT((CÁLCULO!$M$15:$M$192=EVENTOS!$C16)*(OFFSET(CÁLCULO!$AA$15,0,1):OFFSET(CÁLCULO!$AL$192,0,-1))),2),0)</f>
        <v>0</v>
      </c>
    </row>
    <row r="17" spans="2:6" x14ac:dyDescent="0.2">
      <c r="B17" t="str">
        <f t="shared" ca="1" si="0"/>
        <v>3.</v>
      </c>
      <c r="C17" s="232">
        <f t="shared" ca="1" si="1"/>
        <v>3</v>
      </c>
      <c r="D17" s="747"/>
      <c r="E17" s="747"/>
      <c r="F17" s="233">
        <f ca="1">IF(AUTOEVENTO="Manual",ROUND(SUMPRODUCT((CÁLCULO!$M$15:$M$192=EVENTOS!$C17)*(OFFSET(CÁLCULO!$AA$15,0,1):OFFSET(CÁLCULO!$AL$192,0,-1))),2),0)</f>
        <v>0</v>
      </c>
    </row>
    <row r="18" spans="2:6" x14ac:dyDescent="0.2">
      <c r="B18" t="str">
        <f t="shared" ca="1" si="0"/>
        <v>4.</v>
      </c>
      <c r="C18" s="232">
        <f t="shared" ca="1" si="1"/>
        <v>4</v>
      </c>
      <c r="D18" s="747"/>
      <c r="E18" s="747"/>
      <c r="F18" s="233">
        <f ca="1">IF(AUTOEVENTO="Manual",ROUND(SUMPRODUCT((CÁLCULO!$M$15:$M$192=EVENTOS!$C18)*(OFFSET(CÁLCULO!$AA$15,0,1):OFFSET(CÁLCULO!$AL$192,0,-1))),2),0)</f>
        <v>0</v>
      </c>
    </row>
    <row r="19" spans="2:6" x14ac:dyDescent="0.2">
      <c r="B19" t="str">
        <f t="shared" ca="1" si="0"/>
        <v>5.</v>
      </c>
      <c r="C19" s="232">
        <f t="shared" ca="1" si="1"/>
        <v>5</v>
      </c>
      <c r="D19" s="747"/>
      <c r="E19" s="747"/>
      <c r="F19" s="233">
        <f ca="1">IF(AUTOEVENTO="Manual",ROUND(SUMPRODUCT((CÁLCULO!$M$15:$M$192=EVENTOS!$C19)*(OFFSET(CÁLCULO!$AA$15,0,1):OFFSET(CÁLCULO!$AL$192,0,-1))),2),0)</f>
        <v>0</v>
      </c>
    </row>
    <row r="20" spans="2:6" x14ac:dyDescent="0.2">
      <c r="B20" t="str">
        <f t="shared" ca="1" si="0"/>
        <v>6.</v>
      </c>
      <c r="C20" s="232">
        <f t="shared" ca="1" si="1"/>
        <v>6</v>
      </c>
      <c r="D20" s="747"/>
      <c r="E20" s="747"/>
      <c r="F20" s="233">
        <f ca="1">IF(AUTOEVENTO="Manual",ROUND(SUMPRODUCT((CÁLCULO!$M$15:$M$192=EVENTOS!$C20)*(OFFSET(CÁLCULO!$AA$15,0,1):OFFSET(CÁLCULO!$AL$192,0,-1))),2),0)</f>
        <v>0</v>
      </c>
    </row>
    <row r="21" spans="2:6" x14ac:dyDescent="0.2">
      <c r="B21" t="str">
        <f t="shared" ca="1" si="0"/>
        <v>7.</v>
      </c>
      <c r="C21" s="232">
        <f t="shared" ca="1" si="1"/>
        <v>7</v>
      </c>
      <c r="D21" s="747"/>
      <c r="E21" s="747"/>
      <c r="F21" s="233">
        <f ca="1">IF(AUTOEVENTO="Manual",ROUND(SUMPRODUCT((CÁLCULO!$M$15:$M$192=EVENTOS!$C21)*(OFFSET(CÁLCULO!$AA$15,0,1):OFFSET(CÁLCULO!$AL$192,0,-1))),2),0)</f>
        <v>0</v>
      </c>
    </row>
    <row r="22" spans="2:6" x14ac:dyDescent="0.2">
      <c r="B22" t="str">
        <f t="shared" ca="1" si="0"/>
        <v>8.</v>
      </c>
      <c r="C22" s="232">
        <f t="shared" ca="1" si="1"/>
        <v>8</v>
      </c>
      <c r="D22" s="747"/>
      <c r="E22" s="747"/>
      <c r="F22" s="233">
        <f ca="1">IF(AUTOEVENTO="Manual",ROUND(SUMPRODUCT((CÁLCULO!$M$15:$M$192=EVENTOS!$C22)*(OFFSET(CÁLCULO!$AA$15,0,1):OFFSET(CÁLCULO!$AL$192,0,-1))),2),0)</f>
        <v>0</v>
      </c>
    </row>
    <row r="23" spans="2:6" x14ac:dyDescent="0.2">
      <c r="B23" t="str">
        <f t="shared" ca="1" si="0"/>
        <v>9.</v>
      </c>
      <c r="C23" s="232">
        <f t="shared" ca="1" si="1"/>
        <v>9</v>
      </c>
      <c r="D23" s="747"/>
      <c r="E23" s="747"/>
      <c r="F23" s="233">
        <f ca="1">IF(AUTOEVENTO="Manual",ROUND(SUMPRODUCT((CÁLCULO!$M$15:$M$192=EVENTOS!$C23)*(OFFSET(CÁLCULO!$AA$15,0,1):OFFSET(CÁLCULO!$AL$192,0,-1))),2),0)</f>
        <v>0</v>
      </c>
    </row>
    <row r="24" spans="2:6" x14ac:dyDescent="0.2">
      <c r="B24" t="str">
        <f t="shared" ca="1" si="0"/>
        <v>10.</v>
      </c>
      <c r="C24" s="232">
        <f t="shared" ca="1" si="1"/>
        <v>10</v>
      </c>
      <c r="D24" s="747"/>
      <c r="E24" s="747"/>
      <c r="F24" s="233">
        <f ca="1">IF(AUTOEVENTO="Manual",ROUND(SUMPRODUCT((CÁLCULO!$M$15:$M$192=EVENTOS!$C24)*(OFFSET(CÁLCULO!$AA$15,0,1):OFFSET(CÁLCULO!$AL$192,0,-1))),2),0)</f>
        <v>0</v>
      </c>
    </row>
    <row r="25" spans="2:6" x14ac:dyDescent="0.2">
      <c r="B25" t="str">
        <f t="shared" ca="1" si="0"/>
        <v>11.</v>
      </c>
      <c r="C25" s="232">
        <f t="shared" ca="1" si="1"/>
        <v>11</v>
      </c>
      <c r="D25" s="747"/>
      <c r="E25" s="747"/>
      <c r="F25" s="233">
        <f ca="1">IF(AUTOEVENTO="Manual",ROUND(SUMPRODUCT((CÁLCULO!$M$15:$M$192=EVENTOS!$C25)*(OFFSET(CÁLCULO!$AA$15,0,1):OFFSET(CÁLCULO!$AL$192,0,-1))),2),0)</f>
        <v>0</v>
      </c>
    </row>
    <row r="26" spans="2:6" x14ac:dyDescent="0.2">
      <c r="B26" t="str">
        <f t="shared" ca="1" si="0"/>
        <v>12.</v>
      </c>
      <c r="C26" s="232">
        <f t="shared" ca="1" si="1"/>
        <v>12</v>
      </c>
      <c r="D26" s="747"/>
      <c r="E26" s="747"/>
      <c r="F26" s="233">
        <f ca="1">IF(AUTOEVENTO="Manual",ROUND(SUMPRODUCT((CÁLCULO!$M$15:$M$192=EVENTOS!$C26)*(OFFSET(CÁLCULO!$AA$15,0,1):OFFSET(CÁLCULO!$AL$192,0,-1))),2),0)</f>
        <v>0</v>
      </c>
    </row>
    <row r="27" spans="2:6" x14ac:dyDescent="0.2">
      <c r="B27" t="str">
        <f t="shared" ca="1" si="0"/>
        <v>13.</v>
      </c>
      <c r="C27" s="232">
        <f t="shared" ca="1" si="1"/>
        <v>13</v>
      </c>
      <c r="D27" s="747"/>
      <c r="E27" s="747"/>
      <c r="F27" s="233">
        <f ca="1">IF(AUTOEVENTO="Manual",ROUND(SUMPRODUCT((CÁLCULO!$M$15:$M$192=EVENTOS!$C27)*(OFFSET(CÁLCULO!$AA$15,0,1):OFFSET(CÁLCULO!$AL$192,0,-1))),2),0)</f>
        <v>0</v>
      </c>
    </row>
    <row r="28" spans="2:6" x14ac:dyDescent="0.2">
      <c r="B28" t="str">
        <f t="shared" ca="1" si="0"/>
        <v>14.</v>
      </c>
      <c r="C28" s="232">
        <f t="shared" ca="1" si="1"/>
        <v>14</v>
      </c>
      <c r="D28" s="747"/>
      <c r="E28" s="747"/>
      <c r="F28" s="233">
        <f ca="1">IF(AUTOEVENTO="Manual",ROUND(SUMPRODUCT((CÁLCULO!$M$15:$M$192=EVENTOS!$C28)*(OFFSET(CÁLCULO!$AA$15,0,1):OFFSET(CÁLCULO!$AL$192,0,-1))),2),0)</f>
        <v>0</v>
      </c>
    </row>
    <row r="29" spans="2:6" x14ac:dyDescent="0.2">
      <c r="B29" t="str">
        <f t="shared" ca="1" si="0"/>
        <v>15.</v>
      </c>
      <c r="C29" s="232">
        <f t="shared" ca="1" si="1"/>
        <v>15</v>
      </c>
      <c r="D29" s="747"/>
      <c r="E29" s="747"/>
      <c r="F29" s="233">
        <f ca="1">IF(AUTOEVENTO="Manual",ROUND(SUMPRODUCT((CÁLCULO!$M$15:$M$192=EVENTOS!$C29)*(OFFSET(CÁLCULO!$AA$15,0,1):OFFSET(CÁLCULO!$AL$192,0,-1))),2),0)</f>
        <v>0</v>
      </c>
    </row>
    <row r="30" spans="2:6" x14ac:dyDescent="0.2">
      <c r="B30" t="str">
        <f t="shared" ca="1" si="0"/>
        <v>16.</v>
      </c>
      <c r="C30" s="232">
        <f t="shared" ca="1" si="1"/>
        <v>16</v>
      </c>
      <c r="D30" s="747"/>
      <c r="E30" s="747"/>
      <c r="F30" s="233">
        <f ca="1">IF(AUTOEVENTO="Manual",ROUND(SUMPRODUCT((CÁLCULO!$M$15:$M$192=EVENTOS!$C30)*(OFFSET(CÁLCULO!$AA$15,0,1):OFFSET(CÁLCULO!$AL$192,0,-1))),2),0)</f>
        <v>0</v>
      </c>
    </row>
    <row r="31" spans="2:6" x14ac:dyDescent="0.2">
      <c r="B31" t="str">
        <f t="shared" ca="1" si="0"/>
        <v>17.</v>
      </c>
      <c r="C31" s="232">
        <f t="shared" ca="1" si="1"/>
        <v>17</v>
      </c>
      <c r="D31" s="747"/>
      <c r="E31" s="747"/>
      <c r="F31" s="233">
        <f ca="1">IF(AUTOEVENTO="Manual",ROUND(SUMPRODUCT((CÁLCULO!$M$15:$M$192=EVENTOS!$C31)*(OFFSET(CÁLCULO!$AA$15,0,1):OFFSET(CÁLCULO!$AL$192,0,-1))),2),0)</f>
        <v>0</v>
      </c>
    </row>
    <row r="32" spans="2:6" x14ac:dyDescent="0.2">
      <c r="B32" t="str">
        <f t="shared" ca="1" si="0"/>
        <v>18.</v>
      </c>
      <c r="C32" s="232">
        <f t="shared" ca="1" si="1"/>
        <v>18</v>
      </c>
      <c r="D32" s="747"/>
      <c r="E32" s="747"/>
      <c r="F32" s="233">
        <f ca="1">IF(AUTOEVENTO="Manual",ROUND(SUMPRODUCT((CÁLCULO!$M$15:$M$192=EVENTOS!$C32)*(OFFSET(CÁLCULO!$AA$15,0,1):OFFSET(CÁLCULO!$AL$192,0,-1))),2),0)</f>
        <v>0</v>
      </c>
    </row>
    <row r="33" spans="2:6" x14ac:dyDescent="0.2">
      <c r="B33" t="str">
        <f t="shared" ca="1" si="0"/>
        <v>19.</v>
      </c>
      <c r="C33" s="232">
        <f t="shared" ca="1" si="1"/>
        <v>19</v>
      </c>
      <c r="D33" s="747"/>
      <c r="E33" s="747"/>
      <c r="F33" s="233">
        <f ca="1">IF(AUTOEVENTO="Manual",ROUND(SUMPRODUCT((CÁLCULO!$M$15:$M$192=EVENTOS!$C33)*(OFFSET(CÁLCULO!$AA$15,0,1):OFFSET(CÁLCULO!$AL$192,0,-1))),2),0)</f>
        <v>0</v>
      </c>
    </row>
    <row r="34" spans="2:6" x14ac:dyDescent="0.2">
      <c r="B34" t="str">
        <f t="shared" ca="1" si="0"/>
        <v>20.</v>
      </c>
      <c r="C34" s="232">
        <f t="shared" ca="1" si="1"/>
        <v>20</v>
      </c>
      <c r="D34" s="747"/>
      <c r="E34" s="747"/>
      <c r="F34" s="233">
        <f ca="1">IF(AUTOEVENTO="Manual",ROUND(SUMPRODUCT((CÁLCULO!$M$15:$M$192=EVENTOS!$C34)*(OFFSET(CÁLCULO!$AA$15,0,1):OFFSET(CÁLCULO!$AL$192,0,-1))),2),0)</f>
        <v>0</v>
      </c>
    </row>
    <row r="35" spans="2:6" x14ac:dyDescent="0.2">
      <c r="B35" t="str">
        <f t="shared" ca="1" si="0"/>
        <v>21.</v>
      </c>
      <c r="C35" s="232">
        <f t="shared" ca="1" si="1"/>
        <v>21</v>
      </c>
      <c r="D35" s="747"/>
      <c r="E35" s="747"/>
      <c r="F35" s="233">
        <f ca="1">IF(AUTOEVENTO="Manual",ROUND(SUMPRODUCT((CÁLCULO!$M$15:$M$192=EVENTOS!$C35)*(OFFSET(CÁLCULO!$AA$15,0,1):OFFSET(CÁLCULO!$AL$192,0,-1))),2),0)</f>
        <v>0</v>
      </c>
    </row>
    <row r="36" spans="2:6" x14ac:dyDescent="0.2">
      <c r="B36" t="str">
        <f t="shared" ca="1" si="0"/>
        <v>22.</v>
      </c>
      <c r="C36" s="232">
        <f t="shared" ca="1" si="1"/>
        <v>22</v>
      </c>
      <c r="D36" s="747"/>
      <c r="E36" s="747"/>
      <c r="F36" s="233">
        <f ca="1">IF(AUTOEVENTO="Manual",ROUND(SUMPRODUCT((CÁLCULO!$M$15:$M$192=EVENTOS!$C36)*(OFFSET(CÁLCULO!$AA$15,0,1):OFFSET(CÁLCULO!$AL$192,0,-1))),2),0)</f>
        <v>0</v>
      </c>
    </row>
    <row r="37" spans="2:6" x14ac:dyDescent="0.2">
      <c r="B37" t="str">
        <f t="shared" ca="1" si="0"/>
        <v>23.</v>
      </c>
      <c r="C37" s="232">
        <f t="shared" ca="1" si="1"/>
        <v>23</v>
      </c>
      <c r="D37" s="747"/>
      <c r="E37" s="747"/>
      <c r="F37" s="233">
        <f ca="1">IF(AUTOEVENTO="Manual",ROUND(SUMPRODUCT((CÁLCULO!$M$15:$M$192=EVENTOS!$C37)*(OFFSET(CÁLCULO!$AA$15,0,1):OFFSET(CÁLCULO!$AL$192,0,-1))),2),0)</f>
        <v>0</v>
      </c>
    </row>
    <row r="38" spans="2:6" x14ac:dyDescent="0.2">
      <c r="B38" t="str">
        <f t="shared" ca="1" si="0"/>
        <v>24.</v>
      </c>
      <c r="C38" s="232">
        <f t="shared" ca="1" si="1"/>
        <v>24</v>
      </c>
      <c r="D38" s="747"/>
      <c r="E38" s="747"/>
      <c r="F38" s="233">
        <f ca="1">IF(AUTOEVENTO="Manual",ROUND(SUMPRODUCT((CÁLCULO!$M$15:$M$192=EVENTOS!$C38)*(OFFSET(CÁLCULO!$AA$15,0,1):OFFSET(CÁLCULO!$AL$192,0,-1))),2),0)</f>
        <v>0</v>
      </c>
    </row>
    <row r="39" spans="2:6" x14ac:dyDescent="0.2">
      <c r="B39" t="str">
        <f t="shared" ca="1" si="0"/>
        <v>25.</v>
      </c>
      <c r="C39" s="232">
        <f t="shared" ca="1" si="1"/>
        <v>25</v>
      </c>
      <c r="D39" s="747"/>
      <c r="E39" s="747"/>
      <c r="F39" s="233">
        <f ca="1">IF(AUTOEVENTO="Manual",ROUND(SUMPRODUCT((CÁLCULO!$M$15:$M$192=EVENTOS!$C39)*(OFFSET(CÁLCULO!$AA$15,0,1):OFFSET(CÁLCULO!$AL$192,0,-1))),2),0)</f>
        <v>0</v>
      </c>
    </row>
    <row r="40" spans="2:6" x14ac:dyDescent="0.2">
      <c r="B40" t="str">
        <f t="shared" ca="1" si="0"/>
        <v>26.</v>
      </c>
      <c r="C40" s="232">
        <f t="shared" ca="1" si="1"/>
        <v>26</v>
      </c>
      <c r="D40" s="747"/>
      <c r="E40" s="747"/>
      <c r="F40" s="233">
        <f ca="1">IF(AUTOEVENTO="Manual",ROUND(SUMPRODUCT((CÁLCULO!$M$15:$M$192=EVENTOS!$C40)*(OFFSET(CÁLCULO!$AA$15,0,1):OFFSET(CÁLCULO!$AL$192,0,-1))),2),0)</f>
        <v>0</v>
      </c>
    </row>
    <row r="41" spans="2:6" x14ac:dyDescent="0.2">
      <c r="B41" t="str">
        <f t="shared" ca="1" si="0"/>
        <v>27.</v>
      </c>
      <c r="C41" s="232">
        <f t="shared" ca="1" si="1"/>
        <v>27</v>
      </c>
      <c r="D41" s="747"/>
      <c r="E41" s="747"/>
      <c r="F41" s="233">
        <f ca="1">IF(AUTOEVENTO="Manual",ROUND(SUMPRODUCT((CÁLCULO!$M$15:$M$192=EVENTOS!$C41)*(OFFSET(CÁLCULO!$AA$15,0,1):OFFSET(CÁLCULO!$AL$192,0,-1))),2),0)</f>
        <v>0</v>
      </c>
    </row>
    <row r="42" spans="2:6" x14ac:dyDescent="0.2">
      <c r="B42" t="str">
        <f t="shared" ca="1" si="0"/>
        <v>28.</v>
      </c>
      <c r="C42" s="232">
        <f t="shared" ca="1" si="1"/>
        <v>28</v>
      </c>
      <c r="D42" s="747"/>
      <c r="E42" s="747"/>
      <c r="F42" s="233">
        <f ca="1">IF(AUTOEVENTO="Manual",ROUND(SUMPRODUCT((CÁLCULO!$M$15:$M$192=EVENTOS!$C42)*(OFFSET(CÁLCULO!$AA$15,0,1):OFFSET(CÁLCULO!$AL$192,0,-1))),2),0)</f>
        <v>0</v>
      </c>
    </row>
    <row r="43" spans="2:6" x14ac:dyDescent="0.2">
      <c r="B43" t="str">
        <f t="shared" ca="1" si="0"/>
        <v>29.</v>
      </c>
      <c r="C43" s="232">
        <f t="shared" ca="1" si="1"/>
        <v>29</v>
      </c>
      <c r="D43" s="747"/>
      <c r="E43" s="747"/>
      <c r="F43" s="233">
        <f ca="1">IF(AUTOEVENTO="Manual",ROUND(SUMPRODUCT((CÁLCULO!$M$15:$M$192=EVENTOS!$C43)*(OFFSET(CÁLCULO!$AA$15,0,1):OFFSET(CÁLCULO!$AL$192,0,-1))),2),0)</f>
        <v>0</v>
      </c>
    </row>
    <row r="44" spans="2:6" x14ac:dyDescent="0.2">
      <c r="B44" t="str">
        <f t="shared" ca="1" si="0"/>
        <v>30.</v>
      </c>
      <c r="C44" s="232">
        <f t="shared" ca="1" si="1"/>
        <v>30</v>
      </c>
      <c r="D44" s="747"/>
      <c r="E44" s="747"/>
      <c r="F44" s="233">
        <f ca="1">IF(AUTOEVENTO="Manual",ROUND(SUMPRODUCT((CÁLCULO!$M$15:$M$192=EVENTOS!$C44)*(OFFSET(CÁLCULO!$AA$15,0,1):OFFSET(CÁLCULO!$AL$192,0,-1))),2),0)</f>
        <v>0</v>
      </c>
    </row>
    <row r="45" spans="2:6" x14ac:dyDescent="0.2">
      <c r="B45" t="str">
        <f t="shared" ca="1" si="0"/>
        <v>31.</v>
      </c>
      <c r="C45" s="232">
        <f t="shared" ca="1" si="1"/>
        <v>31</v>
      </c>
      <c r="D45" s="747"/>
      <c r="E45" s="747"/>
      <c r="F45" s="233">
        <f ca="1">IF(AUTOEVENTO="Manual",ROUND(SUMPRODUCT((CÁLCULO!$M$15:$M$192=EVENTOS!$C45)*(OFFSET(CÁLCULO!$AA$15,0,1):OFFSET(CÁLCULO!$AL$192,0,-1))),2),0)</f>
        <v>0</v>
      </c>
    </row>
    <row r="46" spans="2:6" x14ac:dyDescent="0.2">
      <c r="B46" t="str">
        <f t="shared" ca="1" si="0"/>
        <v>32.</v>
      </c>
      <c r="C46" s="232">
        <f t="shared" ca="1" si="1"/>
        <v>32</v>
      </c>
      <c r="D46" s="747"/>
      <c r="E46" s="747"/>
      <c r="F46" s="233">
        <f ca="1">IF(AUTOEVENTO="Manual",ROUND(SUMPRODUCT((CÁLCULO!$M$15:$M$192=EVENTOS!$C46)*(OFFSET(CÁLCULO!$AA$15,0,1):OFFSET(CÁLCULO!$AL$192,0,-1))),2),0)</f>
        <v>0</v>
      </c>
    </row>
    <row r="47" spans="2:6" x14ac:dyDescent="0.2">
      <c r="B47" t="str">
        <f t="shared" ca="1" si="0"/>
        <v>33.</v>
      </c>
      <c r="C47" s="232">
        <f t="shared" ca="1" si="1"/>
        <v>33</v>
      </c>
      <c r="D47" s="747"/>
      <c r="E47" s="747"/>
      <c r="F47" s="233">
        <f ca="1">IF(AUTOEVENTO="Manual",ROUND(SUMPRODUCT((CÁLCULO!$M$15:$M$192=EVENTOS!$C47)*(OFFSET(CÁLCULO!$AA$15,0,1):OFFSET(CÁLCULO!$AL$192,0,-1))),2),0)</f>
        <v>0</v>
      </c>
    </row>
    <row r="48" spans="2:6" x14ac:dyDescent="0.2">
      <c r="B48" t="str">
        <f t="shared" ca="1" si="0"/>
        <v>34.</v>
      </c>
      <c r="C48" s="232">
        <f t="shared" ca="1" si="1"/>
        <v>34</v>
      </c>
      <c r="D48" s="747"/>
      <c r="E48" s="747"/>
      <c r="F48" s="233">
        <f ca="1">IF(AUTOEVENTO="Manual",ROUND(SUMPRODUCT((CÁLCULO!$M$15:$M$192=EVENTOS!$C48)*(OFFSET(CÁLCULO!$AA$15,0,1):OFFSET(CÁLCULO!$AL$192,0,-1))),2),0)</f>
        <v>0</v>
      </c>
    </row>
    <row r="49" spans="2:6" x14ac:dyDescent="0.2">
      <c r="B49" t="str">
        <f t="shared" ca="1" si="0"/>
        <v>35.</v>
      </c>
      <c r="C49" s="232">
        <f t="shared" ca="1" si="1"/>
        <v>35</v>
      </c>
      <c r="D49" s="747"/>
      <c r="E49" s="747"/>
      <c r="F49" s="233">
        <f ca="1">IF(AUTOEVENTO="Manual",ROUND(SUMPRODUCT((CÁLCULO!$M$15:$M$192=EVENTOS!$C49)*(OFFSET(CÁLCULO!$AA$15,0,1):OFFSET(CÁLCULO!$AL$192,0,-1))),2),0)</f>
        <v>0</v>
      </c>
    </row>
    <row r="50" spans="2:6" x14ac:dyDescent="0.2">
      <c r="B50" t="str">
        <f t="shared" ca="1" si="0"/>
        <v>36.</v>
      </c>
      <c r="C50" s="232">
        <f t="shared" ca="1" si="1"/>
        <v>36</v>
      </c>
      <c r="D50" s="747"/>
      <c r="E50" s="747"/>
      <c r="F50" s="233">
        <f ca="1">IF(AUTOEVENTO="Manual",ROUND(SUMPRODUCT((CÁLCULO!$M$15:$M$192=EVENTOS!$C50)*(OFFSET(CÁLCULO!$AA$15,0,1):OFFSET(CÁLCULO!$AL$192,0,-1))),2),0)</f>
        <v>0</v>
      </c>
    </row>
    <row r="51" spans="2:6" x14ac:dyDescent="0.2">
      <c r="B51" t="str">
        <f t="shared" ca="1" si="0"/>
        <v>37.</v>
      </c>
      <c r="C51" s="232">
        <f t="shared" ca="1" si="1"/>
        <v>37</v>
      </c>
      <c r="D51" s="747"/>
      <c r="E51" s="747"/>
      <c r="F51" s="233">
        <f ca="1">IF(AUTOEVENTO="Manual",ROUND(SUMPRODUCT((CÁLCULO!$M$15:$M$192=EVENTOS!$C51)*(OFFSET(CÁLCULO!$AA$15,0,1):OFFSET(CÁLCULO!$AL$192,0,-1))),2),0)</f>
        <v>0</v>
      </c>
    </row>
    <row r="52" spans="2:6" x14ac:dyDescent="0.2">
      <c r="B52" t="str">
        <f t="shared" ca="1" si="0"/>
        <v>38.</v>
      </c>
      <c r="C52" s="232">
        <f t="shared" ca="1" si="1"/>
        <v>38</v>
      </c>
      <c r="D52" s="747"/>
      <c r="E52" s="747"/>
      <c r="F52" s="233">
        <f ca="1">IF(AUTOEVENTO="Manual",ROUND(SUMPRODUCT((CÁLCULO!$M$15:$M$192=EVENTOS!$C52)*(OFFSET(CÁLCULO!$AA$15,0,1):OFFSET(CÁLCULO!$AL$192,0,-1))),2),0)</f>
        <v>0</v>
      </c>
    </row>
    <row r="53" spans="2:6" x14ac:dyDescent="0.2">
      <c r="B53" t="str">
        <f t="shared" ca="1" si="0"/>
        <v>39.</v>
      </c>
      <c r="C53" s="232">
        <f t="shared" ca="1" si="1"/>
        <v>39</v>
      </c>
      <c r="D53" s="747"/>
      <c r="E53" s="747"/>
      <c r="F53" s="233">
        <f ca="1">IF(AUTOEVENTO="Manual",ROUND(SUMPRODUCT((CÁLCULO!$M$15:$M$192=EVENTOS!$C53)*(OFFSET(CÁLCULO!$AA$15,0,1):OFFSET(CÁLCULO!$AL$192,0,-1))),2),0)</f>
        <v>0</v>
      </c>
    </row>
    <row r="54" spans="2:6" x14ac:dyDescent="0.2">
      <c r="B54" t="str">
        <f t="shared" ca="1" si="0"/>
        <v>40.</v>
      </c>
      <c r="C54" s="232">
        <f t="shared" ca="1" si="1"/>
        <v>40</v>
      </c>
      <c r="D54" s="747"/>
      <c r="E54" s="747"/>
      <c r="F54" s="233">
        <f ca="1">IF(AUTOEVENTO="Manual",ROUND(SUMPRODUCT((CÁLCULO!$M$15:$M$192=EVENTOS!$C54)*(OFFSET(CÁLCULO!$AA$15,0,1):OFFSET(CÁLCULO!$AL$192,0,-1))),2),0)</f>
        <v>0</v>
      </c>
    </row>
    <row r="55" spans="2:6" x14ac:dyDescent="0.2">
      <c r="B55" t="str">
        <f t="shared" ca="1" si="0"/>
        <v>41.</v>
      </c>
      <c r="C55" s="232">
        <f t="shared" ca="1" si="1"/>
        <v>41</v>
      </c>
      <c r="D55" s="747"/>
      <c r="E55" s="747"/>
      <c r="F55" s="233">
        <f ca="1">IF(AUTOEVENTO="Manual",ROUND(SUMPRODUCT((CÁLCULO!$M$15:$M$192=EVENTOS!$C55)*(OFFSET(CÁLCULO!$AA$15,0,1):OFFSET(CÁLCULO!$AL$192,0,-1))),2),0)</f>
        <v>0</v>
      </c>
    </row>
    <row r="56" spans="2:6" x14ac:dyDescent="0.2">
      <c r="B56" t="str">
        <f t="shared" ca="1" si="0"/>
        <v>42.</v>
      </c>
      <c r="C56" s="232">
        <f t="shared" ca="1" si="1"/>
        <v>42</v>
      </c>
      <c r="D56" s="747"/>
      <c r="E56" s="747"/>
      <c r="F56" s="233">
        <f ca="1">IF(AUTOEVENTO="Manual",ROUND(SUMPRODUCT((CÁLCULO!$M$15:$M$192=EVENTOS!$C56)*(OFFSET(CÁLCULO!$AA$15,0,1):OFFSET(CÁLCULO!$AL$192,0,-1))),2),0)</f>
        <v>0</v>
      </c>
    </row>
    <row r="57" spans="2:6" x14ac:dyDescent="0.2">
      <c r="B57" t="str">
        <f t="shared" ca="1" si="0"/>
        <v>43.</v>
      </c>
      <c r="C57" s="232">
        <f t="shared" ca="1" si="1"/>
        <v>43</v>
      </c>
      <c r="D57" s="747"/>
      <c r="E57" s="747"/>
      <c r="F57" s="233">
        <f ca="1">IF(AUTOEVENTO="Manual",ROUND(SUMPRODUCT((CÁLCULO!$M$15:$M$192=EVENTOS!$C57)*(OFFSET(CÁLCULO!$AA$15,0,1):OFFSET(CÁLCULO!$AL$192,0,-1))),2),0)</f>
        <v>0</v>
      </c>
    </row>
    <row r="58" spans="2:6" x14ac:dyDescent="0.2">
      <c r="B58" t="str">
        <f t="shared" ca="1" si="0"/>
        <v>44.</v>
      </c>
      <c r="C58" s="232">
        <f t="shared" ca="1" si="1"/>
        <v>44</v>
      </c>
      <c r="D58" s="747"/>
      <c r="E58" s="747"/>
      <c r="F58" s="233">
        <f ca="1">IF(AUTOEVENTO="Manual",ROUND(SUMPRODUCT((CÁLCULO!$M$15:$M$192=EVENTOS!$C58)*(OFFSET(CÁLCULO!$AA$15,0,1):OFFSET(CÁLCULO!$AL$192,0,-1))),2),0)</f>
        <v>0</v>
      </c>
    </row>
    <row r="59" spans="2:6" x14ac:dyDescent="0.2">
      <c r="B59" t="str">
        <f t="shared" ca="1" si="0"/>
        <v>45.</v>
      </c>
      <c r="C59" s="232">
        <f t="shared" ca="1" si="1"/>
        <v>45</v>
      </c>
      <c r="D59" s="747"/>
      <c r="E59" s="747"/>
      <c r="F59" s="233">
        <f ca="1">IF(AUTOEVENTO="Manual",ROUND(SUMPRODUCT((CÁLCULO!$M$15:$M$192=EVENTOS!$C59)*(OFFSET(CÁLCULO!$AA$15,0,1):OFFSET(CÁLCULO!$AL$192,0,-1))),2),0)</f>
        <v>0</v>
      </c>
    </row>
    <row r="60" spans="2:6" x14ac:dyDescent="0.2">
      <c r="B60" t="str">
        <f t="shared" ca="1" si="0"/>
        <v>46.</v>
      </c>
      <c r="C60" s="232">
        <f t="shared" ca="1" si="1"/>
        <v>46</v>
      </c>
      <c r="D60" s="747"/>
      <c r="E60" s="747"/>
      <c r="F60" s="233">
        <f ca="1">IF(AUTOEVENTO="Manual",ROUND(SUMPRODUCT((CÁLCULO!$M$15:$M$192=EVENTOS!$C60)*(OFFSET(CÁLCULO!$AA$15,0,1):OFFSET(CÁLCULO!$AL$192,0,-1))),2),0)</f>
        <v>0</v>
      </c>
    </row>
    <row r="61" spans="2:6" x14ac:dyDescent="0.2">
      <c r="B61" t="str">
        <f t="shared" ca="1" si="0"/>
        <v>47.</v>
      </c>
      <c r="C61" s="232">
        <f t="shared" ca="1" si="1"/>
        <v>47</v>
      </c>
      <c r="D61" s="747"/>
      <c r="E61" s="747"/>
      <c r="F61" s="233">
        <f ca="1">IF(AUTOEVENTO="Manual",ROUND(SUMPRODUCT((CÁLCULO!$M$15:$M$192=EVENTOS!$C61)*(OFFSET(CÁLCULO!$AA$15,0,1):OFFSET(CÁLCULO!$AL$192,0,-1))),2),0)</f>
        <v>0</v>
      </c>
    </row>
    <row r="62" spans="2:6" x14ac:dyDescent="0.2">
      <c r="B62" t="str">
        <f t="shared" ca="1" si="0"/>
        <v>48.</v>
      </c>
      <c r="C62" s="232">
        <f t="shared" ca="1" si="1"/>
        <v>48</v>
      </c>
      <c r="D62" s="747"/>
      <c r="E62" s="747"/>
      <c r="F62" s="233">
        <f ca="1">IF(AUTOEVENTO="Manual",ROUND(SUMPRODUCT((CÁLCULO!$M$15:$M$192=EVENTOS!$C62)*(OFFSET(CÁLCULO!$AA$15,0,1):OFFSET(CÁLCULO!$AL$192,0,-1))),2),0)</f>
        <v>0</v>
      </c>
    </row>
    <row r="63" spans="2:6" x14ac:dyDescent="0.2">
      <c r="B63" t="str">
        <f t="shared" ca="1" si="0"/>
        <v>49.</v>
      </c>
      <c r="C63" s="232">
        <f t="shared" ca="1" si="1"/>
        <v>49</v>
      </c>
      <c r="D63" s="747"/>
      <c r="E63" s="747"/>
      <c r="F63" s="233">
        <f ca="1">IF(AUTOEVENTO="Manual",ROUND(SUMPRODUCT((CÁLCULO!$M$15:$M$192=EVENTOS!$C63)*(OFFSET(CÁLCULO!$AA$15,0,1):OFFSET(CÁLCULO!$AL$192,0,-1))),2),0)</f>
        <v>0</v>
      </c>
    </row>
    <row r="64" spans="2:6" x14ac:dyDescent="0.2">
      <c r="B64" t="str">
        <f t="shared" ca="1" si="0"/>
        <v>50.</v>
      </c>
      <c r="C64" s="232">
        <f t="shared" ca="1" si="1"/>
        <v>50</v>
      </c>
      <c r="D64" s="747"/>
      <c r="E64" s="747"/>
      <c r="F64" s="233">
        <f ca="1">IF(AUTOEVENTO="Manual",ROUND(SUMPRODUCT((CÁLCULO!$M$15:$M$192=EVENTOS!$C64)*(OFFSET(CÁLCULO!$AA$15,0,1):OFFSET(CÁLCULO!$AL$192,0,-1))),2),0)</f>
        <v>0</v>
      </c>
    </row>
    <row r="65" spans="3:6" ht="5.0999999999999996" customHeight="1" x14ac:dyDescent="0.2">
      <c r="C65" s="225"/>
      <c r="D65" s="236"/>
      <c r="E65" s="236"/>
      <c r="F65" s="237"/>
    </row>
  </sheetData>
  <sheetProtection algorithmName="SHA-512" hashValue="ZgL7kARA2cJOGv+gJe6Z3EZ6JMUHTovamIojrPBuKEXng10SJVTzgW5TPK1KuMxzAcLzEC+yEIEfD7K9ZKWyDA==" saltValue="eaUCOfEWXc9dL0JA29s+EQ==" spinCount="100000" sheet="1" objects="1" scenarios="1" autoFilter="0"/>
  <mergeCells count="54">
    <mergeCell ref="D40:E40"/>
    <mergeCell ref="D61:E61"/>
    <mergeCell ref="D52:E52"/>
    <mergeCell ref="D53:E53"/>
    <mergeCell ref="D54:E54"/>
    <mergeCell ref="D55:E55"/>
    <mergeCell ref="D60:E60"/>
    <mergeCell ref="D41:E41"/>
    <mergeCell ref="D43:E43"/>
    <mergeCell ref="D34:E34"/>
    <mergeCell ref="D47:E47"/>
    <mergeCell ref="D42:E42"/>
    <mergeCell ref="D20:E20"/>
    <mergeCell ref="D23:E23"/>
    <mergeCell ref="D24:E24"/>
    <mergeCell ref="D25:E25"/>
    <mergeCell ref="D28:E28"/>
    <mergeCell ref="D29:E29"/>
    <mergeCell ref="D31:E31"/>
    <mergeCell ref="D32:E32"/>
    <mergeCell ref="D35:E35"/>
    <mergeCell ref="D36:E36"/>
    <mergeCell ref="D37:E37"/>
    <mergeCell ref="D38:E38"/>
    <mergeCell ref="D39:E39"/>
    <mergeCell ref="D26:E26"/>
    <mergeCell ref="D27:E27"/>
    <mergeCell ref="D30:E30"/>
    <mergeCell ref="D33:E33"/>
    <mergeCell ref="D21:E21"/>
    <mergeCell ref="D22:E22"/>
    <mergeCell ref="C6:F6"/>
    <mergeCell ref="C9:F11"/>
    <mergeCell ref="D13:E13"/>
    <mergeCell ref="D14:E14"/>
    <mergeCell ref="D19:E19"/>
    <mergeCell ref="D15:E15"/>
    <mergeCell ref="D16:E16"/>
    <mergeCell ref="D17:E17"/>
    <mergeCell ref="D18:E18"/>
    <mergeCell ref="D62:E62"/>
    <mergeCell ref="D63:E63"/>
    <mergeCell ref="D64:E64"/>
    <mergeCell ref="D44:E44"/>
    <mergeCell ref="D45:E45"/>
    <mergeCell ref="D46:E46"/>
    <mergeCell ref="D56:E56"/>
    <mergeCell ref="D57:E57"/>
    <mergeCell ref="D58:E58"/>
    <mergeCell ref="D59:E59"/>
    <mergeCell ref="D51:E51"/>
    <mergeCell ref="D49:E49"/>
    <mergeCell ref="D50:E50"/>
    <mergeCell ref="D48:E48"/>
  </mergeCells>
  <phoneticPr fontId="38" type="noConversion"/>
  <conditionalFormatting sqref="C13:F15 C65:F65">
    <cfRule type="expression" dxfId="449" priority="112" stopIfTrue="1">
      <formula>OR(AUTOEVENTO&lt;&gt;"Manual",ACOMPANHAMENTO="BM")</formula>
    </cfRule>
  </conditionalFormatting>
  <conditionalFormatting sqref="C16:F24">
    <cfRule type="expression" dxfId="448" priority="6" stopIfTrue="1">
      <formula>OR(AUTOEVENTO&lt;&gt;"Manual",ACOMPANHAMENTO="BM")</formula>
    </cfRule>
  </conditionalFormatting>
  <conditionalFormatting sqref="C25:F33">
    <cfRule type="expression" dxfId="447" priority="5" stopIfTrue="1">
      <formula>OR(AUTOEVENTO&lt;&gt;"Manual",ACOMPANHAMENTO="BM")</formula>
    </cfRule>
  </conditionalFormatting>
  <conditionalFormatting sqref="C34:F42">
    <cfRule type="expression" dxfId="446" priority="4" stopIfTrue="1">
      <formula>OR(AUTOEVENTO&lt;&gt;"Manual",ACOMPANHAMENTO="BM")</formula>
    </cfRule>
  </conditionalFormatting>
  <conditionalFormatting sqref="C43:F51">
    <cfRule type="expression" dxfId="445" priority="3" stopIfTrue="1">
      <formula>OR(AUTOEVENTO&lt;&gt;"Manual",ACOMPANHAMENTO="BM")</formula>
    </cfRule>
  </conditionalFormatting>
  <conditionalFormatting sqref="C52:F60">
    <cfRule type="expression" dxfId="444" priority="2" stopIfTrue="1">
      <formula>OR(AUTOEVENTO&lt;&gt;"Manual",ACOMPANHAMENTO="BM")</formula>
    </cfRule>
  </conditionalFormatting>
  <conditionalFormatting sqref="C61:F64">
    <cfRule type="expression" dxfId="443" priority="1" stopIfTrue="1">
      <formula>OR(AUTOEVENTO&lt;&gt;"Manual",ACOMPANHAMENTO="BM")</formula>
    </cfRule>
  </conditionalFormatting>
  <dataValidations count="1">
    <dataValidation type="list" allowBlank="1" showErrorMessage="1" sqref="C6">
      <formula1>"Automática, conforme os agrupadores Nível 2 do Orçamento,Automática, conforme os agrupadores Nível 3 do Orçamento,Automática, conforme os agrupadores Nível 4 do Orçamento,Definir Manualmente"</formula1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90" firstPageNumber="0" orientation="portrait" horizontalDpi="300" verticalDpi="300" r:id="rId1"/>
  <headerFooter alignWithMargins="0">
    <oddHeader>&amp;L_</oddHeader>
    <oddFooter>&amp;LPMv3.0.6&amp;R&amp;P / &amp;N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 filterMode="1"/>
  <dimension ref="A1:AR108"/>
  <sheetViews>
    <sheetView showGridLines="0" zoomScale="90" zoomScaleNormal="90" zoomScaleSheetLayoutView="90" workbookViewId="0">
      <pane xSplit="19" ySplit="13" topLeftCell="T14" activePane="bottomRight" state="frozen"/>
      <selection activeCell="F4" sqref="F4"/>
      <selection pane="topRight" activeCell="T4" sqref="T4"/>
      <selection pane="bottomLeft" activeCell="F14" sqref="F14"/>
      <selection pane="bottomRight" activeCell="AG81" sqref="AG81"/>
    </sheetView>
  </sheetViews>
  <sheetFormatPr defaultColWidth="9.140625" defaultRowHeight="12.75" x14ac:dyDescent="0.2"/>
  <cols>
    <col min="1" max="3" width="9.140625" style="238" hidden="1" customWidth="1"/>
    <col min="4" max="4" width="11" style="239" hidden="1" customWidth="1"/>
    <col min="5" max="5" width="19" style="238" hidden="1" customWidth="1"/>
    <col min="6" max="6" width="3.7109375" style="239" customWidth="1"/>
    <col min="7" max="7" width="12.7109375" style="238" customWidth="1"/>
    <col min="8" max="8" width="7.140625" style="239" customWidth="1"/>
    <col min="9" max="9" width="14.5703125" style="239" customWidth="1"/>
    <col min="10" max="10" width="12" style="239" customWidth="1"/>
    <col min="11" max="11" width="11" style="239" customWidth="1"/>
    <col min="12" max="17" width="0" style="238" hidden="1" customWidth="1"/>
    <col min="18" max="18" width="11.42578125" style="240" customWidth="1"/>
    <col min="19" max="19" width="10.7109375" style="240" customWidth="1"/>
    <col min="20" max="43" width="11" style="239" customWidth="1"/>
    <col min="44" max="44" width="0.140625" style="239" customWidth="1"/>
    <col min="45" max="16384" width="9.140625" style="239"/>
  </cols>
  <sheetData>
    <row r="1" spans="1:44" hidden="1" x14ac:dyDescent="0.2">
      <c r="A1" s="238" t="e">
        <f ca="1">OFFSET(A1,-3,0)+1</f>
        <v>#REF!</v>
      </c>
      <c r="B1" s="238" t="e">
        <f ca="1">IF($Q1&lt;&gt;2,0,IF($R1=0,1,IF(E2&gt;0,OFFSET(QCI!$M$13,SUBSTITUTE(E2,".",""),0),OFFSET(ORÇAMENTO!$AA$15,CRONO!$E1,0))/$R1))</f>
        <v>#REF!</v>
      </c>
      <c r="C1" s="238" t="e">
        <f ca="1">IF($Q1&lt;&gt;2,0,IF($R1=0,1,IF(E2&gt;0,OFFSET(QCI!$N$13,SUBSTITUTE(E2,".",""),0),OFFSET(ORÇAMENTO!$AB$15,CRONO!$E1,0))/$R1))</f>
        <v>#REF!</v>
      </c>
      <c r="D1" s="241" t="e">
        <f ca="1">IF(AND($Q1=2,ACOMPANHAMENTO="BM"),D2,D3/$R1)</f>
        <v>#REF!</v>
      </c>
      <c r="E1" s="238" t="e">
        <f ca="1">IF(A1&lt;=ORÇAMENTO.MáximoListaCrono,MATCH(A1,ORÇAMENTO.ListaCrono,0),NA())</f>
        <v>#REF!</v>
      </c>
      <c r="F1" s="238" t="e">
        <f ca="1">IF(AND($E2&lt;&gt;-1,$R1&gt;0),"F","")</f>
        <v>#REF!</v>
      </c>
      <c r="G1" s="242" t="e">
        <f ca="1">IF(OR(R1=0,R1=""),"Linha",IF(AND(OR(ACOMPANHAMENTO="PLE",$Q1&lt;&gt;2),$E2=0),"Linha",1-SUM(T1:AR1)))</f>
        <v>#REF!</v>
      </c>
      <c r="H1" s="243" t="e">
        <f ca="1">IF($E2=0,OFFSET(ORÇAMENTO!O$15,$E1,0),IF($E2&lt;&gt;-1,OFFSET(QCI!$D$13,$E2,0),""))</f>
        <v>#REF!</v>
      </c>
      <c r="I1" s="244" t="e">
        <f ca="1">IF($E2=0,OFFSET(ORÇAMENTO!R$15,$E1,0),IF($E2&lt;&gt;-1,OFFSET(QCI!$G$13,$E2,0),""))</f>
        <v>#REF!</v>
      </c>
      <c r="J1" s="244"/>
      <c r="K1" s="244"/>
      <c r="L1" s="245" t="e">
        <f ca="1">IF($E2=0,OFFSET(ORÇAMENTO!C$15,$E1,0),1)</f>
        <v>#REF!</v>
      </c>
      <c r="M1" s="246" t="e">
        <f ca="1">IF($E2=-1,0,IF(M$13&lt;=$L1,IF(ISERROR(MATCH(M$13,OFFSET($L1,1,0,ROW($L$92)-ROW($L1)-1),0)),ROW($L$92)-ROW($L1)-1,MATCH(M$13,OFFSET($L1,1,0,ROW($L$92)-ROW($L1)-1),0)-1),0))</f>
        <v>#REF!</v>
      </c>
      <c r="N1" s="246" t="e">
        <f ca="1">IF($E2=-1,0,IF(N$13&lt;=$L1,IF(ISERROR(MATCH(N$13,OFFSET($L1,1,0,ROW($L$92)-ROW($L1)-1),0)),ROW($L$92)-ROW($L1)-1,MATCH(N$13,OFFSET($L1,1,0,ROW($L$92)-ROW($L1)-1),0)-1),0))</f>
        <v>#REF!</v>
      </c>
      <c r="O1" s="246" t="e">
        <f ca="1">IF($E2=-1,0,IF(O$13&lt;=$L1,IF(ISERROR(MATCH(O$13,OFFSET($L1,1,0,ROW($L$92)-ROW($L1)-1),0)),ROW($L$92)-ROW($L1)-1,MATCH(O$13,OFFSET($L1,1,0,ROW($L$92)-ROW($L1)-1),0)-1),0))</f>
        <v>#REF!</v>
      </c>
      <c r="P1" s="246" t="e">
        <f ca="1">IF($E2=-1,0,IF(P$13&lt;=$L1,IF(ISERROR(MATCH(P$13,OFFSET($L1,1,0,ROW($L$92)-ROW($L1)-1),0)),ROW($L$92)-ROW($L1)-1,MATCH(P$13,OFFSET($L1,1,0,ROW($L$92)-ROW($L1)-1),0)-1),0))</f>
        <v>#REF!</v>
      </c>
      <c r="Q1" s="246" t="e">
        <f ca="1">MIN(OFFSET(L1,0,1,,L1))</f>
        <v>#REF!</v>
      </c>
      <c r="R1" s="247" t="e">
        <f ca="1">IF($E2=0,OFFSET(ORÇAMENTO!X$15,$E1,0),IF($E2&lt;&gt;-1,OFFSET(QCI!$O$13,$E2,0),""))</f>
        <v>#REF!</v>
      </c>
      <c r="S1" s="248" t="s">
        <v>270</v>
      </c>
      <c r="T1" s="249" t="e">
        <f t="shared" ref="T1:AE1" ca="1" si="0">IF(AND($Q1=2,ACOMPANHAMENTO="BM"),T2,T3/$R1)</f>
        <v>#REF!</v>
      </c>
      <c r="U1" s="241" t="e">
        <f t="shared" ca="1" si="0"/>
        <v>#REF!</v>
      </c>
      <c r="V1" s="241" t="e">
        <f t="shared" ca="1" si="0"/>
        <v>#REF!</v>
      </c>
      <c r="W1" s="241" t="e">
        <f t="shared" ca="1" si="0"/>
        <v>#REF!</v>
      </c>
      <c r="X1" s="241" t="e">
        <f t="shared" ca="1" si="0"/>
        <v>#REF!</v>
      </c>
      <c r="Y1" s="241" t="e">
        <f t="shared" ca="1" si="0"/>
        <v>#REF!</v>
      </c>
      <c r="Z1" s="241" t="e">
        <f t="shared" ca="1" si="0"/>
        <v>#REF!</v>
      </c>
      <c r="AA1" s="241" t="e">
        <f t="shared" ca="1" si="0"/>
        <v>#REF!</v>
      </c>
      <c r="AB1" s="241" t="e">
        <f t="shared" ca="1" si="0"/>
        <v>#REF!</v>
      </c>
      <c r="AC1" s="241" t="e">
        <f t="shared" ca="1" si="0"/>
        <v>#REF!</v>
      </c>
      <c r="AD1" s="241" t="e">
        <f t="shared" ca="1" si="0"/>
        <v>#REF!</v>
      </c>
      <c r="AE1" s="250" t="e">
        <f t="shared" ca="1" si="0"/>
        <v>#REF!</v>
      </c>
      <c r="AF1" s="249" t="e">
        <f t="shared" ref="AF1:AQ1" ca="1" si="1">IF(AND($Q1=2,ACOMPANHAMENTO="BM"),AF2,AF3/$R1)</f>
        <v>#REF!</v>
      </c>
      <c r="AG1" s="241" t="e">
        <f t="shared" ca="1" si="1"/>
        <v>#REF!</v>
      </c>
      <c r="AH1" s="241" t="e">
        <f t="shared" ca="1" si="1"/>
        <v>#REF!</v>
      </c>
      <c r="AI1" s="241" t="e">
        <f t="shared" ca="1" si="1"/>
        <v>#REF!</v>
      </c>
      <c r="AJ1" s="241" t="e">
        <f t="shared" ca="1" si="1"/>
        <v>#REF!</v>
      </c>
      <c r="AK1" s="241" t="e">
        <f t="shared" ca="1" si="1"/>
        <v>#REF!</v>
      </c>
      <c r="AL1" s="241" t="e">
        <f t="shared" ca="1" si="1"/>
        <v>#REF!</v>
      </c>
      <c r="AM1" s="241" t="e">
        <f t="shared" ca="1" si="1"/>
        <v>#REF!</v>
      </c>
      <c r="AN1" s="241" t="e">
        <f t="shared" ca="1" si="1"/>
        <v>#REF!</v>
      </c>
      <c r="AO1" s="241" t="e">
        <f t="shared" ca="1" si="1"/>
        <v>#REF!</v>
      </c>
      <c r="AP1" s="241" t="e">
        <f t="shared" ca="1" si="1"/>
        <v>#REF!</v>
      </c>
      <c r="AQ1" s="250" t="e">
        <f t="shared" ca="1" si="1"/>
        <v>#REF!</v>
      </c>
    </row>
    <row r="2" spans="1:44" ht="12.75" hidden="1" customHeight="1" x14ac:dyDescent="0.2">
      <c r="D2" s="657"/>
      <c r="E2" s="238" t="e">
        <f ca="1">IF(ISERROR(E1),IF(1+COUNTIF($L$13:OFFSET(L1,-1,0),1)&lt;=MAX(QCI!$D$13:$D$24),1+COUNTIF($L$13:OFFSET(L1,-1,0),1),-1),0)</f>
        <v>#REF!</v>
      </c>
      <c r="F2" s="238" t="e">
        <f ca="1">IF(AND($E2&lt;&gt;-1,$R1&gt;0),"F","")</f>
        <v>#REF!</v>
      </c>
      <c r="G2" s="251" t="e">
        <f ca="1">IF(OR(R1=0,R1=""),"vazia",IF(AND(OR(ACOMPANHAMENTO="PLE",$Q1&lt;&gt;2),$E2=0),"calculada","--&gt;"))</f>
        <v>#REF!</v>
      </c>
      <c r="H2" s="252"/>
      <c r="I2" s="253" t="e">
        <f ca="1">IF(AND(G1&lt;&gt;0,ISNUMBER(G1)),"PREENCHA ESTA LINHA --&gt;","")</f>
        <v>#REF!</v>
      </c>
      <c r="J2" s="253"/>
      <c r="K2" s="253"/>
      <c r="L2" s="254"/>
      <c r="M2" s="254"/>
      <c r="N2" s="254"/>
      <c r="O2" s="254"/>
      <c r="P2" s="254"/>
      <c r="Q2" s="254"/>
      <c r="R2" s="255"/>
      <c r="S2" s="256"/>
      <c r="T2" s="658"/>
      <c r="U2" s="657"/>
      <c r="V2" s="657"/>
      <c r="W2" s="657"/>
      <c r="X2" s="657"/>
      <c r="Y2" s="657"/>
      <c r="Z2" s="657"/>
      <c r="AA2" s="657"/>
      <c r="AB2" s="657"/>
      <c r="AC2" s="657"/>
      <c r="AD2" s="657"/>
      <c r="AE2" s="659"/>
      <c r="AF2" s="658"/>
      <c r="AG2" s="657"/>
      <c r="AH2" s="657"/>
      <c r="AI2" s="657"/>
      <c r="AJ2" s="657"/>
      <c r="AK2" s="657"/>
      <c r="AL2" s="657"/>
      <c r="AM2" s="657"/>
      <c r="AN2" s="657"/>
      <c r="AO2" s="657"/>
      <c r="AP2" s="657"/>
      <c r="AQ2" s="659"/>
      <c r="AR2" s="617"/>
    </row>
    <row r="3" spans="1:44" ht="0.2" hidden="1" customHeight="1" x14ac:dyDescent="0.2">
      <c r="D3" s="257" t="e">
        <f ca="1">IF($Q1=2,IF(AND(ACOMPANHAMENTO="PLE",ISNUMBER($E1)),SUMIF((OFFSET(CÁLCULO!$AM$15:$AW$15,$E1,0,OFFSET(ORÇAMENTO!$D$15,CRONO!$E1,0))),"="&amp;CRONO!D$12,OFFSET(CÁLCULO!$AB$15:$AL$15,$E1,0,OFFSET(ORÇAMENTO!$D$15,CRONO!$E1,0)))+IF(AND($E3&lt;&gt;"",$E3&lt;&gt;0),SUMIF(CÁLCULO!$AM$15:$AW$192,"="&amp;CRONO!D$12,CÁLCULO!$AB$15:$AL$192)/(ORÇAMENTO!$X$15-CÁLCULO.TotalAdmLocal)*CRONO!$E3,0),D2*$R1),SUMIF(OFFSET($R3,1,0,$Q1-2),($L1+1)&amp;"$",OFFSET(D3,1,0,$Q1-2)))</f>
        <v>#REF!</v>
      </c>
      <c r="E3" s="238" t="e">
        <f ca="1">IF(OR($Q1&lt;&gt;2,AUTOEVENTO&lt;&gt;"manual",$E2&gt;0),"",SUMIF(OFFSET(CÁLCULO!$M$15,CRONO!$E1,0,OFFSET(ORÇAMENTO!$D$15,CRONO!$E1,0)),1,OFFSET(ORÇAMENTO!$X$15,CRONO!$E1,0,OFFSET(ORÇAMENTO!$D$15,CRONO!$E1,0))))</f>
        <v>#REF!</v>
      </c>
      <c r="G3" s="258"/>
      <c r="R3" s="259" t="e">
        <f ca="1">L1&amp;"$"</f>
        <v>#REF!</v>
      </c>
      <c r="S3" s="260"/>
      <c r="T3" s="261" t="e">
        <f ca="1">IF($Q1=2,IF(AND(ACOMPANHAMENTO="PLE",ISNUMBER($E1)),SUMIF((OFFSET(CÁLCULO!$AM$15:$AW$15,$E1,0,OFFSET(ORÇAMENTO!$D$15,CRONO!$E1,0))),"&lt;="&amp;CRONO!T$12,OFFSET(CÁLCULO!$AB$15:$AL$15,$E1,0,OFFSET(ORÇAMENTO!$D$15,CRONO!$E1,0)))+IF(AND($E3&lt;&gt;"",$E3&lt;&gt;0),SUMIF(CÁLCULO!$AM$15:$AW$192,"&lt;="&amp;CRONO!T$12,CÁLCULO!$AB$15:$AL$192)/(ORÇAMENTO!$X$15-CÁLCULO.TotalAdmLocal)*CRONO!$E3,0),T2*$R1),SUMIF(OFFSET($R3,1,0,$Q1-2),($L1+1)&amp;"$",OFFSET(T3,1,0,$Q1-2)))</f>
        <v>#REF!</v>
      </c>
      <c r="U3" s="257" t="e">
        <f ca="1">IF($Q1=2,IF(AND(ACOMPANHAMENTO="PLE",ISNUMBER($E1)),SUMIF((OFFSET(CÁLCULO!$AM$15:$AW$15,$E1,0,OFFSET(ORÇAMENTO!$D$15,CRONO!$E1,0))),"="&amp;CRONO!U$12,OFFSET(CÁLCULO!$AB$15:$AL$15,$E1,0,OFFSET(ORÇAMENTO!$D$15,CRONO!$E1,0)))+IF(AND($E3&lt;&gt;"",$E3&lt;&gt;0),SUMIF(CÁLCULO!$AM$15:$AW$192,"="&amp;CRONO!U$12,CÁLCULO!$AB$15:$AL$192)/(ORÇAMENTO!$X$15-CÁLCULO.TotalAdmLocal)*CRONO!$E3,0),U2*$R1),SUMIF(OFFSET($R3,1,0,$Q1-2),($L1+1)&amp;"$",OFFSET(U3,1,0,$Q1-2)))</f>
        <v>#REF!</v>
      </c>
      <c r="V3" s="257" t="e">
        <f ca="1">IF($Q1=2,IF(AND(ACOMPANHAMENTO="PLE",ISNUMBER($E1)),SUMIF((OFFSET(CÁLCULO!$AM$15:$AW$15,$E1,0,OFFSET(ORÇAMENTO!$D$15,CRONO!$E1,0))),"="&amp;CRONO!V$12,OFFSET(CÁLCULO!$AB$15:$AL$15,$E1,0,OFFSET(ORÇAMENTO!$D$15,CRONO!$E1,0)))+IF(AND($E3&lt;&gt;"",$E3&lt;&gt;0),SUMIF(CÁLCULO!$AM$15:$AW$192,"="&amp;CRONO!V$12,CÁLCULO!$AB$15:$AL$192)/(ORÇAMENTO!$X$15-CÁLCULO.TotalAdmLocal)*CRONO!$E3,0),V2*$R1),SUMIF(OFFSET($R3,1,0,$Q1-2),($L1+1)&amp;"$",OFFSET(V3,1,0,$Q1-2)))</f>
        <v>#REF!</v>
      </c>
      <c r="W3" s="257" t="e">
        <f ca="1">IF($Q1=2,IF(AND(ACOMPANHAMENTO="PLE",ISNUMBER($E1)),SUMIF((OFFSET(CÁLCULO!$AM$15:$AW$15,$E1,0,OFFSET(ORÇAMENTO!$D$15,CRONO!$E1,0))),"="&amp;CRONO!W$12,OFFSET(CÁLCULO!$AB$15:$AL$15,$E1,0,OFFSET(ORÇAMENTO!$D$15,CRONO!$E1,0)))+IF(AND($E3&lt;&gt;"",$E3&lt;&gt;0),SUMIF(CÁLCULO!$AM$15:$AW$192,"="&amp;CRONO!W$12,CÁLCULO!$AB$15:$AL$192)/(ORÇAMENTO!$X$15-CÁLCULO.TotalAdmLocal)*CRONO!$E3,0),W2*$R1),SUMIF(OFFSET($R3,1,0,$Q1-2),($L1+1)&amp;"$",OFFSET(W3,1,0,$Q1-2)))</f>
        <v>#REF!</v>
      </c>
      <c r="X3" s="257" t="e">
        <f ca="1">IF($Q1=2,IF(AND(ACOMPANHAMENTO="PLE",ISNUMBER($E1)),SUMIF((OFFSET(CÁLCULO!$AM$15:$AW$15,$E1,0,OFFSET(ORÇAMENTO!$D$15,CRONO!$E1,0))),"="&amp;CRONO!X$12,OFFSET(CÁLCULO!$AB$15:$AL$15,$E1,0,OFFSET(ORÇAMENTO!$D$15,CRONO!$E1,0)))+IF(AND($E3&lt;&gt;"",$E3&lt;&gt;0),SUMIF(CÁLCULO!$AM$15:$AW$192,"="&amp;CRONO!X$12,CÁLCULO!$AB$15:$AL$192)/(ORÇAMENTO!$X$15-CÁLCULO.TotalAdmLocal)*CRONO!$E3,0),X2*$R1),SUMIF(OFFSET($R3,1,0,$Q1-2),($L1+1)&amp;"$",OFFSET(X3,1,0,$Q1-2)))</f>
        <v>#REF!</v>
      </c>
      <c r="Y3" s="257" t="e">
        <f ca="1">IF($Q1=2,IF(AND(ACOMPANHAMENTO="PLE",ISNUMBER($E1)),SUMIF((OFFSET(CÁLCULO!$AM$15:$AW$15,$E1,0,OFFSET(ORÇAMENTO!$D$15,CRONO!$E1,0))),"="&amp;CRONO!Y$12,OFFSET(CÁLCULO!$AB$15:$AL$15,$E1,0,OFFSET(ORÇAMENTO!$D$15,CRONO!$E1,0)))+IF(AND($E3&lt;&gt;"",$E3&lt;&gt;0),SUMIF(CÁLCULO!$AM$15:$AW$192,"="&amp;CRONO!Y$12,CÁLCULO!$AB$15:$AL$192)/(ORÇAMENTO!$X$15-CÁLCULO.TotalAdmLocal)*CRONO!$E3,0),Y2*$R1),SUMIF(OFFSET($R3,1,0,$Q1-2),($L1+1)&amp;"$",OFFSET(Y3,1,0,$Q1-2)))</f>
        <v>#REF!</v>
      </c>
      <c r="Z3" s="257" t="e">
        <f ca="1">IF($Q1=2,IF(AND(ACOMPANHAMENTO="PLE",ISNUMBER($E1)),SUMIF((OFFSET(CÁLCULO!$AM$15:$AW$15,$E1,0,OFFSET(ORÇAMENTO!$D$15,CRONO!$E1,0))),"="&amp;CRONO!Z$12,OFFSET(CÁLCULO!$AB$15:$AL$15,$E1,0,OFFSET(ORÇAMENTO!$D$15,CRONO!$E1,0)))+IF(AND($E3&lt;&gt;"",$E3&lt;&gt;0),SUMIF(CÁLCULO!$AM$15:$AW$192,"="&amp;CRONO!Z$12,CÁLCULO!$AB$15:$AL$192)/(ORÇAMENTO!$X$15-CÁLCULO.TotalAdmLocal)*CRONO!$E3,0),Z2*$R1),SUMIF(OFFSET($R3,1,0,$Q1-2),($L1+1)&amp;"$",OFFSET(Z3,1,0,$Q1-2)))</f>
        <v>#REF!</v>
      </c>
      <c r="AA3" s="257" t="e">
        <f ca="1">IF($Q1=2,IF(AND(ACOMPANHAMENTO="PLE",ISNUMBER($E1)),SUMIF((OFFSET(CÁLCULO!$AM$15:$AW$15,$E1,0,OFFSET(ORÇAMENTO!$D$15,CRONO!$E1,0))),"="&amp;CRONO!AA$12,OFFSET(CÁLCULO!$AB$15:$AL$15,$E1,0,OFFSET(ORÇAMENTO!$D$15,CRONO!$E1,0)))+IF(AND($E3&lt;&gt;"",$E3&lt;&gt;0),SUMIF(CÁLCULO!$AM$15:$AW$192,"="&amp;CRONO!AA$12,CÁLCULO!$AB$15:$AL$192)/(ORÇAMENTO!$X$15-CÁLCULO.TotalAdmLocal)*CRONO!$E3,0),AA2*$R1),SUMIF(OFFSET($R3,1,0,$Q1-2),($L1+1)&amp;"$",OFFSET(AA3,1,0,$Q1-2)))</f>
        <v>#REF!</v>
      </c>
      <c r="AB3" s="257" t="e">
        <f ca="1">IF($Q1=2,IF(AND(ACOMPANHAMENTO="PLE",ISNUMBER($E1)),SUMIF((OFFSET(CÁLCULO!$AM$15:$AW$15,$E1,0,OFFSET(ORÇAMENTO!$D$15,CRONO!$E1,0))),"="&amp;CRONO!AB$12,OFFSET(CÁLCULO!$AB$15:$AL$15,$E1,0,OFFSET(ORÇAMENTO!$D$15,CRONO!$E1,0)))+IF(AND($E3&lt;&gt;"",$E3&lt;&gt;0),SUMIF(CÁLCULO!$AM$15:$AW$192,"="&amp;CRONO!AB$12,CÁLCULO!$AB$15:$AL$192)/(ORÇAMENTO!$X$15-CÁLCULO.TotalAdmLocal)*CRONO!$E3,0),AB2*$R1),SUMIF(OFFSET($R3,1,0,$Q1-2),($L1+1)&amp;"$",OFFSET(AB3,1,0,$Q1-2)))</f>
        <v>#REF!</v>
      </c>
      <c r="AC3" s="257" t="e">
        <f ca="1">IF($Q1=2,IF(AND(ACOMPANHAMENTO="PLE",ISNUMBER($E1)),SUMIF((OFFSET(CÁLCULO!$AM$15:$AW$15,$E1,0,OFFSET(ORÇAMENTO!$D$15,CRONO!$E1,0))),"="&amp;CRONO!AC$12,OFFSET(CÁLCULO!$AB$15:$AL$15,$E1,0,OFFSET(ORÇAMENTO!$D$15,CRONO!$E1,0)))+IF(AND($E3&lt;&gt;"",$E3&lt;&gt;0),SUMIF(CÁLCULO!$AM$15:$AW$192,"="&amp;CRONO!AC$12,CÁLCULO!$AB$15:$AL$192)/(ORÇAMENTO!$X$15-CÁLCULO.TotalAdmLocal)*CRONO!$E3,0),AC2*$R1),SUMIF(OFFSET($R3,1,0,$Q1-2),($L1+1)&amp;"$",OFFSET(AC3,1,0,$Q1-2)))</f>
        <v>#REF!</v>
      </c>
      <c r="AD3" s="257" t="e">
        <f ca="1">IF($Q1=2,IF(AND(ACOMPANHAMENTO="PLE",ISNUMBER($E1)),SUMIF((OFFSET(CÁLCULO!$AM$15:$AW$15,$E1,0,OFFSET(ORÇAMENTO!$D$15,CRONO!$E1,0))),"="&amp;CRONO!AD$12,OFFSET(CÁLCULO!$AB$15:$AL$15,$E1,0,OFFSET(ORÇAMENTO!$D$15,CRONO!$E1,0)))+IF(AND($E3&lt;&gt;"",$E3&lt;&gt;0),SUMIF(CÁLCULO!$AM$15:$AW$192,"="&amp;CRONO!AD$12,CÁLCULO!$AB$15:$AL$192)/(ORÇAMENTO!$X$15-CÁLCULO.TotalAdmLocal)*CRONO!$E3,0),AD2*$R1),SUMIF(OFFSET($R3,1,0,$Q1-2),($L1+1)&amp;"$",OFFSET(AD3,1,0,$Q1-2)))</f>
        <v>#REF!</v>
      </c>
      <c r="AE3" s="262" t="e">
        <f ca="1">IF($Q1=2,IF(AND(ACOMPANHAMENTO="PLE",ISNUMBER($E1)),SUMIF((OFFSET(CÁLCULO!$AM$15:$AW$15,$E1,0,OFFSET(ORÇAMENTO!$D$15,CRONO!$E1,0))),"="&amp;CRONO!AE$12,OFFSET(CÁLCULO!$AB$15:$AL$15,$E1,0,OFFSET(ORÇAMENTO!$D$15,CRONO!$E1,0)))+IF(AND($E3&lt;&gt;"",$E3&lt;&gt;0),SUMIF(CÁLCULO!$AM$15:$AW$192,"="&amp;CRONO!AE$12,CÁLCULO!$AB$15:$AL$192)/(ORÇAMENTO!$X$15-CÁLCULO.TotalAdmLocal)*CRONO!$E3,0),AE2*$R1),SUMIF(OFFSET($R3,1,0,$Q1-2),($L1+1)&amp;"$",OFFSET(AE3,1,0,$Q1-2)))</f>
        <v>#REF!</v>
      </c>
      <c r="AF3" s="261" t="e">
        <f ca="1">IF($Q1=2,IF(AND(ACOMPANHAMENTO="PLE",ISNUMBER($E1)),SUMIF((OFFSET(CÁLCULO!$AM$15:$AW$15,$E1,0,OFFSET(ORÇAMENTO!$D$15,CRONO!$E1,0))),"&lt;="&amp;CRONO!AF$12,OFFSET(CÁLCULO!$AB$15:$AL$15,$E1,0,OFFSET(ORÇAMENTO!$D$15,CRONO!$E1,0)))+IF(AND($E3&lt;&gt;"",$E3&lt;&gt;0),SUMIF(CÁLCULO!$AM$15:$AW$192,"&lt;="&amp;CRONO!AF$12,CÁLCULO!$AB$15:$AL$192)/(ORÇAMENTO!$X$15-CÁLCULO.TotalAdmLocal)*CRONO!$E3,0),AF2*$R1),SUMIF(OFFSET($R3,1,0,$Q1-2),($L1+1)&amp;"$",OFFSET(AF3,1,0,$Q1-2)))</f>
        <v>#REF!</v>
      </c>
      <c r="AG3" s="257" t="e">
        <f ca="1">IF($Q1=2,IF(AND(ACOMPANHAMENTO="PLE",ISNUMBER($E1)),SUMIF((OFFSET(CÁLCULO!$AM$15:$AW$15,$E1,0,OFFSET(ORÇAMENTO!$D$15,CRONO!$E1,0))),"="&amp;CRONO!AG$12,OFFSET(CÁLCULO!$AB$15:$AL$15,$E1,0,OFFSET(ORÇAMENTO!$D$15,CRONO!$E1,0)))+IF(AND($E3&lt;&gt;"",$E3&lt;&gt;0),SUMIF(CÁLCULO!$AM$15:$AW$192,"="&amp;CRONO!AG$12,CÁLCULO!$AB$15:$AL$192)/(ORÇAMENTO!$X$15-CÁLCULO.TotalAdmLocal)*CRONO!$E3,0),AG2*$R1),SUMIF(OFFSET($R3,1,0,$Q1-2),($L1+1)&amp;"$",OFFSET(AG3,1,0,$Q1-2)))</f>
        <v>#REF!</v>
      </c>
      <c r="AH3" s="257" t="e">
        <f ca="1">IF($Q1=2,IF(AND(ACOMPANHAMENTO="PLE",ISNUMBER($E1)),SUMIF((OFFSET(CÁLCULO!$AM$15:$AW$15,$E1,0,OFFSET(ORÇAMENTO!$D$15,CRONO!$E1,0))),"="&amp;CRONO!AH$12,OFFSET(CÁLCULO!$AB$15:$AL$15,$E1,0,OFFSET(ORÇAMENTO!$D$15,CRONO!$E1,0)))+IF(AND($E3&lt;&gt;"",$E3&lt;&gt;0),SUMIF(CÁLCULO!$AM$15:$AW$192,"="&amp;CRONO!AH$12,CÁLCULO!$AB$15:$AL$192)/(ORÇAMENTO!$X$15-CÁLCULO.TotalAdmLocal)*CRONO!$E3,0),AH2*$R1),SUMIF(OFFSET($R3,1,0,$Q1-2),($L1+1)&amp;"$",OFFSET(AH3,1,0,$Q1-2)))</f>
        <v>#REF!</v>
      </c>
      <c r="AI3" s="257" t="e">
        <f ca="1">IF($Q1=2,IF(AND(ACOMPANHAMENTO="PLE",ISNUMBER($E1)),SUMIF((OFFSET(CÁLCULO!$AM$15:$AW$15,$E1,0,OFFSET(ORÇAMENTO!$D$15,CRONO!$E1,0))),"="&amp;CRONO!AI$12,OFFSET(CÁLCULO!$AB$15:$AL$15,$E1,0,OFFSET(ORÇAMENTO!$D$15,CRONO!$E1,0)))+IF(AND($E3&lt;&gt;"",$E3&lt;&gt;0),SUMIF(CÁLCULO!$AM$15:$AW$192,"="&amp;CRONO!AI$12,CÁLCULO!$AB$15:$AL$192)/(ORÇAMENTO!$X$15-CÁLCULO.TotalAdmLocal)*CRONO!$E3,0),AI2*$R1),SUMIF(OFFSET($R3,1,0,$Q1-2),($L1+1)&amp;"$",OFFSET(AI3,1,0,$Q1-2)))</f>
        <v>#REF!</v>
      </c>
      <c r="AJ3" s="257" t="e">
        <f ca="1">IF($Q1=2,IF(AND(ACOMPANHAMENTO="PLE",ISNUMBER($E1)),SUMIF((OFFSET(CÁLCULO!$AM$15:$AW$15,$E1,0,OFFSET(ORÇAMENTO!$D$15,CRONO!$E1,0))),"="&amp;CRONO!AJ$12,OFFSET(CÁLCULO!$AB$15:$AL$15,$E1,0,OFFSET(ORÇAMENTO!$D$15,CRONO!$E1,0)))+IF(AND($E3&lt;&gt;"",$E3&lt;&gt;0),SUMIF(CÁLCULO!$AM$15:$AW$192,"="&amp;CRONO!AJ$12,CÁLCULO!$AB$15:$AL$192)/(ORÇAMENTO!$X$15-CÁLCULO.TotalAdmLocal)*CRONO!$E3,0),AJ2*$R1),SUMIF(OFFSET($R3,1,0,$Q1-2),($L1+1)&amp;"$",OFFSET(AJ3,1,0,$Q1-2)))</f>
        <v>#REF!</v>
      </c>
      <c r="AK3" s="257" t="e">
        <f ca="1">IF($Q1=2,IF(AND(ACOMPANHAMENTO="PLE",ISNUMBER($E1)),SUMIF((OFFSET(CÁLCULO!$AM$15:$AW$15,$E1,0,OFFSET(ORÇAMENTO!$D$15,CRONO!$E1,0))),"="&amp;CRONO!AK$12,OFFSET(CÁLCULO!$AB$15:$AL$15,$E1,0,OFFSET(ORÇAMENTO!$D$15,CRONO!$E1,0)))+IF(AND($E3&lt;&gt;"",$E3&lt;&gt;0),SUMIF(CÁLCULO!$AM$15:$AW$192,"="&amp;CRONO!AK$12,CÁLCULO!$AB$15:$AL$192)/(ORÇAMENTO!$X$15-CÁLCULO.TotalAdmLocal)*CRONO!$E3,0),AK2*$R1),SUMIF(OFFSET($R3,1,0,$Q1-2),($L1+1)&amp;"$",OFFSET(AK3,1,0,$Q1-2)))</f>
        <v>#REF!</v>
      </c>
      <c r="AL3" s="257" t="e">
        <f ca="1">IF($Q1=2,IF(AND(ACOMPANHAMENTO="PLE",ISNUMBER($E1)),SUMIF((OFFSET(CÁLCULO!$AM$15:$AW$15,$E1,0,OFFSET(ORÇAMENTO!$D$15,CRONO!$E1,0))),"="&amp;CRONO!AL$12,OFFSET(CÁLCULO!$AB$15:$AL$15,$E1,0,OFFSET(ORÇAMENTO!$D$15,CRONO!$E1,0)))+IF(AND($E3&lt;&gt;"",$E3&lt;&gt;0),SUMIF(CÁLCULO!$AM$15:$AW$192,"="&amp;CRONO!AL$12,CÁLCULO!$AB$15:$AL$192)/(ORÇAMENTO!$X$15-CÁLCULO.TotalAdmLocal)*CRONO!$E3,0),AL2*$R1),SUMIF(OFFSET($R3,1,0,$Q1-2),($L1+1)&amp;"$",OFFSET(AL3,1,0,$Q1-2)))</f>
        <v>#REF!</v>
      </c>
      <c r="AM3" s="257" t="e">
        <f ca="1">IF($Q1=2,IF(AND(ACOMPANHAMENTO="PLE",ISNUMBER($E1)),SUMIF((OFFSET(CÁLCULO!$AM$15:$AW$15,$E1,0,OFFSET(ORÇAMENTO!$D$15,CRONO!$E1,0))),"="&amp;CRONO!AM$12,OFFSET(CÁLCULO!$AB$15:$AL$15,$E1,0,OFFSET(ORÇAMENTO!$D$15,CRONO!$E1,0)))+IF(AND($E3&lt;&gt;"",$E3&lt;&gt;0),SUMIF(CÁLCULO!$AM$15:$AW$192,"="&amp;CRONO!AM$12,CÁLCULO!$AB$15:$AL$192)/(ORÇAMENTO!$X$15-CÁLCULO.TotalAdmLocal)*CRONO!$E3,0),AM2*$R1),SUMIF(OFFSET($R3,1,0,$Q1-2),($L1+1)&amp;"$",OFFSET(AM3,1,0,$Q1-2)))</f>
        <v>#REF!</v>
      </c>
      <c r="AN3" s="257" t="e">
        <f ca="1">IF($Q1=2,IF(AND(ACOMPANHAMENTO="PLE",ISNUMBER($E1)),SUMIF((OFFSET(CÁLCULO!$AM$15:$AW$15,$E1,0,OFFSET(ORÇAMENTO!$D$15,CRONO!$E1,0))),"="&amp;CRONO!AN$12,OFFSET(CÁLCULO!$AB$15:$AL$15,$E1,0,OFFSET(ORÇAMENTO!$D$15,CRONO!$E1,0)))+IF(AND($E3&lt;&gt;"",$E3&lt;&gt;0),SUMIF(CÁLCULO!$AM$15:$AW$192,"="&amp;CRONO!AN$12,CÁLCULO!$AB$15:$AL$192)/(ORÇAMENTO!$X$15-CÁLCULO.TotalAdmLocal)*CRONO!$E3,0),AN2*$R1),SUMIF(OFFSET($R3,1,0,$Q1-2),($L1+1)&amp;"$",OFFSET(AN3,1,0,$Q1-2)))</f>
        <v>#REF!</v>
      </c>
      <c r="AO3" s="257" t="e">
        <f ca="1">IF($Q1=2,IF(AND(ACOMPANHAMENTO="PLE",ISNUMBER($E1)),SUMIF((OFFSET(CÁLCULO!$AM$15:$AW$15,$E1,0,OFFSET(ORÇAMENTO!$D$15,CRONO!$E1,0))),"="&amp;CRONO!AO$12,OFFSET(CÁLCULO!$AB$15:$AL$15,$E1,0,OFFSET(ORÇAMENTO!$D$15,CRONO!$E1,0)))+IF(AND($E3&lt;&gt;"",$E3&lt;&gt;0),SUMIF(CÁLCULO!$AM$15:$AW$192,"="&amp;CRONO!AO$12,CÁLCULO!$AB$15:$AL$192)/(ORÇAMENTO!$X$15-CÁLCULO.TotalAdmLocal)*CRONO!$E3,0),AO2*$R1),SUMIF(OFFSET($R3,1,0,$Q1-2),($L1+1)&amp;"$",OFFSET(AO3,1,0,$Q1-2)))</f>
        <v>#REF!</v>
      </c>
      <c r="AP3" s="257" t="e">
        <f ca="1">IF($Q1=2,IF(AND(ACOMPANHAMENTO="PLE",ISNUMBER($E1)),SUMIF((OFFSET(CÁLCULO!$AM$15:$AW$15,$E1,0,OFFSET(ORÇAMENTO!$D$15,CRONO!$E1,0))),"="&amp;CRONO!AP$12,OFFSET(CÁLCULO!$AB$15:$AL$15,$E1,0,OFFSET(ORÇAMENTO!$D$15,CRONO!$E1,0)))+IF(AND($E3&lt;&gt;"",$E3&lt;&gt;0),SUMIF(CÁLCULO!$AM$15:$AW$192,"="&amp;CRONO!AP$12,CÁLCULO!$AB$15:$AL$192)/(ORÇAMENTO!$X$15-CÁLCULO.TotalAdmLocal)*CRONO!$E3,0),AP2*$R1),SUMIF(OFFSET($R3,1,0,$Q1-2),($L1+1)&amp;"$",OFFSET(AP3,1,0,$Q1-2)))</f>
        <v>#REF!</v>
      </c>
      <c r="AQ3" s="262" t="e">
        <f ca="1">IF($Q1=2,IF(AND(ACOMPANHAMENTO="PLE",ISNUMBER($E1)),SUMIF((OFFSET(CÁLCULO!$AM$15:$AW$15,$E1,0,OFFSET(ORÇAMENTO!$D$15,CRONO!$E1,0))),"="&amp;CRONO!AQ$12,OFFSET(CÁLCULO!$AB$15:$AL$15,$E1,0,OFFSET(ORÇAMENTO!$D$15,CRONO!$E1,0)))+IF(AND($E3&lt;&gt;"",$E3&lt;&gt;0),SUMIF(CÁLCULO!$AM$15:$AW$192,"="&amp;CRONO!AQ$12,CÁLCULO!$AB$15:$AL$192)/(ORÇAMENTO!$X$15-CÁLCULO.TotalAdmLocal)*CRONO!$E3,0),AQ2*$R1),SUMIF(OFFSET($R3,1,0,$Q1-2),($L1+1)&amp;"$",OFFSET(AQ3,1,0,$Q1-2)))</f>
        <v>#REF!</v>
      </c>
    </row>
    <row r="4" spans="1:44" ht="15" customHeight="1" x14ac:dyDescent="0.25">
      <c r="R4" s="263" t="str">
        <f>IF(TIPOORCAMENTO="licitado","CRONOGRAMA FÍSICO-FINANCEIRO LICITADO","CRONOGRAMA FÍSICO-FINANCEIRO")</f>
        <v>CRONOGRAMA FÍSICO-FINANCEIRO</v>
      </c>
      <c r="AD4" s="724" t="s">
        <v>140</v>
      </c>
      <c r="AE4" s="724"/>
      <c r="AP4" s="724" t="s">
        <v>140</v>
      </c>
      <c r="AQ4" s="724"/>
    </row>
    <row r="5" spans="1:44" ht="15" x14ac:dyDescent="0.2">
      <c r="R5" s="106" t="str">
        <f>import.recurso</f>
        <v>OGU</v>
      </c>
      <c r="AD5" s="725" t="s">
        <v>143</v>
      </c>
      <c r="AE5" s="725"/>
      <c r="AP5" s="725" t="s">
        <v>143</v>
      </c>
      <c r="AQ5" s="725"/>
    </row>
    <row r="6" spans="1:44" ht="12.75" customHeight="1" x14ac:dyDescent="0.2">
      <c r="D6" s="264"/>
      <c r="H6" s="264"/>
      <c r="I6" s="264"/>
      <c r="J6" s="264"/>
      <c r="K6" s="264"/>
      <c r="L6" s="265"/>
      <c r="M6" s="265"/>
      <c r="N6" s="265"/>
      <c r="O6" s="265"/>
      <c r="P6" s="265"/>
      <c r="Q6" s="265"/>
      <c r="T6" s="264"/>
      <c r="U6" s="264"/>
      <c r="V6" s="264"/>
      <c r="W6" s="264"/>
      <c r="X6" s="264"/>
      <c r="Y6" s="264"/>
      <c r="Z6" s="264"/>
      <c r="AA6" s="264"/>
      <c r="AB6" s="264"/>
      <c r="AC6" s="264"/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/>
      <c r="AP6" s="264"/>
      <c r="AQ6" s="264"/>
    </row>
    <row r="7" spans="1:44" ht="12.75" customHeight="1" x14ac:dyDescent="0.2">
      <c r="D7" s="264"/>
      <c r="E7" s="266"/>
      <c r="G7" s="763" t="s">
        <v>271</v>
      </c>
      <c r="H7" s="267" t="s">
        <v>146</v>
      </c>
      <c r="I7" s="268"/>
      <c r="J7" s="269" t="s">
        <v>447</v>
      </c>
      <c r="K7" s="270" t="s">
        <v>272</v>
      </c>
      <c r="L7" s="264"/>
      <c r="M7" s="264"/>
      <c r="N7" s="264"/>
      <c r="O7" s="265"/>
      <c r="P7" s="265"/>
      <c r="Q7" s="265"/>
      <c r="S7" s="271"/>
      <c r="T7" s="267" t="s">
        <v>273</v>
      </c>
      <c r="U7" s="264"/>
      <c r="V7" s="264"/>
      <c r="W7" s="264"/>
      <c r="X7" s="268"/>
      <c r="Y7" s="267" t="str">
        <f>IF(TIPOORCAMENTO="Licitado","NOME DA EMPRESA","DESCRIÇÃO DO LOTE")</f>
        <v>DESCRIÇÃO DO LOTE</v>
      </c>
      <c r="Z7" s="264"/>
      <c r="AA7" s="264"/>
      <c r="AB7" s="264"/>
      <c r="AC7" s="264"/>
      <c r="AD7" s="264"/>
      <c r="AE7" s="272" t="str">
        <f>IF(TIPOORCAMENTO="Licitado","Nº CTEF","")</f>
        <v/>
      </c>
      <c r="AF7" s="267" t="s">
        <v>273</v>
      </c>
      <c r="AG7" s="264"/>
      <c r="AH7" s="264"/>
      <c r="AI7" s="264"/>
      <c r="AJ7" s="268"/>
      <c r="AK7" s="267" t="str">
        <f>IF(TIPOORCAMENTO="Licitado","NOME DA EMPRESA","DESCRIÇÃO DO LOTE")</f>
        <v>DESCRIÇÃO DO LOTE</v>
      </c>
      <c r="AL7" s="264"/>
      <c r="AM7" s="264"/>
      <c r="AN7" s="264"/>
      <c r="AO7" s="264"/>
      <c r="AP7" s="264"/>
      <c r="AQ7" s="684" t="str">
        <f>IF(TIPOORCAMENTO="Licitado","Nº CTEF","")</f>
        <v/>
      </c>
    </row>
    <row r="8" spans="1:44" x14ac:dyDescent="0.2">
      <c r="D8" s="238"/>
      <c r="E8" s="143"/>
      <c r="F8" s="713" t="s">
        <v>209</v>
      </c>
      <c r="G8" s="763"/>
      <c r="H8" s="754">
        <f>Import.CR</f>
        <v>0</v>
      </c>
      <c r="I8" s="754"/>
      <c r="J8" s="273">
        <f>Import.TransfereGOV</f>
        <v>0</v>
      </c>
      <c r="K8" s="753" t="str">
        <f>Import.Proponente</f>
        <v>INSTITUTO FEDERAL FARROUPILHA</v>
      </c>
      <c r="L8" s="753"/>
      <c r="M8" s="753"/>
      <c r="N8" s="753"/>
      <c r="O8" s="753"/>
      <c r="P8" s="753"/>
      <c r="Q8" s="753"/>
      <c r="R8" s="753"/>
      <c r="S8" s="753"/>
      <c r="T8" s="754" t="str">
        <f>Import.Apelido</f>
        <v>BIBLIOTECA  ÉRICO VERISSIMO</v>
      </c>
      <c r="U8" s="754"/>
      <c r="V8" s="754"/>
      <c r="W8" s="754"/>
      <c r="X8" s="754"/>
      <c r="Y8" s="762" t="str">
        <f>IF(TIPOORCAMENTO="Licitado",Import.empresa,Import.DescLote)</f>
        <v>BIBLIOTECA  ÉRICO VERISSIMO</v>
      </c>
      <c r="Z8" s="762"/>
      <c r="AA8" s="762"/>
      <c r="AB8" s="762"/>
      <c r="AC8" s="762"/>
      <c r="AD8" s="762"/>
      <c r="AE8" s="274" t="str">
        <f>IF(TIPOORCAMENTO="Licitado",Import.CTEF,"")</f>
        <v/>
      </c>
      <c r="AF8" s="754" t="str">
        <f>Import.Apelido</f>
        <v>BIBLIOTECA  ÉRICO VERISSIMO</v>
      </c>
      <c r="AG8" s="754"/>
      <c r="AH8" s="754"/>
      <c r="AI8" s="754"/>
      <c r="AJ8" s="754"/>
      <c r="AK8" s="762" t="str">
        <f>IF(TIPOORCAMENTO="Licitado",Import.empresa,Import.DescLote)</f>
        <v>BIBLIOTECA  ÉRICO VERISSIMO</v>
      </c>
      <c r="AL8" s="762"/>
      <c r="AM8" s="762"/>
      <c r="AN8" s="762"/>
      <c r="AO8" s="762"/>
      <c r="AP8" s="762"/>
      <c r="AQ8" s="685" t="str">
        <f>IF(TIPOORCAMENTO="Licitado",Import.CTEF,"")</f>
        <v/>
      </c>
    </row>
    <row r="9" spans="1:44" x14ac:dyDescent="0.2">
      <c r="E9" s="143"/>
      <c r="F9" s="713"/>
      <c r="G9" s="763"/>
    </row>
    <row r="10" spans="1:44" x14ac:dyDescent="0.2">
      <c r="E10" s="266"/>
      <c r="F10" s="713"/>
      <c r="G10" s="275">
        <v>2</v>
      </c>
      <c r="J10" s="755" t="str">
        <f ca="1">IF(MAX($A$13:$A$92)&lt;CRONO.LinhasNecessarias,"ERRO: NÚMERO DE LINHAS DO CRONOGRAMA INSUFICIENTE. CLIQUE EM ATUALIZAR LINHAS.",IF(AND(ACOMPANHAMENTO="PLE",ROUND(OFFSET($AR$102,0,-1),2)=0),"CRONOGRAMA DEVE SER PREENCHIDO POR EVENTOS",IF(ROUND(OFFSET($AR$102,0,-1),2)&lt;&gt;$Q$93,"ERRO: CRONOGRAMA NÃO FECHA 100%","")))</f>
        <v/>
      </c>
      <c r="K10" s="755"/>
      <c r="L10" s="755"/>
      <c r="M10" s="755"/>
      <c r="N10" s="755"/>
      <c r="O10" s="755"/>
      <c r="P10" s="755"/>
      <c r="Q10" s="755"/>
      <c r="R10" s="755"/>
      <c r="S10" s="755"/>
    </row>
    <row r="11" spans="1:44" ht="12.75" customHeight="1" x14ac:dyDescent="0.2">
      <c r="F11" s="713"/>
      <c r="H11" s="276"/>
      <c r="I11" s="276"/>
      <c r="J11" s="755"/>
      <c r="K11" s="755"/>
      <c r="L11" s="755"/>
      <c r="M11" s="755"/>
      <c r="N11" s="755"/>
      <c r="O11" s="755"/>
      <c r="P11" s="755"/>
      <c r="Q11" s="755"/>
      <c r="R11" s="755"/>
      <c r="S11" s="755"/>
    </row>
    <row r="12" spans="1:44" ht="12.75" customHeight="1" x14ac:dyDescent="0.2">
      <c r="D12" s="277">
        <f ca="1">OFFSET(D12,0,-1)+1</f>
        <v>1</v>
      </c>
      <c r="F12" s="135" t="s">
        <v>217</v>
      </c>
      <c r="G12" s="757" t="s">
        <v>274</v>
      </c>
      <c r="H12" s="758" t="s">
        <v>231</v>
      </c>
      <c r="I12" s="759" t="s">
        <v>234</v>
      </c>
      <c r="J12" s="278"/>
      <c r="K12" s="278"/>
      <c r="L12" s="279"/>
      <c r="M12" s="279"/>
      <c r="N12" s="279"/>
      <c r="O12" s="279"/>
      <c r="P12" s="279"/>
      <c r="Q12" s="279"/>
      <c r="R12" s="761" t="s">
        <v>275</v>
      </c>
      <c r="S12" s="752" t="s">
        <v>276</v>
      </c>
      <c r="T12" s="280">
        <v>1</v>
      </c>
      <c r="U12" s="277">
        <f ca="1">OFFSET(U12,0,-1)+1</f>
        <v>2</v>
      </c>
      <c r="V12" s="277">
        <f t="shared" ref="V12:AQ12" ca="1" si="2">OFFSET(V12,0,-1)+1</f>
        <v>3</v>
      </c>
      <c r="W12" s="277">
        <f t="shared" ca="1" si="2"/>
        <v>4</v>
      </c>
      <c r="X12" s="277">
        <f t="shared" ca="1" si="2"/>
        <v>5</v>
      </c>
      <c r="Y12" s="277">
        <f t="shared" ca="1" si="2"/>
        <v>6</v>
      </c>
      <c r="Z12" s="277">
        <f t="shared" ca="1" si="2"/>
        <v>7</v>
      </c>
      <c r="AA12" s="277">
        <f t="shared" ca="1" si="2"/>
        <v>8</v>
      </c>
      <c r="AB12" s="277">
        <f t="shared" ca="1" si="2"/>
        <v>9</v>
      </c>
      <c r="AC12" s="277">
        <f t="shared" ca="1" si="2"/>
        <v>10</v>
      </c>
      <c r="AD12" s="277">
        <f t="shared" ca="1" si="2"/>
        <v>11</v>
      </c>
      <c r="AE12" s="281">
        <f t="shared" ca="1" si="2"/>
        <v>12</v>
      </c>
      <c r="AF12" s="280">
        <f t="shared" ca="1" si="2"/>
        <v>13</v>
      </c>
      <c r="AG12" s="277">
        <f t="shared" ca="1" si="2"/>
        <v>14</v>
      </c>
      <c r="AH12" s="277">
        <f t="shared" ca="1" si="2"/>
        <v>15</v>
      </c>
      <c r="AI12" s="277">
        <f t="shared" ca="1" si="2"/>
        <v>16</v>
      </c>
      <c r="AJ12" s="277">
        <f t="shared" ca="1" si="2"/>
        <v>17</v>
      </c>
      <c r="AK12" s="277">
        <f t="shared" ca="1" si="2"/>
        <v>18</v>
      </c>
      <c r="AL12" s="277">
        <f t="shared" ca="1" si="2"/>
        <v>19</v>
      </c>
      <c r="AM12" s="277">
        <f t="shared" ca="1" si="2"/>
        <v>20</v>
      </c>
      <c r="AN12" s="277">
        <f t="shared" ca="1" si="2"/>
        <v>21</v>
      </c>
      <c r="AO12" s="277">
        <f t="shared" ca="1" si="2"/>
        <v>22</v>
      </c>
      <c r="AP12" s="277">
        <f t="shared" ca="1" si="2"/>
        <v>23</v>
      </c>
      <c r="AQ12" s="281">
        <f t="shared" ca="1" si="2"/>
        <v>24</v>
      </c>
    </row>
    <row r="13" spans="1:44" ht="24.95" customHeight="1" x14ac:dyDescent="0.2">
      <c r="A13" s="282" t="s">
        <v>277</v>
      </c>
      <c r="B13" s="282" t="s">
        <v>169</v>
      </c>
      <c r="C13" s="282" t="s">
        <v>278</v>
      </c>
      <c r="D13" s="283" t="e">
        <f ca="1">OFFSET(D13,0,-1)+41-DAY(OFFSET(D13,0,-1)+40)</f>
        <v>#VALUE!</v>
      </c>
      <c r="E13" s="282" t="s">
        <v>279</v>
      </c>
      <c r="G13" s="757"/>
      <c r="H13" s="758"/>
      <c r="I13" s="759"/>
      <c r="J13" s="284"/>
      <c r="K13" s="284"/>
      <c r="L13" s="285" t="s">
        <v>229</v>
      </c>
      <c r="M13" s="285">
        <v>1</v>
      </c>
      <c r="N13" s="285">
        <v>2</v>
      </c>
      <c r="O13" s="285">
        <v>3</v>
      </c>
      <c r="P13" s="285">
        <v>4</v>
      </c>
      <c r="Q13" s="286" t="s">
        <v>280</v>
      </c>
      <c r="R13" s="761"/>
      <c r="S13" s="752"/>
      <c r="T13" s="287">
        <v>45200</v>
      </c>
      <c r="U13" s="283">
        <f ca="1">OFFSET(U13,0,-1)+41-DAY(OFFSET(U13,0,-1)+40)</f>
        <v>45231</v>
      </c>
      <c r="V13" s="283">
        <f ca="1">OFFSET(V13,0,-1)+41-DAY(OFFSET(V13,0,-1)+40)</f>
        <v>45261</v>
      </c>
      <c r="W13" s="283">
        <f t="shared" ref="W13:AQ13" ca="1" si="3">OFFSET(W13,0,-1)+41-DAY(OFFSET(W13,0,-1)+40)</f>
        <v>45292</v>
      </c>
      <c r="X13" s="283">
        <f t="shared" ca="1" si="3"/>
        <v>45323</v>
      </c>
      <c r="Y13" s="283">
        <f t="shared" ca="1" si="3"/>
        <v>45352</v>
      </c>
      <c r="Z13" s="283">
        <f t="shared" ca="1" si="3"/>
        <v>45383</v>
      </c>
      <c r="AA13" s="283">
        <f t="shared" ca="1" si="3"/>
        <v>45413</v>
      </c>
      <c r="AB13" s="283">
        <f t="shared" ca="1" si="3"/>
        <v>45444</v>
      </c>
      <c r="AC13" s="283">
        <f t="shared" ca="1" si="3"/>
        <v>45474</v>
      </c>
      <c r="AD13" s="283">
        <f t="shared" ca="1" si="3"/>
        <v>45505</v>
      </c>
      <c r="AE13" s="288">
        <f t="shared" ca="1" si="3"/>
        <v>45536</v>
      </c>
      <c r="AF13" s="287">
        <f t="shared" ca="1" si="3"/>
        <v>45566</v>
      </c>
      <c r="AG13" s="283">
        <f t="shared" ca="1" si="3"/>
        <v>45597</v>
      </c>
      <c r="AH13" s="283">
        <f t="shared" ca="1" si="3"/>
        <v>45627</v>
      </c>
      <c r="AI13" s="283">
        <f t="shared" ca="1" si="3"/>
        <v>45658</v>
      </c>
      <c r="AJ13" s="283">
        <f t="shared" ca="1" si="3"/>
        <v>45689</v>
      </c>
      <c r="AK13" s="283">
        <f t="shared" ca="1" si="3"/>
        <v>45717</v>
      </c>
      <c r="AL13" s="283">
        <f t="shared" ca="1" si="3"/>
        <v>45748</v>
      </c>
      <c r="AM13" s="283">
        <f t="shared" ca="1" si="3"/>
        <v>45778</v>
      </c>
      <c r="AN13" s="283">
        <f t="shared" ca="1" si="3"/>
        <v>45809</v>
      </c>
      <c r="AO13" s="283">
        <f t="shared" ca="1" si="3"/>
        <v>45839</v>
      </c>
      <c r="AP13" s="283">
        <f t="shared" ca="1" si="3"/>
        <v>45870</v>
      </c>
      <c r="AQ13" s="288">
        <f t="shared" ca="1" si="3"/>
        <v>45901</v>
      </c>
    </row>
    <row r="14" spans="1:44" x14ac:dyDescent="0.2">
      <c r="A14" s="238">
        <f ca="1">OFFSET(A14,-3,0)+1</f>
        <v>1</v>
      </c>
      <c r="B14" s="238">
        <f ca="1">IF($Q14&lt;&gt;2,0,IF($R14=0,1,IF(E15&gt;0,OFFSET(QCI!$M$13,SUBSTITUTE(E15,".",""),0),OFFSET(ORÇAMENTO!$AA$15,CRONO!$E14,0))/$R14))</f>
        <v>0</v>
      </c>
      <c r="C14" s="238">
        <f ca="1">IF($Q14&lt;&gt;2,0,IF($R14=0,1,IF(E15&gt;0,OFFSET(QCI!$N$13,SUBSTITUTE(E15,".",""),0),OFFSET(ORÇAMENTO!$AB$15,CRONO!$E14,0))/$R14))</f>
        <v>0</v>
      </c>
      <c r="D14" s="241" t="e">
        <f ca="1">IF(AND($Q14=2,ACOMPANHAMENTO="BM"),D15,D16/$R14)</f>
        <v>#DIV/0!</v>
      </c>
      <c r="E14" s="238">
        <f ca="1">IF(A14&lt;=ORÇAMENTO.MáximoListaCrono,MATCH(A14,ORÇAMENTO.ListaCrono,0),NA())</f>
        <v>1</v>
      </c>
      <c r="F14" s="238" t="str">
        <f ca="1">IF(AND($E15&lt;&gt;-1,$R14&gt;0),"F","")</f>
        <v/>
      </c>
      <c r="G14" s="242" t="str">
        <f ca="1">IF(OR(R14=0,R14=""),"Linha",IF(AND(OR(ACOMPANHAMENTO="PLE",$Q14&lt;&gt;2),$E15=0),"Linha",1-SUM(T14:AR14)))</f>
        <v>Linha</v>
      </c>
      <c r="H14" s="243" t="str">
        <f ca="1">IF($E15=0,OFFSET(ORÇAMENTO!O$15,$E14,0),IF($E15&lt;&gt;-1,OFFSET(QCI!$D$13,$E15,0),""))</f>
        <v>1.</v>
      </c>
      <c r="I14" s="244" t="str">
        <f ca="1">IF($E15=0,OFFSET(ORÇAMENTO!R$15,$E14,0),IF($E15&lt;&gt;-1,OFFSET(QCI!$G$13,$E15,0),""))</f>
        <v>BIBLIOTECA ÉRICO VERÍSSIMO</v>
      </c>
      <c r="J14" s="244"/>
      <c r="K14" s="244"/>
      <c r="L14" s="245">
        <f ca="1">IF($E15=0,OFFSET(ORÇAMENTO!C$15,$E14,0),1)</f>
        <v>1</v>
      </c>
      <c r="M14" s="246">
        <f ca="1">IF($E15=-1,0,IF(M$13&lt;=$L14,IF(ISERROR(MATCH(M$13,OFFSET($L14,1,0,ROW($L$92)-ROW($L14)-1),0)),ROW($L$92)-ROW($L14)-1,MATCH(M$13,OFFSET($L14,1,0,ROW($L$92)-ROW($L14)-1),0)-1),0))</f>
        <v>77</v>
      </c>
      <c r="N14" s="246">
        <f ca="1">IF($E15=-1,0,IF(N$13&lt;=$L14,IF(ISERROR(MATCH(N$13,OFFSET($L14,1,0,ROW($L$92)-ROW($L14)-1),0)),ROW($L$92)-ROW($L14)-1,MATCH(N$13,OFFSET($L14,1,0,ROW($L$92)-ROW($L14)-1),0)-1),0))</f>
        <v>0</v>
      </c>
      <c r="O14" s="246">
        <f ca="1">IF($E15=-1,0,IF(O$13&lt;=$L14,IF(ISERROR(MATCH(O$13,OFFSET($L14,1,0,ROW($L$92)-ROW($L14)-1),0)),ROW($L$92)-ROW($L14)-1,MATCH(O$13,OFFSET($L14,1,0,ROW($L$92)-ROW($L14)-1),0)-1),0))</f>
        <v>0</v>
      </c>
      <c r="P14" s="246">
        <f ca="1">IF($E15=-1,0,IF(P$13&lt;=$L14,IF(ISERROR(MATCH(P$13,OFFSET($L14,1,0,ROW($L$92)-ROW($L14)-1),0)),ROW($L$92)-ROW($L14)-1,MATCH(P$13,OFFSET($L14,1,0,ROW($L$92)-ROW($L14)-1),0)-1),0))</f>
        <v>0</v>
      </c>
      <c r="Q14" s="246">
        <f ca="1">MIN(OFFSET(L14,0,1,,L14))</f>
        <v>77</v>
      </c>
      <c r="R14" s="247">
        <f ca="1">IF($E15=0,OFFSET(ORÇAMENTO!X$15,$E14,0),IF($E15&lt;&gt;-1,OFFSET(QCI!$O$13,$E15,0),""))</f>
        <v>0</v>
      </c>
      <c r="S14" s="248" t="s">
        <v>270</v>
      </c>
      <c r="T14" s="249" t="e">
        <f t="shared" ref="T14:AQ14" ca="1" si="4">IF(AND($Q14=2,ACOMPANHAMENTO="BM"),T15,T16/$R14)</f>
        <v>#DIV/0!</v>
      </c>
      <c r="U14" s="241" t="e">
        <f t="shared" ca="1" si="4"/>
        <v>#DIV/0!</v>
      </c>
      <c r="V14" s="241" t="e">
        <f t="shared" ca="1" si="4"/>
        <v>#DIV/0!</v>
      </c>
      <c r="W14" s="241" t="e">
        <f t="shared" ca="1" si="4"/>
        <v>#DIV/0!</v>
      </c>
      <c r="X14" s="241" t="e">
        <f t="shared" ca="1" si="4"/>
        <v>#DIV/0!</v>
      </c>
      <c r="Y14" s="241" t="e">
        <f t="shared" ca="1" si="4"/>
        <v>#DIV/0!</v>
      </c>
      <c r="Z14" s="241" t="e">
        <f t="shared" ca="1" si="4"/>
        <v>#DIV/0!</v>
      </c>
      <c r="AA14" s="241" t="e">
        <f t="shared" ca="1" si="4"/>
        <v>#DIV/0!</v>
      </c>
      <c r="AB14" s="241" t="e">
        <f t="shared" ca="1" si="4"/>
        <v>#DIV/0!</v>
      </c>
      <c r="AC14" s="241" t="e">
        <f t="shared" ca="1" si="4"/>
        <v>#DIV/0!</v>
      </c>
      <c r="AD14" s="241" t="e">
        <f t="shared" ca="1" si="4"/>
        <v>#DIV/0!</v>
      </c>
      <c r="AE14" s="250" t="e">
        <f t="shared" ca="1" si="4"/>
        <v>#DIV/0!</v>
      </c>
      <c r="AF14" s="249" t="e">
        <f t="shared" ca="1" si="4"/>
        <v>#DIV/0!</v>
      </c>
      <c r="AG14" s="241" t="e">
        <f t="shared" ca="1" si="4"/>
        <v>#DIV/0!</v>
      </c>
      <c r="AH14" s="241" t="e">
        <f t="shared" ca="1" si="4"/>
        <v>#DIV/0!</v>
      </c>
      <c r="AI14" s="241" t="e">
        <f t="shared" ca="1" si="4"/>
        <v>#DIV/0!</v>
      </c>
      <c r="AJ14" s="241" t="e">
        <f t="shared" ca="1" si="4"/>
        <v>#DIV/0!</v>
      </c>
      <c r="AK14" s="241" t="e">
        <f t="shared" ca="1" si="4"/>
        <v>#DIV/0!</v>
      </c>
      <c r="AL14" s="241" t="e">
        <f t="shared" ca="1" si="4"/>
        <v>#DIV/0!</v>
      </c>
      <c r="AM14" s="241" t="e">
        <f t="shared" ca="1" si="4"/>
        <v>#DIV/0!</v>
      </c>
      <c r="AN14" s="241" t="e">
        <f t="shared" ca="1" si="4"/>
        <v>#DIV/0!</v>
      </c>
      <c r="AO14" s="241" t="e">
        <f t="shared" ca="1" si="4"/>
        <v>#DIV/0!</v>
      </c>
      <c r="AP14" s="241" t="e">
        <f t="shared" ca="1" si="4"/>
        <v>#DIV/0!</v>
      </c>
      <c r="AQ14" s="250" t="e">
        <f t="shared" ca="1" si="4"/>
        <v>#DIV/0!</v>
      </c>
    </row>
    <row r="15" spans="1:44" ht="12.75" customHeight="1" x14ac:dyDescent="0.2">
      <c r="D15" s="657"/>
      <c r="E15" s="238">
        <f ca="1">IF(ISERROR(E14),IF(1+COUNTIF($L$13:OFFSET(L14,-1,0),1)&lt;=MAX(QCI!$D$13:$D$24),1+COUNTIF($L$13:OFFSET(L14,-1,0),1),-1),0)</f>
        <v>0</v>
      </c>
      <c r="F15" s="238" t="str">
        <f ca="1">IF(AND($E15&lt;&gt;-1,$R14&gt;0),"F","")</f>
        <v/>
      </c>
      <c r="G15" s="251" t="str">
        <f ca="1">IF(OR(R14=0,R14=""),"vazia",IF(AND(OR(ACOMPANHAMENTO="PLE",$Q14&lt;&gt;2),$E15=0),"calculada","--&gt;"))</f>
        <v>vazia</v>
      </c>
      <c r="H15" s="252"/>
      <c r="I15" s="253" t="str">
        <f ca="1">IF(AND(G14&lt;&gt;0,ISNUMBER(G14)),"PREENCHA ESTA LINHA --&gt;","")</f>
        <v/>
      </c>
      <c r="J15" s="253"/>
      <c r="K15" s="253"/>
      <c r="L15" s="254"/>
      <c r="M15" s="254"/>
      <c r="N15" s="254"/>
      <c r="O15" s="254"/>
      <c r="P15" s="254"/>
      <c r="Q15" s="254"/>
      <c r="R15" s="255"/>
      <c r="S15" s="256"/>
      <c r="T15" s="658"/>
      <c r="U15" s="657"/>
      <c r="V15" s="657"/>
      <c r="W15" s="657"/>
      <c r="X15" s="657"/>
      <c r="Y15" s="657"/>
      <c r="Z15" s="657"/>
      <c r="AA15" s="657"/>
      <c r="AB15" s="657"/>
      <c r="AC15" s="657"/>
      <c r="AD15" s="657"/>
      <c r="AE15" s="659"/>
      <c r="AF15" s="658"/>
      <c r="AG15" s="657"/>
      <c r="AH15" s="657"/>
      <c r="AI15" s="657"/>
      <c r="AJ15" s="657"/>
      <c r="AK15" s="657"/>
      <c r="AL15" s="657"/>
      <c r="AM15" s="657"/>
      <c r="AN15" s="657"/>
      <c r="AO15" s="657"/>
      <c r="AP15" s="657"/>
      <c r="AQ15" s="659"/>
      <c r="AR15" s="617"/>
    </row>
    <row r="16" spans="1:44" ht="0.2" hidden="1" customHeight="1" x14ac:dyDescent="0.2">
      <c r="D16" s="257">
        <f ca="1">IF($Q14=2,IF(AND(ACOMPANHAMENTO="PLE",ISNUMBER($E14)),SUMIF((OFFSET(CÁLCULO!$AM$15:$AW$15,$E14,0,OFFSET(ORÇAMENTO!$D$15,CRONO!$E14,0))),"="&amp;CRONO!D$12,OFFSET(CÁLCULO!$AB$15:$AL$15,$E14,0,OFFSET(ORÇAMENTO!$D$15,CRONO!$E14,0)))+IF(AND($E16&lt;&gt;"",$E16&lt;&gt;0),SUMIF(CÁLCULO!$AM$15:$AW$192,"="&amp;CRONO!D$12,CÁLCULO!$AB$15:$AL$192)/(ORÇAMENTO!$X$15-CÁLCULO.TotalAdmLocal)*CRONO!$E16,0),D15*$R14),SUMIF(OFFSET($R16,1,0,$Q14-2),($L14+1)&amp;"$",OFFSET(D16,1,0,$Q14-2)))</f>
        <v>0</v>
      </c>
      <c r="E16" s="238" t="str">
        <f ca="1">IF(OR($Q14&lt;&gt;2,AUTOEVENTO&lt;&gt;"manual",$E15&gt;0),"",SUMIF(OFFSET(CÁLCULO!$M$15,CRONO!$E14,0,OFFSET(ORÇAMENTO!$D$15,CRONO!$E14,0)),1,OFFSET(ORÇAMENTO!$X$15,CRONO!$E14,0,OFFSET(ORÇAMENTO!$D$15,CRONO!$E14,0))))</f>
        <v/>
      </c>
      <c r="G16" s="258"/>
      <c r="R16" s="259" t="str">
        <f ca="1">L14&amp;"$"</f>
        <v>1$</v>
      </c>
      <c r="S16" s="260"/>
      <c r="T16" s="261">
        <f ca="1">IF($Q14=2,IF(AND(ACOMPANHAMENTO="PLE",ISNUMBER($E14)),SUMIF((OFFSET(CÁLCULO!$AM$15:$AW$15,$E14,0,OFFSET(ORÇAMENTO!$D$15,CRONO!$E14,0))),"&lt;="&amp;CRONO!T$12,OFFSET(CÁLCULO!$AB$15:$AL$15,$E14,0,OFFSET(ORÇAMENTO!$D$15,CRONO!$E14,0)))+IF(AND($E16&lt;&gt;"",$E16&lt;&gt;0),SUMIF(CÁLCULO!$AM$15:$AW$192,"&lt;="&amp;CRONO!T$12,CÁLCULO!$AB$15:$AL$192)/(ORÇAMENTO!$X$15-CÁLCULO.TotalAdmLocal)*CRONO!$E16,0),T15*$R14),SUMIF(OFFSET($R16,1,0,$Q14-2),($L14+1)&amp;"$",OFFSET(T16,1,0,$Q14-2)))</f>
        <v>0</v>
      </c>
      <c r="U16" s="257">
        <f ca="1">IF($Q14=2,IF(AND(ACOMPANHAMENTO="PLE",ISNUMBER($E14)),SUMIF((OFFSET(CÁLCULO!$AM$15:$AW$15,$E14,0,OFFSET(ORÇAMENTO!$D$15,CRONO!$E14,0))),"="&amp;CRONO!U$12,OFFSET(CÁLCULO!$AB$15:$AL$15,$E14,0,OFFSET(ORÇAMENTO!$D$15,CRONO!$E14,0)))+IF(AND($E16&lt;&gt;"",$E16&lt;&gt;0),SUMIF(CÁLCULO!$AM$15:$AW$192,"="&amp;CRONO!U$12,CÁLCULO!$AB$15:$AL$192)/(ORÇAMENTO!$X$15-CÁLCULO.TotalAdmLocal)*CRONO!$E16,0),U15*$R14),SUMIF(OFFSET($R16,1,0,$Q14-2),($L14+1)&amp;"$",OFFSET(U16,1,0,$Q14-2)))</f>
        <v>0</v>
      </c>
      <c r="V16" s="257">
        <f ca="1">IF($Q14=2,IF(AND(ACOMPANHAMENTO="PLE",ISNUMBER($E14)),SUMIF((OFFSET(CÁLCULO!$AM$15:$AW$15,$E14,0,OFFSET(ORÇAMENTO!$D$15,CRONO!$E14,0))),"="&amp;CRONO!V$12,OFFSET(CÁLCULO!$AB$15:$AL$15,$E14,0,OFFSET(ORÇAMENTO!$D$15,CRONO!$E14,0)))+IF(AND($E16&lt;&gt;"",$E16&lt;&gt;0),SUMIF(CÁLCULO!$AM$15:$AW$192,"="&amp;CRONO!V$12,CÁLCULO!$AB$15:$AL$192)/(ORÇAMENTO!$X$15-CÁLCULO.TotalAdmLocal)*CRONO!$E16,0),V15*$R14),SUMIF(OFFSET($R16,1,0,$Q14-2),($L14+1)&amp;"$",OFFSET(V16,1,0,$Q14-2)))</f>
        <v>0</v>
      </c>
      <c r="W16" s="257">
        <f ca="1">IF($Q14=2,IF(AND(ACOMPANHAMENTO="PLE",ISNUMBER($E14)),SUMIF((OFFSET(CÁLCULO!$AM$15:$AW$15,$E14,0,OFFSET(ORÇAMENTO!$D$15,CRONO!$E14,0))),"="&amp;CRONO!W$12,OFFSET(CÁLCULO!$AB$15:$AL$15,$E14,0,OFFSET(ORÇAMENTO!$D$15,CRONO!$E14,0)))+IF(AND($E16&lt;&gt;"",$E16&lt;&gt;0),SUMIF(CÁLCULO!$AM$15:$AW$192,"="&amp;CRONO!W$12,CÁLCULO!$AB$15:$AL$192)/(ORÇAMENTO!$X$15-CÁLCULO.TotalAdmLocal)*CRONO!$E16,0),W15*$R14),SUMIF(OFFSET($R16,1,0,$Q14-2),($L14+1)&amp;"$",OFFSET(W16,1,0,$Q14-2)))</f>
        <v>0</v>
      </c>
      <c r="X16" s="257">
        <f ca="1">IF($Q14=2,IF(AND(ACOMPANHAMENTO="PLE",ISNUMBER($E14)),SUMIF((OFFSET(CÁLCULO!$AM$15:$AW$15,$E14,0,OFFSET(ORÇAMENTO!$D$15,CRONO!$E14,0))),"="&amp;CRONO!X$12,OFFSET(CÁLCULO!$AB$15:$AL$15,$E14,0,OFFSET(ORÇAMENTO!$D$15,CRONO!$E14,0)))+IF(AND($E16&lt;&gt;"",$E16&lt;&gt;0),SUMIF(CÁLCULO!$AM$15:$AW$192,"="&amp;CRONO!X$12,CÁLCULO!$AB$15:$AL$192)/(ORÇAMENTO!$X$15-CÁLCULO.TotalAdmLocal)*CRONO!$E16,0),X15*$R14),SUMIF(OFFSET($R16,1,0,$Q14-2),($L14+1)&amp;"$",OFFSET(X16,1,0,$Q14-2)))</f>
        <v>0</v>
      </c>
      <c r="Y16" s="257">
        <f ca="1">IF($Q14=2,IF(AND(ACOMPANHAMENTO="PLE",ISNUMBER($E14)),SUMIF((OFFSET(CÁLCULO!$AM$15:$AW$15,$E14,0,OFFSET(ORÇAMENTO!$D$15,CRONO!$E14,0))),"="&amp;CRONO!Y$12,OFFSET(CÁLCULO!$AB$15:$AL$15,$E14,0,OFFSET(ORÇAMENTO!$D$15,CRONO!$E14,0)))+IF(AND($E16&lt;&gt;"",$E16&lt;&gt;0),SUMIF(CÁLCULO!$AM$15:$AW$192,"="&amp;CRONO!Y$12,CÁLCULO!$AB$15:$AL$192)/(ORÇAMENTO!$X$15-CÁLCULO.TotalAdmLocal)*CRONO!$E16,0),Y15*$R14),SUMIF(OFFSET($R16,1,0,$Q14-2),($L14+1)&amp;"$",OFFSET(Y16,1,0,$Q14-2)))</f>
        <v>0</v>
      </c>
      <c r="Z16" s="257">
        <f ca="1">IF($Q14=2,IF(AND(ACOMPANHAMENTO="PLE",ISNUMBER($E14)),SUMIF((OFFSET(CÁLCULO!$AM$15:$AW$15,$E14,0,OFFSET(ORÇAMENTO!$D$15,CRONO!$E14,0))),"="&amp;CRONO!Z$12,OFFSET(CÁLCULO!$AB$15:$AL$15,$E14,0,OFFSET(ORÇAMENTO!$D$15,CRONO!$E14,0)))+IF(AND($E16&lt;&gt;"",$E16&lt;&gt;0),SUMIF(CÁLCULO!$AM$15:$AW$192,"="&amp;CRONO!Z$12,CÁLCULO!$AB$15:$AL$192)/(ORÇAMENTO!$X$15-CÁLCULO.TotalAdmLocal)*CRONO!$E16,0),Z15*$R14),SUMIF(OFFSET($R16,1,0,$Q14-2),($L14+1)&amp;"$",OFFSET(Z16,1,0,$Q14-2)))</f>
        <v>0</v>
      </c>
      <c r="AA16" s="257">
        <f ca="1">IF($Q14=2,IF(AND(ACOMPANHAMENTO="PLE",ISNUMBER($E14)),SUMIF((OFFSET(CÁLCULO!$AM$15:$AW$15,$E14,0,OFFSET(ORÇAMENTO!$D$15,CRONO!$E14,0))),"="&amp;CRONO!AA$12,OFFSET(CÁLCULO!$AB$15:$AL$15,$E14,0,OFFSET(ORÇAMENTO!$D$15,CRONO!$E14,0)))+IF(AND($E16&lt;&gt;"",$E16&lt;&gt;0),SUMIF(CÁLCULO!$AM$15:$AW$192,"="&amp;CRONO!AA$12,CÁLCULO!$AB$15:$AL$192)/(ORÇAMENTO!$X$15-CÁLCULO.TotalAdmLocal)*CRONO!$E16,0),AA15*$R14),SUMIF(OFFSET($R16,1,0,$Q14-2),($L14+1)&amp;"$",OFFSET(AA16,1,0,$Q14-2)))</f>
        <v>0</v>
      </c>
      <c r="AB16" s="257">
        <f ca="1">IF($Q14=2,IF(AND(ACOMPANHAMENTO="PLE",ISNUMBER($E14)),SUMIF((OFFSET(CÁLCULO!$AM$15:$AW$15,$E14,0,OFFSET(ORÇAMENTO!$D$15,CRONO!$E14,0))),"="&amp;CRONO!AB$12,OFFSET(CÁLCULO!$AB$15:$AL$15,$E14,0,OFFSET(ORÇAMENTO!$D$15,CRONO!$E14,0)))+IF(AND($E16&lt;&gt;"",$E16&lt;&gt;0),SUMIF(CÁLCULO!$AM$15:$AW$192,"="&amp;CRONO!AB$12,CÁLCULO!$AB$15:$AL$192)/(ORÇAMENTO!$X$15-CÁLCULO.TotalAdmLocal)*CRONO!$E16,0),AB15*$R14),SUMIF(OFFSET($R16,1,0,$Q14-2),($L14+1)&amp;"$",OFFSET(AB16,1,0,$Q14-2)))</f>
        <v>0</v>
      </c>
      <c r="AC16" s="257">
        <f ca="1">IF($Q14=2,IF(AND(ACOMPANHAMENTO="PLE",ISNUMBER($E14)),SUMIF((OFFSET(CÁLCULO!$AM$15:$AW$15,$E14,0,OFFSET(ORÇAMENTO!$D$15,CRONO!$E14,0))),"="&amp;CRONO!AC$12,OFFSET(CÁLCULO!$AB$15:$AL$15,$E14,0,OFFSET(ORÇAMENTO!$D$15,CRONO!$E14,0)))+IF(AND($E16&lt;&gt;"",$E16&lt;&gt;0),SUMIF(CÁLCULO!$AM$15:$AW$192,"="&amp;CRONO!AC$12,CÁLCULO!$AB$15:$AL$192)/(ORÇAMENTO!$X$15-CÁLCULO.TotalAdmLocal)*CRONO!$E16,0),AC15*$R14),SUMIF(OFFSET($R16,1,0,$Q14-2),($L14+1)&amp;"$",OFFSET(AC16,1,0,$Q14-2)))</f>
        <v>0</v>
      </c>
      <c r="AD16" s="257">
        <f ca="1">IF($Q14=2,IF(AND(ACOMPANHAMENTO="PLE",ISNUMBER($E14)),SUMIF((OFFSET(CÁLCULO!$AM$15:$AW$15,$E14,0,OFFSET(ORÇAMENTO!$D$15,CRONO!$E14,0))),"="&amp;CRONO!AD$12,OFFSET(CÁLCULO!$AB$15:$AL$15,$E14,0,OFFSET(ORÇAMENTO!$D$15,CRONO!$E14,0)))+IF(AND($E16&lt;&gt;"",$E16&lt;&gt;0),SUMIF(CÁLCULO!$AM$15:$AW$192,"="&amp;CRONO!AD$12,CÁLCULO!$AB$15:$AL$192)/(ORÇAMENTO!$X$15-CÁLCULO.TotalAdmLocal)*CRONO!$E16,0),AD15*$R14),SUMIF(OFFSET($R16,1,0,$Q14-2),($L14+1)&amp;"$",OFFSET(AD16,1,0,$Q14-2)))</f>
        <v>0</v>
      </c>
      <c r="AE16" s="262">
        <f ca="1">IF($Q14=2,IF(AND(ACOMPANHAMENTO="PLE",ISNUMBER($E14)),SUMIF((OFFSET(CÁLCULO!$AM$15:$AW$15,$E14,0,OFFSET(ORÇAMENTO!$D$15,CRONO!$E14,0))),"="&amp;CRONO!AE$12,OFFSET(CÁLCULO!$AB$15:$AL$15,$E14,0,OFFSET(ORÇAMENTO!$D$15,CRONO!$E14,0)))+IF(AND($E16&lt;&gt;"",$E16&lt;&gt;0),SUMIF(CÁLCULO!$AM$15:$AW$192,"="&amp;CRONO!AE$12,CÁLCULO!$AB$15:$AL$192)/(ORÇAMENTO!$X$15-CÁLCULO.TotalAdmLocal)*CRONO!$E16,0),AE15*$R14),SUMIF(OFFSET($R16,1,0,$Q14-2),($L14+1)&amp;"$",OFFSET(AE16,1,0,$Q14-2)))</f>
        <v>0</v>
      </c>
      <c r="AF16" s="261">
        <f ca="1">IF($Q14=2,IF(AND(ACOMPANHAMENTO="PLE",ISNUMBER($E14)),SUMIF((OFFSET(CÁLCULO!$AM$15:$AW$15,$E14,0,OFFSET(ORÇAMENTO!$D$15,CRONO!$E14,0))),"="&amp;CRONO!AF$12,OFFSET(CÁLCULO!$AB$15:$AL$15,$E14,0,OFFSET(ORÇAMENTO!$D$15,CRONO!$E14,0)))+IF(AND($E16&lt;&gt;"",$E16&lt;&gt;0),SUMIF(CÁLCULO!$AM$15:$AW$192,"="&amp;CRONO!AF$12,CÁLCULO!$AB$15:$AL$192)/(ORÇAMENTO!$X$15-CÁLCULO.TotalAdmLocal)*CRONO!$E16,0),AF15*$R14),SUMIF(OFFSET($R16,1,0,$Q14-2),($L14+1)&amp;"$",OFFSET(AF16,1,0,$Q14-2)))</f>
        <v>0</v>
      </c>
      <c r="AG16" s="257">
        <f ca="1">IF($Q14=2,IF(AND(ACOMPANHAMENTO="PLE",ISNUMBER($E14)),SUMIF((OFFSET(CÁLCULO!$AM$15:$AW$15,$E14,0,OFFSET(ORÇAMENTO!$D$15,CRONO!$E14,0))),"="&amp;CRONO!AG$12,OFFSET(CÁLCULO!$AB$15:$AL$15,$E14,0,OFFSET(ORÇAMENTO!$D$15,CRONO!$E14,0)))+IF(AND($E16&lt;&gt;"",$E16&lt;&gt;0),SUMIF(CÁLCULO!$AM$15:$AW$192,"="&amp;CRONO!AG$12,CÁLCULO!$AB$15:$AL$192)/(ORÇAMENTO!$X$15-CÁLCULO.TotalAdmLocal)*CRONO!$E16,0),AG15*$R14),SUMIF(OFFSET($R16,1,0,$Q14-2),($L14+1)&amp;"$",OFFSET(AG16,1,0,$Q14-2)))</f>
        <v>0</v>
      </c>
      <c r="AH16" s="257">
        <f ca="1">IF($Q14=2,IF(AND(ACOMPANHAMENTO="PLE",ISNUMBER($E14)),SUMIF((OFFSET(CÁLCULO!$AM$15:$AW$15,$E14,0,OFFSET(ORÇAMENTO!$D$15,CRONO!$E14,0))),"="&amp;CRONO!AH$12,OFFSET(CÁLCULO!$AB$15:$AL$15,$E14,0,OFFSET(ORÇAMENTO!$D$15,CRONO!$E14,0)))+IF(AND($E16&lt;&gt;"",$E16&lt;&gt;0),SUMIF(CÁLCULO!$AM$15:$AW$192,"="&amp;CRONO!AH$12,CÁLCULO!$AB$15:$AL$192)/(ORÇAMENTO!$X$15-CÁLCULO.TotalAdmLocal)*CRONO!$E16,0),AH15*$R14),SUMIF(OFFSET($R16,1,0,$Q14-2),($L14+1)&amp;"$",OFFSET(AH16,1,0,$Q14-2)))</f>
        <v>0</v>
      </c>
      <c r="AI16" s="257">
        <f ca="1">IF($Q14=2,IF(AND(ACOMPANHAMENTO="PLE",ISNUMBER($E14)),SUMIF((OFFSET(CÁLCULO!$AM$15:$AW$15,$E14,0,OFFSET(ORÇAMENTO!$D$15,CRONO!$E14,0))),"="&amp;CRONO!AI$12,OFFSET(CÁLCULO!$AB$15:$AL$15,$E14,0,OFFSET(ORÇAMENTO!$D$15,CRONO!$E14,0)))+IF(AND($E16&lt;&gt;"",$E16&lt;&gt;0),SUMIF(CÁLCULO!$AM$15:$AW$192,"="&amp;CRONO!AI$12,CÁLCULO!$AB$15:$AL$192)/(ORÇAMENTO!$X$15-CÁLCULO.TotalAdmLocal)*CRONO!$E16,0),AI15*$R14),SUMIF(OFFSET($R16,1,0,$Q14-2),($L14+1)&amp;"$",OFFSET(AI16,1,0,$Q14-2)))</f>
        <v>0</v>
      </c>
      <c r="AJ16" s="257">
        <f ca="1">IF($Q14=2,IF(AND(ACOMPANHAMENTO="PLE",ISNUMBER($E14)),SUMIF((OFFSET(CÁLCULO!$AM$15:$AW$15,$E14,0,OFFSET(ORÇAMENTO!$D$15,CRONO!$E14,0))),"="&amp;CRONO!AJ$12,OFFSET(CÁLCULO!$AB$15:$AL$15,$E14,0,OFFSET(ORÇAMENTO!$D$15,CRONO!$E14,0)))+IF(AND($E16&lt;&gt;"",$E16&lt;&gt;0),SUMIF(CÁLCULO!$AM$15:$AW$192,"="&amp;CRONO!AJ$12,CÁLCULO!$AB$15:$AL$192)/(ORÇAMENTO!$X$15-CÁLCULO.TotalAdmLocal)*CRONO!$E16,0),AJ15*$R14),SUMIF(OFFSET($R16,1,0,$Q14-2),($L14+1)&amp;"$",OFFSET(AJ16,1,0,$Q14-2)))</f>
        <v>0</v>
      </c>
      <c r="AK16" s="257">
        <f ca="1">IF($Q14=2,IF(AND(ACOMPANHAMENTO="PLE",ISNUMBER($E14)),SUMIF((OFFSET(CÁLCULO!$AM$15:$AW$15,$E14,0,OFFSET(ORÇAMENTO!$D$15,CRONO!$E14,0))),"="&amp;CRONO!AK$12,OFFSET(CÁLCULO!$AB$15:$AL$15,$E14,0,OFFSET(ORÇAMENTO!$D$15,CRONO!$E14,0)))+IF(AND($E16&lt;&gt;"",$E16&lt;&gt;0),SUMIF(CÁLCULO!$AM$15:$AW$192,"="&amp;CRONO!AK$12,CÁLCULO!$AB$15:$AL$192)/(ORÇAMENTO!$X$15-CÁLCULO.TotalAdmLocal)*CRONO!$E16,0),AK15*$R14),SUMIF(OFFSET($R16,1,0,$Q14-2),($L14+1)&amp;"$",OFFSET(AK16,1,0,$Q14-2)))</f>
        <v>0</v>
      </c>
      <c r="AL16" s="257">
        <f ca="1">IF($Q14=2,IF(AND(ACOMPANHAMENTO="PLE",ISNUMBER($E14)),SUMIF((OFFSET(CÁLCULO!$AM$15:$AW$15,$E14,0,OFFSET(ORÇAMENTO!$D$15,CRONO!$E14,0))),"="&amp;CRONO!AL$12,OFFSET(CÁLCULO!$AB$15:$AL$15,$E14,0,OFFSET(ORÇAMENTO!$D$15,CRONO!$E14,0)))+IF(AND($E16&lt;&gt;"",$E16&lt;&gt;0),SUMIF(CÁLCULO!$AM$15:$AW$192,"="&amp;CRONO!AL$12,CÁLCULO!$AB$15:$AL$192)/(ORÇAMENTO!$X$15-CÁLCULO.TotalAdmLocal)*CRONO!$E16,0),AL15*$R14),SUMIF(OFFSET($R16,1,0,$Q14-2),($L14+1)&amp;"$",OFFSET(AL16,1,0,$Q14-2)))</f>
        <v>0</v>
      </c>
      <c r="AM16" s="257">
        <f ca="1">IF($Q14=2,IF(AND(ACOMPANHAMENTO="PLE",ISNUMBER($E14)),SUMIF((OFFSET(CÁLCULO!$AM$15:$AW$15,$E14,0,OFFSET(ORÇAMENTO!$D$15,CRONO!$E14,0))),"="&amp;CRONO!AM$12,OFFSET(CÁLCULO!$AB$15:$AL$15,$E14,0,OFFSET(ORÇAMENTO!$D$15,CRONO!$E14,0)))+IF(AND($E16&lt;&gt;"",$E16&lt;&gt;0),SUMIF(CÁLCULO!$AM$15:$AW$192,"="&amp;CRONO!AM$12,CÁLCULO!$AB$15:$AL$192)/(ORÇAMENTO!$X$15-CÁLCULO.TotalAdmLocal)*CRONO!$E16,0),AM15*$R14),SUMIF(OFFSET($R16,1,0,$Q14-2),($L14+1)&amp;"$",OFFSET(AM16,1,0,$Q14-2)))</f>
        <v>0</v>
      </c>
      <c r="AN16" s="257">
        <f ca="1">IF($Q14=2,IF(AND(ACOMPANHAMENTO="PLE",ISNUMBER($E14)),SUMIF((OFFSET(CÁLCULO!$AM$15:$AW$15,$E14,0,OFFSET(ORÇAMENTO!$D$15,CRONO!$E14,0))),"="&amp;CRONO!AN$12,OFFSET(CÁLCULO!$AB$15:$AL$15,$E14,0,OFFSET(ORÇAMENTO!$D$15,CRONO!$E14,0)))+IF(AND($E16&lt;&gt;"",$E16&lt;&gt;0),SUMIF(CÁLCULO!$AM$15:$AW$192,"="&amp;CRONO!AN$12,CÁLCULO!$AB$15:$AL$192)/(ORÇAMENTO!$X$15-CÁLCULO.TotalAdmLocal)*CRONO!$E16,0),AN15*$R14),SUMIF(OFFSET($R16,1,0,$Q14-2),($L14+1)&amp;"$",OFFSET(AN16,1,0,$Q14-2)))</f>
        <v>0</v>
      </c>
      <c r="AO16" s="257">
        <f ca="1">IF($Q14=2,IF(AND(ACOMPANHAMENTO="PLE",ISNUMBER($E14)),SUMIF((OFFSET(CÁLCULO!$AM$15:$AW$15,$E14,0,OFFSET(ORÇAMENTO!$D$15,CRONO!$E14,0))),"="&amp;CRONO!AO$12,OFFSET(CÁLCULO!$AB$15:$AL$15,$E14,0,OFFSET(ORÇAMENTO!$D$15,CRONO!$E14,0)))+IF(AND($E16&lt;&gt;"",$E16&lt;&gt;0),SUMIF(CÁLCULO!$AM$15:$AW$192,"="&amp;CRONO!AO$12,CÁLCULO!$AB$15:$AL$192)/(ORÇAMENTO!$X$15-CÁLCULO.TotalAdmLocal)*CRONO!$E16,0),AO15*$R14),SUMIF(OFFSET($R16,1,0,$Q14-2),($L14+1)&amp;"$",OFFSET(AO16,1,0,$Q14-2)))</f>
        <v>0</v>
      </c>
      <c r="AP16" s="257">
        <f ca="1">IF($Q14=2,IF(AND(ACOMPANHAMENTO="PLE",ISNUMBER($E14)),SUMIF((OFFSET(CÁLCULO!$AM$15:$AW$15,$E14,0,OFFSET(ORÇAMENTO!$D$15,CRONO!$E14,0))),"="&amp;CRONO!AP$12,OFFSET(CÁLCULO!$AB$15:$AL$15,$E14,0,OFFSET(ORÇAMENTO!$D$15,CRONO!$E14,0)))+IF(AND($E16&lt;&gt;"",$E16&lt;&gt;0),SUMIF(CÁLCULO!$AM$15:$AW$192,"="&amp;CRONO!AP$12,CÁLCULO!$AB$15:$AL$192)/(ORÇAMENTO!$X$15-CÁLCULO.TotalAdmLocal)*CRONO!$E16,0),AP15*$R14),SUMIF(OFFSET($R16,1,0,$Q14-2),($L14+1)&amp;"$",OFFSET(AP16,1,0,$Q14-2)))</f>
        <v>0</v>
      </c>
      <c r="AQ16" s="262">
        <f ca="1">IF($Q14=2,IF(AND(ACOMPANHAMENTO="PLE",ISNUMBER($E14)),SUMIF((OFFSET(CÁLCULO!$AM$15:$AW$15,$E14,0,OFFSET(ORÇAMENTO!$D$15,CRONO!$E14,0))),"="&amp;CRONO!AQ$12,OFFSET(CÁLCULO!$AB$15:$AL$15,$E14,0,OFFSET(ORÇAMENTO!$D$15,CRONO!$E14,0)))+IF(AND($E16&lt;&gt;"",$E16&lt;&gt;0),SUMIF(CÁLCULO!$AM$15:$AW$192,"="&amp;CRONO!AQ$12,CÁLCULO!$AB$15:$AL$192)/(ORÇAMENTO!$X$15-CÁLCULO.TotalAdmLocal)*CRONO!$E16,0),AQ15*$R14),SUMIF(OFFSET($R16,1,0,$Q14-2),($L14+1)&amp;"$",OFFSET(AQ16,1,0,$Q14-2)))</f>
        <v>0</v>
      </c>
    </row>
    <row r="17" spans="1:44" x14ac:dyDescent="0.2">
      <c r="A17" s="238">
        <f ca="1">OFFSET(A17,-3,0)+1</f>
        <v>2</v>
      </c>
      <c r="B17" s="238">
        <f ca="1">IF($Q17&lt;&gt;2,0,IF($R17=0,1,IF(E18&gt;0,OFFSET(QCI!$M$13,SUBSTITUTE(E18,".",""),0),OFFSET(ORÇAMENTO!$AA$15,CRONO!$E17,0))/$R17))</f>
        <v>1</v>
      </c>
      <c r="C17" s="238">
        <f ca="1">IF($Q17&lt;&gt;2,0,IF($R17=0,1,IF(E18&gt;0,OFFSET(QCI!$N$13,SUBSTITUTE(E18,".",""),0),OFFSET(ORÇAMENTO!$AB$15,CRONO!$E17,0))/$R17))</f>
        <v>1</v>
      </c>
      <c r="D17" s="241">
        <f ca="1">IF(AND($Q17=2,ACOMPANHAMENTO="BM"),D18,D19/$R17)</f>
        <v>0</v>
      </c>
      <c r="E17" s="238">
        <f ca="1">IF(A17&lt;=ORÇAMENTO.MáximoListaCrono,MATCH(A17,ORÇAMENTO.ListaCrono,0),NA())</f>
        <v>2</v>
      </c>
      <c r="F17" s="238" t="str">
        <f ca="1">IF(AND($E18&lt;&gt;-1,$R17&gt;0),"F","")</f>
        <v/>
      </c>
      <c r="G17" s="242" t="str">
        <f ca="1">IF(OR(R17=0,R17=""),"Linha",IF(AND(OR(ACOMPANHAMENTO="PLE",$Q17&lt;&gt;2),$E18=0),"Linha",1-SUM(T17:AR17)))</f>
        <v>Linha</v>
      </c>
      <c r="H17" s="243" t="str">
        <f ca="1">IF($E18=0,OFFSET(ORÇAMENTO!O$15,$E17,0),IF($E18&lt;&gt;-1,OFFSET(QCI!$D$13,$E18,0),""))</f>
        <v>1.1.</v>
      </c>
      <c r="I17" s="244" t="str">
        <f ca="1">IF($E18=0,OFFSET(ORÇAMENTO!R$15,$E17,0),IF($E18&lt;&gt;-1,OFFSET(QCI!$G$13,$E18,0),""))</f>
        <v>SERVIÇOS PRELIMINARES  E PROVISÓRIOS</v>
      </c>
      <c r="J17" s="244"/>
      <c r="K17" s="244"/>
      <c r="L17" s="245">
        <f ca="1">IF($E18=0,OFFSET(ORÇAMENTO!C$15,$E17,0),1)</f>
        <v>2</v>
      </c>
      <c r="M17" s="246">
        <f ca="1">IF($E18=-1,0,IF(M$13&lt;=$L17,IF(ISERROR(MATCH(M$13,OFFSET($L17,1,0,ROW($L$92)-ROW($L17)-1),0)),ROW($L$92)-ROW($L17)-1,MATCH(M$13,OFFSET($L17,1,0,ROW($L$92)-ROW($L17)-1),0)-1),0))</f>
        <v>74</v>
      </c>
      <c r="N17" s="246">
        <f ca="1">IF($E18=-1,0,IF(N$13&lt;=$L17,IF(ISERROR(MATCH(N$13,OFFSET($L17,1,0,ROW($L$92)-ROW($L17)-1),0)),ROW($L$92)-ROW($L17)-1,MATCH(N$13,OFFSET($L17,1,0,ROW($L$92)-ROW($L17)-1),0)-1),0))</f>
        <v>2</v>
      </c>
      <c r="O17" s="246">
        <f ca="1">IF($E18=-1,0,IF(O$13&lt;=$L17,IF(ISERROR(MATCH(O$13,OFFSET($L17,1,0,ROW($L$92)-ROW($L17)-1),0)),ROW($L$92)-ROW($L17)-1,MATCH(O$13,OFFSET($L17,1,0,ROW($L$92)-ROW($L17)-1),0)-1),0))</f>
        <v>0</v>
      </c>
      <c r="P17" s="246">
        <f ca="1">IF($E18=-1,0,IF(P$13&lt;=$L17,IF(ISERROR(MATCH(P$13,OFFSET($L17,1,0,ROW($L$92)-ROW($L17)-1),0)),ROW($L$92)-ROW($L17)-1,MATCH(P$13,OFFSET($L17,1,0,ROW($L$92)-ROW($L17)-1),0)-1),0))</f>
        <v>0</v>
      </c>
      <c r="Q17" s="246">
        <f ca="1">MIN(OFFSET(L17,0,1,,L17))</f>
        <v>2</v>
      </c>
      <c r="R17" s="247">
        <f ca="1">IF($E18=0,OFFSET(ORÇAMENTO!X$15,$E17,0),IF($E18&lt;&gt;-1,OFFSET(QCI!$O$13,$E18,0),""))</f>
        <v>0</v>
      </c>
      <c r="S17" s="248" t="s">
        <v>270</v>
      </c>
      <c r="T17" s="249">
        <f t="shared" ref="T17:AQ17" ca="1" si="5">IF(AND($Q17=2,ACOMPANHAMENTO="BM"),T18,T19/$R17)</f>
        <v>1</v>
      </c>
      <c r="U17" s="241">
        <f t="shared" ca="1" si="5"/>
        <v>0</v>
      </c>
      <c r="V17" s="241">
        <f t="shared" ca="1" si="5"/>
        <v>0</v>
      </c>
      <c r="W17" s="241">
        <f t="shared" ca="1" si="5"/>
        <v>0</v>
      </c>
      <c r="X17" s="241">
        <f t="shared" ca="1" si="5"/>
        <v>0</v>
      </c>
      <c r="Y17" s="241">
        <f t="shared" ca="1" si="5"/>
        <v>0</v>
      </c>
      <c r="Z17" s="241">
        <f t="shared" ca="1" si="5"/>
        <v>0</v>
      </c>
      <c r="AA17" s="241">
        <f t="shared" ca="1" si="5"/>
        <v>0</v>
      </c>
      <c r="AB17" s="241">
        <f t="shared" ca="1" si="5"/>
        <v>0</v>
      </c>
      <c r="AC17" s="241">
        <f t="shared" ca="1" si="5"/>
        <v>0</v>
      </c>
      <c r="AD17" s="241">
        <f t="shared" ca="1" si="5"/>
        <v>0</v>
      </c>
      <c r="AE17" s="250">
        <f t="shared" ca="1" si="5"/>
        <v>0</v>
      </c>
      <c r="AF17" s="249">
        <f t="shared" ca="1" si="5"/>
        <v>0</v>
      </c>
      <c r="AG17" s="241">
        <f t="shared" ca="1" si="5"/>
        <v>0</v>
      </c>
      <c r="AH17" s="241">
        <f t="shared" ca="1" si="5"/>
        <v>0</v>
      </c>
      <c r="AI17" s="241">
        <f t="shared" ca="1" si="5"/>
        <v>0</v>
      </c>
      <c r="AJ17" s="241">
        <f t="shared" ca="1" si="5"/>
        <v>0</v>
      </c>
      <c r="AK17" s="241">
        <f t="shared" ca="1" si="5"/>
        <v>0</v>
      </c>
      <c r="AL17" s="241">
        <f t="shared" ca="1" si="5"/>
        <v>0</v>
      </c>
      <c r="AM17" s="241">
        <f t="shared" ca="1" si="5"/>
        <v>0</v>
      </c>
      <c r="AN17" s="241">
        <f t="shared" ca="1" si="5"/>
        <v>0</v>
      </c>
      <c r="AO17" s="241">
        <f t="shared" ca="1" si="5"/>
        <v>0</v>
      </c>
      <c r="AP17" s="241">
        <f t="shared" ca="1" si="5"/>
        <v>0</v>
      </c>
      <c r="AQ17" s="250">
        <f t="shared" ca="1" si="5"/>
        <v>0</v>
      </c>
    </row>
    <row r="18" spans="1:44" ht="12.75" customHeight="1" x14ac:dyDescent="0.2">
      <c r="D18" s="657"/>
      <c r="E18" s="238">
        <f ca="1">IF(ISERROR(E17),IF(1+COUNTIF($L$13:OFFSET(L17,-1,0),1)&lt;=MAX(QCI!$D$13:$D$24),1+COUNTIF($L$13:OFFSET(L17,-1,0),1),-1),0)</f>
        <v>0</v>
      </c>
      <c r="F18" s="238" t="str">
        <f ca="1">IF(AND($E18&lt;&gt;-1,$R17&gt;0),"F","")</f>
        <v/>
      </c>
      <c r="G18" s="251" t="str">
        <f ca="1">IF(OR(R17=0,R17=""),"vazia",IF(AND(OR(ACOMPANHAMENTO="PLE",$Q17&lt;&gt;2),$E18=0),"calculada","--&gt;"))</f>
        <v>vazia</v>
      </c>
      <c r="H18" s="252"/>
      <c r="I18" s="253" t="str">
        <f ca="1">IF(AND(G17&lt;&gt;0,ISNUMBER(G17)),"PREENCHA ESTA LINHA --&gt;","")</f>
        <v/>
      </c>
      <c r="J18" s="253"/>
      <c r="K18" s="253"/>
      <c r="L18" s="254"/>
      <c r="M18" s="254"/>
      <c r="N18" s="254"/>
      <c r="O18" s="254"/>
      <c r="P18" s="254"/>
      <c r="Q18" s="254"/>
      <c r="R18" s="255"/>
      <c r="S18" s="256"/>
      <c r="T18" s="658">
        <v>1</v>
      </c>
      <c r="U18" s="658"/>
      <c r="V18" s="658"/>
      <c r="W18" s="658"/>
      <c r="X18" s="658"/>
      <c r="Y18" s="658"/>
      <c r="Z18" s="658"/>
      <c r="AA18" s="658"/>
      <c r="AB18" s="658"/>
      <c r="AC18" s="658"/>
      <c r="AD18" s="658"/>
      <c r="AE18" s="658"/>
      <c r="AF18" s="658"/>
      <c r="AG18" s="658"/>
      <c r="AH18" s="658"/>
      <c r="AI18" s="658"/>
      <c r="AJ18" s="658"/>
      <c r="AK18" s="658"/>
      <c r="AL18" s="658"/>
      <c r="AM18" s="658"/>
      <c r="AN18" s="658"/>
      <c r="AO18" s="658"/>
      <c r="AP18" s="658"/>
      <c r="AQ18" s="658"/>
      <c r="AR18" s="617"/>
    </row>
    <row r="19" spans="1:44" ht="0.2" hidden="1" customHeight="1" x14ac:dyDescent="0.2">
      <c r="D19" s="257">
        <f ca="1">IF($Q17=2,IF(AND(ACOMPANHAMENTO="PLE",ISNUMBER($E17)),SUMIF((OFFSET(CÁLCULO!$AM$15:$AW$15,$E17,0,OFFSET(ORÇAMENTO!$D$15,CRONO!$E17,0))),"="&amp;CRONO!D$12,OFFSET(CÁLCULO!$AB$15:$AL$15,$E17,0,OFFSET(ORÇAMENTO!$D$15,CRONO!$E17,0)))+IF(AND($E19&lt;&gt;"",$E19&lt;&gt;0),SUMIF(CÁLCULO!$AM$15:$AW$192,"="&amp;CRONO!D$12,CÁLCULO!$AB$15:$AL$192)/(ORÇAMENTO!$X$15-CÁLCULO.TotalAdmLocal)*CRONO!$E19,0),D18*$R17),SUMIF(OFFSET($R19,1,0,$Q17-2),($L17+1)&amp;"$",OFFSET(D19,1,0,$Q17-2)))</f>
        <v>0</v>
      </c>
      <c r="E19" s="238" t="str">
        <f ca="1">IF(OR($Q17&lt;&gt;2,AUTOEVENTO&lt;&gt;"manual",$E18&gt;0),"",SUMIF(OFFSET(CÁLCULO!$M$15,CRONO!$E17,0,OFFSET(ORÇAMENTO!$D$15,CRONO!$E17,0)),1,OFFSET(ORÇAMENTO!$X$15,CRONO!$E17,0,OFFSET(ORÇAMENTO!$D$15,CRONO!$E17,0))))</f>
        <v/>
      </c>
      <c r="G19" s="258"/>
      <c r="R19" s="259" t="str">
        <f ca="1">L17&amp;"$"</f>
        <v>2$</v>
      </c>
      <c r="S19" s="260"/>
      <c r="T19" s="261">
        <f ca="1">IF($Q17=2,IF(AND(ACOMPANHAMENTO="PLE",ISNUMBER($E17)),SUMIF((OFFSET(CÁLCULO!$AM$15:$AW$15,$E17,0,OFFSET(ORÇAMENTO!$D$15,CRONO!$E17,0))),"&lt;="&amp;CRONO!T$12,OFFSET(CÁLCULO!$AB$15:$AL$15,$E17,0,OFFSET(ORÇAMENTO!$D$15,CRONO!$E17,0)))+IF(AND($E19&lt;&gt;"",$E19&lt;&gt;0),SUMIF(CÁLCULO!$AM$15:$AW$192,"&lt;="&amp;CRONO!T$12,CÁLCULO!$AB$15:$AL$192)/(ORÇAMENTO!$X$15-CÁLCULO.TotalAdmLocal)*CRONO!$E19,0),T18*$R17),SUMIF(OFFSET($R19,1,0,$Q17-2),($L17+1)&amp;"$",OFFSET(T19,1,0,$Q17-2)))</f>
        <v>0</v>
      </c>
      <c r="U19" s="257">
        <f ca="1">IF($Q17=2,IF(AND(ACOMPANHAMENTO="PLE",ISNUMBER($E17)),SUMIF((OFFSET(CÁLCULO!$AM$15:$AW$15,$E17,0,OFFSET(ORÇAMENTO!$D$15,CRONO!$E17,0))),"="&amp;CRONO!U$12,OFFSET(CÁLCULO!$AB$15:$AL$15,$E17,0,OFFSET(ORÇAMENTO!$D$15,CRONO!$E17,0)))+IF(AND($E19&lt;&gt;"",$E19&lt;&gt;0),SUMIF(CÁLCULO!$AM$15:$AW$192,"="&amp;CRONO!U$12,CÁLCULO!$AB$15:$AL$192)/(ORÇAMENTO!$X$15-CÁLCULO.TotalAdmLocal)*CRONO!$E19,0),U18*$R17),SUMIF(OFFSET($R19,1,0,$Q17-2),($L17+1)&amp;"$",OFFSET(U19,1,0,$Q17-2)))</f>
        <v>0</v>
      </c>
      <c r="V19" s="257">
        <f ca="1">IF($Q17=2,IF(AND(ACOMPANHAMENTO="PLE",ISNUMBER($E17)),SUMIF((OFFSET(CÁLCULO!$AM$15:$AW$15,$E17,0,OFFSET(ORÇAMENTO!$D$15,CRONO!$E17,0))),"="&amp;CRONO!V$12,OFFSET(CÁLCULO!$AB$15:$AL$15,$E17,0,OFFSET(ORÇAMENTO!$D$15,CRONO!$E17,0)))+IF(AND($E19&lt;&gt;"",$E19&lt;&gt;0),SUMIF(CÁLCULO!$AM$15:$AW$192,"="&amp;CRONO!V$12,CÁLCULO!$AB$15:$AL$192)/(ORÇAMENTO!$X$15-CÁLCULO.TotalAdmLocal)*CRONO!$E19,0),V18*$R17),SUMIF(OFFSET($R19,1,0,$Q17-2),($L17+1)&amp;"$",OFFSET(V19,1,0,$Q17-2)))</f>
        <v>0</v>
      </c>
      <c r="W19" s="257">
        <f ca="1">IF($Q17=2,IF(AND(ACOMPANHAMENTO="PLE",ISNUMBER($E17)),SUMIF((OFFSET(CÁLCULO!$AM$15:$AW$15,$E17,0,OFFSET(ORÇAMENTO!$D$15,CRONO!$E17,0))),"="&amp;CRONO!W$12,OFFSET(CÁLCULO!$AB$15:$AL$15,$E17,0,OFFSET(ORÇAMENTO!$D$15,CRONO!$E17,0)))+IF(AND($E19&lt;&gt;"",$E19&lt;&gt;0),SUMIF(CÁLCULO!$AM$15:$AW$192,"="&amp;CRONO!W$12,CÁLCULO!$AB$15:$AL$192)/(ORÇAMENTO!$X$15-CÁLCULO.TotalAdmLocal)*CRONO!$E19,0),W18*$R17),SUMIF(OFFSET($R19,1,0,$Q17-2),($L17+1)&amp;"$",OFFSET(W19,1,0,$Q17-2)))</f>
        <v>0</v>
      </c>
      <c r="X19" s="257">
        <f ca="1">IF($Q17=2,IF(AND(ACOMPANHAMENTO="PLE",ISNUMBER($E17)),SUMIF((OFFSET(CÁLCULO!$AM$15:$AW$15,$E17,0,OFFSET(ORÇAMENTO!$D$15,CRONO!$E17,0))),"="&amp;CRONO!X$12,OFFSET(CÁLCULO!$AB$15:$AL$15,$E17,0,OFFSET(ORÇAMENTO!$D$15,CRONO!$E17,0)))+IF(AND($E19&lt;&gt;"",$E19&lt;&gt;0),SUMIF(CÁLCULO!$AM$15:$AW$192,"="&amp;CRONO!X$12,CÁLCULO!$AB$15:$AL$192)/(ORÇAMENTO!$X$15-CÁLCULO.TotalAdmLocal)*CRONO!$E19,0),X18*$R17),SUMIF(OFFSET($R19,1,0,$Q17-2),($L17+1)&amp;"$",OFFSET(X19,1,0,$Q17-2)))</f>
        <v>0</v>
      </c>
      <c r="Y19" s="257">
        <f ca="1">IF($Q17=2,IF(AND(ACOMPANHAMENTO="PLE",ISNUMBER($E17)),SUMIF((OFFSET(CÁLCULO!$AM$15:$AW$15,$E17,0,OFFSET(ORÇAMENTO!$D$15,CRONO!$E17,0))),"="&amp;CRONO!Y$12,OFFSET(CÁLCULO!$AB$15:$AL$15,$E17,0,OFFSET(ORÇAMENTO!$D$15,CRONO!$E17,0)))+IF(AND($E19&lt;&gt;"",$E19&lt;&gt;0),SUMIF(CÁLCULO!$AM$15:$AW$192,"="&amp;CRONO!Y$12,CÁLCULO!$AB$15:$AL$192)/(ORÇAMENTO!$X$15-CÁLCULO.TotalAdmLocal)*CRONO!$E19,0),Y18*$R17),SUMIF(OFFSET($R19,1,0,$Q17-2),($L17+1)&amp;"$",OFFSET(Y19,1,0,$Q17-2)))</f>
        <v>0</v>
      </c>
      <c r="Z19" s="257">
        <f ca="1">IF($Q17=2,IF(AND(ACOMPANHAMENTO="PLE",ISNUMBER($E17)),SUMIF((OFFSET(CÁLCULO!$AM$15:$AW$15,$E17,0,OFFSET(ORÇAMENTO!$D$15,CRONO!$E17,0))),"="&amp;CRONO!Z$12,OFFSET(CÁLCULO!$AB$15:$AL$15,$E17,0,OFFSET(ORÇAMENTO!$D$15,CRONO!$E17,0)))+IF(AND($E19&lt;&gt;"",$E19&lt;&gt;0),SUMIF(CÁLCULO!$AM$15:$AW$192,"="&amp;CRONO!Z$12,CÁLCULO!$AB$15:$AL$192)/(ORÇAMENTO!$X$15-CÁLCULO.TotalAdmLocal)*CRONO!$E19,0),Z18*$R17),SUMIF(OFFSET($R19,1,0,$Q17-2),($L17+1)&amp;"$",OFFSET(Z19,1,0,$Q17-2)))</f>
        <v>0</v>
      </c>
      <c r="AA19" s="257">
        <f ca="1">IF($Q17=2,IF(AND(ACOMPANHAMENTO="PLE",ISNUMBER($E17)),SUMIF((OFFSET(CÁLCULO!$AM$15:$AW$15,$E17,0,OFFSET(ORÇAMENTO!$D$15,CRONO!$E17,0))),"="&amp;CRONO!AA$12,OFFSET(CÁLCULO!$AB$15:$AL$15,$E17,0,OFFSET(ORÇAMENTO!$D$15,CRONO!$E17,0)))+IF(AND($E19&lt;&gt;"",$E19&lt;&gt;0),SUMIF(CÁLCULO!$AM$15:$AW$192,"="&amp;CRONO!AA$12,CÁLCULO!$AB$15:$AL$192)/(ORÇAMENTO!$X$15-CÁLCULO.TotalAdmLocal)*CRONO!$E19,0),AA18*$R17),SUMIF(OFFSET($R19,1,0,$Q17-2),($L17+1)&amp;"$",OFFSET(AA19,1,0,$Q17-2)))</f>
        <v>0</v>
      </c>
      <c r="AB19" s="257">
        <f ca="1">IF($Q17=2,IF(AND(ACOMPANHAMENTO="PLE",ISNUMBER($E17)),SUMIF((OFFSET(CÁLCULO!$AM$15:$AW$15,$E17,0,OFFSET(ORÇAMENTO!$D$15,CRONO!$E17,0))),"="&amp;CRONO!AB$12,OFFSET(CÁLCULO!$AB$15:$AL$15,$E17,0,OFFSET(ORÇAMENTO!$D$15,CRONO!$E17,0)))+IF(AND($E19&lt;&gt;"",$E19&lt;&gt;0),SUMIF(CÁLCULO!$AM$15:$AW$192,"="&amp;CRONO!AB$12,CÁLCULO!$AB$15:$AL$192)/(ORÇAMENTO!$X$15-CÁLCULO.TotalAdmLocal)*CRONO!$E19,0),AB18*$R17),SUMIF(OFFSET($R19,1,0,$Q17-2),($L17+1)&amp;"$",OFFSET(AB19,1,0,$Q17-2)))</f>
        <v>0</v>
      </c>
      <c r="AC19" s="257">
        <f ca="1">IF($Q17=2,IF(AND(ACOMPANHAMENTO="PLE",ISNUMBER($E17)),SUMIF((OFFSET(CÁLCULO!$AM$15:$AW$15,$E17,0,OFFSET(ORÇAMENTO!$D$15,CRONO!$E17,0))),"="&amp;CRONO!AC$12,OFFSET(CÁLCULO!$AB$15:$AL$15,$E17,0,OFFSET(ORÇAMENTO!$D$15,CRONO!$E17,0)))+IF(AND($E19&lt;&gt;"",$E19&lt;&gt;0),SUMIF(CÁLCULO!$AM$15:$AW$192,"="&amp;CRONO!AC$12,CÁLCULO!$AB$15:$AL$192)/(ORÇAMENTO!$X$15-CÁLCULO.TotalAdmLocal)*CRONO!$E19,0),AC18*$R17),SUMIF(OFFSET($R19,1,0,$Q17-2),($L17+1)&amp;"$",OFFSET(AC19,1,0,$Q17-2)))</f>
        <v>0</v>
      </c>
      <c r="AD19" s="257">
        <f ca="1">IF($Q17=2,IF(AND(ACOMPANHAMENTO="PLE",ISNUMBER($E17)),SUMIF((OFFSET(CÁLCULO!$AM$15:$AW$15,$E17,0,OFFSET(ORÇAMENTO!$D$15,CRONO!$E17,0))),"="&amp;CRONO!AD$12,OFFSET(CÁLCULO!$AB$15:$AL$15,$E17,0,OFFSET(ORÇAMENTO!$D$15,CRONO!$E17,0)))+IF(AND($E19&lt;&gt;"",$E19&lt;&gt;0),SUMIF(CÁLCULO!$AM$15:$AW$192,"="&amp;CRONO!AD$12,CÁLCULO!$AB$15:$AL$192)/(ORÇAMENTO!$X$15-CÁLCULO.TotalAdmLocal)*CRONO!$E19,0),AD18*$R17),SUMIF(OFFSET($R19,1,0,$Q17-2),($L17+1)&amp;"$",OFFSET(AD19,1,0,$Q17-2)))</f>
        <v>0</v>
      </c>
      <c r="AE19" s="262">
        <f ca="1">IF($Q17=2,IF(AND(ACOMPANHAMENTO="PLE",ISNUMBER($E17)),SUMIF((OFFSET(CÁLCULO!$AM$15:$AW$15,$E17,0,OFFSET(ORÇAMENTO!$D$15,CRONO!$E17,0))),"="&amp;CRONO!AE$12,OFFSET(CÁLCULO!$AB$15:$AL$15,$E17,0,OFFSET(ORÇAMENTO!$D$15,CRONO!$E17,0)))+IF(AND($E19&lt;&gt;"",$E19&lt;&gt;0),SUMIF(CÁLCULO!$AM$15:$AW$192,"="&amp;CRONO!AE$12,CÁLCULO!$AB$15:$AL$192)/(ORÇAMENTO!$X$15-CÁLCULO.TotalAdmLocal)*CRONO!$E19,0),AE18*$R17),SUMIF(OFFSET($R19,1,0,$Q17-2),($L17+1)&amp;"$",OFFSET(AE19,1,0,$Q17-2)))</f>
        <v>0</v>
      </c>
      <c r="AF19" s="261">
        <f ca="1">IF($Q17=2,IF(AND(ACOMPANHAMENTO="PLE",ISNUMBER($E17)),SUMIF((OFFSET(CÁLCULO!$AM$15:$AW$15,$E17,0,OFFSET(ORÇAMENTO!$D$15,CRONO!$E17,0))),"="&amp;CRONO!AF$12,OFFSET(CÁLCULO!$AB$15:$AL$15,$E17,0,OFFSET(ORÇAMENTO!$D$15,CRONO!$E17,0)))+IF(AND($E19&lt;&gt;"",$E19&lt;&gt;0),SUMIF(CÁLCULO!$AM$15:$AW$192,"="&amp;CRONO!AF$12,CÁLCULO!$AB$15:$AL$192)/(ORÇAMENTO!$X$15-CÁLCULO.TotalAdmLocal)*CRONO!$E19,0),AF18*$R17),SUMIF(OFFSET($R19,1,0,$Q17-2),($L17+1)&amp;"$",OFFSET(AF19,1,0,$Q17-2)))</f>
        <v>0</v>
      </c>
      <c r="AG19" s="257">
        <f ca="1">IF($Q17=2,IF(AND(ACOMPANHAMENTO="PLE",ISNUMBER($E17)),SUMIF((OFFSET(CÁLCULO!$AM$15:$AW$15,$E17,0,OFFSET(ORÇAMENTO!$D$15,CRONO!$E17,0))),"="&amp;CRONO!AG$12,OFFSET(CÁLCULO!$AB$15:$AL$15,$E17,0,OFFSET(ORÇAMENTO!$D$15,CRONO!$E17,0)))+IF(AND($E19&lt;&gt;"",$E19&lt;&gt;0),SUMIF(CÁLCULO!$AM$15:$AW$192,"="&amp;CRONO!AG$12,CÁLCULO!$AB$15:$AL$192)/(ORÇAMENTO!$X$15-CÁLCULO.TotalAdmLocal)*CRONO!$E19,0),AG18*$R17),SUMIF(OFFSET($R19,1,0,$Q17-2),($L17+1)&amp;"$",OFFSET(AG19,1,0,$Q17-2)))</f>
        <v>0</v>
      </c>
      <c r="AH19" s="257">
        <f ca="1">IF($Q17=2,IF(AND(ACOMPANHAMENTO="PLE",ISNUMBER($E17)),SUMIF((OFFSET(CÁLCULO!$AM$15:$AW$15,$E17,0,OFFSET(ORÇAMENTO!$D$15,CRONO!$E17,0))),"="&amp;CRONO!AH$12,OFFSET(CÁLCULO!$AB$15:$AL$15,$E17,0,OFFSET(ORÇAMENTO!$D$15,CRONO!$E17,0)))+IF(AND($E19&lt;&gt;"",$E19&lt;&gt;0),SUMIF(CÁLCULO!$AM$15:$AW$192,"="&amp;CRONO!AH$12,CÁLCULO!$AB$15:$AL$192)/(ORÇAMENTO!$X$15-CÁLCULO.TotalAdmLocal)*CRONO!$E19,0),AH18*$R17),SUMIF(OFFSET($R19,1,0,$Q17-2),($L17+1)&amp;"$",OFFSET(AH19,1,0,$Q17-2)))</f>
        <v>0</v>
      </c>
      <c r="AI19" s="257">
        <f ca="1">IF($Q17=2,IF(AND(ACOMPANHAMENTO="PLE",ISNUMBER($E17)),SUMIF((OFFSET(CÁLCULO!$AM$15:$AW$15,$E17,0,OFFSET(ORÇAMENTO!$D$15,CRONO!$E17,0))),"="&amp;CRONO!AI$12,OFFSET(CÁLCULO!$AB$15:$AL$15,$E17,0,OFFSET(ORÇAMENTO!$D$15,CRONO!$E17,0)))+IF(AND($E19&lt;&gt;"",$E19&lt;&gt;0),SUMIF(CÁLCULO!$AM$15:$AW$192,"="&amp;CRONO!AI$12,CÁLCULO!$AB$15:$AL$192)/(ORÇAMENTO!$X$15-CÁLCULO.TotalAdmLocal)*CRONO!$E19,0),AI18*$R17),SUMIF(OFFSET($R19,1,0,$Q17-2),($L17+1)&amp;"$",OFFSET(AI19,1,0,$Q17-2)))</f>
        <v>0</v>
      </c>
      <c r="AJ19" s="257">
        <f ca="1">IF($Q17=2,IF(AND(ACOMPANHAMENTO="PLE",ISNUMBER($E17)),SUMIF((OFFSET(CÁLCULO!$AM$15:$AW$15,$E17,0,OFFSET(ORÇAMENTO!$D$15,CRONO!$E17,0))),"="&amp;CRONO!AJ$12,OFFSET(CÁLCULO!$AB$15:$AL$15,$E17,0,OFFSET(ORÇAMENTO!$D$15,CRONO!$E17,0)))+IF(AND($E19&lt;&gt;"",$E19&lt;&gt;0),SUMIF(CÁLCULO!$AM$15:$AW$192,"="&amp;CRONO!AJ$12,CÁLCULO!$AB$15:$AL$192)/(ORÇAMENTO!$X$15-CÁLCULO.TotalAdmLocal)*CRONO!$E19,0),AJ18*$R17),SUMIF(OFFSET($R19,1,0,$Q17-2),($L17+1)&amp;"$",OFFSET(AJ19,1,0,$Q17-2)))</f>
        <v>0</v>
      </c>
      <c r="AK19" s="257">
        <f ca="1">IF($Q17=2,IF(AND(ACOMPANHAMENTO="PLE",ISNUMBER($E17)),SUMIF((OFFSET(CÁLCULO!$AM$15:$AW$15,$E17,0,OFFSET(ORÇAMENTO!$D$15,CRONO!$E17,0))),"="&amp;CRONO!AK$12,OFFSET(CÁLCULO!$AB$15:$AL$15,$E17,0,OFFSET(ORÇAMENTO!$D$15,CRONO!$E17,0)))+IF(AND($E19&lt;&gt;"",$E19&lt;&gt;0),SUMIF(CÁLCULO!$AM$15:$AW$192,"="&amp;CRONO!AK$12,CÁLCULO!$AB$15:$AL$192)/(ORÇAMENTO!$X$15-CÁLCULO.TotalAdmLocal)*CRONO!$E19,0),AK18*$R17),SUMIF(OFFSET($R19,1,0,$Q17-2),($L17+1)&amp;"$",OFFSET(AK19,1,0,$Q17-2)))</f>
        <v>0</v>
      </c>
      <c r="AL19" s="257">
        <f ca="1">IF($Q17=2,IF(AND(ACOMPANHAMENTO="PLE",ISNUMBER($E17)),SUMIF((OFFSET(CÁLCULO!$AM$15:$AW$15,$E17,0,OFFSET(ORÇAMENTO!$D$15,CRONO!$E17,0))),"="&amp;CRONO!AL$12,OFFSET(CÁLCULO!$AB$15:$AL$15,$E17,0,OFFSET(ORÇAMENTO!$D$15,CRONO!$E17,0)))+IF(AND($E19&lt;&gt;"",$E19&lt;&gt;0),SUMIF(CÁLCULO!$AM$15:$AW$192,"="&amp;CRONO!AL$12,CÁLCULO!$AB$15:$AL$192)/(ORÇAMENTO!$X$15-CÁLCULO.TotalAdmLocal)*CRONO!$E19,0),AL18*$R17),SUMIF(OFFSET($R19,1,0,$Q17-2),($L17+1)&amp;"$",OFFSET(AL19,1,0,$Q17-2)))</f>
        <v>0</v>
      </c>
      <c r="AM19" s="257">
        <f ca="1">IF($Q17=2,IF(AND(ACOMPANHAMENTO="PLE",ISNUMBER($E17)),SUMIF((OFFSET(CÁLCULO!$AM$15:$AW$15,$E17,0,OFFSET(ORÇAMENTO!$D$15,CRONO!$E17,0))),"="&amp;CRONO!AM$12,OFFSET(CÁLCULO!$AB$15:$AL$15,$E17,0,OFFSET(ORÇAMENTO!$D$15,CRONO!$E17,0)))+IF(AND($E19&lt;&gt;"",$E19&lt;&gt;0),SUMIF(CÁLCULO!$AM$15:$AW$192,"="&amp;CRONO!AM$12,CÁLCULO!$AB$15:$AL$192)/(ORÇAMENTO!$X$15-CÁLCULO.TotalAdmLocal)*CRONO!$E19,0),AM18*$R17),SUMIF(OFFSET($R19,1,0,$Q17-2),($L17+1)&amp;"$",OFFSET(AM19,1,0,$Q17-2)))</f>
        <v>0</v>
      </c>
      <c r="AN19" s="257">
        <f ca="1">IF($Q17=2,IF(AND(ACOMPANHAMENTO="PLE",ISNUMBER($E17)),SUMIF((OFFSET(CÁLCULO!$AM$15:$AW$15,$E17,0,OFFSET(ORÇAMENTO!$D$15,CRONO!$E17,0))),"="&amp;CRONO!AN$12,OFFSET(CÁLCULO!$AB$15:$AL$15,$E17,0,OFFSET(ORÇAMENTO!$D$15,CRONO!$E17,0)))+IF(AND($E19&lt;&gt;"",$E19&lt;&gt;0),SUMIF(CÁLCULO!$AM$15:$AW$192,"="&amp;CRONO!AN$12,CÁLCULO!$AB$15:$AL$192)/(ORÇAMENTO!$X$15-CÁLCULO.TotalAdmLocal)*CRONO!$E19,0),AN18*$R17),SUMIF(OFFSET($R19,1,0,$Q17-2),($L17+1)&amp;"$",OFFSET(AN19,1,0,$Q17-2)))</f>
        <v>0</v>
      </c>
      <c r="AO19" s="257">
        <f ca="1">IF($Q17=2,IF(AND(ACOMPANHAMENTO="PLE",ISNUMBER($E17)),SUMIF((OFFSET(CÁLCULO!$AM$15:$AW$15,$E17,0,OFFSET(ORÇAMENTO!$D$15,CRONO!$E17,0))),"="&amp;CRONO!AO$12,OFFSET(CÁLCULO!$AB$15:$AL$15,$E17,0,OFFSET(ORÇAMENTO!$D$15,CRONO!$E17,0)))+IF(AND($E19&lt;&gt;"",$E19&lt;&gt;0),SUMIF(CÁLCULO!$AM$15:$AW$192,"="&amp;CRONO!AO$12,CÁLCULO!$AB$15:$AL$192)/(ORÇAMENTO!$X$15-CÁLCULO.TotalAdmLocal)*CRONO!$E19,0),AO18*$R17),SUMIF(OFFSET($R19,1,0,$Q17-2),($L17+1)&amp;"$",OFFSET(AO19,1,0,$Q17-2)))</f>
        <v>0</v>
      </c>
      <c r="AP19" s="257">
        <f ca="1">IF($Q17=2,IF(AND(ACOMPANHAMENTO="PLE",ISNUMBER($E17)),SUMIF((OFFSET(CÁLCULO!$AM$15:$AW$15,$E17,0,OFFSET(ORÇAMENTO!$D$15,CRONO!$E17,0))),"="&amp;CRONO!AP$12,OFFSET(CÁLCULO!$AB$15:$AL$15,$E17,0,OFFSET(ORÇAMENTO!$D$15,CRONO!$E17,0)))+IF(AND($E19&lt;&gt;"",$E19&lt;&gt;0),SUMIF(CÁLCULO!$AM$15:$AW$192,"="&amp;CRONO!AP$12,CÁLCULO!$AB$15:$AL$192)/(ORÇAMENTO!$X$15-CÁLCULO.TotalAdmLocal)*CRONO!$E19,0),AP18*$R17),SUMIF(OFFSET($R19,1,0,$Q17-2),($L17+1)&amp;"$",OFFSET(AP19,1,0,$Q17-2)))</f>
        <v>0</v>
      </c>
      <c r="AQ19" s="262">
        <f ca="1">IF($Q17=2,IF(AND(ACOMPANHAMENTO="PLE",ISNUMBER($E17)),SUMIF((OFFSET(CÁLCULO!$AM$15:$AW$15,$E17,0,OFFSET(ORÇAMENTO!$D$15,CRONO!$E17,0))),"="&amp;CRONO!AQ$12,OFFSET(CÁLCULO!$AB$15:$AL$15,$E17,0,OFFSET(ORÇAMENTO!$D$15,CRONO!$E17,0)))+IF(AND($E19&lt;&gt;"",$E19&lt;&gt;0),SUMIF(CÁLCULO!$AM$15:$AW$192,"="&amp;CRONO!AQ$12,CÁLCULO!$AB$15:$AL$192)/(ORÇAMENTO!$X$15-CÁLCULO.TotalAdmLocal)*CRONO!$E19,0),AQ18*$R17),SUMIF(OFFSET($R19,1,0,$Q17-2),($L17+1)&amp;"$",OFFSET(AQ19,1,0,$Q17-2)))</f>
        <v>0</v>
      </c>
    </row>
    <row r="20" spans="1:44" x14ac:dyDescent="0.2">
      <c r="A20" s="238">
        <f ca="1">OFFSET(A20,-3,0)+1</f>
        <v>3</v>
      </c>
      <c r="B20" s="238">
        <f ca="1">IF($Q20&lt;&gt;2,0,IF($R20=0,1,IF(E21&gt;0,OFFSET(QCI!$M$13,SUBSTITUTE(E21,".",""),0),OFFSET(ORÇAMENTO!$AA$15,CRONO!$E20,0))/$R20))</f>
        <v>1</v>
      </c>
      <c r="C20" s="238">
        <f ca="1">IF($Q20&lt;&gt;2,0,IF($R20=0,1,IF(E21&gt;0,OFFSET(QCI!$N$13,SUBSTITUTE(E21,".",""),0),OFFSET(ORÇAMENTO!$AB$15,CRONO!$E20,0))/$R20))</f>
        <v>1</v>
      </c>
      <c r="D20" s="241">
        <f ca="1">IF(AND($Q20=2,ACOMPANHAMENTO="BM"),D21,D22/$R20)</f>
        <v>0</v>
      </c>
      <c r="E20" s="238">
        <f ca="1">IF(A20&lt;=ORÇAMENTO.MáximoListaCrono,MATCH(A20,ORÇAMENTO.ListaCrono,0),NA())</f>
        <v>11</v>
      </c>
      <c r="F20" s="238" t="str">
        <f ca="1">IF(AND($E21&lt;&gt;-1,$R20&gt;0),"F","")</f>
        <v/>
      </c>
      <c r="G20" s="242" t="str">
        <f ca="1">IF(OR(R20=0,R20=""),"Linha",IF(AND(OR(ACOMPANHAMENTO="PLE",$Q20&lt;&gt;2),$E21=0),"Linha",1-SUM(T20:AR20)))</f>
        <v>Linha</v>
      </c>
      <c r="H20" s="243" t="str">
        <f ca="1">IF($E21=0,OFFSET(ORÇAMENTO!O$15,$E20,0),IF($E21&lt;&gt;-1,OFFSET(QCI!$D$13,$E21,0),""))</f>
        <v>1.2.</v>
      </c>
      <c r="I20" s="244" t="str">
        <f ca="1">IF($E21=0,OFFSET(ORÇAMENTO!R$15,$E20,0),IF($E21&lt;&gt;-1,OFFSET(QCI!$G$13,$E21,0),""))</f>
        <v xml:space="preserve">ADMINISTRAÇÃO LOCAL </v>
      </c>
      <c r="J20" s="244"/>
      <c r="K20" s="244"/>
      <c r="L20" s="245">
        <f ca="1">IF($E21=0,OFFSET(ORÇAMENTO!C$15,$E20,0),1)</f>
        <v>2</v>
      </c>
      <c r="M20" s="246">
        <f ca="1">IF($E21=-1,0,IF(M$13&lt;=$L20,IF(ISERROR(MATCH(M$13,OFFSET($L20,1,0,ROW($L$92)-ROW($L20)-1),0)),ROW($L$92)-ROW($L20)-1,MATCH(M$13,OFFSET($L20,1,0,ROW($L$92)-ROW($L20)-1),0)-1),0))</f>
        <v>71</v>
      </c>
      <c r="N20" s="246">
        <f ca="1">IF($E21=-1,0,IF(N$13&lt;=$L20,IF(ISERROR(MATCH(N$13,OFFSET($L20,1,0,ROW($L$92)-ROW($L20)-1),0)),ROW($L$92)-ROW($L20)-1,MATCH(N$13,OFFSET($L20,1,0,ROW($L$92)-ROW($L20)-1),0)-1),0))</f>
        <v>2</v>
      </c>
      <c r="O20" s="246">
        <f ca="1">IF($E21=-1,0,IF(O$13&lt;=$L20,IF(ISERROR(MATCH(O$13,OFFSET($L20,1,0,ROW($L$92)-ROW($L20)-1),0)),ROW($L$92)-ROW($L20)-1,MATCH(O$13,OFFSET($L20,1,0,ROW($L$92)-ROW($L20)-1),0)-1),0))</f>
        <v>0</v>
      </c>
      <c r="P20" s="246">
        <f ca="1">IF($E21=-1,0,IF(P$13&lt;=$L20,IF(ISERROR(MATCH(P$13,OFFSET($L20,1,0,ROW($L$92)-ROW($L20)-1),0)),ROW($L$92)-ROW($L20)-1,MATCH(P$13,OFFSET($L20,1,0,ROW($L$92)-ROW($L20)-1),0)-1),0))</f>
        <v>0</v>
      </c>
      <c r="Q20" s="246">
        <f ca="1">MIN(OFFSET(L20,0,1,,L20))</f>
        <v>2</v>
      </c>
      <c r="R20" s="247">
        <f ca="1">IF($E21=0,OFFSET(ORÇAMENTO!X$15,$E20,0),IF($E21&lt;&gt;-1,OFFSET(QCI!$O$13,$E21,0),""))</f>
        <v>0</v>
      </c>
      <c r="S20" s="248" t="s">
        <v>270</v>
      </c>
      <c r="T20" s="249">
        <f t="shared" ref="T20:AQ20" ca="1" si="6">IF(AND($Q20=2,ACOMPANHAMENTO="BM"),T21,T22/$R20)</f>
        <v>6.6666666666666666E-2</v>
      </c>
      <c r="U20" s="241">
        <f t="shared" ca="1" si="6"/>
        <v>6.6666666666666666E-2</v>
      </c>
      <c r="V20" s="241">
        <f t="shared" ca="1" si="6"/>
        <v>6.6666666666666666E-2</v>
      </c>
      <c r="W20" s="241">
        <f t="shared" ca="1" si="6"/>
        <v>6.6666666666666666E-2</v>
      </c>
      <c r="X20" s="241">
        <f t="shared" ca="1" si="6"/>
        <v>6.6666666666666666E-2</v>
      </c>
      <c r="Y20" s="241">
        <f t="shared" ca="1" si="6"/>
        <v>6.6666666666666666E-2</v>
      </c>
      <c r="Z20" s="241">
        <f t="shared" ca="1" si="6"/>
        <v>6.6666666666666666E-2</v>
      </c>
      <c r="AA20" s="241">
        <f t="shared" ca="1" si="6"/>
        <v>6.6666666666666666E-2</v>
      </c>
      <c r="AB20" s="241">
        <f t="shared" ca="1" si="6"/>
        <v>6.6666666666666666E-2</v>
      </c>
      <c r="AC20" s="241">
        <f t="shared" ca="1" si="6"/>
        <v>6.6666666666666666E-2</v>
      </c>
      <c r="AD20" s="241">
        <f t="shared" ca="1" si="6"/>
        <v>6.6666666666666666E-2</v>
      </c>
      <c r="AE20" s="250">
        <f t="shared" ca="1" si="6"/>
        <v>6.6666666666666666E-2</v>
      </c>
      <c r="AF20" s="249">
        <f t="shared" ca="1" si="6"/>
        <v>6.6666666666666666E-2</v>
      </c>
      <c r="AG20" s="241">
        <f t="shared" ca="1" si="6"/>
        <v>6.6666666666666666E-2</v>
      </c>
      <c r="AH20" s="241">
        <f t="shared" ca="1" si="6"/>
        <v>6.6666666666666763E-2</v>
      </c>
      <c r="AI20" s="241">
        <f t="shared" ca="1" si="6"/>
        <v>0</v>
      </c>
      <c r="AJ20" s="241">
        <f t="shared" ca="1" si="6"/>
        <v>0</v>
      </c>
      <c r="AK20" s="241">
        <f t="shared" ca="1" si="6"/>
        <v>0</v>
      </c>
      <c r="AL20" s="241">
        <f t="shared" ca="1" si="6"/>
        <v>0</v>
      </c>
      <c r="AM20" s="241">
        <f t="shared" ca="1" si="6"/>
        <v>0</v>
      </c>
      <c r="AN20" s="241">
        <f t="shared" ca="1" si="6"/>
        <v>0</v>
      </c>
      <c r="AO20" s="241">
        <f t="shared" ca="1" si="6"/>
        <v>0</v>
      </c>
      <c r="AP20" s="241">
        <f t="shared" ca="1" si="6"/>
        <v>0</v>
      </c>
      <c r="AQ20" s="250">
        <f t="shared" ca="1" si="6"/>
        <v>0</v>
      </c>
    </row>
    <row r="21" spans="1:44" ht="12.75" customHeight="1" x14ac:dyDescent="0.2">
      <c r="D21" s="657"/>
      <c r="E21" s="238">
        <f ca="1">IF(ISERROR(E20),IF(1+COUNTIF($L$13:OFFSET(L20,-1,0),1)&lt;=MAX(QCI!$D$13:$D$24),1+COUNTIF($L$13:OFFSET(L20,-1,0),1),-1),0)</f>
        <v>0</v>
      </c>
      <c r="F21" s="238" t="str">
        <f ca="1">IF(AND($E21&lt;&gt;-1,$R20&gt;0),"F","")</f>
        <v/>
      </c>
      <c r="G21" s="251" t="str">
        <f ca="1">IF(OR(R20=0,R20=""),"vazia",IF(AND(OR(ACOMPANHAMENTO="PLE",$Q20&lt;&gt;2),$E21=0),"calculada","--&gt;"))</f>
        <v>vazia</v>
      </c>
      <c r="H21" s="252"/>
      <c r="I21" s="253" t="str">
        <f ca="1">IF(AND(G20&lt;&gt;0,ISNUMBER(G20)),"PREENCHA ESTA LINHA --&gt;","")</f>
        <v/>
      </c>
      <c r="J21" s="253"/>
      <c r="K21" s="253"/>
      <c r="L21" s="254"/>
      <c r="M21" s="254"/>
      <c r="N21" s="254"/>
      <c r="O21" s="254"/>
      <c r="P21" s="254"/>
      <c r="Q21" s="254"/>
      <c r="R21" s="255"/>
      <c r="S21" s="256"/>
      <c r="T21" s="658">
        <f>1/15</f>
        <v>6.6666666666666666E-2</v>
      </c>
      <c r="U21" s="658">
        <f t="shared" ref="U21:AG21" si="7">1/15</f>
        <v>6.6666666666666666E-2</v>
      </c>
      <c r="V21" s="658">
        <f t="shared" si="7"/>
        <v>6.6666666666666666E-2</v>
      </c>
      <c r="W21" s="658">
        <f t="shared" si="7"/>
        <v>6.6666666666666666E-2</v>
      </c>
      <c r="X21" s="658">
        <f t="shared" si="7"/>
        <v>6.6666666666666666E-2</v>
      </c>
      <c r="Y21" s="658">
        <f t="shared" si="7"/>
        <v>6.6666666666666666E-2</v>
      </c>
      <c r="Z21" s="658">
        <f t="shared" si="7"/>
        <v>6.6666666666666666E-2</v>
      </c>
      <c r="AA21" s="658">
        <f t="shared" si="7"/>
        <v>6.6666666666666666E-2</v>
      </c>
      <c r="AB21" s="658">
        <f t="shared" si="7"/>
        <v>6.6666666666666666E-2</v>
      </c>
      <c r="AC21" s="658">
        <f t="shared" si="7"/>
        <v>6.6666666666666666E-2</v>
      </c>
      <c r="AD21" s="658">
        <f t="shared" si="7"/>
        <v>6.6666666666666666E-2</v>
      </c>
      <c r="AE21" s="658">
        <f t="shared" si="7"/>
        <v>6.6666666666666666E-2</v>
      </c>
      <c r="AF21" s="658">
        <f t="shared" si="7"/>
        <v>6.6666666666666666E-2</v>
      </c>
      <c r="AG21" s="658">
        <f t="shared" si="7"/>
        <v>6.6666666666666666E-2</v>
      </c>
      <c r="AH21" s="658">
        <f>1-SUM(T21:AG21)</f>
        <v>6.6666666666666763E-2</v>
      </c>
      <c r="AI21" s="658"/>
      <c r="AJ21" s="657"/>
      <c r="AK21" s="657"/>
      <c r="AL21" s="657"/>
      <c r="AM21" s="657"/>
      <c r="AN21" s="657"/>
      <c r="AO21" s="657"/>
      <c r="AP21" s="657"/>
      <c r="AQ21" s="659"/>
      <c r="AR21" s="617"/>
    </row>
    <row r="22" spans="1:44" ht="0.2" hidden="1" customHeight="1" x14ac:dyDescent="0.2">
      <c r="D22" s="257">
        <f ca="1">IF($Q20=2,IF(AND(ACOMPANHAMENTO="PLE",ISNUMBER($E20)),SUMIF((OFFSET(CÁLCULO!$AM$15:$AW$15,$E20,0,OFFSET(ORÇAMENTO!$D$15,CRONO!$E20,0))),"="&amp;CRONO!D$12,OFFSET(CÁLCULO!$AB$15:$AL$15,$E20,0,OFFSET(ORÇAMENTO!$D$15,CRONO!$E20,0)))+IF(AND($E22&lt;&gt;"",$E22&lt;&gt;0),SUMIF(CÁLCULO!$AM$15:$AW$192,"="&amp;CRONO!D$12,CÁLCULO!$AB$15:$AL$192)/(ORÇAMENTO!$X$15-CÁLCULO.TotalAdmLocal)*CRONO!$E22,0),D21*$R20),SUMIF(OFFSET($R22,1,0,$Q20-2),($L20+1)&amp;"$",OFFSET(D22,1,0,$Q20-2)))</f>
        <v>0</v>
      </c>
      <c r="E22" s="238" t="str">
        <f ca="1">IF(OR($Q20&lt;&gt;2,AUTOEVENTO&lt;&gt;"manual",$E21&gt;0),"",SUMIF(OFFSET(CÁLCULO!$M$15,CRONO!$E20,0,OFFSET(ORÇAMENTO!$D$15,CRONO!$E20,0)),1,OFFSET(ORÇAMENTO!$X$15,CRONO!$E20,0,OFFSET(ORÇAMENTO!$D$15,CRONO!$E20,0))))</f>
        <v/>
      </c>
      <c r="G22" s="258"/>
      <c r="R22" s="259" t="str">
        <f ca="1">L20&amp;"$"</f>
        <v>2$</v>
      </c>
      <c r="S22" s="260"/>
      <c r="T22" s="261">
        <f ca="1">IF($Q20=2,IF(AND(ACOMPANHAMENTO="PLE",ISNUMBER($E20)),SUMIF((OFFSET(CÁLCULO!$AM$15:$AW$15,$E20,0,OFFSET(ORÇAMENTO!$D$15,CRONO!$E20,0))),"&lt;="&amp;CRONO!T$12,OFFSET(CÁLCULO!$AB$15:$AL$15,$E20,0,OFFSET(ORÇAMENTO!$D$15,CRONO!$E20,0)))+IF(AND($E22&lt;&gt;"",$E22&lt;&gt;0),SUMIF(CÁLCULO!$AM$15:$AW$192,"&lt;="&amp;CRONO!T$12,CÁLCULO!$AB$15:$AL$192)/(ORÇAMENTO!$X$15-CÁLCULO.TotalAdmLocal)*CRONO!$E22,0),T21*$R20),SUMIF(OFFSET($R22,1,0,$Q20-2),($L20+1)&amp;"$",OFFSET(T22,1,0,$Q20-2)))</f>
        <v>0</v>
      </c>
      <c r="U22" s="257">
        <f ca="1">IF($Q20=2,IF(AND(ACOMPANHAMENTO="PLE",ISNUMBER($E20)),SUMIF((OFFSET(CÁLCULO!$AM$15:$AW$15,$E20,0,OFFSET(ORÇAMENTO!$D$15,CRONO!$E20,0))),"="&amp;CRONO!U$12,OFFSET(CÁLCULO!$AB$15:$AL$15,$E20,0,OFFSET(ORÇAMENTO!$D$15,CRONO!$E20,0)))+IF(AND($E22&lt;&gt;"",$E22&lt;&gt;0),SUMIF(CÁLCULO!$AM$15:$AW$192,"="&amp;CRONO!U$12,CÁLCULO!$AB$15:$AL$192)/(ORÇAMENTO!$X$15-CÁLCULO.TotalAdmLocal)*CRONO!$E22,0),U21*$R20),SUMIF(OFFSET($R22,1,0,$Q20-2),($L20+1)&amp;"$",OFFSET(U22,1,0,$Q20-2)))</f>
        <v>0</v>
      </c>
      <c r="V22" s="257">
        <f ca="1">IF($Q20=2,IF(AND(ACOMPANHAMENTO="PLE",ISNUMBER($E20)),SUMIF((OFFSET(CÁLCULO!$AM$15:$AW$15,$E20,0,OFFSET(ORÇAMENTO!$D$15,CRONO!$E20,0))),"="&amp;CRONO!V$12,OFFSET(CÁLCULO!$AB$15:$AL$15,$E20,0,OFFSET(ORÇAMENTO!$D$15,CRONO!$E20,0)))+IF(AND($E22&lt;&gt;"",$E22&lt;&gt;0),SUMIF(CÁLCULO!$AM$15:$AW$192,"="&amp;CRONO!V$12,CÁLCULO!$AB$15:$AL$192)/(ORÇAMENTO!$X$15-CÁLCULO.TotalAdmLocal)*CRONO!$E22,0),V21*$R20),SUMIF(OFFSET($R22,1,0,$Q20-2),($L20+1)&amp;"$",OFFSET(V22,1,0,$Q20-2)))</f>
        <v>0</v>
      </c>
      <c r="W22" s="257">
        <f ca="1">IF($Q20=2,IF(AND(ACOMPANHAMENTO="PLE",ISNUMBER($E20)),SUMIF((OFFSET(CÁLCULO!$AM$15:$AW$15,$E20,0,OFFSET(ORÇAMENTO!$D$15,CRONO!$E20,0))),"="&amp;CRONO!W$12,OFFSET(CÁLCULO!$AB$15:$AL$15,$E20,0,OFFSET(ORÇAMENTO!$D$15,CRONO!$E20,0)))+IF(AND($E22&lt;&gt;"",$E22&lt;&gt;0),SUMIF(CÁLCULO!$AM$15:$AW$192,"="&amp;CRONO!W$12,CÁLCULO!$AB$15:$AL$192)/(ORÇAMENTO!$X$15-CÁLCULO.TotalAdmLocal)*CRONO!$E22,0),W21*$R20),SUMIF(OFFSET($R22,1,0,$Q20-2),($L20+1)&amp;"$",OFFSET(W22,1,0,$Q20-2)))</f>
        <v>0</v>
      </c>
      <c r="X22" s="257">
        <f ca="1">IF($Q20=2,IF(AND(ACOMPANHAMENTO="PLE",ISNUMBER($E20)),SUMIF((OFFSET(CÁLCULO!$AM$15:$AW$15,$E20,0,OFFSET(ORÇAMENTO!$D$15,CRONO!$E20,0))),"="&amp;CRONO!X$12,OFFSET(CÁLCULO!$AB$15:$AL$15,$E20,0,OFFSET(ORÇAMENTO!$D$15,CRONO!$E20,0)))+IF(AND($E22&lt;&gt;"",$E22&lt;&gt;0),SUMIF(CÁLCULO!$AM$15:$AW$192,"="&amp;CRONO!X$12,CÁLCULO!$AB$15:$AL$192)/(ORÇAMENTO!$X$15-CÁLCULO.TotalAdmLocal)*CRONO!$E22,0),X21*$R20),SUMIF(OFFSET($R22,1,0,$Q20-2),($L20+1)&amp;"$",OFFSET(X22,1,0,$Q20-2)))</f>
        <v>0</v>
      </c>
      <c r="Y22" s="257">
        <f ca="1">IF($Q20=2,IF(AND(ACOMPANHAMENTO="PLE",ISNUMBER($E20)),SUMIF((OFFSET(CÁLCULO!$AM$15:$AW$15,$E20,0,OFFSET(ORÇAMENTO!$D$15,CRONO!$E20,0))),"="&amp;CRONO!Y$12,OFFSET(CÁLCULO!$AB$15:$AL$15,$E20,0,OFFSET(ORÇAMENTO!$D$15,CRONO!$E20,0)))+IF(AND($E22&lt;&gt;"",$E22&lt;&gt;0),SUMIF(CÁLCULO!$AM$15:$AW$192,"="&amp;CRONO!Y$12,CÁLCULO!$AB$15:$AL$192)/(ORÇAMENTO!$X$15-CÁLCULO.TotalAdmLocal)*CRONO!$E22,0),Y21*$R20),SUMIF(OFFSET($R22,1,0,$Q20-2),($L20+1)&amp;"$",OFFSET(Y22,1,0,$Q20-2)))</f>
        <v>0</v>
      </c>
      <c r="Z22" s="257">
        <f ca="1">IF($Q20=2,IF(AND(ACOMPANHAMENTO="PLE",ISNUMBER($E20)),SUMIF((OFFSET(CÁLCULO!$AM$15:$AW$15,$E20,0,OFFSET(ORÇAMENTO!$D$15,CRONO!$E20,0))),"="&amp;CRONO!Z$12,OFFSET(CÁLCULO!$AB$15:$AL$15,$E20,0,OFFSET(ORÇAMENTO!$D$15,CRONO!$E20,0)))+IF(AND($E22&lt;&gt;"",$E22&lt;&gt;0),SUMIF(CÁLCULO!$AM$15:$AW$192,"="&amp;CRONO!Z$12,CÁLCULO!$AB$15:$AL$192)/(ORÇAMENTO!$X$15-CÁLCULO.TotalAdmLocal)*CRONO!$E22,0),Z21*$R20),SUMIF(OFFSET($R22,1,0,$Q20-2),($L20+1)&amp;"$",OFFSET(Z22,1,0,$Q20-2)))</f>
        <v>0</v>
      </c>
      <c r="AA22" s="257">
        <f ca="1">IF($Q20=2,IF(AND(ACOMPANHAMENTO="PLE",ISNUMBER($E20)),SUMIF((OFFSET(CÁLCULO!$AM$15:$AW$15,$E20,0,OFFSET(ORÇAMENTO!$D$15,CRONO!$E20,0))),"="&amp;CRONO!AA$12,OFFSET(CÁLCULO!$AB$15:$AL$15,$E20,0,OFFSET(ORÇAMENTO!$D$15,CRONO!$E20,0)))+IF(AND($E22&lt;&gt;"",$E22&lt;&gt;0),SUMIF(CÁLCULO!$AM$15:$AW$192,"="&amp;CRONO!AA$12,CÁLCULO!$AB$15:$AL$192)/(ORÇAMENTO!$X$15-CÁLCULO.TotalAdmLocal)*CRONO!$E22,0),AA21*$R20),SUMIF(OFFSET($R22,1,0,$Q20-2),($L20+1)&amp;"$",OFFSET(AA22,1,0,$Q20-2)))</f>
        <v>0</v>
      </c>
      <c r="AB22" s="257">
        <f ca="1">IF($Q20=2,IF(AND(ACOMPANHAMENTO="PLE",ISNUMBER($E20)),SUMIF((OFFSET(CÁLCULO!$AM$15:$AW$15,$E20,0,OFFSET(ORÇAMENTO!$D$15,CRONO!$E20,0))),"="&amp;CRONO!AB$12,OFFSET(CÁLCULO!$AB$15:$AL$15,$E20,0,OFFSET(ORÇAMENTO!$D$15,CRONO!$E20,0)))+IF(AND($E22&lt;&gt;"",$E22&lt;&gt;0),SUMIF(CÁLCULO!$AM$15:$AW$192,"="&amp;CRONO!AB$12,CÁLCULO!$AB$15:$AL$192)/(ORÇAMENTO!$X$15-CÁLCULO.TotalAdmLocal)*CRONO!$E22,0),AB21*$R20),SUMIF(OFFSET($R22,1,0,$Q20-2),($L20+1)&amp;"$",OFFSET(AB22,1,0,$Q20-2)))</f>
        <v>0</v>
      </c>
      <c r="AC22" s="257">
        <f ca="1">IF($Q20=2,IF(AND(ACOMPANHAMENTO="PLE",ISNUMBER($E20)),SUMIF((OFFSET(CÁLCULO!$AM$15:$AW$15,$E20,0,OFFSET(ORÇAMENTO!$D$15,CRONO!$E20,0))),"="&amp;CRONO!AC$12,OFFSET(CÁLCULO!$AB$15:$AL$15,$E20,0,OFFSET(ORÇAMENTO!$D$15,CRONO!$E20,0)))+IF(AND($E22&lt;&gt;"",$E22&lt;&gt;0),SUMIF(CÁLCULO!$AM$15:$AW$192,"="&amp;CRONO!AC$12,CÁLCULO!$AB$15:$AL$192)/(ORÇAMENTO!$X$15-CÁLCULO.TotalAdmLocal)*CRONO!$E22,0),AC21*$R20),SUMIF(OFFSET($R22,1,0,$Q20-2),($L20+1)&amp;"$",OFFSET(AC22,1,0,$Q20-2)))</f>
        <v>0</v>
      </c>
      <c r="AD22" s="257">
        <f ca="1">IF($Q20=2,IF(AND(ACOMPANHAMENTO="PLE",ISNUMBER($E20)),SUMIF((OFFSET(CÁLCULO!$AM$15:$AW$15,$E20,0,OFFSET(ORÇAMENTO!$D$15,CRONO!$E20,0))),"="&amp;CRONO!AD$12,OFFSET(CÁLCULO!$AB$15:$AL$15,$E20,0,OFFSET(ORÇAMENTO!$D$15,CRONO!$E20,0)))+IF(AND($E22&lt;&gt;"",$E22&lt;&gt;0),SUMIF(CÁLCULO!$AM$15:$AW$192,"="&amp;CRONO!AD$12,CÁLCULO!$AB$15:$AL$192)/(ORÇAMENTO!$X$15-CÁLCULO.TotalAdmLocal)*CRONO!$E22,0),AD21*$R20),SUMIF(OFFSET($R22,1,0,$Q20-2),($L20+1)&amp;"$",OFFSET(AD22,1,0,$Q20-2)))</f>
        <v>0</v>
      </c>
      <c r="AE22" s="262">
        <f ca="1">IF($Q20=2,IF(AND(ACOMPANHAMENTO="PLE",ISNUMBER($E20)),SUMIF((OFFSET(CÁLCULO!$AM$15:$AW$15,$E20,0,OFFSET(ORÇAMENTO!$D$15,CRONO!$E20,0))),"="&amp;CRONO!AE$12,OFFSET(CÁLCULO!$AB$15:$AL$15,$E20,0,OFFSET(ORÇAMENTO!$D$15,CRONO!$E20,0)))+IF(AND($E22&lt;&gt;"",$E22&lt;&gt;0),SUMIF(CÁLCULO!$AM$15:$AW$192,"="&amp;CRONO!AE$12,CÁLCULO!$AB$15:$AL$192)/(ORÇAMENTO!$X$15-CÁLCULO.TotalAdmLocal)*CRONO!$E22,0),AE21*$R20),SUMIF(OFFSET($R22,1,0,$Q20-2),($L20+1)&amp;"$",OFFSET(AE22,1,0,$Q20-2)))</f>
        <v>0</v>
      </c>
      <c r="AF22" s="261">
        <f ca="1">IF($Q20=2,IF(AND(ACOMPANHAMENTO="PLE",ISNUMBER($E20)),SUMIF((OFFSET(CÁLCULO!$AM$15:$AW$15,$E20,0,OFFSET(ORÇAMENTO!$D$15,CRONO!$E20,0))),"="&amp;CRONO!AF$12,OFFSET(CÁLCULO!$AB$15:$AL$15,$E20,0,OFFSET(ORÇAMENTO!$D$15,CRONO!$E20,0)))+IF(AND($E22&lt;&gt;"",$E22&lt;&gt;0),SUMIF(CÁLCULO!$AM$15:$AW$192,"="&amp;CRONO!AF$12,CÁLCULO!$AB$15:$AL$192)/(ORÇAMENTO!$X$15-CÁLCULO.TotalAdmLocal)*CRONO!$E22,0),AF21*$R20),SUMIF(OFFSET($R22,1,0,$Q20-2),($L20+1)&amp;"$",OFFSET(AF22,1,0,$Q20-2)))</f>
        <v>0</v>
      </c>
      <c r="AG22" s="257">
        <f ca="1">IF($Q20=2,IF(AND(ACOMPANHAMENTO="PLE",ISNUMBER($E20)),SUMIF((OFFSET(CÁLCULO!$AM$15:$AW$15,$E20,0,OFFSET(ORÇAMENTO!$D$15,CRONO!$E20,0))),"="&amp;CRONO!AG$12,OFFSET(CÁLCULO!$AB$15:$AL$15,$E20,0,OFFSET(ORÇAMENTO!$D$15,CRONO!$E20,0)))+IF(AND($E22&lt;&gt;"",$E22&lt;&gt;0),SUMIF(CÁLCULO!$AM$15:$AW$192,"="&amp;CRONO!AG$12,CÁLCULO!$AB$15:$AL$192)/(ORÇAMENTO!$X$15-CÁLCULO.TotalAdmLocal)*CRONO!$E22,0),AG21*$R20),SUMIF(OFFSET($R22,1,0,$Q20-2),($L20+1)&amp;"$",OFFSET(AG22,1,0,$Q20-2)))</f>
        <v>0</v>
      </c>
      <c r="AH22" s="257">
        <f ca="1">IF($Q20=2,IF(AND(ACOMPANHAMENTO="PLE",ISNUMBER($E20)),SUMIF((OFFSET(CÁLCULO!$AM$15:$AW$15,$E20,0,OFFSET(ORÇAMENTO!$D$15,CRONO!$E20,0))),"="&amp;CRONO!AH$12,OFFSET(CÁLCULO!$AB$15:$AL$15,$E20,0,OFFSET(ORÇAMENTO!$D$15,CRONO!$E20,0)))+IF(AND($E22&lt;&gt;"",$E22&lt;&gt;0),SUMIF(CÁLCULO!$AM$15:$AW$192,"="&amp;CRONO!AH$12,CÁLCULO!$AB$15:$AL$192)/(ORÇAMENTO!$X$15-CÁLCULO.TotalAdmLocal)*CRONO!$E22,0),AH21*$R20),SUMIF(OFFSET($R22,1,0,$Q20-2),($L20+1)&amp;"$",OFFSET(AH22,1,0,$Q20-2)))</f>
        <v>0</v>
      </c>
      <c r="AI22" s="257">
        <f ca="1">IF($Q20=2,IF(AND(ACOMPANHAMENTO="PLE",ISNUMBER($E20)),SUMIF((OFFSET(CÁLCULO!$AM$15:$AW$15,$E20,0,OFFSET(ORÇAMENTO!$D$15,CRONO!$E20,0))),"="&amp;CRONO!AI$12,OFFSET(CÁLCULO!$AB$15:$AL$15,$E20,0,OFFSET(ORÇAMENTO!$D$15,CRONO!$E20,0)))+IF(AND($E22&lt;&gt;"",$E22&lt;&gt;0),SUMIF(CÁLCULO!$AM$15:$AW$192,"="&amp;CRONO!AI$12,CÁLCULO!$AB$15:$AL$192)/(ORÇAMENTO!$X$15-CÁLCULO.TotalAdmLocal)*CRONO!$E22,0),AI21*$R20),SUMIF(OFFSET($R22,1,0,$Q20-2),($L20+1)&amp;"$",OFFSET(AI22,1,0,$Q20-2)))</f>
        <v>0</v>
      </c>
      <c r="AJ22" s="257">
        <f ca="1">IF($Q20=2,IF(AND(ACOMPANHAMENTO="PLE",ISNUMBER($E20)),SUMIF((OFFSET(CÁLCULO!$AM$15:$AW$15,$E20,0,OFFSET(ORÇAMENTO!$D$15,CRONO!$E20,0))),"="&amp;CRONO!AJ$12,OFFSET(CÁLCULO!$AB$15:$AL$15,$E20,0,OFFSET(ORÇAMENTO!$D$15,CRONO!$E20,0)))+IF(AND($E22&lt;&gt;"",$E22&lt;&gt;0),SUMIF(CÁLCULO!$AM$15:$AW$192,"="&amp;CRONO!AJ$12,CÁLCULO!$AB$15:$AL$192)/(ORÇAMENTO!$X$15-CÁLCULO.TotalAdmLocal)*CRONO!$E22,0),AJ21*$R20),SUMIF(OFFSET($R22,1,0,$Q20-2),($L20+1)&amp;"$",OFFSET(AJ22,1,0,$Q20-2)))</f>
        <v>0</v>
      </c>
      <c r="AK22" s="257">
        <f ca="1">IF($Q20=2,IF(AND(ACOMPANHAMENTO="PLE",ISNUMBER($E20)),SUMIF((OFFSET(CÁLCULO!$AM$15:$AW$15,$E20,0,OFFSET(ORÇAMENTO!$D$15,CRONO!$E20,0))),"="&amp;CRONO!AK$12,OFFSET(CÁLCULO!$AB$15:$AL$15,$E20,0,OFFSET(ORÇAMENTO!$D$15,CRONO!$E20,0)))+IF(AND($E22&lt;&gt;"",$E22&lt;&gt;0),SUMIF(CÁLCULO!$AM$15:$AW$192,"="&amp;CRONO!AK$12,CÁLCULO!$AB$15:$AL$192)/(ORÇAMENTO!$X$15-CÁLCULO.TotalAdmLocal)*CRONO!$E22,0),AK21*$R20),SUMIF(OFFSET($R22,1,0,$Q20-2),($L20+1)&amp;"$",OFFSET(AK22,1,0,$Q20-2)))</f>
        <v>0</v>
      </c>
      <c r="AL22" s="257">
        <f ca="1">IF($Q20=2,IF(AND(ACOMPANHAMENTO="PLE",ISNUMBER($E20)),SUMIF((OFFSET(CÁLCULO!$AM$15:$AW$15,$E20,0,OFFSET(ORÇAMENTO!$D$15,CRONO!$E20,0))),"="&amp;CRONO!AL$12,OFFSET(CÁLCULO!$AB$15:$AL$15,$E20,0,OFFSET(ORÇAMENTO!$D$15,CRONO!$E20,0)))+IF(AND($E22&lt;&gt;"",$E22&lt;&gt;0),SUMIF(CÁLCULO!$AM$15:$AW$192,"="&amp;CRONO!AL$12,CÁLCULO!$AB$15:$AL$192)/(ORÇAMENTO!$X$15-CÁLCULO.TotalAdmLocal)*CRONO!$E22,0),AL21*$R20),SUMIF(OFFSET($R22,1,0,$Q20-2),($L20+1)&amp;"$",OFFSET(AL22,1,0,$Q20-2)))</f>
        <v>0</v>
      </c>
      <c r="AM22" s="257">
        <f ca="1">IF($Q20=2,IF(AND(ACOMPANHAMENTO="PLE",ISNUMBER($E20)),SUMIF((OFFSET(CÁLCULO!$AM$15:$AW$15,$E20,0,OFFSET(ORÇAMENTO!$D$15,CRONO!$E20,0))),"="&amp;CRONO!AM$12,OFFSET(CÁLCULO!$AB$15:$AL$15,$E20,0,OFFSET(ORÇAMENTO!$D$15,CRONO!$E20,0)))+IF(AND($E22&lt;&gt;"",$E22&lt;&gt;0),SUMIF(CÁLCULO!$AM$15:$AW$192,"="&amp;CRONO!AM$12,CÁLCULO!$AB$15:$AL$192)/(ORÇAMENTO!$X$15-CÁLCULO.TotalAdmLocal)*CRONO!$E22,0),AM21*$R20),SUMIF(OFFSET($R22,1,0,$Q20-2),($L20+1)&amp;"$",OFFSET(AM22,1,0,$Q20-2)))</f>
        <v>0</v>
      </c>
      <c r="AN22" s="257">
        <f ca="1">IF($Q20=2,IF(AND(ACOMPANHAMENTO="PLE",ISNUMBER($E20)),SUMIF((OFFSET(CÁLCULO!$AM$15:$AW$15,$E20,0,OFFSET(ORÇAMENTO!$D$15,CRONO!$E20,0))),"="&amp;CRONO!AN$12,OFFSET(CÁLCULO!$AB$15:$AL$15,$E20,0,OFFSET(ORÇAMENTO!$D$15,CRONO!$E20,0)))+IF(AND($E22&lt;&gt;"",$E22&lt;&gt;0),SUMIF(CÁLCULO!$AM$15:$AW$192,"="&amp;CRONO!AN$12,CÁLCULO!$AB$15:$AL$192)/(ORÇAMENTO!$X$15-CÁLCULO.TotalAdmLocal)*CRONO!$E22,0),AN21*$R20),SUMIF(OFFSET($R22,1,0,$Q20-2),($L20+1)&amp;"$",OFFSET(AN22,1,0,$Q20-2)))</f>
        <v>0</v>
      </c>
      <c r="AO22" s="257">
        <f ca="1">IF($Q20=2,IF(AND(ACOMPANHAMENTO="PLE",ISNUMBER($E20)),SUMIF((OFFSET(CÁLCULO!$AM$15:$AW$15,$E20,0,OFFSET(ORÇAMENTO!$D$15,CRONO!$E20,0))),"="&amp;CRONO!AO$12,OFFSET(CÁLCULO!$AB$15:$AL$15,$E20,0,OFFSET(ORÇAMENTO!$D$15,CRONO!$E20,0)))+IF(AND($E22&lt;&gt;"",$E22&lt;&gt;0),SUMIF(CÁLCULO!$AM$15:$AW$192,"="&amp;CRONO!AO$12,CÁLCULO!$AB$15:$AL$192)/(ORÇAMENTO!$X$15-CÁLCULO.TotalAdmLocal)*CRONO!$E22,0),AO21*$R20),SUMIF(OFFSET($R22,1,0,$Q20-2),($L20+1)&amp;"$",OFFSET(AO22,1,0,$Q20-2)))</f>
        <v>0</v>
      </c>
      <c r="AP22" s="257">
        <f ca="1">IF($Q20=2,IF(AND(ACOMPANHAMENTO="PLE",ISNUMBER($E20)),SUMIF((OFFSET(CÁLCULO!$AM$15:$AW$15,$E20,0,OFFSET(ORÇAMENTO!$D$15,CRONO!$E20,0))),"="&amp;CRONO!AP$12,OFFSET(CÁLCULO!$AB$15:$AL$15,$E20,0,OFFSET(ORÇAMENTO!$D$15,CRONO!$E20,0)))+IF(AND($E22&lt;&gt;"",$E22&lt;&gt;0),SUMIF(CÁLCULO!$AM$15:$AW$192,"="&amp;CRONO!AP$12,CÁLCULO!$AB$15:$AL$192)/(ORÇAMENTO!$X$15-CÁLCULO.TotalAdmLocal)*CRONO!$E22,0),AP21*$R20),SUMIF(OFFSET($R22,1,0,$Q20-2),($L20+1)&amp;"$",OFFSET(AP22,1,0,$Q20-2)))</f>
        <v>0</v>
      </c>
      <c r="AQ22" s="262">
        <f ca="1">IF($Q20=2,IF(AND(ACOMPANHAMENTO="PLE",ISNUMBER($E20)),SUMIF((OFFSET(CÁLCULO!$AM$15:$AW$15,$E20,0,OFFSET(ORÇAMENTO!$D$15,CRONO!$E20,0))),"="&amp;CRONO!AQ$12,OFFSET(CÁLCULO!$AB$15:$AL$15,$E20,0,OFFSET(ORÇAMENTO!$D$15,CRONO!$E20,0)))+IF(AND($E22&lt;&gt;"",$E22&lt;&gt;0),SUMIF(CÁLCULO!$AM$15:$AW$192,"="&amp;CRONO!AQ$12,CÁLCULO!$AB$15:$AL$192)/(ORÇAMENTO!$X$15-CÁLCULO.TotalAdmLocal)*CRONO!$E22,0),AQ21*$R20),SUMIF(OFFSET($R22,1,0,$Q20-2),($L20+1)&amp;"$",OFFSET(AQ22,1,0,$Q20-2)))</f>
        <v>0</v>
      </c>
    </row>
    <row r="23" spans="1:44" x14ac:dyDescent="0.2">
      <c r="A23" s="238">
        <f ca="1">OFFSET(A23,-3,0)+1</f>
        <v>4</v>
      </c>
      <c r="B23" s="238">
        <f ca="1">IF($Q23&lt;&gt;2,0,IF($R23=0,1,IF(E24&gt;0,OFFSET(QCI!$M$13,SUBSTITUTE(E24,".",""),0),OFFSET(ORÇAMENTO!$AA$15,CRONO!$E23,0))/$R23))</f>
        <v>1</v>
      </c>
      <c r="C23" s="238">
        <f ca="1">IF($Q23&lt;&gt;2,0,IF($R23=0,1,IF(E24&gt;0,OFFSET(QCI!$N$13,SUBSTITUTE(E24,".",""),0),OFFSET(ORÇAMENTO!$AB$15,CRONO!$E23,0))/$R23))</f>
        <v>1</v>
      </c>
      <c r="D23" s="241">
        <f ca="1">IF(AND($Q23=2,ACOMPANHAMENTO="BM"),D24,D25/$R23)</f>
        <v>0</v>
      </c>
      <c r="E23" s="238">
        <f ca="1">IF(A23&lt;=ORÇAMENTO.MáximoListaCrono,MATCH(A23,ORÇAMENTO.ListaCrono,0),NA())</f>
        <v>13</v>
      </c>
      <c r="F23" s="238" t="str">
        <f ca="1">IF(AND($E24&lt;&gt;-1,$R23&gt;0),"F","")</f>
        <v/>
      </c>
      <c r="G23" s="242" t="str">
        <f ca="1">IF(OR(R23=0,R23=""),"Linha",IF(AND(OR(ACOMPANHAMENTO="PLE",$Q23&lt;&gt;2),$E24=0),"Linha",1-SUM(T23:AR23)))</f>
        <v>Linha</v>
      </c>
      <c r="H23" s="243" t="str">
        <f ca="1">IF($E24=0,OFFSET(ORÇAMENTO!O$15,$E23,0),IF($E24&lt;&gt;-1,OFFSET(QCI!$D$13,$E24,0),""))</f>
        <v>1.3.</v>
      </c>
      <c r="I23" s="244" t="str">
        <f ca="1">IF($E24=0,OFFSET(ORÇAMENTO!R$15,$E23,0),IF($E24&lt;&gt;-1,OFFSET(QCI!$G$13,$E24,0),""))</f>
        <v xml:space="preserve">REGULARIZAÇÃO TERRENO </v>
      </c>
      <c r="J23" s="244"/>
      <c r="K23" s="244"/>
      <c r="L23" s="245">
        <f ca="1">IF($E24=0,OFFSET(ORÇAMENTO!C$15,$E23,0),1)</f>
        <v>2</v>
      </c>
      <c r="M23" s="246">
        <f ca="1">IF($E24=-1,0,IF(M$13&lt;=$L23,IF(ISERROR(MATCH(M$13,OFFSET($L23,1,0,ROW($L$92)-ROW($L23)-1),0)),ROW($L$92)-ROW($L23)-1,MATCH(M$13,OFFSET($L23,1,0,ROW($L$92)-ROW($L23)-1),0)-1),0))</f>
        <v>68</v>
      </c>
      <c r="N23" s="246">
        <f ca="1">IF($E24=-1,0,IF(N$13&lt;=$L23,IF(ISERROR(MATCH(N$13,OFFSET($L23,1,0,ROW($L$92)-ROW($L23)-1),0)),ROW($L$92)-ROW($L23)-1,MATCH(N$13,OFFSET($L23,1,0,ROW($L$92)-ROW($L23)-1),0)-1),0))</f>
        <v>2</v>
      </c>
      <c r="O23" s="246">
        <f ca="1">IF($E24=-1,0,IF(O$13&lt;=$L23,IF(ISERROR(MATCH(O$13,OFFSET($L23,1,0,ROW($L$92)-ROW($L23)-1),0)),ROW($L$92)-ROW($L23)-1,MATCH(O$13,OFFSET($L23,1,0,ROW($L$92)-ROW($L23)-1),0)-1),0))</f>
        <v>0</v>
      </c>
      <c r="P23" s="246">
        <f ca="1">IF($E24=-1,0,IF(P$13&lt;=$L23,IF(ISERROR(MATCH(P$13,OFFSET($L23,1,0,ROW($L$92)-ROW($L23)-1),0)),ROW($L$92)-ROW($L23)-1,MATCH(P$13,OFFSET($L23,1,0,ROW($L$92)-ROW($L23)-1),0)-1),0))</f>
        <v>0</v>
      </c>
      <c r="Q23" s="246">
        <f ca="1">MIN(OFFSET(L23,0,1,,L23))</f>
        <v>2</v>
      </c>
      <c r="R23" s="247">
        <f ca="1">IF($E24=0,OFFSET(ORÇAMENTO!X$15,$E23,0),IF($E24&lt;&gt;-1,OFFSET(QCI!$O$13,$E24,0),""))</f>
        <v>0</v>
      </c>
      <c r="S23" s="248" t="s">
        <v>270</v>
      </c>
      <c r="T23" s="249">
        <f t="shared" ref="T23:AQ23" ca="1" si="8">IF(AND($Q23=2,ACOMPANHAMENTO="BM"),T24,T25/$R23)</f>
        <v>1</v>
      </c>
      <c r="U23" s="241">
        <f t="shared" ca="1" si="8"/>
        <v>0</v>
      </c>
      <c r="V23" s="241">
        <f t="shared" ca="1" si="8"/>
        <v>0</v>
      </c>
      <c r="W23" s="241">
        <f t="shared" ca="1" si="8"/>
        <v>0</v>
      </c>
      <c r="X23" s="241">
        <f t="shared" ca="1" si="8"/>
        <v>0</v>
      </c>
      <c r="Y23" s="241">
        <f t="shared" ca="1" si="8"/>
        <v>0</v>
      </c>
      <c r="Z23" s="241">
        <f t="shared" ca="1" si="8"/>
        <v>0</v>
      </c>
      <c r="AA23" s="241">
        <f t="shared" ca="1" si="8"/>
        <v>0</v>
      </c>
      <c r="AB23" s="241">
        <f t="shared" ca="1" si="8"/>
        <v>0</v>
      </c>
      <c r="AC23" s="241">
        <f t="shared" ca="1" si="8"/>
        <v>0</v>
      </c>
      <c r="AD23" s="241">
        <f t="shared" ca="1" si="8"/>
        <v>0</v>
      </c>
      <c r="AE23" s="250">
        <f t="shared" ca="1" si="8"/>
        <v>0</v>
      </c>
      <c r="AF23" s="249">
        <f t="shared" ca="1" si="8"/>
        <v>0</v>
      </c>
      <c r="AG23" s="241">
        <f t="shared" ca="1" si="8"/>
        <v>0</v>
      </c>
      <c r="AH23" s="241">
        <f t="shared" ca="1" si="8"/>
        <v>0</v>
      </c>
      <c r="AI23" s="241">
        <f t="shared" ca="1" si="8"/>
        <v>0</v>
      </c>
      <c r="AJ23" s="241">
        <f t="shared" ca="1" si="8"/>
        <v>0</v>
      </c>
      <c r="AK23" s="241">
        <f t="shared" ca="1" si="8"/>
        <v>0</v>
      </c>
      <c r="AL23" s="241">
        <f t="shared" ca="1" si="8"/>
        <v>0</v>
      </c>
      <c r="AM23" s="241">
        <f t="shared" ca="1" si="8"/>
        <v>0</v>
      </c>
      <c r="AN23" s="241">
        <f t="shared" ca="1" si="8"/>
        <v>0</v>
      </c>
      <c r="AO23" s="241">
        <f t="shared" ca="1" si="8"/>
        <v>0</v>
      </c>
      <c r="AP23" s="241">
        <f t="shared" ca="1" si="8"/>
        <v>0</v>
      </c>
      <c r="AQ23" s="250">
        <f t="shared" ca="1" si="8"/>
        <v>0</v>
      </c>
    </row>
    <row r="24" spans="1:44" ht="12.75" customHeight="1" x14ac:dyDescent="0.2">
      <c r="D24" s="657"/>
      <c r="E24" s="238">
        <f ca="1">IF(ISERROR(E23),IF(1+COUNTIF($L$13:OFFSET(L23,-1,0),1)&lt;=MAX(QCI!$D$13:$D$24),1+COUNTIF($L$13:OFFSET(L23,-1,0),1),-1),0)</f>
        <v>0</v>
      </c>
      <c r="F24" s="238" t="str">
        <f ca="1">IF(AND($E24&lt;&gt;-1,$R23&gt;0),"F","")</f>
        <v/>
      </c>
      <c r="G24" s="251" t="str">
        <f ca="1">IF(OR(R23=0,R23=""),"vazia",IF(AND(OR(ACOMPANHAMENTO="PLE",$Q23&lt;&gt;2),$E24=0),"calculada","--&gt;"))</f>
        <v>vazia</v>
      </c>
      <c r="H24" s="252"/>
      <c r="I24" s="253" t="str">
        <f ca="1">IF(AND(G23&lt;&gt;0,ISNUMBER(G23)),"PREENCHA ESTA LINHA --&gt;","")</f>
        <v/>
      </c>
      <c r="J24" s="253"/>
      <c r="K24" s="253"/>
      <c r="L24" s="254"/>
      <c r="M24" s="254"/>
      <c r="N24" s="254"/>
      <c r="O24" s="254"/>
      <c r="P24" s="254"/>
      <c r="Q24" s="254"/>
      <c r="R24" s="255"/>
      <c r="S24" s="256"/>
      <c r="T24" s="658">
        <v>1</v>
      </c>
      <c r="U24" s="657"/>
      <c r="V24" s="657"/>
      <c r="W24" s="657"/>
      <c r="X24" s="657"/>
      <c r="Y24" s="657"/>
      <c r="Z24" s="657"/>
      <c r="AA24" s="657"/>
      <c r="AB24" s="657"/>
      <c r="AC24" s="657"/>
      <c r="AD24" s="657"/>
      <c r="AE24" s="659"/>
      <c r="AF24" s="658"/>
      <c r="AG24" s="657"/>
      <c r="AH24" s="657"/>
      <c r="AI24" s="657"/>
      <c r="AJ24" s="657"/>
      <c r="AK24" s="657"/>
      <c r="AL24" s="657"/>
      <c r="AM24" s="657"/>
      <c r="AN24" s="657"/>
      <c r="AO24" s="657"/>
      <c r="AP24" s="657"/>
      <c r="AQ24" s="659"/>
      <c r="AR24" s="617"/>
    </row>
    <row r="25" spans="1:44" ht="0.2" hidden="1" customHeight="1" x14ac:dyDescent="0.2">
      <c r="D25" s="257">
        <f ca="1">IF($Q23=2,IF(AND(ACOMPANHAMENTO="PLE",ISNUMBER($E23)),SUMIF((OFFSET(CÁLCULO!$AM$15:$AW$15,$E23,0,OFFSET(ORÇAMENTO!$D$15,CRONO!$E23,0))),"="&amp;CRONO!D$12,OFFSET(CÁLCULO!$AB$15:$AL$15,$E23,0,OFFSET(ORÇAMENTO!$D$15,CRONO!$E23,0)))+IF(AND($E25&lt;&gt;"",$E25&lt;&gt;0),SUMIF(CÁLCULO!$AM$15:$AW$192,"="&amp;CRONO!D$12,CÁLCULO!$AB$15:$AL$192)/(ORÇAMENTO!$X$15-CÁLCULO.TotalAdmLocal)*CRONO!$E25,0),D24*$R23),SUMIF(OFFSET($R25,1,0,$Q23-2),($L23+1)&amp;"$",OFFSET(D25,1,0,$Q23-2)))</f>
        <v>0</v>
      </c>
      <c r="E25" s="238" t="str">
        <f ca="1">IF(OR($Q23&lt;&gt;2,AUTOEVENTO&lt;&gt;"manual",$E24&gt;0),"",SUMIF(OFFSET(CÁLCULO!$M$15,CRONO!$E23,0,OFFSET(ORÇAMENTO!$D$15,CRONO!$E23,0)),1,OFFSET(ORÇAMENTO!$X$15,CRONO!$E23,0,OFFSET(ORÇAMENTO!$D$15,CRONO!$E23,0))))</f>
        <v/>
      </c>
      <c r="G25" s="258"/>
      <c r="R25" s="259" t="str">
        <f ca="1">L23&amp;"$"</f>
        <v>2$</v>
      </c>
      <c r="S25" s="260"/>
      <c r="T25" s="261">
        <f ca="1">IF($Q23=2,IF(AND(ACOMPANHAMENTO="PLE",ISNUMBER($E23)),SUMIF((OFFSET(CÁLCULO!$AM$15:$AW$15,$E23,0,OFFSET(ORÇAMENTO!$D$15,CRONO!$E23,0))),"&lt;="&amp;CRONO!T$12,OFFSET(CÁLCULO!$AB$15:$AL$15,$E23,0,OFFSET(ORÇAMENTO!$D$15,CRONO!$E23,0)))+IF(AND($E25&lt;&gt;"",$E25&lt;&gt;0),SUMIF(CÁLCULO!$AM$15:$AW$192,"&lt;="&amp;CRONO!T$12,CÁLCULO!$AB$15:$AL$192)/(ORÇAMENTO!$X$15-CÁLCULO.TotalAdmLocal)*CRONO!$E25,0),T24*$R23),SUMIF(OFFSET($R25,1,0,$Q23-2),($L23+1)&amp;"$",OFFSET(T25,1,0,$Q23-2)))</f>
        <v>0</v>
      </c>
      <c r="U25" s="257">
        <f ca="1">IF($Q23=2,IF(AND(ACOMPANHAMENTO="PLE",ISNUMBER($E23)),SUMIF((OFFSET(CÁLCULO!$AM$15:$AW$15,$E23,0,OFFSET(ORÇAMENTO!$D$15,CRONO!$E23,0))),"="&amp;CRONO!U$12,OFFSET(CÁLCULO!$AB$15:$AL$15,$E23,0,OFFSET(ORÇAMENTO!$D$15,CRONO!$E23,0)))+IF(AND($E25&lt;&gt;"",$E25&lt;&gt;0),SUMIF(CÁLCULO!$AM$15:$AW$192,"="&amp;CRONO!U$12,CÁLCULO!$AB$15:$AL$192)/(ORÇAMENTO!$X$15-CÁLCULO.TotalAdmLocal)*CRONO!$E25,0),U24*$R23),SUMIF(OFFSET($R25,1,0,$Q23-2),($L23+1)&amp;"$",OFFSET(U25,1,0,$Q23-2)))</f>
        <v>0</v>
      </c>
      <c r="V25" s="257">
        <f ca="1">IF($Q23=2,IF(AND(ACOMPANHAMENTO="PLE",ISNUMBER($E23)),SUMIF((OFFSET(CÁLCULO!$AM$15:$AW$15,$E23,0,OFFSET(ORÇAMENTO!$D$15,CRONO!$E23,0))),"="&amp;CRONO!V$12,OFFSET(CÁLCULO!$AB$15:$AL$15,$E23,0,OFFSET(ORÇAMENTO!$D$15,CRONO!$E23,0)))+IF(AND($E25&lt;&gt;"",$E25&lt;&gt;0),SUMIF(CÁLCULO!$AM$15:$AW$192,"="&amp;CRONO!V$12,CÁLCULO!$AB$15:$AL$192)/(ORÇAMENTO!$X$15-CÁLCULO.TotalAdmLocal)*CRONO!$E25,0),V24*$R23),SUMIF(OFFSET($R25,1,0,$Q23-2),($L23+1)&amp;"$",OFFSET(V25,1,0,$Q23-2)))</f>
        <v>0</v>
      </c>
      <c r="W25" s="257">
        <f ca="1">IF($Q23=2,IF(AND(ACOMPANHAMENTO="PLE",ISNUMBER($E23)),SUMIF((OFFSET(CÁLCULO!$AM$15:$AW$15,$E23,0,OFFSET(ORÇAMENTO!$D$15,CRONO!$E23,0))),"="&amp;CRONO!W$12,OFFSET(CÁLCULO!$AB$15:$AL$15,$E23,0,OFFSET(ORÇAMENTO!$D$15,CRONO!$E23,0)))+IF(AND($E25&lt;&gt;"",$E25&lt;&gt;0),SUMIF(CÁLCULO!$AM$15:$AW$192,"="&amp;CRONO!W$12,CÁLCULO!$AB$15:$AL$192)/(ORÇAMENTO!$X$15-CÁLCULO.TotalAdmLocal)*CRONO!$E25,0),W24*$R23),SUMIF(OFFSET($R25,1,0,$Q23-2),($L23+1)&amp;"$",OFFSET(W25,1,0,$Q23-2)))</f>
        <v>0</v>
      </c>
      <c r="X25" s="257">
        <f ca="1">IF($Q23=2,IF(AND(ACOMPANHAMENTO="PLE",ISNUMBER($E23)),SUMIF((OFFSET(CÁLCULO!$AM$15:$AW$15,$E23,0,OFFSET(ORÇAMENTO!$D$15,CRONO!$E23,0))),"="&amp;CRONO!X$12,OFFSET(CÁLCULO!$AB$15:$AL$15,$E23,0,OFFSET(ORÇAMENTO!$D$15,CRONO!$E23,0)))+IF(AND($E25&lt;&gt;"",$E25&lt;&gt;0),SUMIF(CÁLCULO!$AM$15:$AW$192,"="&amp;CRONO!X$12,CÁLCULO!$AB$15:$AL$192)/(ORÇAMENTO!$X$15-CÁLCULO.TotalAdmLocal)*CRONO!$E25,0),X24*$R23),SUMIF(OFFSET($R25,1,0,$Q23-2),($L23+1)&amp;"$",OFFSET(X25,1,0,$Q23-2)))</f>
        <v>0</v>
      </c>
      <c r="Y25" s="257">
        <f ca="1">IF($Q23=2,IF(AND(ACOMPANHAMENTO="PLE",ISNUMBER($E23)),SUMIF((OFFSET(CÁLCULO!$AM$15:$AW$15,$E23,0,OFFSET(ORÇAMENTO!$D$15,CRONO!$E23,0))),"="&amp;CRONO!Y$12,OFFSET(CÁLCULO!$AB$15:$AL$15,$E23,0,OFFSET(ORÇAMENTO!$D$15,CRONO!$E23,0)))+IF(AND($E25&lt;&gt;"",$E25&lt;&gt;0),SUMIF(CÁLCULO!$AM$15:$AW$192,"="&amp;CRONO!Y$12,CÁLCULO!$AB$15:$AL$192)/(ORÇAMENTO!$X$15-CÁLCULO.TotalAdmLocal)*CRONO!$E25,0),Y24*$R23),SUMIF(OFFSET($R25,1,0,$Q23-2),($L23+1)&amp;"$",OFFSET(Y25,1,0,$Q23-2)))</f>
        <v>0</v>
      </c>
      <c r="Z25" s="257">
        <f ca="1">IF($Q23=2,IF(AND(ACOMPANHAMENTO="PLE",ISNUMBER($E23)),SUMIF((OFFSET(CÁLCULO!$AM$15:$AW$15,$E23,0,OFFSET(ORÇAMENTO!$D$15,CRONO!$E23,0))),"="&amp;CRONO!Z$12,OFFSET(CÁLCULO!$AB$15:$AL$15,$E23,0,OFFSET(ORÇAMENTO!$D$15,CRONO!$E23,0)))+IF(AND($E25&lt;&gt;"",$E25&lt;&gt;0),SUMIF(CÁLCULO!$AM$15:$AW$192,"="&amp;CRONO!Z$12,CÁLCULO!$AB$15:$AL$192)/(ORÇAMENTO!$X$15-CÁLCULO.TotalAdmLocal)*CRONO!$E25,0),Z24*$R23),SUMIF(OFFSET($R25,1,0,$Q23-2),($L23+1)&amp;"$",OFFSET(Z25,1,0,$Q23-2)))</f>
        <v>0</v>
      </c>
      <c r="AA25" s="257">
        <f ca="1">IF($Q23=2,IF(AND(ACOMPANHAMENTO="PLE",ISNUMBER($E23)),SUMIF((OFFSET(CÁLCULO!$AM$15:$AW$15,$E23,0,OFFSET(ORÇAMENTO!$D$15,CRONO!$E23,0))),"="&amp;CRONO!AA$12,OFFSET(CÁLCULO!$AB$15:$AL$15,$E23,0,OFFSET(ORÇAMENTO!$D$15,CRONO!$E23,0)))+IF(AND($E25&lt;&gt;"",$E25&lt;&gt;0),SUMIF(CÁLCULO!$AM$15:$AW$192,"="&amp;CRONO!AA$12,CÁLCULO!$AB$15:$AL$192)/(ORÇAMENTO!$X$15-CÁLCULO.TotalAdmLocal)*CRONO!$E25,0),AA24*$R23),SUMIF(OFFSET($R25,1,0,$Q23-2),($L23+1)&amp;"$",OFFSET(AA25,1,0,$Q23-2)))</f>
        <v>0</v>
      </c>
      <c r="AB25" s="257">
        <f ca="1">IF($Q23=2,IF(AND(ACOMPANHAMENTO="PLE",ISNUMBER($E23)),SUMIF((OFFSET(CÁLCULO!$AM$15:$AW$15,$E23,0,OFFSET(ORÇAMENTO!$D$15,CRONO!$E23,0))),"="&amp;CRONO!AB$12,OFFSET(CÁLCULO!$AB$15:$AL$15,$E23,0,OFFSET(ORÇAMENTO!$D$15,CRONO!$E23,0)))+IF(AND($E25&lt;&gt;"",$E25&lt;&gt;0),SUMIF(CÁLCULO!$AM$15:$AW$192,"="&amp;CRONO!AB$12,CÁLCULO!$AB$15:$AL$192)/(ORÇAMENTO!$X$15-CÁLCULO.TotalAdmLocal)*CRONO!$E25,0),AB24*$R23),SUMIF(OFFSET($R25,1,0,$Q23-2),($L23+1)&amp;"$",OFFSET(AB25,1,0,$Q23-2)))</f>
        <v>0</v>
      </c>
      <c r="AC25" s="257">
        <f ca="1">IF($Q23=2,IF(AND(ACOMPANHAMENTO="PLE",ISNUMBER($E23)),SUMIF((OFFSET(CÁLCULO!$AM$15:$AW$15,$E23,0,OFFSET(ORÇAMENTO!$D$15,CRONO!$E23,0))),"="&amp;CRONO!AC$12,OFFSET(CÁLCULO!$AB$15:$AL$15,$E23,0,OFFSET(ORÇAMENTO!$D$15,CRONO!$E23,0)))+IF(AND($E25&lt;&gt;"",$E25&lt;&gt;0),SUMIF(CÁLCULO!$AM$15:$AW$192,"="&amp;CRONO!AC$12,CÁLCULO!$AB$15:$AL$192)/(ORÇAMENTO!$X$15-CÁLCULO.TotalAdmLocal)*CRONO!$E25,0),AC24*$R23),SUMIF(OFFSET($R25,1,0,$Q23-2),($L23+1)&amp;"$",OFFSET(AC25,1,0,$Q23-2)))</f>
        <v>0</v>
      </c>
      <c r="AD25" s="257">
        <f ca="1">IF($Q23=2,IF(AND(ACOMPANHAMENTO="PLE",ISNUMBER($E23)),SUMIF((OFFSET(CÁLCULO!$AM$15:$AW$15,$E23,0,OFFSET(ORÇAMENTO!$D$15,CRONO!$E23,0))),"="&amp;CRONO!AD$12,OFFSET(CÁLCULO!$AB$15:$AL$15,$E23,0,OFFSET(ORÇAMENTO!$D$15,CRONO!$E23,0)))+IF(AND($E25&lt;&gt;"",$E25&lt;&gt;0),SUMIF(CÁLCULO!$AM$15:$AW$192,"="&amp;CRONO!AD$12,CÁLCULO!$AB$15:$AL$192)/(ORÇAMENTO!$X$15-CÁLCULO.TotalAdmLocal)*CRONO!$E25,0),AD24*$R23),SUMIF(OFFSET($R25,1,0,$Q23-2),($L23+1)&amp;"$",OFFSET(AD25,1,0,$Q23-2)))</f>
        <v>0</v>
      </c>
      <c r="AE25" s="262">
        <f ca="1">IF($Q23=2,IF(AND(ACOMPANHAMENTO="PLE",ISNUMBER($E23)),SUMIF((OFFSET(CÁLCULO!$AM$15:$AW$15,$E23,0,OFFSET(ORÇAMENTO!$D$15,CRONO!$E23,0))),"="&amp;CRONO!AE$12,OFFSET(CÁLCULO!$AB$15:$AL$15,$E23,0,OFFSET(ORÇAMENTO!$D$15,CRONO!$E23,0)))+IF(AND($E25&lt;&gt;"",$E25&lt;&gt;0),SUMIF(CÁLCULO!$AM$15:$AW$192,"="&amp;CRONO!AE$12,CÁLCULO!$AB$15:$AL$192)/(ORÇAMENTO!$X$15-CÁLCULO.TotalAdmLocal)*CRONO!$E25,0),AE24*$R23),SUMIF(OFFSET($R25,1,0,$Q23-2),($L23+1)&amp;"$",OFFSET(AE25,1,0,$Q23-2)))</f>
        <v>0</v>
      </c>
      <c r="AF25" s="261">
        <f ca="1">IF($Q23=2,IF(AND(ACOMPANHAMENTO="PLE",ISNUMBER($E23)),SUMIF((OFFSET(CÁLCULO!$AM$15:$AW$15,$E23,0,OFFSET(ORÇAMENTO!$D$15,CRONO!$E23,0))),"="&amp;CRONO!AF$12,OFFSET(CÁLCULO!$AB$15:$AL$15,$E23,0,OFFSET(ORÇAMENTO!$D$15,CRONO!$E23,0)))+IF(AND($E25&lt;&gt;"",$E25&lt;&gt;0),SUMIF(CÁLCULO!$AM$15:$AW$192,"="&amp;CRONO!AF$12,CÁLCULO!$AB$15:$AL$192)/(ORÇAMENTO!$X$15-CÁLCULO.TotalAdmLocal)*CRONO!$E25,0),AF24*$R23),SUMIF(OFFSET($R25,1,0,$Q23-2),($L23+1)&amp;"$",OFFSET(AF25,1,0,$Q23-2)))</f>
        <v>0</v>
      </c>
      <c r="AG25" s="257">
        <f ca="1">IF($Q23=2,IF(AND(ACOMPANHAMENTO="PLE",ISNUMBER($E23)),SUMIF((OFFSET(CÁLCULO!$AM$15:$AW$15,$E23,0,OFFSET(ORÇAMENTO!$D$15,CRONO!$E23,0))),"="&amp;CRONO!AG$12,OFFSET(CÁLCULO!$AB$15:$AL$15,$E23,0,OFFSET(ORÇAMENTO!$D$15,CRONO!$E23,0)))+IF(AND($E25&lt;&gt;"",$E25&lt;&gt;0),SUMIF(CÁLCULO!$AM$15:$AW$192,"="&amp;CRONO!AG$12,CÁLCULO!$AB$15:$AL$192)/(ORÇAMENTO!$X$15-CÁLCULO.TotalAdmLocal)*CRONO!$E25,0),AG24*$R23),SUMIF(OFFSET($R25,1,0,$Q23-2),($L23+1)&amp;"$",OFFSET(AG25,1,0,$Q23-2)))</f>
        <v>0</v>
      </c>
      <c r="AH25" s="257">
        <f ca="1">IF($Q23=2,IF(AND(ACOMPANHAMENTO="PLE",ISNUMBER($E23)),SUMIF((OFFSET(CÁLCULO!$AM$15:$AW$15,$E23,0,OFFSET(ORÇAMENTO!$D$15,CRONO!$E23,0))),"="&amp;CRONO!AH$12,OFFSET(CÁLCULO!$AB$15:$AL$15,$E23,0,OFFSET(ORÇAMENTO!$D$15,CRONO!$E23,0)))+IF(AND($E25&lt;&gt;"",$E25&lt;&gt;0),SUMIF(CÁLCULO!$AM$15:$AW$192,"="&amp;CRONO!AH$12,CÁLCULO!$AB$15:$AL$192)/(ORÇAMENTO!$X$15-CÁLCULO.TotalAdmLocal)*CRONO!$E25,0),AH24*$R23),SUMIF(OFFSET($R25,1,0,$Q23-2),($L23+1)&amp;"$",OFFSET(AH25,1,0,$Q23-2)))</f>
        <v>0</v>
      </c>
      <c r="AI25" s="257">
        <f ca="1">IF($Q23=2,IF(AND(ACOMPANHAMENTO="PLE",ISNUMBER($E23)),SUMIF((OFFSET(CÁLCULO!$AM$15:$AW$15,$E23,0,OFFSET(ORÇAMENTO!$D$15,CRONO!$E23,0))),"="&amp;CRONO!AI$12,OFFSET(CÁLCULO!$AB$15:$AL$15,$E23,0,OFFSET(ORÇAMENTO!$D$15,CRONO!$E23,0)))+IF(AND($E25&lt;&gt;"",$E25&lt;&gt;0),SUMIF(CÁLCULO!$AM$15:$AW$192,"="&amp;CRONO!AI$12,CÁLCULO!$AB$15:$AL$192)/(ORÇAMENTO!$X$15-CÁLCULO.TotalAdmLocal)*CRONO!$E25,0),AI24*$R23),SUMIF(OFFSET($R25,1,0,$Q23-2),($L23+1)&amp;"$",OFFSET(AI25,1,0,$Q23-2)))</f>
        <v>0</v>
      </c>
      <c r="AJ25" s="257">
        <f ca="1">IF($Q23=2,IF(AND(ACOMPANHAMENTO="PLE",ISNUMBER($E23)),SUMIF((OFFSET(CÁLCULO!$AM$15:$AW$15,$E23,0,OFFSET(ORÇAMENTO!$D$15,CRONO!$E23,0))),"="&amp;CRONO!AJ$12,OFFSET(CÁLCULO!$AB$15:$AL$15,$E23,0,OFFSET(ORÇAMENTO!$D$15,CRONO!$E23,0)))+IF(AND($E25&lt;&gt;"",$E25&lt;&gt;0),SUMIF(CÁLCULO!$AM$15:$AW$192,"="&amp;CRONO!AJ$12,CÁLCULO!$AB$15:$AL$192)/(ORÇAMENTO!$X$15-CÁLCULO.TotalAdmLocal)*CRONO!$E25,0),AJ24*$R23),SUMIF(OFFSET($R25,1,0,$Q23-2),($L23+1)&amp;"$",OFFSET(AJ25,1,0,$Q23-2)))</f>
        <v>0</v>
      </c>
      <c r="AK25" s="257">
        <f ca="1">IF($Q23=2,IF(AND(ACOMPANHAMENTO="PLE",ISNUMBER($E23)),SUMIF((OFFSET(CÁLCULO!$AM$15:$AW$15,$E23,0,OFFSET(ORÇAMENTO!$D$15,CRONO!$E23,0))),"="&amp;CRONO!AK$12,OFFSET(CÁLCULO!$AB$15:$AL$15,$E23,0,OFFSET(ORÇAMENTO!$D$15,CRONO!$E23,0)))+IF(AND($E25&lt;&gt;"",$E25&lt;&gt;0),SUMIF(CÁLCULO!$AM$15:$AW$192,"="&amp;CRONO!AK$12,CÁLCULO!$AB$15:$AL$192)/(ORÇAMENTO!$X$15-CÁLCULO.TotalAdmLocal)*CRONO!$E25,0),AK24*$R23),SUMIF(OFFSET($R25,1,0,$Q23-2),($L23+1)&amp;"$",OFFSET(AK25,1,0,$Q23-2)))</f>
        <v>0</v>
      </c>
      <c r="AL25" s="257">
        <f ca="1">IF($Q23=2,IF(AND(ACOMPANHAMENTO="PLE",ISNUMBER($E23)),SUMIF((OFFSET(CÁLCULO!$AM$15:$AW$15,$E23,0,OFFSET(ORÇAMENTO!$D$15,CRONO!$E23,0))),"="&amp;CRONO!AL$12,OFFSET(CÁLCULO!$AB$15:$AL$15,$E23,0,OFFSET(ORÇAMENTO!$D$15,CRONO!$E23,0)))+IF(AND($E25&lt;&gt;"",$E25&lt;&gt;0),SUMIF(CÁLCULO!$AM$15:$AW$192,"="&amp;CRONO!AL$12,CÁLCULO!$AB$15:$AL$192)/(ORÇAMENTO!$X$15-CÁLCULO.TotalAdmLocal)*CRONO!$E25,0),AL24*$R23),SUMIF(OFFSET($R25,1,0,$Q23-2),($L23+1)&amp;"$",OFFSET(AL25,1,0,$Q23-2)))</f>
        <v>0</v>
      </c>
      <c r="AM25" s="257">
        <f ca="1">IF($Q23=2,IF(AND(ACOMPANHAMENTO="PLE",ISNUMBER($E23)),SUMIF((OFFSET(CÁLCULO!$AM$15:$AW$15,$E23,0,OFFSET(ORÇAMENTO!$D$15,CRONO!$E23,0))),"="&amp;CRONO!AM$12,OFFSET(CÁLCULO!$AB$15:$AL$15,$E23,0,OFFSET(ORÇAMENTO!$D$15,CRONO!$E23,0)))+IF(AND($E25&lt;&gt;"",$E25&lt;&gt;0),SUMIF(CÁLCULO!$AM$15:$AW$192,"="&amp;CRONO!AM$12,CÁLCULO!$AB$15:$AL$192)/(ORÇAMENTO!$X$15-CÁLCULO.TotalAdmLocal)*CRONO!$E25,0),AM24*$R23),SUMIF(OFFSET($R25,1,0,$Q23-2),($L23+1)&amp;"$",OFFSET(AM25,1,0,$Q23-2)))</f>
        <v>0</v>
      </c>
      <c r="AN25" s="257">
        <f ca="1">IF($Q23=2,IF(AND(ACOMPANHAMENTO="PLE",ISNUMBER($E23)),SUMIF((OFFSET(CÁLCULO!$AM$15:$AW$15,$E23,0,OFFSET(ORÇAMENTO!$D$15,CRONO!$E23,0))),"="&amp;CRONO!AN$12,OFFSET(CÁLCULO!$AB$15:$AL$15,$E23,0,OFFSET(ORÇAMENTO!$D$15,CRONO!$E23,0)))+IF(AND($E25&lt;&gt;"",$E25&lt;&gt;0),SUMIF(CÁLCULO!$AM$15:$AW$192,"="&amp;CRONO!AN$12,CÁLCULO!$AB$15:$AL$192)/(ORÇAMENTO!$X$15-CÁLCULO.TotalAdmLocal)*CRONO!$E25,0),AN24*$R23),SUMIF(OFFSET($R25,1,0,$Q23-2),($L23+1)&amp;"$",OFFSET(AN25,1,0,$Q23-2)))</f>
        <v>0</v>
      </c>
      <c r="AO25" s="257">
        <f ca="1">IF($Q23=2,IF(AND(ACOMPANHAMENTO="PLE",ISNUMBER($E23)),SUMIF((OFFSET(CÁLCULO!$AM$15:$AW$15,$E23,0,OFFSET(ORÇAMENTO!$D$15,CRONO!$E23,0))),"="&amp;CRONO!AO$12,OFFSET(CÁLCULO!$AB$15:$AL$15,$E23,0,OFFSET(ORÇAMENTO!$D$15,CRONO!$E23,0)))+IF(AND($E25&lt;&gt;"",$E25&lt;&gt;0),SUMIF(CÁLCULO!$AM$15:$AW$192,"="&amp;CRONO!AO$12,CÁLCULO!$AB$15:$AL$192)/(ORÇAMENTO!$X$15-CÁLCULO.TotalAdmLocal)*CRONO!$E25,0),AO24*$R23),SUMIF(OFFSET($R25,1,0,$Q23-2),($L23+1)&amp;"$",OFFSET(AO25,1,0,$Q23-2)))</f>
        <v>0</v>
      </c>
      <c r="AP25" s="257">
        <f ca="1">IF($Q23=2,IF(AND(ACOMPANHAMENTO="PLE",ISNUMBER($E23)),SUMIF((OFFSET(CÁLCULO!$AM$15:$AW$15,$E23,0,OFFSET(ORÇAMENTO!$D$15,CRONO!$E23,0))),"="&amp;CRONO!AP$12,OFFSET(CÁLCULO!$AB$15:$AL$15,$E23,0,OFFSET(ORÇAMENTO!$D$15,CRONO!$E23,0)))+IF(AND($E25&lt;&gt;"",$E25&lt;&gt;0),SUMIF(CÁLCULO!$AM$15:$AW$192,"="&amp;CRONO!AP$12,CÁLCULO!$AB$15:$AL$192)/(ORÇAMENTO!$X$15-CÁLCULO.TotalAdmLocal)*CRONO!$E25,0),AP24*$R23),SUMIF(OFFSET($R25,1,0,$Q23-2),($L23+1)&amp;"$",OFFSET(AP25,1,0,$Q23-2)))</f>
        <v>0</v>
      </c>
      <c r="AQ25" s="262">
        <f ca="1">IF($Q23=2,IF(AND(ACOMPANHAMENTO="PLE",ISNUMBER($E23)),SUMIF((OFFSET(CÁLCULO!$AM$15:$AW$15,$E23,0,OFFSET(ORÇAMENTO!$D$15,CRONO!$E23,0))),"="&amp;CRONO!AQ$12,OFFSET(CÁLCULO!$AB$15:$AL$15,$E23,0,OFFSET(ORÇAMENTO!$D$15,CRONO!$E23,0)))+IF(AND($E25&lt;&gt;"",$E25&lt;&gt;0),SUMIF(CÁLCULO!$AM$15:$AW$192,"="&amp;CRONO!AQ$12,CÁLCULO!$AB$15:$AL$192)/(ORÇAMENTO!$X$15-CÁLCULO.TotalAdmLocal)*CRONO!$E25,0),AQ24*$R23),SUMIF(OFFSET($R25,1,0,$Q23-2),($L23+1)&amp;"$",OFFSET(AQ25,1,0,$Q23-2)))</f>
        <v>0</v>
      </c>
    </row>
    <row r="26" spans="1:44" x14ac:dyDescent="0.2">
      <c r="A26" s="238">
        <f ca="1">OFFSET(A26,-3,0)+1</f>
        <v>5</v>
      </c>
      <c r="B26" s="238">
        <f ca="1">IF($Q26&lt;&gt;2,0,IF($R26=0,1,IF(E27&gt;0,OFFSET(QCI!$M$13,SUBSTITUTE(E27,".",""),0),OFFSET(ORÇAMENTO!$AA$15,CRONO!$E26,0))/$R26))</f>
        <v>1</v>
      </c>
      <c r="C26" s="238">
        <f ca="1">IF($Q26&lt;&gt;2,0,IF($R26=0,1,IF(E27&gt;0,OFFSET(QCI!$N$13,SUBSTITUTE(E27,".",""),0),OFFSET(ORÇAMENTO!$AB$15,CRONO!$E26,0))/$R26))</f>
        <v>1</v>
      </c>
      <c r="D26" s="241">
        <f ca="1">IF(AND($Q26=2,ACOMPANHAMENTO="BM"),D27,D28/$R26)</f>
        <v>0</v>
      </c>
      <c r="E26" s="238">
        <f ca="1">IF(A26&lt;=ORÇAMENTO.MáximoListaCrono,MATCH(A26,ORÇAMENTO.ListaCrono,0),NA())</f>
        <v>16</v>
      </c>
      <c r="F26" s="238" t="str">
        <f ca="1">IF(AND($E27&lt;&gt;-1,$R26&gt;0),"F","")</f>
        <v/>
      </c>
      <c r="G26" s="242" t="str">
        <f ca="1">IF(OR(R26=0,R26=""),"Linha",IF(AND(OR(ACOMPANHAMENTO="PLE",$Q26&lt;&gt;2),$E27=0),"Linha",1-SUM(T26:AR26)))</f>
        <v>Linha</v>
      </c>
      <c r="H26" s="243" t="str">
        <f ca="1">IF($E27=0,OFFSET(ORÇAMENTO!O$15,$E26,0),IF($E27&lt;&gt;-1,OFFSET(QCI!$D$13,$E27,0),""))</f>
        <v>1.4.</v>
      </c>
      <c r="I26" s="244" t="str">
        <f ca="1">IF($E27=0,OFFSET(ORÇAMENTO!R$15,$E26,0),IF($E27&lt;&gt;-1,OFFSET(QCI!$G$13,$E27,0),""))</f>
        <v>FUNDAÇÃO (estaca e blocos)</v>
      </c>
      <c r="J26" s="244"/>
      <c r="K26" s="244"/>
      <c r="L26" s="245">
        <f ca="1">IF($E27=0,OFFSET(ORÇAMENTO!C$15,$E26,0),1)</f>
        <v>2</v>
      </c>
      <c r="M26" s="246">
        <f ca="1">IF($E27=-1,0,IF(M$13&lt;=$L26,IF(ISERROR(MATCH(M$13,OFFSET($L26,1,0,ROW($L$92)-ROW($L26)-1),0)),ROW($L$92)-ROW($L26)-1,MATCH(M$13,OFFSET($L26,1,0,ROW($L$92)-ROW($L26)-1),0)-1),0))</f>
        <v>65</v>
      </c>
      <c r="N26" s="246">
        <f ca="1">IF($E27=-1,0,IF(N$13&lt;=$L26,IF(ISERROR(MATCH(N$13,OFFSET($L26,1,0,ROW($L$92)-ROW($L26)-1),0)),ROW($L$92)-ROW($L26)-1,MATCH(N$13,OFFSET($L26,1,0,ROW($L$92)-ROW($L26)-1),0)-1),0))</f>
        <v>2</v>
      </c>
      <c r="O26" s="246">
        <f ca="1">IF($E27=-1,0,IF(O$13&lt;=$L26,IF(ISERROR(MATCH(O$13,OFFSET($L26,1,0,ROW($L$92)-ROW($L26)-1),0)),ROW($L$92)-ROW($L26)-1,MATCH(O$13,OFFSET($L26,1,0,ROW($L$92)-ROW($L26)-1),0)-1),0))</f>
        <v>0</v>
      </c>
      <c r="P26" s="246">
        <f ca="1">IF($E27=-1,0,IF(P$13&lt;=$L26,IF(ISERROR(MATCH(P$13,OFFSET($L26,1,0,ROW($L$92)-ROW($L26)-1),0)),ROW($L$92)-ROW($L26)-1,MATCH(P$13,OFFSET($L26,1,0,ROW($L$92)-ROW($L26)-1),0)-1),0))</f>
        <v>0</v>
      </c>
      <c r="Q26" s="246">
        <f ca="1">MIN(OFFSET(L26,0,1,,L26))</f>
        <v>2</v>
      </c>
      <c r="R26" s="247">
        <f ca="1">IF($E27=0,OFFSET(ORÇAMENTO!X$15,$E26,0),IF($E27&lt;&gt;-1,OFFSET(QCI!$O$13,$E27,0),""))</f>
        <v>0</v>
      </c>
      <c r="S26" s="248" t="s">
        <v>270</v>
      </c>
      <c r="T26" s="249">
        <f t="shared" ref="T26:AQ26" ca="1" si="9">IF(AND($Q26=2,ACOMPANHAMENTO="BM"),T27,T28/$R26)</f>
        <v>0</v>
      </c>
      <c r="U26" s="241">
        <f t="shared" ca="1" si="9"/>
        <v>0.5</v>
      </c>
      <c r="V26" s="241">
        <f t="shared" ca="1" si="9"/>
        <v>0.5</v>
      </c>
      <c r="W26" s="241">
        <f t="shared" ca="1" si="9"/>
        <v>0</v>
      </c>
      <c r="X26" s="241">
        <f t="shared" ca="1" si="9"/>
        <v>0</v>
      </c>
      <c r="Y26" s="241">
        <f t="shared" ca="1" si="9"/>
        <v>0</v>
      </c>
      <c r="Z26" s="241">
        <f t="shared" ca="1" si="9"/>
        <v>0</v>
      </c>
      <c r="AA26" s="241">
        <f t="shared" ca="1" si="9"/>
        <v>0</v>
      </c>
      <c r="AB26" s="241">
        <f t="shared" ca="1" si="9"/>
        <v>0</v>
      </c>
      <c r="AC26" s="241">
        <f t="shared" ca="1" si="9"/>
        <v>0</v>
      </c>
      <c r="AD26" s="241">
        <f t="shared" ca="1" si="9"/>
        <v>0</v>
      </c>
      <c r="AE26" s="250">
        <f t="shared" ca="1" si="9"/>
        <v>0</v>
      </c>
      <c r="AF26" s="249">
        <f t="shared" ca="1" si="9"/>
        <v>0</v>
      </c>
      <c r="AG26" s="241">
        <f t="shared" ca="1" si="9"/>
        <v>0</v>
      </c>
      <c r="AH26" s="241">
        <f t="shared" ca="1" si="9"/>
        <v>0</v>
      </c>
      <c r="AI26" s="241">
        <f t="shared" ca="1" si="9"/>
        <v>0</v>
      </c>
      <c r="AJ26" s="241">
        <f t="shared" ca="1" si="9"/>
        <v>0</v>
      </c>
      <c r="AK26" s="241">
        <f t="shared" ca="1" si="9"/>
        <v>0</v>
      </c>
      <c r="AL26" s="241">
        <f t="shared" ca="1" si="9"/>
        <v>0</v>
      </c>
      <c r="AM26" s="241">
        <f t="shared" ca="1" si="9"/>
        <v>0</v>
      </c>
      <c r="AN26" s="241">
        <f t="shared" ca="1" si="9"/>
        <v>0</v>
      </c>
      <c r="AO26" s="241">
        <f t="shared" ca="1" si="9"/>
        <v>0</v>
      </c>
      <c r="AP26" s="241">
        <f t="shared" ca="1" si="9"/>
        <v>0</v>
      </c>
      <c r="AQ26" s="250">
        <f t="shared" ca="1" si="9"/>
        <v>0</v>
      </c>
    </row>
    <row r="27" spans="1:44" ht="12.75" customHeight="1" x14ac:dyDescent="0.2">
      <c r="D27" s="657"/>
      <c r="E27" s="238">
        <f ca="1">IF(ISERROR(E26),IF(1+COUNTIF($L$13:OFFSET(L26,-1,0),1)&lt;=MAX(QCI!$D$13:$D$24),1+COUNTIF($L$13:OFFSET(L26,-1,0),1),-1),0)</f>
        <v>0</v>
      </c>
      <c r="F27" s="238" t="str">
        <f ca="1">IF(AND($E27&lt;&gt;-1,$R26&gt;0),"F","")</f>
        <v/>
      </c>
      <c r="G27" s="251" t="str">
        <f ca="1">IF(OR(R26=0,R26=""),"vazia",IF(AND(OR(ACOMPANHAMENTO="PLE",$Q26&lt;&gt;2),$E27=0),"calculada","--&gt;"))</f>
        <v>vazia</v>
      </c>
      <c r="H27" s="252"/>
      <c r="I27" s="253" t="str">
        <f ca="1">IF(AND(G26&lt;&gt;0,ISNUMBER(G26)),"PREENCHA ESTA LINHA --&gt;","")</f>
        <v/>
      </c>
      <c r="J27" s="253"/>
      <c r="K27" s="253"/>
      <c r="L27" s="254"/>
      <c r="M27" s="254"/>
      <c r="N27" s="254"/>
      <c r="O27" s="254"/>
      <c r="P27" s="254"/>
      <c r="Q27" s="254"/>
      <c r="R27" s="255"/>
      <c r="S27" s="256"/>
      <c r="T27" s="658"/>
      <c r="U27" s="657">
        <v>0.5</v>
      </c>
      <c r="V27" s="657">
        <v>0.5</v>
      </c>
      <c r="W27" s="657"/>
      <c r="X27" s="657"/>
      <c r="Y27" s="657"/>
      <c r="Z27" s="657"/>
      <c r="AA27" s="657"/>
      <c r="AB27" s="657"/>
      <c r="AC27" s="657"/>
      <c r="AD27" s="657"/>
      <c r="AE27" s="659"/>
      <c r="AF27" s="658"/>
      <c r="AG27" s="657"/>
      <c r="AH27" s="657"/>
      <c r="AI27" s="657"/>
      <c r="AJ27" s="657"/>
      <c r="AK27" s="657"/>
      <c r="AL27" s="657"/>
      <c r="AM27" s="657"/>
      <c r="AN27" s="657"/>
      <c r="AO27" s="657"/>
      <c r="AP27" s="657"/>
      <c r="AQ27" s="659"/>
      <c r="AR27" s="617"/>
    </row>
    <row r="28" spans="1:44" ht="0.2" hidden="1" customHeight="1" x14ac:dyDescent="0.2">
      <c r="D28" s="257">
        <f ca="1">IF($Q26=2,IF(AND(ACOMPANHAMENTO="PLE",ISNUMBER($E26)),SUMIF((OFFSET(CÁLCULO!$AM$15:$AW$15,$E26,0,OFFSET(ORÇAMENTO!$D$15,CRONO!$E26,0))),"="&amp;CRONO!D$12,OFFSET(CÁLCULO!$AB$15:$AL$15,$E26,0,OFFSET(ORÇAMENTO!$D$15,CRONO!$E26,0)))+IF(AND($E28&lt;&gt;"",$E28&lt;&gt;0),SUMIF(CÁLCULO!$AM$15:$AW$192,"="&amp;CRONO!D$12,CÁLCULO!$AB$15:$AL$192)/(ORÇAMENTO!$X$15-CÁLCULO.TotalAdmLocal)*CRONO!$E28,0),D27*$R26),SUMIF(OFFSET($R28,1,0,$Q26-2),($L26+1)&amp;"$",OFFSET(D28,1,0,$Q26-2)))</f>
        <v>0</v>
      </c>
      <c r="E28" s="238" t="str">
        <f ca="1">IF(OR($Q26&lt;&gt;2,AUTOEVENTO&lt;&gt;"manual",$E27&gt;0),"",SUMIF(OFFSET(CÁLCULO!$M$15,CRONO!$E26,0,OFFSET(ORÇAMENTO!$D$15,CRONO!$E26,0)),1,OFFSET(ORÇAMENTO!$X$15,CRONO!$E26,0,OFFSET(ORÇAMENTO!$D$15,CRONO!$E26,0))))</f>
        <v/>
      </c>
      <c r="G28" s="258"/>
      <c r="R28" s="259" t="str">
        <f ca="1">L26&amp;"$"</f>
        <v>2$</v>
      </c>
      <c r="S28" s="260"/>
      <c r="T28" s="261">
        <f ca="1">IF($Q26=2,IF(AND(ACOMPANHAMENTO="PLE",ISNUMBER($E26)),SUMIF((OFFSET(CÁLCULO!$AM$15:$AW$15,$E26,0,OFFSET(ORÇAMENTO!$D$15,CRONO!$E26,0))),"&lt;="&amp;CRONO!T$12,OFFSET(CÁLCULO!$AB$15:$AL$15,$E26,0,OFFSET(ORÇAMENTO!$D$15,CRONO!$E26,0)))+IF(AND($E28&lt;&gt;"",$E28&lt;&gt;0),SUMIF(CÁLCULO!$AM$15:$AW$192,"&lt;="&amp;CRONO!T$12,CÁLCULO!$AB$15:$AL$192)/(ORÇAMENTO!$X$15-CÁLCULO.TotalAdmLocal)*CRONO!$E28,0),T27*$R26),SUMIF(OFFSET($R28,1,0,$Q26-2),($L26+1)&amp;"$",OFFSET(T28,1,0,$Q26-2)))</f>
        <v>0</v>
      </c>
      <c r="U28" s="257">
        <f ca="1">IF($Q26=2,IF(AND(ACOMPANHAMENTO="PLE",ISNUMBER($E26)),SUMIF((OFFSET(CÁLCULO!$AM$15:$AW$15,$E26,0,OFFSET(ORÇAMENTO!$D$15,CRONO!$E26,0))),"="&amp;CRONO!U$12,OFFSET(CÁLCULO!$AB$15:$AL$15,$E26,0,OFFSET(ORÇAMENTO!$D$15,CRONO!$E26,0)))+IF(AND($E28&lt;&gt;"",$E28&lt;&gt;0),SUMIF(CÁLCULO!$AM$15:$AW$192,"="&amp;CRONO!U$12,CÁLCULO!$AB$15:$AL$192)/(ORÇAMENTO!$X$15-CÁLCULO.TotalAdmLocal)*CRONO!$E28,0),U27*$R26),SUMIF(OFFSET($R28,1,0,$Q26-2),($L26+1)&amp;"$",OFFSET(U28,1,0,$Q26-2)))</f>
        <v>0</v>
      </c>
      <c r="V28" s="257">
        <f ca="1">IF($Q26=2,IF(AND(ACOMPANHAMENTO="PLE",ISNUMBER($E26)),SUMIF((OFFSET(CÁLCULO!$AM$15:$AW$15,$E26,0,OFFSET(ORÇAMENTO!$D$15,CRONO!$E26,0))),"="&amp;CRONO!V$12,OFFSET(CÁLCULO!$AB$15:$AL$15,$E26,0,OFFSET(ORÇAMENTO!$D$15,CRONO!$E26,0)))+IF(AND($E28&lt;&gt;"",$E28&lt;&gt;0),SUMIF(CÁLCULO!$AM$15:$AW$192,"="&amp;CRONO!V$12,CÁLCULO!$AB$15:$AL$192)/(ORÇAMENTO!$X$15-CÁLCULO.TotalAdmLocal)*CRONO!$E28,0),V27*$R26),SUMIF(OFFSET($R28,1,0,$Q26-2),($L26+1)&amp;"$",OFFSET(V28,1,0,$Q26-2)))</f>
        <v>0</v>
      </c>
      <c r="W28" s="257">
        <f ca="1">IF($Q26=2,IF(AND(ACOMPANHAMENTO="PLE",ISNUMBER($E26)),SUMIF((OFFSET(CÁLCULO!$AM$15:$AW$15,$E26,0,OFFSET(ORÇAMENTO!$D$15,CRONO!$E26,0))),"="&amp;CRONO!W$12,OFFSET(CÁLCULO!$AB$15:$AL$15,$E26,0,OFFSET(ORÇAMENTO!$D$15,CRONO!$E26,0)))+IF(AND($E28&lt;&gt;"",$E28&lt;&gt;0),SUMIF(CÁLCULO!$AM$15:$AW$192,"="&amp;CRONO!W$12,CÁLCULO!$AB$15:$AL$192)/(ORÇAMENTO!$X$15-CÁLCULO.TotalAdmLocal)*CRONO!$E28,0),W27*$R26),SUMIF(OFFSET($R28,1,0,$Q26-2),($L26+1)&amp;"$",OFFSET(W28,1,0,$Q26-2)))</f>
        <v>0</v>
      </c>
      <c r="X28" s="257">
        <f ca="1">IF($Q26=2,IF(AND(ACOMPANHAMENTO="PLE",ISNUMBER($E26)),SUMIF((OFFSET(CÁLCULO!$AM$15:$AW$15,$E26,0,OFFSET(ORÇAMENTO!$D$15,CRONO!$E26,0))),"="&amp;CRONO!X$12,OFFSET(CÁLCULO!$AB$15:$AL$15,$E26,0,OFFSET(ORÇAMENTO!$D$15,CRONO!$E26,0)))+IF(AND($E28&lt;&gt;"",$E28&lt;&gt;0),SUMIF(CÁLCULO!$AM$15:$AW$192,"="&amp;CRONO!X$12,CÁLCULO!$AB$15:$AL$192)/(ORÇAMENTO!$X$15-CÁLCULO.TotalAdmLocal)*CRONO!$E28,0),X27*$R26),SUMIF(OFFSET($R28,1,0,$Q26-2),($L26+1)&amp;"$",OFFSET(X28,1,0,$Q26-2)))</f>
        <v>0</v>
      </c>
      <c r="Y28" s="257">
        <f ca="1">IF($Q26=2,IF(AND(ACOMPANHAMENTO="PLE",ISNUMBER($E26)),SUMIF((OFFSET(CÁLCULO!$AM$15:$AW$15,$E26,0,OFFSET(ORÇAMENTO!$D$15,CRONO!$E26,0))),"="&amp;CRONO!Y$12,OFFSET(CÁLCULO!$AB$15:$AL$15,$E26,0,OFFSET(ORÇAMENTO!$D$15,CRONO!$E26,0)))+IF(AND($E28&lt;&gt;"",$E28&lt;&gt;0),SUMIF(CÁLCULO!$AM$15:$AW$192,"="&amp;CRONO!Y$12,CÁLCULO!$AB$15:$AL$192)/(ORÇAMENTO!$X$15-CÁLCULO.TotalAdmLocal)*CRONO!$E28,0),Y27*$R26),SUMIF(OFFSET($R28,1,0,$Q26-2),($L26+1)&amp;"$",OFFSET(Y28,1,0,$Q26-2)))</f>
        <v>0</v>
      </c>
      <c r="Z28" s="257">
        <f ca="1">IF($Q26=2,IF(AND(ACOMPANHAMENTO="PLE",ISNUMBER($E26)),SUMIF((OFFSET(CÁLCULO!$AM$15:$AW$15,$E26,0,OFFSET(ORÇAMENTO!$D$15,CRONO!$E26,0))),"="&amp;CRONO!Z$12,OFFSET(CÁLCULO!$AB$15:$AL$15,$E26,0,OFFSET(ORÇAMENTO!$D$15,CRONO!$E26,0)))+IF(AND($E28&lt;&gt;"",$E28&lt;&gt;0),SUMIF(CÁLCULO!$AM$15:$AW$192,"="&amp;CRONO!Z$12,CÁLCULO!$AB$15:$AL$192)/(ORÇAMENTO!$X$15-CÁLCULO.TotalAdmLocal)*CRONO!$E28,0),Z27*$R26),SUMIF(OFFSET($R28,1,0,$Q26-2),($L26+1)&amp;"$",OFFSET(Z28,1,0,$Q26-2)))</f>
        <v>0</v>
      </c>
      <c r="AA28" s="257">
        <f ca="1">IF($Q26=2,IF(AND(ACOMPANHAMENTO="PLE",ISNUMBER($E26)),SUMIF((OFFSET(CÁLCULO!$AM$15:$AW$15,$E26,0,OFFSET(ORÇAMENTO!$D$15,CRONO!$E26,0))),"="&amp;CRONO!AA$12,OFFSET(CÁLCULO!$AB$15:$AL$15,$E26,0,OFFSET(ORÇAMENTO!$D$15,CRONO!$E26,0)))+IF(AND($E28&lt;&gt;"",$E28&lt;&gt;0),SUMIF(CÁLCULO!$AM$15:$AW$192,"="&amp;CRONO!AA$12,CÁLCULO!$AB$15:$AL$192)/(ORÇAMENTO!$X$15-CÁLCULO.TotalAdmLocal)*CRONO!$E28,0),AA27*$R26),SUMIF(OFFSET($R28,1,0,$Q26-2),($L26+1)&amp;"$",OFFSET(AA28,1,0,$Q26-2)))</f>
        <v>0</v>
      </c>
      <c r="AB28" s="257">
        <f ca="1">IF($Q26=2,IF(AND(ACOMPANHAMENTO="PLE",ISNUMBER($E26)),SUMIF((OFFSET(CÁLCULO!$AM$15:$AW$15,$E26,0,OFFSET(ORÇAMENTO!$D$15,CRONO!$E26,0))),"="&amp;CRONO!AB$12,OFFSET(CÁLCULO!$AB$15:$AL$15,$E26,0,OFFSET(ORÇAMENTO!$D$15,CRONO!$E26,0)))+IF(AND($E28&lt;&gt;"",$E28&lt;&gt;0),SUMIF(CÁLCULO!$AM$15:$AW$192,"="&amp;CRONO!AB$12,CÁLCULO!$AB$15:$AL$192)/(ORÇAMENTO!$X$15-CÁLCULO.TotalAdmLocal)*CRONO!$E28,0),AB27*$R26),SUMIF(OFFSET($R28,1,0,$Q26-2),($L26+1)&amp;"$",OFFSET(AB28,1,0,$Q26-2)))</f>
        <v>0</v>
      </c>
      <c r="AC28" s="257">
        <f ca="1">IF($Q26=2,IF(AND(ACOMPANHAMENTO="PLE",ISNUMBER($E26)),SUMIF((OFFSET(CÁLCULO!$AM$15:$AW$15,$E26,0,OFFSET(ORÇAMENTO!$D$15,CRONO!$E26,0))),"="&amp;CRONO!AC$12,OFFSET(CÁLCULO!$AB$15:$AL$15,$E26,0,OFFSET(ORÇAMENTO!$D$15,CRONO!$E26,0)))+IF(AND($E28&lt;&gt;"",$E28&lt;&gt;0),SUMIF(CÁLCULO!$AM$15:$AW$192,"="&amp;CRONO!AC$12,CÁLCULO!$AB$15:$AL$192)/(ORÇAMENTO!$X$15-CÁLCULO.TotalAdmLocal)*CRONO!$E28,0),AC27*$R26),SUMIF(OFFSET($R28,1,0,$Q26-2),($L26+1)&amp;"$",OFFSET(AC28,1,0,$Q26-2)))</f>
        <v>0</v>
      </c>
      <c r="AD28" s="257">
        <f ca="1">IF($Q26=2,IF(AND(ACOMPANHAMENTO="PLE",ISNUMBER($E26)),SUMIF((OFFSET(CÁLCULO!$AM$15:$AW$15,$E26,0,OFFSET(ORÇAMENTO!$D$15,CRONO!$E26,0))),"="&amp;CRONO!AD$12,OFFSET(CÁLCULO!$AB$15:$AL$15,$E26,0,OFFSET(ORÇAMENTO!$D$15,CRONO!$E26,0)))+IF(AND($E28&lt;&gt;"",$E28&lt;&gt;0),SUMIF(CÁLCULO!$AM$15:$AW$192,"="&amp;CRONO!AD$12,CÁLCULO!$AB$15:$AL$192)/(ORÇAMENTO!$X$15-CÁLCULO.TotalAdmLocal)*CRONO!$E28,0),AD27*$R26),SUMIF(OFFSET($R28,1,0,$Q26-2),($L26+1)&amp;"$",OFFSET(AD28,1,0,$Q26-2)))</f>
        <v>0</v>
      </c>
      <c r="AE28" s="262">
        <f ca="1">IF($Q26=2,IF(AND(ACOMPANHAMENTO="PLE",ISNUMBER($E26)),SUMIF((OFFSET(CÁLCULO!$AM$15:$AW$15,$E26,0,OFFSET(ORÇAMENTO!$D$15,CRONO!$E26,0))),"="&amp;CRONO!AE$12,OFFSET(CÁLCULO!$AB$15:$AL$15,$E26,0,OFFSET(ORÇAMENTO!$D$15,CRONO!$E26,0)))+IF(AND($E28&lt;&gt;"",$E28&lt;&gt;0),SUMIF(CÁLCULO!$AM$15:$AW$192,"="&amp;CRONO!AE$12,CÁLCULO!$AB$15:$AL$192)/(ORÇAMENTO!$X$15-CÁLCULO.TotalAdmLocal)*CRONO!$E28,0),AE27*$R26),SUMIF(OFFSET($R28,1,0,$Q26-2),($L26+1)&amp;"$",OFFSET(AE28,1,0,$Q26-2)))</f>
        <v>0</v>
      </c>
      <c r="AF28" s="261">
        <f ca="1">IF($Q26=2,IF(AND(ACOMPANHAMENTO="PLE",ISNUMBER($E26)),SUMIF((OFFSET(CÁLCULO!$AM$15:$AW$15,$E26,0,OFFSET(ORÇAMENTO!$D$15,CRONO!$E26,0))),"="&amp;CRONO!AF$12,OFFSET(CÁLCULO!$AB$15:$AL$15,$E26,0,OFFSET(ORÇAMENTO!$D$15,CRONO!$E26,0)))+IF(AND($E28&lt;&gt;"",$E28&lt;&gt;0),SUMIF(CÁLCULO!$AM$15:$AW$192,"="&amp;CRONO!AF$12,CÁLCULO!$AB$15:$AL$192)/(ORÇAMENTO!$X$15-CÁLCULO.TotalAdmLocal)*CRONO!$E28,0),AF27*$R26),SUMIF(OFFSET($R28,1,0,$Q26-2),($L26+1)&amp;"$",OFFSET(AF28,1,0,$Q26-2)))</f>
        <v>0</v>
      </c>
      <c r="AG28" s="257">
        <f ca="1">IF($Q26=2,IF(AND(ACOMPANHAMENTO="PLE",ISNUMBER($E26)),SUMIF((OFFSET(CÁLCULO!$AM$15:$AW$15,$E26,0,OFFSET(ORÇAMENTO!$D$15,CRONO!$E26,0))),"="&amp;CRONO!AG$12,OFFSET(CÁLCULO!$AB$15:$AL$15,$E26,0,OFFSET(ORÇAMENTO!$D$15,CRONO!$E26,0)))+IF(AND($E28&lt;&gt;"",$E28&lt;&gt;0),SUMIF(CÁLCULO!$AM$15:$AW$192,"="&amp;CRONO!AG$12,CÁLCULO!$AB$15:$AL$192)/(ORÇAMENTO!$X$15-CÁLCULO.TotalAdmLocal)*CRONO!$E28,0),AG27*$R26),SUMIF(OFFSET($R28,1,0,$Q26-2),($L26+1)&amp;"$",OFFSET(AG28,1,0,$Q26-2)))</f>
        <v>0</v>
      </c>
      <c r="AH28" s="257">
        <f ca="1">IF($Q26=2,IF(AND(ACOMPANHAMENTO="PLE",ISNUMBER($E26)),SUMIF((OFFSET(CÁLCULO!$AM$15:$AW$15,$E26,0,OFFSET(ORÇAMENTO!$D$15,CRONO!$E26,0))),"="&amp;CRONO!AH$12,OFFSET(CÁLCULO!$AB$15:$AL$15,$E26,0,OFFSET(ORÇAMENTO!$D$15,CRONO!$E26,0)))+IF(AND($E28&lt;&gt;"",$E28&lt;&gt;0),SUMIF(CÁLCULO!$AM$15:$AW$192,"="&amp;CRONO!AH$12,CÁLCULO!$AB$15:$AL$192)/(ORÇAMENTO!$X$15-CÁLCULO.TotalAdmLocal)*CRONO!$E28,0),AH27*$R26),SUMIF(OFFSET($R28,1,0,$Q26-2),($L26+1)&amp;"$",OFFSET(AH28,1,0,$Q26-2)))</f>
        <v>0</v>
      </c>
      <c r="AI28" s="257">
        <f ca="1">IF($Q26=2,IF(AND(ACOMPANHAMENTO="PLE",ISNUMBER($E26)),SUMIF((OFFSET(CÁLCULO!$AM$15:$AW$15,$E26,0,OFFSET(ORÇAMENTO!$D$15,CRONO!$E26,0))),"="&amp;CRONO!AI$12,OFFSET(CÁLCULO!$AB$15:$AL$15,$E26,0,OFFSET(ORÇAMENTO!$D$15,CRONO!$E26,0)))+IF(AND($E28&lt;&gt;"",$E28&lt;&gt;0),SUMIF(CÁLCULO!$AM$15:$AW$192,"="&amp;CRONO!AI$12,CÁLCULO!$AB$15:$AL$192)/(ORÇAMENTO!$X$15-CÁLCULO.TotalAdmLocal)*CRONO!$E28,0),AI27*$R26),SUMIF(OFFSET($R28,1,0,$Q26-2),($L26+1)&amp;"$",OFFSET(AI28,1,0,$Q26-2)))</f>
        <v>0</v>
      </c>
      <c r="AJ28" s="257">
        <f ca="1">IF($Q26=2,IF(AND(ACOMPANHAMENTO="PLE",ISNUMBER($E26)),SUMIF((OFFSET(CÁLCULO!$AM$15:$AW$15,$E26,0,OFFSET(ORÇAMENTO!$D$15,CRONO!$E26,0))),"="&amp;CRONO!AJ$12,OFFSET(CÁLCULO!$AB$15:$AL$15,$E26,0,OFFSET(ORÇAMENTO!$D$15,CRONO!$E26,0)))+IF(AND($E28&lt;&gt;"",$E28&lt;&gt;0),SUMIF(CÁLCULO!$AM$15:$AW$192,"="&amp;CRONO!AJ$12,CÁLCULO!$AB$15:$AL$192)/(ORÇAMENTO!$X$15-CÁLCULO.TotalAdmLocal)*CRONO!$E28,0),AJ27*$R26),SUMIF(OFFSET($R28,1,0,$Q26-2),($L26+1)&amp;"$",OFFSET(AJ28,1,0,$Q26-2)))</f>
        <v>0</v>
      </c>
      <c r="AK28" s="257">
        <f ca="1">IF($Q26=2,IF(AND(ACOMPANHAMENTO="PLE",ISNUMBER($E26)),SUMIF((OFFSET(CÁLCULO!$AM$15:$AW$15,$E26,0,OFFSET(ORÇAMENTO!$D$15,CRONO!$E26,0))),"="&amp;CRONO!AK$12,OFFSET(CÁLCULO!$AB$15:$AL$15,$E26,0,OFFSET(ORÇAMENTO!$D$15,CRONO!$E26,0)))+IF(AND($E28&lt;&gt;"",$E28&lt;&gt;0),SUMIF(CÁLCULO!$AM$15:$AW$192,"="&amp;CRONO!AK$12,CÁLCULO!$AB$15:$AL$192)/(ORÇAMENTO!$X$15-CÁLCULO.TotalAdmLocal)*CRONO!$E28,0),AK27*$R26),SUMIF(OFFSET($R28,1,0,$Q26-2),($L26+1)&amp;"$",OFFSET(AK28,1,0,$Q26-2)))</f>
        <v>0</v>
      </c>
      <c r="AL28" s="257">
        <f ca="1">IF($Q26=2,IF(AND(ACOMPANHAMENTO="PLE",ISNUMBER($E26)),SUMIF((OFFSET(CÁLCULO!$AM$15:$AW$15,$E26,0,OFFSET(ORÇAMENTO!$D$15,CRONO!$E26,0))),"="&amp;CRONO!AL$12,OFFSET(CÁLCULO!$AB$15:$AL$15,$E26,0,OFFSET(ORÇAMENTO!$D$15,CRONO!$E26,0)))+IF(AND($E28&lt;&gt;"",$E28&lt;&gt;0),SUMIF(CÁLCULO!$AM$15:$AW$192,"="&amp;CRONO!AL$12,CÁLCULO!$AB$15:$AL$192)/(ORÇAMENTO!$X$15-CÁLCULO.TotalAdmLocal)*CRONO!$E28,0),AL27*$R26),SUMIF(OFFSET($R28,1,0,$Q26-2),($L26+1)&amp;"$",OFFSET(AL28,1,0,$Q26-2)))</f>
        <v>0</v>
      </c>
      <c r="AM28" s="257">
        <f ca="1">IF($Q26=2,IF(AND(ACOMPANHAMENTO="PLE",ISNUMBER($E26)),SUMIF((OFFSET(CÁLCULO!$AM$15:$AW$15,$E26,0,OFFSET(ORÇAMENTO!$D$15,CRONO!$E26,0))),"="&amp;CRONO!AM$12,OFFSET(CÁLCULO!$AB$15:$AL$15,$E26,0,OFFSET(ORÇAMENTO!$D$15,CRONO!$E26,0)))+IF(AND($E28&lt;&gt;"",$E28&lt;&gt;0),SUMIF(CÁLCULO!$AM$15:$AW$192,"="&amp;CRONO!AM$12,CÁLCULO!$AB$15:$AL$192)/(ORÇAMENTO!$X$15-CÁLCULO.TotalAdmLocal)*CRONO!$E28,0),AM27*$R26),SUMIF(OFFSET($R28,1,0,$Q26-2),($L26+1)&amp;"$",OFFSET(AM28,1,0,$Q26-2)))</f>
        <v>0</v>
      </c>
      <c r="AN28" s="257">
        <f ca="1">IF($Q26=2,IF(AND(ACOMPANHAMENTO="PLE",ISNUMBER($E26)),SUMIF((OFFSET(CÁLCULO!$AM$15:$AW$15,$E26,0,OFFSET(ORÇAMENTO!$D$15,CRONO!$E26,0))),"="&amp;CRONO!AN$12,OFFSET(CÁLCULO!$AB$15:$AL$15,$E26,0,OFFSET(ORÇAMENTO!$D$15,CRONO!$E26,0)))+IF(AND($E28&lt;&gt;"",$E28&lt;&gt;0),SUMIF(CÁLCULO!$AM$15:$AW$192,"="&amp;CRONO!AN$12,CÁLCULO!$AB$15:$AL$192)/(ORÇAMENTO!$X$15-CÁLCULO.TotalAdmLocal)*CRONO!$E28,0),AN27*$R26),SUMIF(OFFSET($R28,1,0,$Q26-2),($L26+1)&amp;"$",OFFSET(AN28,1,0,$Q26-2)))</f>
        <v>0</v>
      </c>
      <c r="AO28" s="257">
        <f ca="1">IF($Q26=2,IF(AND(ACOMPANHAMENTO="PLE",ISNUMBER($E26)),SUMIF((OFFSET(CÁLCULO!$AM$15:$AW$15,$E26,0,OFFSET(ORÇAMENTO!$D$15,CRONO!$E26,0))),"="&amp;CRONO!AO$12,OFFSET(CÁLCULO!$AB$15:$AL$15,$E26,0,OFFSET(ORÇAMENTO!$D$15,CRONO!$E26,0)))+IF(AND($E28&lt;&gt;"",$E28&lt;&gt;0),SUMIF(CÁLCULO!$AM$15:$AW$192,"="&amp;CRONO!AO$12,CÁLCULO!$AB$15:$AL$192)/(ORÇAMENTO!$X$15-CÁLCULO.TotalAdmLocal)*CRONO!$E28,0),AO27*$R26),SUMIF(OFFSET($R28,1,0,$Q26-2),($L26+1)&amp;"$",OFFSET(AO28,1,0,$Q26-2)))</f>
        <v>0</v>
      </c>
      <c r="AP28" s="257">
        <f ca="1">IF($Q26=2,IF(AND(ACOMPANHAMENTO="PLE",ISNUMBER($E26)),SUMIF((OFFSET(CÁLCULO!$AM$15:$AW$15,$E26,0,OFFSET(ORÇAMENTO!$D$15,CRONO!$E26,0))),"="&amp;CRONO!AP$12,OFFSET(CÁLCULO!$AB$15:$AL$15,$E26,0,OFFSET(ORÇAMENTO!$D$15,CRONO!$E26,0)))+IF(AND($E28&lt;&gt;"",$E28&lt;&gt;0),SUMIF(CÁLCULO!$AM$15:$AW$192,"="&amp;CRONO!AP$12,CÁLCULO!$AB$15:$AL$192)/(ORÇAMENTO!$X$15-CÁLCULO.TotalAdmLocal)*CRONO!$E28,0),AP27*$R26),SUMIF(OFFSET($R28,1,0,$Q26-2),($L26+1)&amp;"$",OFFSET(AP28,1,0,$Q26-2)))</f>
        <v>0</v>
      </c>
      <c r="AQ28" s="262">
        <f ca="1">IF($Q26=2,IF(AND(ACOMPANHAMENTO="PLE",ISNUMBER($E26)),SUMIF((OFFSET(CÁLCULO!$AM$15:$AW$15,$E26,0,OFFSET(ORÇAMENTO!$D$15,CRONO!$E26,0))),"="&amp;CRONO!AQ$12,OFFSET(CÁLCULO!$AB$15:$AL$15,$E26,0,OFFSET(ORÇAMENTO!$D$15,CRONO!$E26,0)))+IF(AND($E28&lt;&gt;"",$E28&lt;&gt;0),SUMIF(CÁLCULO!$AM$15:$AW$192,"="&amp;CRONO!AQ$12,CÁLCULO!$AB$15:$AL$192)/(ORÇAMENTO!$X$15-CÁLCULO.TotalAdmLocal)*CRONO!$E28,0),AQ27*$R26),SUMIF(OFFSET($R28,1,0,$Q26-2),($L26+1)&amp;"$",OFFSET(AQ28,1,0,$Q26-2)))</f>
        <v>0</v>
      </c>
    </row>
    <row r="29" spans="1:44" x14ac:dyDescent="0.2">
      <c r="A29" s="238">
        <f ca="1">OFFSET(A29,-3,0)+1</f>
        <v>6</v>
      </c>
      <c r="B29" s="238">
        <f ca="1">IF($Q29&lt;&gt;2,0,IF($R29=0,1,IF(E30&gt;0,OFFSET(QCI!$M$13,SUBSTITUTE(E30,".",""),0),OFFSET(ORÇAMENTO!$AA$15,CRONO!$E29,0))/$R29))</f>
        <v>1</v>
      </c>
      <c r="C29" s="238">
        <f ca="1">IF($Q29&lt;&gt;2,0,IF($R29=0,1,IF(E30&gt;0,OFFSET(QCI!$N$13,SUBSTITUTE(E30,".",""),0),OFFSET(ORÇAMENTO!$AB$15,CRONO!$E29,0))/$R29))</f>
        <v>1</v>
      </c>
      <c r="D29" s="241">
        <f ca="1">IF(AND($Q29=2,ACOMPANHAMENTO="BM"),D30,D31/$R29)</f>
        <v>0</v>
      </c>
      <c r="E29" s="238">
        <f ca="1">IF(A29&lt;=ORÇAMENTO.MáximoListaCrono,MATCH(A29,ORÇAMENTO.ListaCrono,0),NA())</f>
        <v>27</v>
      </c>
      <c r="F29" s="238" t="str">
        <f ca="1">IF(AND($E30&lt;&gt;-1,$R29&gt;0),"F","")</f>
        <v/>
      </c>
      <c r="G29" s="242" t="str">
        <f ca="1">IF(OR(R29=0,R29=""),"Linha",IF(AND(OR(ACOMPANHAMENTO="PLE",$Q29&lt;&gt;2),$E30=0),"Linha",1-SUM(T29:AR29)))</f>
        <v>Linha</v>
      </c>
      <c r="H29" s="243" t="str">
        <f ca="1">IF($E30=0,OFFSET(ORÇAMENTO!O$15,$E29,0),IF($E30&lt;&gt;-1,OFFSET(QCI!$D$13,$E30,0),""))</f>
        <v>1.5.</v>
      </c>
      <c r="I29" s="244" t="str">
        <f ca="1">IF($E30=0,OFFSET(ORÇAMENTO!R$15,$E29,0),IF($E30&lt;&gt;-1,OFFSET(QCI!$G$13,$E30,0),""))</f>
        <v xml:space="preserve">ESCAVAÇÃO BALDRAME </v>
      </c>
      <c r="J29" s="244"/>
      <c r="K29" s="244"/>
      <c r="L29" s="245">
        <f ca="1">IF($E30=0,OFFSET(ORÇAMENTO!C$15,$E29,0),1)</f>
        <v>2</v>
      </c>
      <c r="M29" s="246">
        <f ca="1">IF($E30=-1,0,IF(M$13&lt;=$L29,IF(ISERROR(MATCH(M$13,OFFSET($L29,1,0,ROW($L$92)-ROW($L29)-1),0)),ROW($L$92)-ROW($L29)-1,MATCH(M$13,OFFSET($L29,1,0,ROW($L$92)-ROW($L29)-1),0)-1),0))</f>
        <v>62</v>
      </c>
      <c r="N29" s="246">
        <f ca="1">IF($E30=-1,0,IF(N$13&lt;=$L29,IF(ISERROR(MATCH(N$13,OFFSET($L29,1,0,ROW($L$92)-ROW($L29)-1),0)),ROW($L$92)-ROW($L29)-1,MATCH(N$13,OFFSET($L29,1,0,ROW($L$92)-ROW($L29)-1),0)-1),0))</f>
        <v>2</v>
      </c>
      <c r="O29" s="246">
        <f ca="1">IF($E30=-1,0,IF(O$13&lt;=$L29,IF(ISERROR(MATCH(O$13,OFFSET($L29,1,0,ROW($L$92)-ROW($L29)-1),0)),ROW($L$92)-ROW($L29)-1,MATCH(O$13,OFFSET($L29,1,0,ROW($L$92)-ROW($L29)-1),0)-1),0))</f>
        <v>0</v>
      </c>
      <c r="P29" s="246">
        <f ca="1">IF($E30=-1,0,IF(P$13&lt;=$L29,IF(ISERROR(MATCH(P$13,OFFSET($L29,1,0,ROW($L$92)-ROW($L29)-1),0)),ROW($L$92)-ROW($L29)-1,MATCH(P$13,OFFSET($L29,1,0,ROW($L$92)-ROW($L29)-1),0)-1),0))</f>
        <v>0</v>
      </c>
      <c r="Q29" s="246">
        <f ca="1">MIN(OFFSET(L29,0,1,,L29))</f>
        <v>2</v>
      </c>
      <c r="R29" s="247">
        <f ca="1">IF($E30=0,OFFSET(ORÇAMENTO!X$15,$E29,0),IF($E30&lt;&gt;-1,OFFSET(QCI!$O$13,$E30,0),""))</f>
        <v>0</v>
      </c>
      <c r="S29" s="248" t="s">
        <v>270</v>
      </c>
      <c r="T29" s="249">
        <f t="shared" ref="T29:AQ29" ca="1" si="10">IF(AND($Q29=2,ACOMPANHAMENTO="BM"),T30,T31/$R29)</f>
        <v>0</v>
      </c>
      <c r="U29" s="241">
        <f t="shared" ca="1" si="10"/>
        <v>0</v>
      </c>
      <c r="V29" s="241">
        <f t="shared" ca="1" si="10"/>
        <v>0.5</v>
      </c>
      <c r="W29" s="241">
        <f t="shared" ca="1" si="10"/>
        <v>0.5</v>
      </c>
      <c r="X29" s="241">
        <f t="shared" ca="1" si="10"/>
        <v>0</v>
      </c>
      <c r="Y29" s="241">
        <f t="shared" ca="1" si="10"/>
        <v>0</v>
      </c>
      <c r="Z29" s="241">
        <f t="shared" ca="1" si="10"/>
        <v>0</v>
      </c>
      <c r="AA29" s="241">
        <f t="shared" ca="1" si="10"/>
        <v>0</v>
      </c>
      <c r="AB29" s="241">
        <f t="shared" ca="1" si="10"/>
        <v>0</v>
      </c>
      <c r="AC29" s="241">
        <f t="shared" ca="1" si="10"/>
        <v>0</v>
      </c>
      <c r="AD29" s="241">
        <f t="shared" ca="1" si="10"/>
        <v>0</v>
      </c>
      <c r="AE29" s="250">
        <f t="shared" ca="1" si="10"/>
        <v>0</v>
      </c>
      <c r="AF29" s="249">
        <f t="shared" ca="1" si="10"/>
        <v>0</v>
      </c>
      <c r="AG29" s="241">
        <f t="shared" ca="1" si="10"/>
        <v>0</v>
      </c>
      <c r="AH29" s="241">
        <f t="shared" ca="1" si="10"/>
        <v>0</v>
      </c>
      <c r="AI29" s="241">
        <f t="shared" ca="1" si="10"/>
        <v>0</v>
      </c>
      <c r="AJ29" s="241">
        <f t="shared" ca="1" si="10"/>
        <v>0</v>
      </c>
      <c r="AK29" s="241">
        <f t="shared" ca="1" si="10"/>
        <v>0</v>
      </c>
      <c r="AL29" s="241">
        <f t="shared" ca="1" si="10"/>
        <v>0</v>
      </c>
      <c r="AM29" s="241">
        <f t="shared" ca="1" si="10"/>
        <v>0</v>
      </c>
      <c r="AN29" s="241">
        <f t="shared" ca="1" si="10"/>
        <v>0</v>
      </c>
      <c r="AO29" s="241">
        <f t="shared" ca="1" si="10"/>
        <v>0</v>
      </c>
      <c r="AP29" s="241">
        <f t="shared" ca="1" si="10"/>
        <v>0</v>
      </c>
      <c r="AQ29" s="250">
        <f t="shared" ca="1" si="10"/>
        <v>0</v>
      </c>
    </row>
    <row r="30" spans="1:44" ht="12.75" customHeight="1" x14ac:dyDescent="0.2">
      <c r="D30" s="657"/>
      <c r="E30" s="238">
        <f ca="1">IF(ISERROR(E29),IF(1+COUNTIF($L$13:OFFSET(L29,-1,0),1)&lt;=MAX(QCI!$D$13:$D$24),1+COUNTIF($L$13:OFFSET(L29,-1,0),1),-1),0)</f>
        <v>0</v>
      </c>
      <c r="F30" s="238" t="str">
        <f ca="1">IF(AND($E30&lt;&gt;-1,$R29&gt;0),"F","")</f>
        <v/>
      </c>
      <c r="G30" s="251" t="str">
        <f ca="1">IF(OR(R29=0,R29=""),"vazia",IF(AND(OR(ACOMPANHAMENTO="PLE",$Q29&lt;&gt;2),$E30=0),"calculada","--&gt;"))</f>
        <v>vazia</v>
      </c>
      <c r="H30" s="252"/>
      <c r="I30" s="253" t="str">
        <f ca="1">IF(AND(G29&lt;&gt;0,ISNUMBER(G29)),"PREENCHA ESTA LINHA --&gt;","")</f>
        <v/>
      </c>
      <c r="J30" s="253"/>
      <c r="K30" s="253"/>
      <c r="L30" s="254"/>
      <c r="M30" s="254"/>
      <c r="N30" s="254"/>
      <c r="O30" s="254"/>
      <c r="P30" s="254"/>
      <c r="Q30" s="254"/>
      <c r="R30" s="255"/>
      <c r="S30" s="256"/>
      <c r="T30" s="658"/>
      <c r="U30" s="657"/>
      <c r="V30" s="657">
        <v>0.5</v>
      </c>
      <c r="W30" s="657">
        <v>0.5</v>
      </c>
      <c r="X30" s="657"/>
      <c r="Y30" s="657"/>
      <c r="Z30" s="657"/>
      <c r="AA30" s="657"/>
      <c r="AB30" s="657"/>
      <c r="AC30" s="657"/>
      <c r="AD30" s="657"/>
      <c r="AE30" s="659"/>
      <c r="AF30" s="658"/>
      <c r="AG30" s="657"/>
      <c r="AH30" s="657"/>
      <c r="AI30" s="657"/>
      <c r="AJ30" s="657"/>
      <c r="AK30" s="657"/>
      <c r="AL30" s="657"/>
      <c r="AM30" s="657"/>
      <c r="AN30" s="657"/>
      <c r="AO30" s="657"/>
      <c r="AP30" s="657"/>
      <c r="AQ30" s="659"/>
      <c r="AR30" s="617"/>
    </row>
    <row r="31" spans="1:44" ht="0.2" hidden="1" customHeight="1" x14ac:dyDescent="0.2">
      <c r="D31" s="257">
        <f ca="1">IF($Q29=2,IF(AND(ACOMPANHAMENTO="PLE",ISNUMBER($E29)),SUMIF((OFFSET(CÁLCULO!$AM$15:$AW$15,$E29,0,OFFSET(ORÇAMENTO!$D$15,CRONO!$E29,0))),"="&amp;CRONO!D$12,OFFSET(CÁLCULO!$AB$15:$AL$15,$E29,0,OFFSET(ORÇAMENTO!$D$15,CRONO!$E29,0)))+IF(AND($E31&lt;&gt;"",$E31&lt;&gt;0),SUMIF(CÁLCULO!$AM$15:$AW$192,"="&amp;CRONO!D$12,CÁLCULO!$AB$15:$AL$192)/(ORÇAMENTO!$X$15-CÁLCULO.TotalAdmLocal)*CRONO!$E31,0),D30*$R29),SUMIF(OFFSET($R31,1,0,$Q29-2),($L29+1)&amp;"$",OFFSET(D31,1,0,$Q29-2)))</f>
        <v>0</v>
      </c>
      <c r="E31" s="238" t="str">
        <f ca="1">IF(OR($Q29&lt;&gt;2,AUTOEVENTO&lt;&gt;"manual",$E30&gt;0),"",SUMIF(OFFSET(CÁLCULO!$M$15,CRONO!$E29,0,OFFSET(ORÇAMENTO!$D$15,CRONO!$E29,0)),1,OFFSET(ORÇAMENTO!$X$15,CRONO!$E29,0,OFFSET(ORÇAMENTO!$D$15,CRONO!$E29,0))))</f>
        <v/>
      </c>
      <c r="G31" s="258"/>
      <c r="R31" s="259" t="str">
        <f ca="1">L29&amp;"$"</f>
        <v>2$</v>
      </c>
      <c r="S31" s="260"/>
      <c r="T31" s="261">
        <f ca="1">IF($Q29=2,IF(AND(ACOMPANHAMENTO="PLE",ISNUMBER($E29)),SUMIF((OFFSET(CÁLCULO!$AM$15:$AW$15,$E29,0,OFFSET(ORÇAMENTO!$D$15,CRONO!$E29,0))),"&lt;="&amp;CRONO!T$12,OFFSET(CÁLCULO!$AB$15:$AL$15,$E29,0,OFFSET(ORÇAMENTO!$D$15,CRONO!$E29,0)))+IF(AND($E31&lt;&gt;"",$E31&lt;&gt;0),SUMIF(CÁLCULO!$AM$15:$AW$192,"&lt;="&amp;CRONO!T$12,CÁLCULO!$AB$15:$AL$192)/(ORÇAMENTO!$X$15-CÁLCULO.TotalAdmLocal)*CRONO!$E31,0),T30*$R29),SUMIF(OFFSET($R31,1,0,$Q29-2),($L29+1)&amp;"$",OFFSET(T31,1,0,$Q29-2)))</f>
        <v>0</v>
      </c>
      <c r="U31" s="257">
        <f ca="1">IF($Q29=2,IF(AND(ACOMPANHAMENTO="PLE",ISNUMBER($E29)),SUMIF((OFFSET(CÁLCULO!$AM$15:$AW$15,$E29,0,OFFSET(ORÇAMENTO!$D$15,CRONO!$E29,0))),"="&amp;CRONO!U$12,OFFSET(CÁLCULO!$AB$15:$AL$15,$E29,0,OFFSET(ORÇAMENTO!$D$15,CRONO!$E29,0)))+IF(AND($E31&lt;&gt;"",$E31&lt;&gt;0),SUMIF(CÁLCULO!$AM$15:$AW$192,"="&amp;CRONO!U$12,CÁLCULO!$AB$15:$AL$192)/(ORÇAMENTO!$X$15-CÁLCULO.TotalAdmLocal)*CRONO!$E31,0),U30*$R29),SUMIF(OFFSET($R31,1,0,$Q29-2),($L29+1)&amp;"$",OFFSET(U31,1,0,$Q29-2)))</f>
        <v>0</v>
      </c>
      <c r="V31" s="257">
        <f ca="1">IF($Q29=2,IF(AND(ACOMPANHAMENTO="PLE",ISNUMBER($E29)),SUMIF((OFFSET(CÁLCULO!$AM$15:$AW$15,$E29,0,OFFSET(ORÇAMENTO!$D$15,CRONO!$E29,0))),"="&amp;CRONO!V$12,OFFSET(CÁLCULO!$AB$15:$AL$15,$E29,0,OFFSET(ORÇAMENTO!$D$15,CRONO!$E29,0)))+IF(AND($E31&lt;&gt;"",$E31&lt;&gt;0),SUMIF(CÁLCULO!$AM$15:$AW$192,"="&amp;CRONO!V$12,CÁLCULO!$AB$15:$AL$192)/(ORÇAMENTO!$X$15-CÁLCULO.TotalAdmLocal)*CRONO!$E31,0),V30*$R29),SUMIF(OFFSET($R31,1,0,$Q29-2),($L29+1)&amp;"$",OFFSET(V31,1,0,$Q29-2)))</f>
        <v>0</v>
      </c>
      <c r="W31" s="257">
        <f ca="1">IF($Q29=2,IF(AND(ACOMPANHAMENTO="PLE",ISNUMBER($E29)),SUMIF((OFFSET(CÁLCULO!$AM$15:$AW$15,$E29,0,OFFSET(ORÇAMENTO!$D$15,CRONO!$E29,0))),"="&amp;CRONO!W$12,OFFSET(CÁLCULO!$AB$15:$AL$15,$E29,0,OFFSET(ORÇAMENTO!$D$15,CRONO!$E29,0)))+IF(AND($E31&lt;&gt;"",$E31&lt;&gt;0),SUMIF(CÁLCULO!$AM$15:$AW$192,"="&amp;CRONO!W$12,CÁLCULO!$AB$15:$AL$192)/(ORÇAMENTO!$X$15-CÁLCULO.TotalAdmLocal)*CRONO!$E31,0),W30*$R29),SUMIF(OFFSET($R31,1,0,$Q29-2),($L29+1)&amp;"$",OFFSET(W31,1,0,$Q29-2)))</f>
        <v>0</v>
      </c>
      <c r="X31" s="257">
        <f ca="1">IF($Q29=2,IF(AND(ACOMPANHAMENTO="PLE",ISNUMBER($E29)),SUMIF((OFFSET(CÁLCULO!$AM$15:$AW$15,$E29,0,OFFSET(ORÇAMENTO!$D$15,CRONO!$E29,0))),"="&amp;CRONO!X$12,OFFSET(CÁLCULO!$AB$15:$AL$15,$E29,0,OFFSET(ORÇAMENTO!$D$15,CRONO!$E29,0)))+IF(AND($E31&lt;&gt;"",$E31&lt;&gt;0),SUMIF(CÁLCULO!$AM$15:$AW$192,"="&amp;CRONO!X$12,CÁLCULO!$AB$15:$AL$192)/(ORÇAMENTO!$X$15-CÁLCULO.TotalAdmLocal)*CRONO!$E31,0),X30*$R29),SUMIF(OFFSET($R31,1,0,$Q29-2),($L29+1)&amp;"$",OFFSET(X31,1,0,$Q29-2)))</f>
        <v>0</v>
      </c>
      <c r="Y31" s="257">
        <f ca="1">IF($Q29=2,IF(AND(ACOMPANHAMENTO="PLE",ISNUMBER($E29)),SUMIF((OFFSET(CÁLCULO!$AM$15:$AW$15,$E29,0,OFFSET(ORÇAMENTO!$D$15,CRONO!$E29,0))),"="&amp;CRONO!Y$12,OFFSET(CÁLCULO!$AB$15:$AL$15,$E29,0,OFFSET(ORÇAMENTO!$D$15,CRONO!$E29,0)))+IF(AND($E31&lt;&gt;"",$E31&lt;&gt;0),SUMIF(CÁLCULO!$AM$15:$AW$192,"="&amp;CRONO!Y$12,CÁLCULO!$AB$15:$AL$192)/(ORÇAMENTO!$X$15-CÁLCULO.TotalAdmLocal)*CRONO!$E31,0),Y30*$R29),SUMIF(OFFSET($R31,1,0,$Q29-2),($L29+1)&amp;"$",OFFSET(Y31,1,0,$Q29-2)))</f>
        <v>0</v>
      </c>
      <c r="Z31" s="257">
        <f ca="1">IF($Q29=2,IF(AND(ACOMPANHAMENTO="PLE",ISNUMBER($E29)),SUMIF((OFFSET(CÁLCULO!$AM$15:$AW$15,$E29,0,OFFSET(ORÇAMENTO!$D$15,CRONO!$E29,0))),"="&amp;CRONO!Z$12,OFFSET(CÁLCULO!$AB$15:$AL$15,$E29,0,OFFSET(ORÇAMENTO!$D$15,CRONO!$E29,0)))+IF(AND($E31&lt;&gt;"",$E31&lt;&gt;0),SUMIF(CÁLCULO!$AM$15:$AW$192,"="&amp;CRONO!Z$12,CÁLCULO!$AB$15:$AL$192)/(ORÇAMENTO!$X$15-CÁLCULO.TotalAdmLocal)*CRONO!$E31,0),Z30*$R29),SUMIF(OFFSET($R31,1,0,$Q29-2),($L29+1)&amp;"$",OFFSET(Z31,1,0,$Q29-2)))</f>
        <v>0</v>
      </c>
      <c r="AA31" s="257">
        <f ca="1">IF($Q29=2,IF(AND(ACOMPANHAMENTO="PLE",ISNUMBER($E29)),SUMIF((OFFSET(CÁLCULO!$AM$15:$AW$15,$E29,0,OFFSET(ORÇAMENTO!$D$15,CRONO!$E29,0))),"="&amp;CRONO!AA$12,OFFSET(CÁLCULO!$AB$15:$AL$15,$E29,0,OFFSET(ORÇAMENTO!$D$15,CRONO!$E29,0)))+IF(AND($E31&lt;&gt;"",$E31&lt;&gt;0),SUMIF(CÁLCULO!$AM$15:$AW$192,"="&amp;CRONO!AA$12,CÁLCULO!$AB$15:$AL$192)/(ORÇAMENTO!$X$15-CÁLCULO.TotalAdmLocal)*CRONO!$E31,0),AA30*$R29),SUMIF(OFFSET($R31,1,0,$Q29-2),($L29+1)&amp;"$",OFFSET(AA31,1,0,$Q29-2)))</f>
        <v>0</v>
      </c>
      <c r="AB31" s="257">
        <f ca="1">IF($Q29=2,IF(AND(ACOMPANHAMENTO="PLE",ISNUMBER($E29)),SUMIF((OFFSET(CÁLCULO!$AM$15:$AW$15,$E29,0,OFFSET(ORÇAMENTO!$D$15,CRONO!$E29,0))),"="&amp;CRONO!AB$12,OFFSET(CÁLCULO!$AB$15:$AL$15,$E29,0,OFFSET(ORÇAMENTO!$D$15,CRONO!$E29,0)))+IF(AND($E31&lt;&gt;"",$E31&lt;&gt;0),SUMIF(CÁLCULO!$AM$15:$AW$192,"="&amp;CRONO!AB$12,CÁLCULO!$AB$15:$AL$192)/(ORÇAMENTO!$X$15-CÁLCULO.TotalAdmLocal)*CRONO!$E31,0),AB30*$R29),SUMIF(OFFSET($R31,1,0,$Q29-2),($L29+1)&amp;"$",OFFSET(AB31,1,0,$Q29-2)))</f>
        <v>0</v>
      </c>
      <c r="AC31" s="257">
        <f ca="1">IF($Q29=2,IF(AND(ACOMPANHAMENTO="PLE",ISNUMBER($E29)),SUMIF((OFFSET(CÁLCULO!$AM$15:$AW$15,$E29,0,OFFSET(ORÇAMENTO!$D$15,CRONO!$E29,0))),"="&amp;CRONO!AC$12,OFFSET(CÁLCULO!$AB$15:$AL$15,$E29,0,OFFSET(ORÇAMENTO!$D$15,CRONO!$E29,0)))+IF(AND($E31&lt;&gt;"",$E31&lt;&gt;0),SUMIF(CÁLCULO!$AM$15:$AW$192,"="&amp;CRONO!AC$12,CÁLCULO!$AB$15:$AL$192)/(ORÇAMENTO!$X$15-CÁLCULO.TotalAdmLocal)*CRONO!$E31,0),AC30*$R29),SUMIF(OFFSET($R31,1,0,$Q29-2),($L29+1)&amp;"$",OFFSET(AC31,1,0,$Q29-2)))</f>
        <v>0</v>
      </c>
      <c r="AD31" s="257">
        <f ca="1">IF($Q29=2,IF(AND(ACOMPANHAMENTO="PLE",ISNUMBER($E29)),SUMIF((OFFSET(CÁLCULO!$AM$15:$AW$15,$E29,0,OFFSET(ORÇAMENTO!$D$15,CRONO!$E29,0))),"="&amp;CRONO!AD$12,OFFSET(CÁLCULO!$AB$15:$AL$15,$E29,0,OFFSET(ORÇAMENTO!$D$15,CRONO!$E29,0)))+IF(AND($E31&lt;&gt;"",$E31&lt;&gt;0),SUMIF(CÁLCULO!$AM$15:$AW$192,"="&amp;CRONO!AD$12,CÁLCULO!$AB$15:$AL$192)/(ORÇAMENTO!$X$15-CÁLCULO.TotalAdmLocal)*CRONO!$E31,0),AD30*$R29),SUMIF(OFFSET($R31,1,0,$Q29-2),($L29+1)&amp;"$",OFFSET(AD31,1,0,$Q29-2)))</f>
        <v>0</v>
      </c>
      <c r="AE31" s="262">
        <f ca="1">IF($Q29=2,IF(AND(ACOMPANHAMENTO="PLE",ISNUMBER($E29)),SUMIF((OFFSET(CÁLCULO!$AM$15:$AW$15,$E29,0,OFFSET(ORÇAMENTO!$D$15,CRONO!$E29,0))),"="&amp;CRONO!AE$12,OFFSET(CÁLCULO!$AB$15:$AL$15,$E29,0,OFFSET(ORÇAMENTO!$D$15,CRONO!$E29,0)))+IF(AND($E31&lt;&gt;"",$E31&lt;&gt;0),SUMIF(CÁLCULO!$AM$15:$AW$192,"="&amp;CRONO!AE$12,CÁLCULO!$AB$15:$AL$192)/(ORÇAMENTO!$X$15-CÁLCULO.TotalAdmLocal)*CRONO!$E31,0),AE30*$R29),SUMIF(OFFSET($R31,1,0,$Q29-2),($L29+1)&amp;"$",OFFSET(AE31,1,0,$Q29-2)))</f>
        <v>0</v>
      </c>
      <c r="AF31" s="261">
        <f ca="1">IF($Q29=2,IF(AND(ACOMPANHAMENTO="PLE",ISNUMBER($E29)),SUMIF((OFFSET(CÁLCULO!$AM$15:$AW$15,$E29,0,OFFSET(ORÇAMENTO!$D$15,CRONO!$E29,0))),"="&amp;CRONO!AF$12,OFFSET(CÁLCULO!$AB$15:$AL$15,$E29,0,OFFSET(ORÇAMENTO!$D$15,CRONO!$E29,0)))+IF(AND($E31&lt;&gt;"",$E31&lt;&gt;0),SUMIF(CÁLCULO!$AM$15:$AW$192,"="&amp;CRONO!AF$12,CÁLCULO!$AB$15:$AL$192)/(ORÇAMENTO!$X$15-CÁLCULO.TotalAdmLocal)*CRONO!$E31,0),AF30*$R29),SUMIF(OFFSET($R31,1,0,$Q29-2),($L29+1)&amp;"$",OFFSET(AF31,1,0,$Q29-2)))</f>
        <v>0</v>
      </c>
      <c r="AG31" s="257">
        <f ca="1">IF($Q29=2,IF(AND(ACOMPANHAMENTO="PLE",ISNUMBER($E29)),SUMIF((OFFSET(CÁLCULO!$AM$15:$AW$15,$E29,0,OFFSET(ORÇAMENTO!$D$15,CRONO!$E29,0))),"="&amp;CRONO!AG$12,OFFSET(CÁLCULO!$AB$15:$AL$15,$E29,0,OFFSET(ORÇAMENTO!$D$15,CRONO!$E29,0)))+IF(AND($E31&lt;&gt;"",$E31&lt;&gt;0),SUMIF(CÁLCULO!$AM$15:$AW$192,"="&amp;CRONO!AG$12,CÁLCULO!$AB$15:$AL$192)/(ORÇAMENTO!$X$15-CÁLCULO.TotalAdmLocal)*CRONO!$E31,0),AG30*$R29),SUMIF(OFFSET($R31,1,0,$Q29-2),($L29+1)&amp;"$",OFFSET(AG31,1,0,$Q29-2)))</f>
        <v>0</v>
      </c>
      <c r="AH31" s="257">
        <f ca="1">IF($Q29=2,IF(AND(ACOMPANHAMENTO="PLE",ISNUMBER($E29)),SUMIF((OFFSET(CÁLCULO!$AM$15:$AW$15,$E29,0,OFFSET(ORÇAMENTO!$D$15,CRONO!$E29,0))),"="&amp;CRONO!AH$12,OFFSET(CÁLCULO!$AB$15:$AL$15,$E29,0,OFFSET(ORÇAMENTO!$D$15,CRONO!$E29,0)))+IF(AND($E31&lt;&gt;"",$E31&lt;&gt;0),SUMIF(CÁLCULO!$AM$15:$AW$192,"="&amp;CRONO!AH$12,CÁLCULO!$AB$15:$AL$192)/(ORÇAMENTO!$X$15-CÁLCULO.TotalAdmLocal)*CRONO!$E31,0),AH30*$R29),SUMIF(OFFSET($R31,1,0,$Q29-2),($L29+1)&amp;"$",OFFSET(AH31,1,0,$Q29-2)))</f>
        <v>0</v>
      </c>
      <c r="AI31" s="257">
        <f ca="1">IF($Q29=2,IF(AND(ACOMPANHAMENTO="PLE",ISNUMBER($E29)),SUMIF((OFFSET(CÁLCULO!$AM$15:$AW$15,$E29,0,OFFSET(ORÇAMENTO!$D$15,CRONO!$E29,0))),"="&amp;CRONO!AI$12,OFFSET(CÁLCULO!$AB$15:$AL$15,$E29,0,OFFSET(ORÇAMENTO!$D$15,CRONO!$E29,0)))+IF(AND($E31&lt;&gt;"",$E31&lt;&gt;0),SUMIF(CÁLCULO!$AM$15:$AW$192,"="&amp;CRONO!AI$12,CÁLCULO!$AB$15:$AL$192)/(ORÇAMENTO!$X$15-CÁLCULO.TotalAdmLocal)*CRONO!$E31,0),AI30*$R29),SUMIF(OFFSET($R31,1,0,$Q29-2),($L29+1)&amp;"$",OFFSET(AI31,1,0,$Q29-2)))</f>
        <v>0</v>
      </c>
      <c r="AJ31" s="257">
        <f ca="1">IF($Q29=2,IF(AND(ACOMPANHAMENTO="PLE",ISNUMBER($E29)),SUMIF((OFFSET(CÁLCULO!$AM$15:$AW$15,$E29,0,OFFSET(ORÇAMENTO!$D$15,CRONO!$E29,0))),"="&amp;CRONO!AJ$12,OFFSET(CÁLCULO!$AB$15:$AL$15,$E29,0,OFFSET(ORÇAMENTO!$D$15,CRONO!$E29,0)))+IF(AND($E31&lt;&gt;"",$E31&lt;&gt;0),SUMIF(CÁLCULO!$AM$15:$AW$192,"="&amp;CRONO!AJ$12,CÁLCULO!$AB$15:$AL$192)/(ORÇAMENTO!$X$15-CÁLCULO.TotalAdmLocal)*CRONO!$E31,0),AJ30*$R29),SUMIF(OFFSET($R31,1,0,$Q29-2),($L29+1)&amp;"$",OFFSET(AJ31,1,0,$Q29-2)))</f>
        <v>0</v>
      </c>
      <c r="AK31" s="257">
        <f ca="1">IF($Q29=2,IF(AND(ACOMPANHAMENTO="PLE",ISNUMBER($E29)),SUMIF((OFFSET(CÁLCULO!$AM$15:$AW$15,$E29,0,OFFSET(ORÇAMENTO!$D$15,CRONO!$E29,0))),"="&amp;CRONO!AK$12,OFFSET(CÁLCULO!$AB$15:$AL$15,$E29,0,OFFSET(ORÇAMENTO!$D$15,CRONO!$E29,0)))+IF(AND($E31&lt;&gt;"",$E31&lt;&gt;0),SUMIF(CÁLCULO!$AM$15:$AW$192,"="&amp;CRONO!AK$12,CÁLCULO!$AB$15:$AL$192)/(ORÇAMENTO!$X$15-CÁLCULO.TotalAdmLocal)*CRONO!$E31,0),AK30*$R29),SUMIF(OFFSET($R31,1,0,$Q29-2),($L29+1)&amp;"$",OFFSET(AK31,1,0,$Q29-2)))</f>
        <v>0</v>
      </c>
      <c r="AL31" s="257">
        <f ca="1">IF($Q29=2,IF(AND(ACOMPANHAMENTO="PLE",ISNUMBER($E29)),SUMIF((OFFSET(CÁLCULO!$AM$15:$AW$15,$E29,0,OFFSET(ORÇAMENTO!$D$15,CRONO!$E29,0))),"="&amp;CRONO!AL$12,OFFSET(CÁLCULO!$AB$15:$AL$15,$E29,0,OFFSET(ORÇAMENTO!$D$15,CRONO!$E29,0)))+IF(AND($E31&lt;&gt;"",$E31&lt;&gt;0),SUMIF(CÁLCULO!$AM$15:$AW$192,"="&amp;CRONO!AL$12,CÁLCULO!$AB$15:$AL$192)/(ORÇAMENTO!$X$15-CÁLCULO.TotalAdmLocal)*CRONO!$E31,0),AL30*$R29),SUMIF(OFFSET($R31,1,0,$Q29-2),($L29+1)&amp;"$",OFFSET(AL31,1,0,$Q29-2)))</f>
        <v>0</v>
      </c>
      <c r="AM31" s="257">
        <f ca="1">IF($Q29=2,IF(AND(ACOMPANHAMENTO="PLE",ISNUMBER($E29)),SUMIF((OFFSET(CÁLCULO!$AM$15:$AW$15,$E29,0,OFFSET(ORÇAMENTO!$D$15,CRONO!$E29,0))),"="&amp;CRONO!AM$12,OFFSET(CÁLCULO!$AB$15:$AL$15,$E29,0,OFFSET(ORÇAMENTO!$D$15,CRONO!$E29,0)))+IF(AND($E31&lt;&gt;"",$E31&lt;&gt;0),SUMIF(CÁLCULO!$AM$15:$AW$192,"="&amp;CRONO!AM$12,CÁLCULO!$AB$15:$AL$192)/(ORÇAMENTO!$X$15-CÁLCULO.TotalAdmLocal)*CRONO!$E31,0),AM30*$R29),SUMIF(OFFSET($R31,1,0,$Q29-2),($L29+1)&amp;"$",OFFSET(AM31,1,0,$Q29-2)))</f>
        <v>0</v>
      </c>
      <c r="AN31" s="257">
        <f ca="1">IF($Q29=2,IF(AND(ACOMPANHAMENTO="PLE",ISNUMBER($E29)),SUMIF((OFFSET(CÁLCULO!$AM$15:$AW$15,$E29,0,OFFSET(ORÇAMENTO!$D$15,CRONO!$E29,0))),"="&amp;CRONO!AN$12,OFFSET(CÁLCULO!$AB$15:$AL$15,$E29,0,OFFSET(ORÇAMENTO!$D$15,CRONO!$E29,0)))+IF(AND($E31&lt;&gt;"",$E31&lt;&gt;0),SUMIF(CÁLCULO!$AM$15:$AW$192,"="&amp;CRONO!AN$12,CÁLCULO!$AB$15:$AL$192)/(ORÇAMENTO!$X$15-CÁLCULO.TotalAdmLocal)*CRONO!$E31,0),AN30*$R29),SUMIF(OFFSET($R31,1,0,$Q29-2),($L29+1)&amp;"$",OFFSET(AN31,1,0,$Q29-2)))</f>
        <v>0</v>
      </c>
      <c r="AO31" s="257">
        <f ca="1">IF($Q29=2,IF(AND(ACOMPANHAMENTO="PLE",ISNUMBER($E29)),SUMIF((OFFSET(CÁLCULO!$AM$15:$AW$15,$E29,0,OFFSET(ORÇAMENTO!$D$15,CRONO!$E29,0))),"="&amp;CRONO!AO$12,OFFSET(CÁLCULO!$AB$15:$AL$15,$E29,0,OFFSET(ORÇAMENTO!$D$15,CRONO!$E29,0)))+IF(AND($E31&lt;&gt;"",$E31&lt;&gt;0),SUMIF(CÁLCULO!$AM$15:$AW$192,"="&amp;CRONO!AO$12,CÁLCULO!$AB$15:$AL$192)/(ORÇAMENTO!$X$15-CÁLCULO.TotalAdmLocal)*CRONO!$E31,0),AO30*$R29),SUMIF(OFFSET($R31,1,0,$Q29-2),($L29+1)&amp;"$",OFFSET(AO31,1,0,$Q29-2)))</f>
        <v>0</v>
      </c>
      <c r="AP31" s="257">
        <f ca="1">IF($Q29=2,IF(AND(ACOMPANHAMENTO="PLE",ISNUMBER($E29)),SUMIF((OFFSET(CÁLCULO!$AM$15:$AW$15,$E29,0,OFFSET(ORÇAMENTO!$D$15,CRONO!$E29,0))),"="&amp;CRONO!AP$12,OFFSET(CÁLCULO!$AB$15:$AL$15,$E29,0,OFFSET(ORÇAMENTO!$D$15,CRONO!$E29,0)))+IF(AND($E31&lt;&gt;"",$E31&lt;&gt;0),SUMIF(CÁLCULO!$AM$15:$AW$192,"="&amp;CRONO!AP$12,CÁLCULO!$AB$15:$AL$192)/(ORÇAMENTO!$X$15-CÁLCULO.TotalAdmLocal)*CRONO!$E31,0),AP30*$R29),SUMIF(OFFSET($R31,1,0,$Q29-2),($L29+1)&amp;"$",OFFSET(AP31,1,0,$Q29-2)))</f>
        <v>0</v>
      </c>
      <c r="AQ31" s="262">
        <f ca="1">IF($Q29=2,IF(AND(ACOMPANHAMENTO="PLE",ISNUMBER($E29)),SUMIF((OFFSET(CÁLCULO!$AM$15:$AW$15,$E29,0,OFFSET(ORÇAMENTO!$D$15,CRONO!$E29,0))),"="&amp;CRONO!AQ$12,OFFSET(CÁLCULO!$AB$15:$AL$15,$E29,0,OFFSET(ORÇAMENTO!$D$15,CRONO!$E29,0)))+IF(AND($E31&lt;&gt;"",$E31&lt;&gt;0),SUMIF(CÁLCULO!$AM$15:$AW$192,"="&amp;CRONO!AQ$12,CÁLCULO!$AB$15:$AL$192)/(ORÇAMENTO!$X$15-CÁLCULO.TotalAdmLocal)*CRONO!$E31,0),AQ30*$R29),SUMIF(OFFSET($R31,1,0,$Q29-2),($L29+1)&amp;"$",OFFSET(AQ31,1,0,$Q29-2)))</f>
        <v>0</v>
      </c>
    </row>
    <row r="32" spans="1:44" x14ac:dyDescent="0.2">
      <c r="A32" s="238">
        <f ca="1">OFFSET(A32,-3,0)+1</f>
        <v>7</v>
      </c>
      <c r="B32" s="238">
        <f ca="1">IF($Q32&lt;&gt;2,0,IF($R32=0,1,IF(E33&gt;0,OFFSET(QCI!$M$13,SUBSTITUTE(E33,".",""),0),OFFSET(ORÇAMENTO!$AA$15,CRONO!$E32,0))/$R32))</f>
        <v>1</v>
      </c>
      <c r="C32" s="238">
        <f ca="1">IF($Q32&lt;&gt;2,0,IF($R32=0,1,IF(E33&gt;0,OFFSET(QCI!$N$13,SUBSTITUTE(E33,".",""),0),OFFSET(ORÇAMENTO!$AB$15,CRONO!$E32,0))/$R32))</f>
        <v>1</v>
      </c>
      <c r="D32" s="241">
        <f ca="1">IF(AND($Q32=2,ACOMPANHAMENTO="BM"),D33,D34/$R32)</f>
        <v>0</v>
      </c>
      <c r="E32" s="238">
        <f ca="1">IF(A32&lt;=ORÇAMENTO.MáximoListaCrono,MATCH(A32,ORÇAMENTO.ListaCrono,0),NA())</f>
        <v>30</v>
      </c>
      <c r="F32" s="238" t="str">
        <f ca="1">IF(AND($E33&lt;&gt;-1,$R32&gt;0),"F","")</f>
        <v/>
      </c>
      <c r="G32" s="242" t="str">
        <f ca="1">IF(OR(R32=0,R32=""),"Linha",IF(AND(OR(ACOMPANHAMENTO="PLE",$Q32&lt;&gt;2),$E33=0),"Linha",1-SUM(T32:AR32)))</f>
        <v>Linha</v>
      </c>
      <c r="H32" s="243" t="str">
        <f ca="1">IF($E33=0,OFFSET(ORÇAMENTO!O$15,$E32,0),IF($E33&lt;&gt;-1,OFFSET(QCI!$D$13,$E33,0),""))</f>
        <v>1.6.</v>
      </c>
      <c r="I32" s="244" t="str">
        <f ca="1">IF($E33=0,OFFSET(ORÇAMENTO!R$15,$E32,0),IF($E33&lt;&gt;-1,OFFSET(QCI!$G$13,$E33,0),""))</f>
        <v>PILARES (INCLUSO COLARINHO)</v>
      </c>
      <c r="J32" s="244"/>
      <c r="K32" s="244"/>
      <c r="L32" s="245">
        <f ca="1">IF($E33=0,OFFSET(ORÇAMENTO!C$15,$E32,0),1)</f>
        <v>2</v>
      </c>
      <c r="M32" s="246">
        <f ca="1">IF($E33=-1,0,IF(M$13&lt;=$L32,IF(ISERROR(MATCH(M$13,OFFSET($L32,1,0,ROW($L$92)-ROW($L32)-1),0)),ROW($L$92)-ROW($L32)-1,MATCH(M$13,OFFSET($L32,1,0,ROW($L$92)-ROW($L32)-1),0)-1),0))</f>
        <v>59</v>
      </c>
      <c r="N32" s="246">
        <f ca="1">IF($E33=-1,0,IF(N$13&lt;=$L32,IF(ISERROR(MATCH(N$13,OFFSET($L32,1,0,ROW($L$92)-ROW($L32)-1),0)),ROW($L$92)-ROW($L32)-1,MATCH(N$13,OFFSET($L32,1,0,ROW($L$92)-ROW($L32)-1),0)-1),0))</f>
        <v>2</v>
      </c>
      <c r="O32" s="246">
        <f ca="1">IF($E33=-1,0,IF(O$13&lt;=$L32,IF(ISERROR(MATCH(O$13,OFFSET($L32,1,0,ROW($L$92)-ROW($L32)-1),0)),ROW($L$92)-ROW($L32)-1,MATCH(O$13,OFFSET($L32,1,0,ROW($L$92)-ROW($L32)-1),0)-1),0))</f>
        <v>0</v>
      </c>
      <c r="P32" s="246">
        <f ca="1">IF($E33=-1,0,IF(P$13&lt;=$L32,IF(ISERROR(MATCH(P$13,OFFSET($L32,1,0,ROW($L$92)-ROW($L32)-1),0)),ROW($L$92)-ROW($L32)-1,MATCH(P$13,OFFSET($L32,1,0,ROW($L$92)-ROW($L32)-1),0)-1),0))</f>
        <v>0</v>
      </c>
      <c r="Q32" s="246">
        <f ca="1">MIN(OFFSET(L32,0,1,,L32))</f>
        <v>2</v>
      </c>
      <c r="R32" s="247">
        <f ca="1">IF($E33=0,OFFSET(ORÇAMENTO!X$15,$E32,0),IF($E33&lt;&gt;-1,OFFSET(QCI!$O$13,$E33,0),""))</f>
        <v>0</v>
      </c>
      <c r="S32" s="248" t="s">
        <v>270</v>
      </c>
      <c r="T32" s="249">
        <f t="shared" ref="T32:AQ32" ca="1" si="11">IF(AND($Q32=2,ACOMPANHAMENTO="BM"),T33,T34/$R32)</f>
        <v>0</v>
      </c>
      <c r="U32" s="241">
        <f t="shared" ca="1" si="11"/>
        <v>0.25</v>
      </c>
      <c r="V32" s="241">
        <f t="shared" ca="1" si="11"/>
        <v>0.25</v>
      </c>
      <c r="W32" s="241">
        <f t="shared" ca="1" si="11"/>
        <v>0.25</v>
      </c>
      <c r="X32" s="241">
        <f t="shared" ca="1" si="11"/>
        <v>0.25</v>
      </c>
      <c r="Y32" s="241">
        <f t="shared" ca="1" si="11"/>
        <v>0</v>
      </c>
      <c r="Z32" s="241">
        <f t="shared" ca="1" si="11"/>
        <v>0</v>
      </c>
      <c r="AA32" s="241">
        <f t="shared" ca="1" si="11"/>
        <v>0</v>
      </c>
      <c r="AB32" s="241">
        <f t="shared" ca="1" si="11"/>
        <v>0</v>
      </c>
      <c r="AC32" s="241">
        <f t="shared" ca="1" si="11"/>
        <v>0</v>
      </c>
      <c r="AD32" s="241">
        <f t="shared" ca="1" si="11"/>
        <v>0</v>
      </c>
      <c r="AE32" s="250">
        <f t="shared" ca="1" si="11"/>
        <v>0</v>
      </c>
      <c r="AF32" s="249">
        <f t="shared" ca="1" si="11"/>
        <v>0</v>
      </c>
      <c r="AG32" s="241">
        <f t="shared" ca="1" si="11"/>
        <v>0</v>
      </c>
      <c r="AH32" s="241">
        <f t="shared" ca="1" si="11"/>
        <v>0</v>
      </c>
      <c r="AI32" s="241">
        <f t="shared" ca="1" si="11"/>
        <v>0</v>
      </c>
      <c r="AJ32" s="241">
        <f t="shared" ca="1" si="11"/>
        <v>0</v>
      </c>
      <c r="AK32" s="241">
        <f t="shared" ca="1" si="11"/>
        <v>0</v>
      </c>
      <c r="AL32" s="241">
        <f t="shared" ca="1" si="11"/>
        <v>0</v>
      </c>
      <c r="AM32" s="241">
        <f t="shared" ca="1" si="11"/>
        <v>0</v>
      </c>
      <c r="AN32" s="241">
        <f t="shared" ca="1" si="11"/>
        <v>0</v>
      </c>
      <c r="AO32" s="241">
        <f t="shared" ca="1" si="11"/>
        <v>0</v>
      </c>
      <c r="AP32" s="241">
        <f t="shared" ca="1" si="11"/>
        <v>0</v>
      </c>
      <c r="AQ32" s="250">
        <f t="shared" ca="1" si="11"/>
        <v>0</v>
      </c>
    </row>
    <row r="33" spans="1:44" ht="12.75" customHeight="1" x14ac:dyDescent="0.2">
      <c r="D33" s="657"/>
      <c r="E33" s="238">
        <f ca="1">IF(ISERROR(E32),IF(1+COUNTIF($L$13:OFFSET(L32,-1,0),1)&lt;=MAX(QCI!$D$13:$D$24),1+COUNTIF($L$13:OFFSET(L32,-1,0),1),-1),0)</f>
        <v>0</v>
      </c>
      <c r="F33" s="238" t="str">
        <f ca="1">IF(AND($E33&lt;&gt;-1,$R32&gt;0),"F","")</f>
        <v/>
      </c>
      <c r="G33" s="251" t="str">
        <f ca="1">IF(OR(R32=0,R32=""),"vazia",IF(AND(OR(ACOMPANHAMENTO="PLE",$Q32&lt;&gt;2),$E33=0),"calculada","--&gt;"))</f>
        <v>vazia</v>
      </c>
      <c r="H33" s="252"/>
      <c r="I33" s="253" t="str">
        <f ca="1">IF(AND(G32&lt;&gt;0,ISNUMBER(G32)),"PREENCHA ESTA LINHA --&gt;","")</f>
        <v/>
      </c>
      <c r="J33" s="253"/>
      <c r="K33" s="253"/>
      <c r="L33" s="254"/>
      <c r="M33" s="254"/>
      <c r="N33" s="254"/>
      <c r="O33" s="254"/>
      <c r="P33" s="254"/>
      <c r="Q33" s="254"/>
      <c r="R33" s="255"/>
      <c r="S33" s="256"/>
      <c r="T33" s="658"/>
      <c r="U33" s="657">
        <v>0.25</v>
      </c>
      <c r="V33" s="657">
        <v>0.25</v>
      </c>
      <c r="W33" s="657">
        <v>0.25</v>
      </c>
      <c r="X33" s="657">
        <v>0.25</v>
      </c>
      <c r="Y33" s="657"/>
      <c r="Z33" s="657"/>
      <c r="AA33" s="657"/>
      <c r="AB33" s="657"/>
      <c r="AC33" s="657"/>
      <c r="AD33" s="657"/>
      <c r="AE33" s="659"/>
      <c r="AF33" s="658"/>
      <c r="AG33" s="657"/>
      <c r="AH33" s="657"/>
      <c r="AI33" s="657"/>
      <c r="AJ33" s="657"/>
      <c r="AK33" s="657"/>
      <c r="AL33" s="657"/>
      <c r="AM33" s="657"/>
      <c r="AN33" s="657"/>
      <c r="AO33" s="657"/>
      <c r="AP33" s="657"/>
      <c r="AQ33" s="659"/>
      <c r="AR33" s="617"/>
    </row>
    <row r="34" spans="1:44" ht="0.2" hidden="1" customHeight="1" x14ac:dyDescent="0.2">
      <c r="D34" s="257">
        <f ca="1">IF($Q32=2,IF(AND(ACOMPANHAMENTO="PLE",ISNUMBER($E32)),SUMIF((OFFSET(CÁLCULO!$AM$15:$AW$15,$E32,0,OFFSET(ORÇAMENTO!$D$15,CRONO!$E32,0))),"="&amp;CRONO!D$12,OFFSET(CÁLCULO!$AB$15:$AL$15,$E32,0,OFFSET(ORÇAMENTO!$D$15,CRONO!$E32,0)))+IF(AND($E34&lt;&gt;"",$E34&lt;&gt;0),SUMIF(CÁLCULO!$AM$15:$AW$192,"="&amp;CRONO!D$12,CÁLCULO!$AB$15:$AL$192)/(ORÇAMENTO!$X$15-CÁLCULO.TotalAdmLocal)*CRONO!$E34,0),D33*$R32),SUMIF(OFFSET($R34,1,0,$Q32-2),($L32+1)&amp;"$",OFFSET(D34,1,0,$Q32-2)))</f>
        <v>0</v>
      </c>
      <c r="E34" s="238" t="str">
        <f ca="1">IF(OR($Q32&lt;&gt;2,AUTOEVENTO&lt;&gt;"manual",$E33&gt;0),"",SUMIF(OFFSET(CÁLCULO!$M$15,CRONO!$E32,0,OFFSET(ORÇAMENTO!$D$15,CRONO!$E32,0)),1,OFFSET(ORÇAMENTO!$X$15,CRONO!$E32,0,OFFSET(ORÇAMENTO!$D$15,CRONO!$E32,0))))</f>
        <v/>
      </c>
      <c r="G34" s="258"/>
      <c r="R34" s="259" t="str">
        <f ca="1">L32&amp;"$"</f>
        <v>2$</v>
      </c>
      <c r="S34" s="260"/>
      <c r="T34" s="261">
        <f ca="1">IF($Q32=2,IF(AND(ACOMPANHAMENTO="PLE",ISNUMBER($E32)),SUMIF((OFFSET(CÁLCULO!$AM$15:$AW$15,$E32,0,OFFSET(ORÇAMENTO!$D$15,CRONO!$E32,0))),"&lt;="&amp;CRONO!T$12,OFFSET(CÁLCULO!$AB$15:$AL$15,$E32,0,OFFSET(ORÇAMENTO!$D$15,CRONO!$E32,0)))+IF(AND($E34&lt;&gt;"",$E34&lt;&gt;0),SUMIF(CÁLCULO!$AM$15:$AW$192,"&lt;="&amp;CRONO!T$12,CÁLCULO!$AB$15:$AL$192)/(ORÇAMENTO!$X$15-CÁLCULO.TotalAdmLocal)*CRONO!$E34,0),T33*$R32),SUMIF(OFFSET($R34,1,0,$Q32-2),($L32+1)&amp;"$",OFFSET(T34,1,0,$Q32-2)))</f>
        <v>0</v>
      </c>
      <c r="U34" s="257">
        <f ca="1">IF($Q32=2,IF(AND(ACOMPANHAMENTO="PLE",ISNUMBER($E32)),SUMIF((OFFSET(CÁLCULO!$AM$15:$AW$15,$E32,0,OFFSET(ORÇAMENTO!$D$15,CRONO!$E32,0))),"="&amp;CRONO!U$12,OFFSET(CÁLCULO!$AB$15:$AL$15,$E32,0,OFFSET(ORÇAMENTO!$D$15,CRONO!$E32,0)))+IF(AND($E34&lt;&gt;"",$E34&lt;&gt;0),SUMIF(CÁLCULO!$AM$15:$AW$192,"="&amp;CRONO!U$12,CÁLCULO!$AB$15:$AL$192)/(ORÇAMENTO!$X$15-CÁLCULO.TotalAdmLocal)*CRONO!$E34,0),U33*$R32),SUMIF(OFFSET($R34,1,0,$Q32-2),($L32+1)&amp;"$",OFFSET(U34,1,0,$Q32-2)))</f>
        <v>0</v>
      </c>
      <c r="V34" s="257">
        <f ca="1">IF($Q32=2,IF(AND(ACOMPANHAMENTO="PLE",ISNUMBER($E32)),SUMIF((OFFSET(CÁLCULO!$AM$15:$AW$15,$E32,0,OFFSET(ORÇAMENTO!$D$15,CRONO!$E32,0))),"="&amp;CRONO!V$12,OFFSET(CÁLCULO!$AB$15:$AL$15,$E32,0,OFFSET(ORÇAMENTO!$D$15,CRONO!$E32,0)))+IF(AND($E34&lt;&gt;"",$E34&lt;&gt;0),SUMIF(CÁLCULO!$AM$15:$AW$192,"="&amp;CRONO!V$12,CÁLCULO!$AB$15:$AL$192)/(ORÇAMENTO!$X$15-CÁLCULO.TotalAdmLocal)*CRONO!$E34,0),V33*$R32),SUMIF(OFFSET($R34,1,0,$Q32-2),($L32+1)&amp;"$",OFFSET(V34,1,0,$Q32-2)))</f>
        <v>0</v>
      </c>
      <c r="W34" s="257">
        <f ca="1">IF($Q32=2,IF(AND(ACOMPANHAMENTO="PLE",ISNUMBER($E32)),SUMIF((OFFSET(CÁLCULO!$AM$15:$AW$15,$E32,0,OFFSET(ORÇAMENTO!$D$15,CRONO!$E32,0))),"="&amp;CRONO!W$12,OFFSET(CÁLCULO!$AB$15:$AL$15,$E32,0,OFFSET(ORÇAMENTO!$D$15,CRONO!$E32,0)))+IF(AND($E34&lt;&gt;"",$E34&lt;&gt;0),SUMIF(CÁLCULO!$AM$15:$AW$192,"="&amp;CRONO!W$12,CÁLCULO!$AB$15:$AL$192)/(ORÇAMENTO!$X$15-CÁLCULO.TotalAdmLocal)*CRONO!$E34,0),W33*$R32),SUMIF(OFFSET($R34,1,0,$Q32-2),($L32+1)&amp;"$",OFFSET(W34,1,0,$Q32-2)))</f>
        <v>0</v>
      </c>
      <c r="X34" s="257">
        <f ca="1">IF($Q32=2,IF(AND(ACOMPANHAMENTO="PLE",ISNUMBER($E32)),SUMIF((OFFSET(CÁLCULO!$AM$15:$AW$15,$E32,0,OFFSET(ORÇAMENTO!$D$15,CRONO!$E32,0))),"="&amp;CRONO!X$12,OFFSET(CÁLCULO!$AB$15:$AL$15,$E32,0,OFFSET(ORÇAMENTO!$D$15,CRONO!$E32,0)))+IF(AND($E34&lt;&gt;"",$E34&lt;&gt;0),SUMIF(CÁLCULO!$AM$15:$AW$192,"="&amp;CRONO!X$12,CÁLCULO!$AB$15:$AL$192)/(ORÇAMENTO!$X$15-CÁLCULO.TotalAdmLocal)*CRONO!$E34,0),X33*$R32),SUMIF(OFFSET($R34,1,0,$Q32-2),($L32+1)&amp;"$",OFFSET(X34,1,0,$Q32-2)))</f>
        <v>0</v>
      </c>
      <c r="Y34" s="257">
        <f ca="1">IF($Q32=2,IF(AND(ACOMPANHAMENTO="PLE",ISNUMBER($E32)),SUMIF((OFFSET(CÁLCULO!$AM$15:$AW$15,$E32,0,OFFSET(ORÇAMENTO!$D$15,CRONO!$E32,0))),"="&amp;CRONO!Y$12,OFFSET(CÁLCULO!$AB$15:$AL$15,$E32,0,OFFSET(ORÇAMENTO!$D$15,CRONO!$E32,0)))+IF(AND($E34&lt;&gt;"",$E34&lt;&gt;0),SUMIF(CÁLCULO!$AM$15:$AW$192,"="&amp;CRONO!Y$12,CÁLCULO!$AB$15:$AL$192)/(ORÇAMENTO!$X$15-CÁLCULO.TotalAdmLocal)*CRONO!$E34,0),Y33*$R32),SUMIF(OFFSET($R34,1,0,$Q32-2),($L32+1)&amp;"$",OFFSET(Y34,1,0,$Q32-2)))</f>
        <v>0</v>
      </c>
      <c r="Z34" s="257">
        <f ca="1">IF($Q32=2,IF(AND(ACOMPANHAMENTO="PLE",ISNUMBER($E32)),SUMIF((OFFSET(CÁLCULO!$AM$15:$AW$15,$E32,0,OFFSET(ORÇAMENTO!$D$15,CRONO!$E32,0))),"="&amp;CRONO!Z$12,OFFSET(CÁLCULO!$AB$15:$AL$15,$E32,0,OFFSET(ORÇAMENTO!$D$15,CRONO!$E32,0)))+IF(AND($E34&lt;&gt;"",$E34&lt;&gt;0),SUMIF(CÁLCULO!$AM$15:$AW$192,"="&amp;CRONO!Z$12,CÁLCULO!$AB$15:$AL$192)/(ORÇAMENTO!$X$15-CÁLCULO.TotalAdmLocal)*CRONO!$E34,0),Z33*$R32),SUMIF(OFFSET($R34,1,0,$Q32-2),($L32+1)&amp;"$",OFFSET(Z34,1,0,$Q32-2)))</f>
        <v>0</v>
      </c>
      <c r="AA34" s="257">
        <f ca="1">IF($Q32=2,IF(AND(ACOMPANHAMENTO="PLE",ISNUMBER($E32)),SUMIF((OFFSET(CÁLCULO!$AM$15:$AW$15,$E32,0,OFFSET(ORÇAMENTO!$D$15,CRONO!$E32,0))),"="&amp;CRONO!AA$12,OFFSET(CÁLCULO!$AB$15:$AL$15,$E32,0,OFFSET(ORÇAMENTO!$D$15,CRONO!$E32,0)))+IF(AND($E34&lt;&gt;"",$E34&lt;&gt;0),SUMIF(CÁLCULO!$AM$15:$AW$192,"="&amp;CRONO!AA$12,CÁLCULO!$AB$15:$AL$192)/(ORÇAMENTO!$X$15-CÁLCULO.TotalAdmLocal)*CRONO!$E34,0),AA33*$R32),SUMIF(OFFSET($R34,1,0,$Q32-2),($L32+1)&amp;"$",OFFSET(AA34,1,0,$Q32-2)))</f>
        <v>0</v>
      </c>
      <c r="AB34" s="257">
        <f ca="1">IF($Q32=2,IF(AND(ACOMPANHAMENTO="PLE",ISNUMBER($E32)),SUMIF((OFFSET(CÁLCULO!$AM$15:$AW$15,$E32,0,OFFSET(ORÇAMENTO!$D$15,CRONO!$E32,0))),"="&amp;CRONO!AB$12,OFFSET(CÁLCULO!$AB$15:$AL$15,$E32,0,OFFSET(ORÇAMENTO!$D$15,CRONO!$E32,0)))+IF(AND($E34&lt;&gt;"",$E34&lt;&gt;0),SUMIF(CÁLCULO!$AM$15:$AW$192,"="&amp;CRONO!AB$12,CÁLCULO!$AB$15:$AL$192)/(ORÇAMENTO!$X$15-CÁLCULO.TotalAdmLocal)*CRONO!$E34,0),AB33*$R32),SUMIF(OFFSET($R34,1,0,$Q32-2),($L32+1)&amp;"$",OFFSET(AB34,1,0,$Q32-2)))</f>
        <v>0</v>
      </c>
      <c r="AC34" s="257">
        <f ca="1">IF($Q32=2,IF(AND(ACOMPANHAMENTO="PLE",ISNUMBER($E32)),SUMIF((OFFSET(CÁLCULO!$AM$15:$AW$15,$E32,0,OFFSET(ORÇAMENTO!$D$15,CRONO!$E32,0))),"="&amp;CRONO!AC$12,OFFSET(CÁLCULO!$AB$15:$AL$15,$E32,0,OFFSET(ORÇAMENTO!$D$15,CRONO!$E32,0)))+IF(AND($E34&lt;&gt;"",$E34&lt;&gt;0),SUMIF(CÁLCULO!$AM$15:$AW$192,"="&amp;CRONO!AC$12,CÁLCULO!$AB$15:$AL$192)/(ORÇAMENTO!$X$15-CÁLCULO.TotalAdmLocal)*CRONO!$E34,0),AC33*$R32),SUMIF(OFFSET($R34,1,0,$Q32-2),($L32+1)&amp;"$",OFFSET(AC34,1,0,$Q32-2)))</f>
        <v>0</v>
      </c>
      <c r="AD34" s="257">
        <f ca="1">IF($Q32=2,IF(AND(ACOMPANHAMENTO="PLE",ISNUMBER($E32)),SUMIF((OFFSET(CÁLCULO!$AM$15:$AW$15,$E32,0,OFFSET(ORÇAMENTO!$D$15,CRONO!$E32,0))),"="&amp;CRONO!AD$12,OFFSET(CÁLCULO!$AB$15:$AL$15,$E32,0,OFFSET(ORÇAMENTO!$D$15,CRONO!$E32,0)))+IF(AND($E34&lt;&gt;"",$E34&lt;&gt;0),SUMIF(CÁLCULO!$AM$15:$AW$192,"="&amp;CRONO!AD$12,CÁLCULO!$AB$15:$AL$192)/(ORÇAMENTO!$X$15-CÁLCULO.TotalAdmLocal)*CRONO!$E34,0),AD33*$R32),SUMIF(OFFSET($R34,1,0,$Q32-2),($L32+1)&amp;"$",OFFSET(AD34,1,0,$Q32-2)))</f>
        <v>0</v>
      </c>
      <c r="AE34" s="262">
        <f ca="1">IF($Q32=2,IF(AND(ACOMPANHAMENTO="PLE",ISNUMBER($E32)),SUMIF((OFFSET(CÁLCULO!$AM$15:$AW$15,$E32,0,OFFSET(ORÇAMENTO!$D$15,CRONO!$E32,0))),"="&amp;CRONO!AE$12,OFFSET(CÁLCULO!$AB$15:$AL$15,$E32,0,OFFSET(ORÇAMENTO!$D$15,CRONO!$E32,0)))+IF(AND($E34&lt;&gt;"",$E34&lt;&gt;0),SUMIF(CÁLCULO!$AM$15:$AW$192,"="&amp;CRONO!AE$12,CÁLCULO!$AB$15:$AL$192)/(ORÇAMENTO!$X$15-CÁLCULO.TotalAdmLocal)*CRONO!$E34,0),AE33*$R32),SUMIF(OFFSET($R34,1,0,$Q32-2),($L32+1)&amp;"$",OFFSET(AE34,1,0,$Q32-2)))</f>
        <v>0</v>
      </c>
      <c r="AF34" s="261">
        <f ca="1">IF($Q32=2,IF(AND(ACOMPANHAMENTO="PLE",ISNUMBER($E32)),SUMIF((OFFSET(CÁLCULO!$AM$15:$AW$15,$E32,0,OFFSET(ORÇAMENTO!$D$15,CRONO!$E32,0))),"="&amp;CRONO!AF$12,OFFSET(CÁLCULO!$AB$15:$AL$15,$E32,0,OFFSET(ORÇAMENTO!$D$15,CRONO!$E32,0)))+IF(AND($E34&lt;&gt;"",$E34&lt;&gt;0),SUMIF(CÁLCULO!$AM$15:$AW$192,"="&amp;CRONO!AF$12,CÁLCULO!$AB$15:$AL$192)/(ORÇAMENTO!$X$15-CÁLCULO.TotalAdmLocal)*CRONO!$E34,0),AF33*$R32),SUMIF(OFFSET($R34,1,0,$Q32-2),($L32+1)&amp;"$",OFFSET(AF34,1,0,$Q32-2)))</f>
        <v>0</v>
      </c>
      <c r="AG34" s="257">
        <f ca="1">IF($Q32=2,IF(AND(ACOMPANHAMENTO="PLE",ISNUMBER($E32)),SUMIF((OFFSET(CÁLCULO!$AM$15:$AW$15,$E32,0,OFFSET(ORÇAMENTO!$D$15,CRONO!$E32,0))),"="&amp;CRONO!AG$12,OFFSET(CÁLCULO!$AB$15:$AL$15,$E32,0,OFFSET(ORÇAMENTO!$D$15,CRONO!$E32,0)))+IF(AND($E34&lt;&gt;"",$E34&lt;&gt;0),SUMIF(CÁLCULO!$AM$15:$AW$192,"="&amp;CRONO!AG$12,CÁLCULO!$AB$15:$AL$192)/(ORÇAMENTO!$X$15-CÁLCULO.TotalAdmLocal)*CRONO!$E34,0),AG33*$R32),SUMIF(OFFSET($R34,1,0,$Q32-2),($L32+1)&amp;"$",OFFSET(AG34,1,0,$Q32-2)))</f>
        <v>0</v>
      </c>
      <c r="AH34" s="257">
        <f ca="1">IF($Q32=2,IF(AND(ACOMPANHAMENTO="PLE",ISNUMBER($E32)),SUMIF((OFFSET(CÁLCULO!$AM$15:$AW$15,$E32,0,OFFSET(ORÇAMENTO!$D$15,CRONO!$E32,0))),"="&amp;CRONO!AH$12,OFFSET(CÁLCULO!$AB$15:$AL$15,$E32,0,OFFSET(ORÇAMENTO!$D$15,CRONO!$E32,0)))+IF(AND($E34&lt;&gt;"",$E34&lt;&gt;0),SUMIF(CÁLCULO!$AM$15:$AW$192,"="&amp;CRONO!AH$12,CÁLCULO!$AB$15:$AL$192)/(ORÇAMENTO!$X$15-CÁLCULO.TotalAdmLocal)*CRONO!$E34,0),AH33*$R32),SUMIF(OFFSET($R34,1,0,$Q32-2),($L32+1)&amp;"$",OFFSET(AH34,1,0,$Q32-2)))</f>
        <v>0</v>
      </c>
      <c r="AI34" s="257">
        <f ca="1">IF($Q32=2,IF(AND(ACOMPANHAMENTO="PLE",ISNUMBER($E32)),SUMIF((OFFSET(CÁLCULO!$AM$15:$AW$15,$E32,0,OFFSET(ORÇAMENTO!$D$15,CRONO!$E32,0))),"="&amp;CRONO!AI$12,OFFSET(CÁLCULO!$AB$15:$AL$15,$E32,0,OFFSET(ORÇAMENTO!$D$15,CRONO!$E32,0)))+IF(AND($E34&lt;&gt;"",$E34&lt;&gt;0),SUMIF(CÁLCULO!$AM$15:$AW$192,"="&amp;CRONO!AI$12,CÁLCULO!$AB$15:$AL$192)/(ORÇAMENTO!$X$15-CÁLCULO.TotalAdmLocal)*CRONO!$E34,0),AI33*$R32),SUMIF(OFFSET($R34,1,0,$Q32-2),($L32+1)&amp;"$",OFFSET(AI34,1,0,$Q32-2)))</f>
        <v>0</v>
      </c>
      <c r="AJ34" s="257">
        <f ca="1">IF($Q32=2,IF(AND(ACOMPANHAMENTO="PLE",ISNUMBER($E32)),SUMIF((OFFSET(CÁLCULO!$AM$15:$AW$15,$E32,0,OFFSET(ORÇAMENTO!$D$15,CRONO!$E32,0))),"="&amp;CRONO!AJ$12,OFFSET(CÁLCULO!$AB$15:$AL$15,$E32,0,OFFSET(ORÇAMENTO!$D$15,CRONO!$E32,0)))+IF(AND($E34&lt;&gt;"",$E34&lt;&gt;0),SUMIF(CÁLCULO!$AM$15:$AW$192,"="&amp;CRONO!AJ$12,CÁLCULO!$AB$15:$AL$192)/(ORÇAMENTO!$X$15-CÁLCULO.TotalAdmLocal)*CRONO!$E34,0),AJ33*$R32),SUMIF(OFFSET($R34,1,0,$Q32-2),($L32+1)&amp;"$",OFFSET(AJ34,1,0,$Q32-2)))</f>
        <v>0</v>
      </c>
      <c r="AK34" s="257">
        <f ca="1">IF($Q32=2,IF(AND(ACOMPANHAMENTO="PLE",ISNUMBER($E32)),SUMIF((OFFSET(CÁLCULO!$AM$15:$AW$15,$E32,0,OFFSET(ORÇAMENTO!$D$15,CRONO!$E32,0))),"="&amp;CRONO!AK$12,OFFSET(CÁLCULO!$AB$15:$AL$15,$E32,0,OFFSET(ORÇAMENTO!$D$15,CRONO!$E32,0)))+IF(AND($E34&lt;&gt;"",$E34&lt;&gt;0),SUMIF(CÁLCULO!$AM$15:$AW$192,"="&amp;CRONO!AK$12,CÁLCULO!$AB$15:$AL$192)/(ORÇAMENTO!$X$15-CÁLCULO.TotalAdmLocal)*CRONO!$E34,0),AK33*$R32),SUMIF(OFFSET($R34,1,0,$Q32-2),($L32+1)&amp;"$",OFFSET(AK34,1,0,$Q32-2)))</f>
        <v>0</v>
      </c>
      <c r="AL34" s="257">
        <f ca="1">IF($Q32=2,IF(AND(ACOMPANHAMENTO="PLE",ISNUMBER($E32)),SUMIF((OFFSET(CÁLCULO!$AM$15:$AW$15,$E32,0,OFFSET(ORÇAMENTO!$D$15,CRONO!$E32,0))),"="&amp;CRONO!AL$12,OFFSET(CÁLCULO!$AB$15:$AL$15,$E32,0,OFFSET(ORÇAMENTO!$D$15,CRONO!$E32,0)))+IF(AND($E34&lt;&gt;"",$E34&lt;&gt;0),SUMIF(CÁLCULO!$AM$15:$AW$192,"="&amp;CRONO!AL$12,CÁLCULO!$AB$15:$AL$192)/(ORÇAMENTO!$X$15-CÁLCULO.TotalAdmLocal)*CRONO!$E34,0),AL33*$R32),SUMIF(OFFSET($R34,1,0,$Q32-2),($L32+1)&amp;"$",OFFSET(AL34,1,0,$Q32-2)))</f>
        <v>0</v>
      </c>
      <c r="AM34" s="257">
        <f ca="1">IF($Q32=2,IF(AND(ACOMPANHAMENTO="PLE",ISNUMBER($E32)),SUMIF((OFFSET(CÁLCULO!$AM$15:$AW$15,$E32,0,OFFSET(ORÇAMENTO!$D$15,CRONO!$E32,0))),"="&amp;CRONO!AM$12,OFFSET(CÁLCULO!$AB$15:$AL$15,$E32,0,OFFSET(ORÇAMENTO!$D$15,CRONO!$E32,0)))+IF(AND($E34&lt;&gt;"",$E34&lt;&gt;0),SUMIF(CÁLCULO!$AM$15:$AW$192,"="&amp;CRONO!AM$12,CÁLCULO!$AB$15:$AL$192)/(ORÇAMENTO!$X$15-CÁLCULO.TotalAdmLocal)*CRONO!$E34,0),AM33*$R32),SUMIF(OFFSET($R34,1,0,$Q32-2),($L32+1)&amp;"$",OFFSET(AM34,1,0,$Q32-2)))</f>
        <v>0</v>
      </c>
      <c r="AN34" s="257">
        <f ca="1">IF($Q32=2,IF(AND(ACOMPANHAMENTO="PLE",ISNUMBER($E32)),SUMIF((OFFSET(CÁLCULO!$AM$15:$AW$15,$E32,0,OFFSET(ORÇAMENTO!$D$15,CRONO!$E32,0))),"="&amp;CRONO!AN$12,OFFSET(CÁLCULO!$AB$15:$AL$15,$E32,0,OFFSET(ORÇAMENTO!$D$15,CRONO!$E32,0)))+IF(AND($E34&lt;&gt;"",$E34&lt;&gt;0),SUMIF(CÁLCULO!$AM$15:$AW$192,"="&amp;CRONO!AN$12,CÁLCULO!$AB$15:$AL$192)/(ORÇAMENTO!$X$15-CÁLCULO.TotalAdmLocal)*CRONO!$E34,0),AN33*$R32),SUMIF(OFFSET($R34,1,0,$Q32-2),($L32+1)&amp;"$",OFFSET(AN34,1,0,$Q32-2)))</f>
        <v>0</v>
      </c>
      <c r="AO34" s="257">
        <f ca="1">IF($Q32=2,IF(AND(ACOMPANHAMENTO="PLE",ISNUMBER($E32)),SUMIF((OFFSET(CÁLCULO!$AM$15:$AW$15,$E32,0,OFFSET(ORÇAMENTO!$D$15,CRONO!$E32,0))),"="&amp;CRONO!AO$12,OFFSET(CÁLCULO!$AB$15:$AL$15,$E32,0,OFFSET(ORÇAMENTO!$D$15,CRONO!$E32,0)))+IF(AND($E34&lt;&gt;"",$E34&lt;&gt;0),SUMIF(CÁLCULO!$AM$15:$AW$192,"="&amp;CRONO!AO$12,CÁLCULO!$AB$15:$AL$192)/(ORÇAMENTO!$X$15-CÁLCULO.TotalAdmLocal)*CRONO!$E34,0),AO33*$R32),SUMIF(OFFSET($R34,1,0,$Q32-2),($L32+1)&amp;"$",OFFSET(AO34,1,0,$Q32-2)))</f>
        <v>0</v>
      </c>
      <c r="AP34" s="257">
        <f ca="1">IF($Q32=2,IF(AND(ACOMPANHAMENTO="PLE",ISNUMBER($E32)),SUMIF((OFFSET(CÁLCULO!$AM$15:$AW$15,$E32,0,OFFSET(ORÇAMENTO!$D$15,CRONO!$E32,0))),"="&amp;CRONO!AP$12,OFFSET(CÁLCULO!$AB$15:$AL$15,$E32,0,OFFSET(ORÇAMENTO!$D$15,CRONO!$E32,0)))+IF(AND($E34&lt;&gt;"",$E34&lt;&gt;0),SUMIF(CÁLCULO!$AM$15:$AW$192,"="&amp;CRONO!AP$12,CÁLCULO!$AB$15:$AL$192)/(ORÇAMENTO!$X$15-CÁLCULO.TotalAdmLocal)*CRONO!$E34,0),AP33*$R32),SUMIF(OFFSET($R34,1,0,$Q32-2),($L32+1)&amp;"$",OFFSET(AP34,1,0,$Q32-2)))</f>
        <v>0</v>
      </c>
      <c r="AQ34" s="262">
        <f ca="1">IF($Q32=2,IF(AND(ACOMPANHAMENTO="PLE",ISNUMBER($E32)),SUMIF((OFFSET(CÁLCULO!$AM$15:$AW$15,$E32,0,OFFSET(ORÇAMENTO!$D$15,CRONO!$E32,0))),"="&amp;CRONO!AQ$12,OFFSET(CÁLCULO!$AB$15:$AL$15,$E32,0,OFFSET(ORÇAMENTO!$D$15,CRONO!$E32,0)))+IF(AND($E34&lt;&gt;"",$E34&lt;&gt;0),SUMIF(CÁLCULO!$AM$15:$AW$192,"="&amp;CRONO!AQ$12,CÁLCULO!$AB$15:$AL$192)/(ORÇAMENTO!$X$15-CÁLCULO.TotalAdmLocal)*CRONO!$E34,0),AQ33*$R32),SUMIF(OFFSET($R34,1,0,$Q32-2),($L32+1)&amp;"$",OFFSET(AQ34,1,0,$Q32-2)))</f>
        <v>0</v>
      </c>
    </row>
    <row r="35" spans="1:44" x14ac:dyDescent="0.2">
      <c r="A35" s="238">
        <f ca="1">OFFSET(A35,-3,0)+1</f>
        <v>8</v>
      </c>
      <c r="B35" s="238">
        <f ca="1">IF($Q35&lt;&gt;2,0,IF($R35=0,1,IF(E36&gt;0,OFFSET(QCI!$M$13,SUBSTITUTE(E36,".",""),0),OFFSET(ORÇAMENTO!$AA$15,CRONO!$E35,0))/$R35))</f>
        <v>1</v>
      </c>
      <c r="C35" s="238">
        <f ca="1">IF($Q35&lt;&gt;2,0,IF($R35=0,1,IF(E36&gt;0,OFFSET(QCI!$N$13,SUBSTITUTE(E36,".",""),0),OFFSET(ORÇAMENTO!$AB$15,CRONO!$E35,0))/$R35))</f>
        <v>1</v>
      </c>
      <c r="D35" s="241">
        <f ca="1">IF(AND($Q35=2,ACOMPANHAMENTO="BM"),D36,D37/$R35)</f>
        <v>0</v>
      </c>
      <c r="E35" s="238">
        <f ca="1">IF(A35&lt;=ORÇAMENTO.MáximoListaCrono,MATCH(A35,ORÇAMENTO.ListaCrono,0),NA())</f>
        <v>36</v>
      </c>
      <c r="F35" s="238" t="str">
        <f ca="1">IF(AND($E36&lt;&gt;-1,$R35&gt;0),"F","")</f>
        <v/>
      </c>
      <c r="G35" s="242" t="str">
        <f ca="1">IF(OR(R35=0,R35=""),"Linha",IF(AND(OR(ACOMPANHAMENTO="PLE",$Q35&lt;&gt;2),$E36=0),"Linha",1-SUM(T35:AR35)))</f>
        <v>Linha</v>
      </c>
      <c r="H35" s="243" t="str">
        <f ca="1">IF($E36=0,OFFSET(ORÇAMENTO!O$15,$E35,0),IF($E36&lt;&gt;-1,OFFSET(QCI!$D$13,$E36,0),""))</f>
        <v>1.7.</v>
      </c>
      <c r="I35" s="244" t="str">
        <f ca="1">IF($E36=0,OFFSET(ORÇAMENTO!R$15,$E35,0),IF($E36&lt;&gt;-1,OFFSET(QCI!$G$13,$E36,0),""))</f>
        <v>VIGAS (INCLUSO BALDRAME)</v>
      </c>
      <c r="J35" s="244"/>
      <c r="K35" s="244"/>
      <c r="L35" s="245">
        <f ca="1">IF($E36=0,OFFSET(ORÇAMENTO!C$15,$E35,0),1)</f>
        <v>2</v>
      </c>
      <c r="M35" s="246">
        <f ca="1">IF($E36=-1,0,IF(M$13&lt;=$L35,IF(ISERROR(MATCH(M$13,OFFSET($L35,1,0,ROW($L$92)-ROW($L35)-1),0)),ROW($L$92)-ROW($L35)-1,MATCH(M$13,OFFSET($L35,1,0,ROW($L$92)-ROW($L35)-1),0)-1),0))</f>
        <v>56</v>
      </c>
      <c r="N35" s="246">
        <f ca="1">IF($E36=-1,0,IF(N$13&lt;=$L35,IF(ISERROR(MATCH(N$13,OFFSET($L35,1,0,ROW($L$92)-ROW($L35)-1),0)),ROW($L$92)-ROW($L35)-1,MATCH(N$13,OFFSET($L35,1,0,ROW($L$92)-ROW($L35)-1),0)-1),0))</f>
        <v>2</v>
      </c>
      <c r="O35" s="246">
        <f ca="1">IF($E36=-1,0,IF(O$13&lt;=$L35,IF(ISERROR(MATCH(O$13,OFFSET($L35,1,0,ROW($L$92)-ROW($L35)-1),0)),ROW($L$92)-ROW($L35)-1,MATCH(O$13,OFFSET($L35,1,0,ROW($L$92)-ROW($L35)-1),0)-1),0))</f>
        <v>0</v>
      </c>
      <c r="P35" s="246">
        <f ca="1">IF($E36=-1,0,IF(P$13&lt;=$L35,IF(ISERROR(MATCH(P$13,OFFSET($L35,1,0,ROW($L$92)-ROW($L35)-1),0)),ROW($L$92)-ROW($L35)-1,MATCH(P$13,OFFSET($L35,1,0,ROW($L$92)-ROW($L35)-1),0)-1),0))</f>
        <v>0</v>
      </c>
      <c r="Q35" s="246">
        <f ca="1">MIN(OFFSET(L35,0,1,,L35))</f>
        <v>2</v>
      </c>
      <c r="R35" s="247">
        <f ca="1">IF($E36=0,OFFSET(ORÇAMENTO!X$15,$E35,0),IF($E36&lt;&gt;-1,OFFSET(QCI!$O$13,$E36,0),""))</f>
        <v>0</v>
      </c>
      <c r="S35" s="248" t="s">
        <v>270</v>
      </c>
      <c r="T35" s="249">
        <f t="shared" ref="T35:AQ35" ca="1" si="12">IF(AND($Q35=2,ACOMPANHAMENTO="BM"),T36,T37/$R35)</f>
        <v>0</v>
      </c>
      <c r="U35" s="241">
        <f t="shared" ca="1" si="12"/>
        <v>0</v>
      </c>
      <c r="V35" s="241">
        <f t="shared" ca="1" si="12"/>
        <v>0.25</v>
      </c>
      <c r="W35" s="241">
        <f t="shared" ca="1" si="12"/>
        <v>0.25</v>
      </c>
      <c r="X35" s="241">
        <f t="shared" ca="1" si="12"/>
        <v>0.25</v>
      </c>
      <c r="Y35" s="241">
        <f t="shared" ca="1" si="12"/>
        <v>0.25</v>
      </c>
      <c r="Z35" s="241">
        <f t="shared" ca="1" si="12"/>
        <v>0</v>
      </c>
      <c r="AA35" s="241">
        <f t="shared" ca="1" si="12"/>
        <v>0</v>
      </c>
      <c r="AB35" s="241">
        <f t="shared" ca="1" si="12"/>
        <v>0</v>
      </c>
      <c r="AC35" s="241">
        <f t="shared" ca="1" si="12"/>
        <v>0</v>
      </c>
      <c r="AD35" s="241">
        <f t="shared" ca="1" si="12"/>
        <v>0</v>
      </c>
      <c r="AE35" s="250">
        <f t="shared" ca="1" si="12"/>
        <v>0</v>
      </c>
      <c r="AF35" s="249">
        <f t="shared" ca="1" si="12"/>
        <v>0</v>
      </c>
      <c r="AG35" s="241">
        <f t="shared" ca="1" si="12"/>
        <v>0</v>
      </c>
      <c r="AH35" s="241">
        <f t="shared" ca="1" si="12"/>
        <v>0</v>
      </c>
      <c r="AI35" s="241">
        <f t="shared" ca="1" si="12"/>
        <v>0</v>
      </c>
      <c r="AJ35" s="241">
        <f t="shared" ca="1" si="12"/>
        <v>0</v>
      </c>
      <c r="AK35" s="241">
        <f t="shared" ca="1" si="12"/>
        <v>0</v>
      </c>
      <c r="AL35" s="241">
        <f t="shared" ca="1" si="12"/>
        <v>0</v>
      </c>
      <c r="AM35" s="241">
        <f t="shared" ca="1" si="12"/>
        <v>0</v>
      </c>
      <c r="AN35" s="241">
        <f t="shared" ca="1" si="12"/>
        <v>0</v>
      </c>
      <c r="AO35" s="241">
        <f t="shared" ca="1" si="12"/>
        <v>0</v>
      </c>
      <c r="AP35" s="241">
        <f t="shared" ca="1" si="12"/>
        <v>0</v>
      </c>
      <c r="AQ35" s="250">
        <f t="shared" ca="1" si="12"/>
        <v>0</v>
      </c>
    </row>
    <row r="36" spans="1:44" ht="12.75" customHeight="1" x14ac:dyDescent="0.2">
      <c r="D36" s="657"/>
      <c r="E36" s="238">
        <f ca="1">IF(ISERROR(E35),IF(1+COUNTIF($L$13:OFFSET(L35,-1,0),1)&lt;=MAX(QCI!$D$13:$D$24),1+COUNTIF($L$13:OFFSET(L35,-1,0),1),-1),0)</f>
        <v>0</v>
      </c>
      <c r="F36" s="238" t="str">
        <f ca="1">IF(AND($E36&lt;&gt;-1,$R35&gt;0),"F","")</f>
        <v/>
      </c>
      <c r="G36" s="251" t="str">
        <f ca="1">IF(OR(R35=0,R35=""),"vazia",IF(AND(OR(ACOMPANHAMENTO="PLE",$Q35&lt;&gt;2),$E36=0),"calculada","--&gt;"))</f>
        <v>vazia</v>
      </c>
      <c r="H36" s="252"/>
      <c r="I36" s="253" t="str">
        <f ca="1">IF(AND(G35&lt;&gt;0,ISNUMBER(G35)),"PREENCHA ESTA LINHA --&gt;","")</f>
        <v/>
      </c>
      <c r="J36" s="253"/>
      <c r="K36" s="253"/>
      <c r="L36" s="254"/>
      <c r="M36" s="254"/>
      <c r="N36" s="254"/>
      <c r="O36" s="254"/>
      <c r="P36" s="254"/>
      <c r="Q36" s="254"/>
      <c r="R36" s="255"/>
      <c r="S36" s="256"/>
      <c r="T36" s="658"/>
      <c r="U36" s="657"/>
      <c r="V36" s="657">
        <v>0.25</v>
      </c>
      <c r="W36" s="657">
        <v>0.25</v>
      </c>
      <c r="X36" s="657">
        <v>0.25</v>
      </c>
      <c r="Y36" s="657">
        <v>0.25</v>
      </c>
      <c r="Z36" s="657"/>
      <c r="AA36" s="657"/>
      <c r="AB36" s="657"/>
      <c r="AC36" s="657"/>
      <c r="AD36" s="657"/>
      <c r="AE36" s="659"/>
      <c r="AF36" s="658"/>
      <c r="AG36" s="657"/>
      <c r="AH36" s="657"/>
      <c r="AI36" s="657"/>
      <c r="AJ36" s="657"/>
      <c r="AK36" s="657"/>
      <c r="AL36" s="657"/>
      <c r="AM36" s="657"/>
      <c r="AN36" s="657"/>
      <c r="AO36" s="657"/>
      <c r="AP36" s="657"/>
      <c r="AQ36" s="659"/>
      <c r="AR36" s="617"/>
    </row>
    <row r="37" spans="1:44" ht="0.2" hidden="1" customHeight="1" x14ac:dyDescent="0.2">
      <c r="D37" s="257">
        <f ca="1">IF($Q35=2,IF(AND(ACOMPANHAMENTO="PLE",ISNUMBER($E35)),SUMIF((OFFSET(CÁLCULO!$AM$15:$AW$15,$E35,0,OFFSET(ORÇAMENTO!$D$15,CRONO!$E35,0))),"="&amp;CRONO!D$12,OFFSET(CÁLCULO!$AB$15:$AL$15,$E35,0,OFFSET(ORÇAMENTO!$D$15,CRONO!$E35,0)))+IF(AND($E37&lt;&gt;"",$E37&lt;&gt;0),SUMIF(CÁLCULO!$AM$15:$AW$192,"="&amp;CRONO!D$12,CÁLCULO!$AB$15:$AL$192)/(ORÇAMENTO!$X$15-CÁLCULO.TotalAdmLocal)*CRONO!$E37,0),D36*$R35),SUMIF(OFFSET($R37,1,0,$Q35-2),($L35+1)&amp;"$",OFFSET(D37,1,0,$Q35-2)))</f>
        <v>0</v>
      </c>
      <c r="E37" s="238" t="str">
        <f ca="1">IF(OR($Q35&lt;&gt;2,AUTOEVENTO&lt;&gt;"manual",$E36&gt;0),"",SUMIF(OFFSET(CÁLCULO!$M$15,CRONO!$E35,0,OFFSET(ORÇAMENTO!$D$15,CRONO!$E35,0)),1,OFFSET(ORÇAMENTO!$X$15,CRONO!$E35,0,OFFSET(ORÇAMENTO!$D$15,CRONO!$E35,0))))</f>
        <v/>
      </c>
      <c r="G37" s="258"/>
      <c r="R37" s="259" t="str">
        <f ca="1">L35&amp;"$"</f>
        <v>2$</v>
      </c>
      <c r="S37" s="260"/>
      <c r="T37" s="261">
        <f ca="1">IF($Q35=2,IF(AND(ACOMPANHAMENTO="PLE",ISNUMBER($E35)),SUMIF((OFFSET(CÁLCULO!$AM$15:$AW$15,$E35,0,OFFSET(ORÇAMENTO!$D$15,CRONO!$E35,0))),"&lt;="&amp;CRONO!T$12,OFFSET(CÁLCULO!$AB$15:$AL$15,$E35,0,OFFSET(ORÇAMENTO!$D$15,CRONO!$E35,0)))+IF(AND($E37&lt;&gt;"",$E37&lt;&gt;0),SUMIF(CÁLCULO!$AM$15:$AW$192,"&lt;="&amp;CRONO!T$12,CÁLCULO!$AB$15:$AL$192)/(ORÇAMENTO!$X$15-CÁLCULO.TotalAdmLocal)*CRONO!$E37,0),T36*$R35),SUMIF(OFFSET($R37,1,0,$Q35-2),($L35+1)&amp;"$",OFFSET(T37,1,0,$Q35-2)))</f>
        <v>0</v>
      </c>
      <c r="U37" s="257">
        <f ca="1">IF($Q35=2,IF(AND(ACOMPANHAMENTO="PLE",ISNUMBER($E35)),SUMIF((OFFSET(CÁLCULO!$AM$15:$AW$15,$E35,0,OFFSET(ORÇAMENTO!$D$15,CRONO!$E35,0))),"="&amp;CRONO!U$12,OFFSET(CÁLCULO!$AB$15:$AL$15,$E35,0,OFFSET(ORÇAMENTO!$D$15,CRONO!$E35,0)))+IF(AND($E37&lt;&gt;"",$E37&lt;&gt;0),SUMIF(CÁLCULO!$AM$15:$AW$192,"="&amp;CRONO!U$12,CÁLCULO!$AB$15:$AL$192)/(ORÇAMENTO!$X$15-CÁLCULO.TotalAdmLocal)*CRONO!$E37,0),U36*$R35),SUMIF(OFFSET($R37,1,0,$Q35-2),($L35+1)&amp;"$",OFFSET(U37,1,0,$Q35-2)))</f>
        <v>0</v>
      </c>
      <c r="V37" s="257">
        <f ca="1">IF($Q35=2,IF(AND(ACOMPANHAMENTO="PLE",ISNUMBER($E35)),SUMIF((OFFSET(CÁLCULO!$AM$15:$AW$15,$E35,0,OFFSET(ORÇAMENTO!$D$15,CRONO!$E35,0))),"="&amp;CRONO!V$12,OFFSET(CÁLCULO!$AB$15:$AL$15,$E35,0,OFFSET(ORÇAMENTO!$D$15,CRONO!$E35,0)))+IF(AND($E37&lt;&gt;"",$E37&lt;&gt;0),SUMIF(CÁLCULO!$AM$15:$AW$192,"="&amp;CRONO!V$12,CÁLCULO!$AB$15:$AL$192)/(ORÇAMENTO!$X$15-CÁLCULO.TotalAdmLocal)*CRONO!$E37,0),V36*$R35),SUMIF(OFFSET($R37,1,0,$Q35-2),($L35+1)&amp;"$",OFFSET(V37,1,0,$Q35-2)))</f>
        <v>0</v>
      </c>
      <c r="W37" s="257">
        <f ca="1">IF($Q35=2,IF(AND(ACOMPANHAMENTO="PLE",ISNUMBER($E35)),SUMIF((OFFSET(CÁLCULO!$AM$15:$AW$15,$E35,0,OFFSET(ORÇAMENTO!$D$15,CRONO!$E35,0))),"="&amp;CRONO!W$12,OFFSET(CÁLCULO!$AB$15:$AL$15,$E35,0,OFFSET(ORÇAMENTO!$D$15,CRONO!$E35,0)))+IF(AND($E37&lt;&gt;"",$E37&lt;&gt;0),SUMIF(CÁLCULO!$AM$15:$AW$192,"="&amp;CRONO!W$12,CÁLCULO!$AB$15:$AL$192)/(ORÇAMENTO!$X$15-CÁLCULO.TotalAdmLocal)*CRONO!$E37,0),W36*$R35),SUMIF(OFFSET($R37,1,0,$Q35-2),($L35+1)&amp;"$",OFFSET(W37,1,0,$Q35-2)))</f>
        <v>0</v>
      </c>
      <c r="X37" s="257">
        <f ca="1">IF($Q35=2,IF(AND(ACOMPANHAMENTO="PLE",ISNUMBER($E35)),SUMIF((OFFSET(CÁLCULO!$AM$15:$AW$15,$E35,0,OFFSET(ORÇAMENTO!$D$15,CRONO!$E35,0))),"="&amp;CRONO!X$12,OFFSET(CÁLCULO!$AB$15:$AL$15,$E35,0,OFFSET(ORÇAMENTO!$D$15,CRONO!$E35,0)))+IF(AND($E37&lt;&gt;"",$E37&lt;&gt;0),SUMIF(CÁLCULO!$AM$15:$AW$192,"="&amp;CRONO!X$12,CÁLCULO!$AB$15:$AL$192)/(ORÇAMENTO!$X$15-CÁLCULO.TotalAdmLocal)*CRONO!$E37,0),X36*$R35),SUMIF(OFFSET($R37,1,0,$Q35-2),($L35+1)&amp;"$",OFFSET(X37,1,0,$Q35-2)))</f>
        <v>0</v>
      </c>
      <c r="Y37" s="257">
        <f ca="1">IF($Q35=2,IF(AND(ACOMPANHAMENTO="PLE",ISNUMBER($E35)),SUMIF((OFFSET(CÁLCULO!$AM$15:$AW$15,$E35,0,OFFSET(ORÇAMENTO!$D$15,CRONO!$E35,0))),"="&amp;CRONO!Y$12,OFFSET(CÁLCULO!$AB$15:$AL$15,$E35,0,OFFSET(ORÇAMENTO!$D$15,CRONO!$E35,0)))+IF(AND($E37&lt;&gt;"",$E37&lt;&gt;0),SUMIF(CÁLCULO!$AM$15:$AW$192,"="&amp;CRONO!Y$12,CÁLCULO!$AB$15:$AL$192)/(ORÇAMENTO!$X$15-CÁLCULO.TotalAdmLocal)*CRONO!$E37,0),Y36*$R35),SUMIF(OFFSET($R37,1,0,$Q35-2),($L35+1)&amp;"$",OFFSET(Y37,1,0,$Q35-2)))</f>
        <v>0</v>
      </c>
      <c r="Z37" s="257">
        <f ca="1">IF($Q35=2,IF(AND(ACOMPANHAMENTO="PLE",ISNUMBER($E35)),SUMIF((OFFSET(CÁLCULO!$AM$15:$AW$15,$E35,0,OFFSET(ORÇAMENTO!$D$15,CRONO!$E35,0))),"="&amp;CRONO!Z$12,OFFSET(CÁLCULO!$AB$15:$AL$15,$E35,0,OFFSET(ORÇAMENTO!$D$15,CRONO!$E35,0)))+IF(AND($E37&lt;&gt;"",$E37&lt;&gt;0),SUMIF(CÁLCULO!$AM$15:$AW$192,"="&amp;CRONO!Z$12,CÁLCULO!$AB$15:$AL$192)/(ORÇAMENTO!$X$15-CÁLCULO.TotalAdmLocal)*CRONO!$E37,0),Z36*$R35),SUMIF(OFFSET($R37,1,0,$Q35-2),($L35+1)&amp;"$",OFFSET(Z37,1,0,$Q35-2)))</f>
        <v>0</v>
      </c>
      <c r="AA37" s="257">
        <f ca="1">IF($Q35=2,IF(AND(ACOMPANHAMENTO="PLE",ISNUMBER($E35)),SUMIF((OFFSET(CÁLCULO!$AM$15:$AW$15,$E35,0,OFFSET(ORÇAMENTO!$D$15,CRONO!$E35,0))),"="&amp;CRONO!AA$12,OFFSET(CÁLCULO!$AB$15:$AL$15,$E35,0,OFFSET(ORÇAMENTO!$D$15,CRONO!$E35,0)))+IF(AND($E37&lt;&gt;"",$E37&lt;&gt;0),SUMIF(CÁLCULO!$AM$15:$AW$192,"="&amp;CRONO!AA$12,CÁLCULO!$AB$15:$AL$192)/(ORÇAMENTO!$X$15-CÁLCULO.TotalAdmLocal)*CRONO!$E37,0),AA36*$R35),SUMIF(OFFSET($R37,1,0,$Q35-2),($L35+1)&amp;"$",OFFSET(AA37,1,0,$Q35-2)))</f>
        <v>0</v>
      </c>
      <c r="AB37" s="257">
        <f ca="1">IF($Q35=2,IF(AND(ACOMPANHAMENTO="PLE",ISNUMBER($E35)),SUMIF((OFFSET(CÁLCULO!$AM$15:$AW$15,$E35,0,OFFSET(ORÇAMENTO!$D$15,CRONO!$E35,0))),"="&amp;CRONO!AB$12,OFFSET(CÁLCULO!$AB$15:$AL$15,$E35,0,OFFSET(ORÇAMENTO!$D$15,CRONO!$E35,0)))+IF(AND($E37&lt;&gt;"",$E37&lt;&gt;0),SUMIF(CÁLCULO!$AM$15:$AW$192,"="&amp;CRONO!AB$12,CÁLCULO!$AB$15:$AL$192)/(ORÇAMENTO!$X$15-CÁLCULO.TotalAdmLocal)*CRONO!$E37,0),AB36*$R35),SUMIF(OFFSET($R37,1,0,$Q35-2),($L35+1)&amp;"$",OFFSET(AB37,1,0,$Q35-2)))</f>
        <v>0</v>
      </c>
      <c r="AC37" s="257">
        <f ca="1">IF($Q35=2,IF(AND(ACOMPANHAMENTO="PLE",ISNUMBER($E35)),SUMIF((OFFSET(CÁLCULO!$AM$15:$AW$15,$E35,0,OFFSET(ORÇAMENTO!$D$15,CRONO!$E35,0))),"="&amp;CRONO!AC$12,OFFSET(CÁLCULO!$AB$15:$AL$15,$E35,0,OFFSET(ORÇAMENTO!$D$15,CRONO!$E35,0)))+IF(AND($E37&lt;&gt;"",$E37&lt;&gt;0),SUMIF(CÁLCULO!$AM$15:$AW$192,"="&amp;CRONO!AC$12,CÁLCULO!$AB$15:$AL$192)/(ORÇAMENTO!$X$15-CÁLCULO.TotalAdmLocal)*CRONO!$E37,0),AC36*$R35),SUMIF(OFFSET($R37,1,0,$Q35-2),($L35+1)&amp;"$",OFFSET(AC37,1,0,$Q35-2)))</f>
        <v>0</v>
      </c>
      <c r="AD37" s="257">
        <f ca="1">IF($Q35=2,IF(AND(ACOMPANHAMENTO="PLE",ISNUMBER($E35)),SUMIF((OFFSET(CÁLCULO!$AM$15:$AW$15,$E35,0,OFFSET(ORÇAMENTO!$D$15,CRONO!$E35,0))),"="&amp;CRONO!AD$12,OFFSET(CÁLCULO!$AB$15:$AL$15,$E35,0,OFFSET(ORÇAMENTO!$D$15,CRONO!$E35,0)))+IF(AND($E37&lt;&gt;"",$E37&lt;&gt;0),SUMIF(CÁLCULO!$AM$15:$AW$192,"="&amp;CRONO!AD$12,CÁLCULO!$AB$15:$AL$192)/(ORÇAMENTO!$X$15-CÁLCULO.TotalAdmLocal)*CRONO!$E37,0),AD36*$R35),SUMIF(OFFSET($R37,1,0,$Q35-2),($L35+1)&amp;"$",OFFSET(AD37,1,0,$Q35-2)))</f>
        <v>0</v>
      </c>
      <c r="AE37" s="262">
        <f ca="1">IF($Q35=2,IF(AND(ACOMPANHAMENTO="PLE",ISNUMBER($E35)),SUMIF((OFFSET(CÁLCULO!$AM$15:$AW$15,$E35,0,OFFSET(ORÇAMENTO!$D$15,CRONO!$E35,0))),"="&amp;CRONO!AE$12,OFFSET(CÁLCULO!$AB$15:$AL$15,$E35,0,OFFSET(ORÇAMENTO!$D$15,CRONO!$E35,0)))+IF(AND($E37&lt;&gt;"",$E37&lt;&gt;0),SUMIF(CÁLCULO!$AM$15:$AW$192,"="&amp;CRONO!AE$12,CÁLCULO!$AB$15:$AL$192)/(ORÇAMENTO!$X$15-CÁLCULO.TotalAdmLocal)*CRONO!$E37,0),AE36*$R35),SUMIF(OFFSET($R37,1,0,$Q35-2),($L35+1)&amp;"$",OFFSET(AE37,1,0,$Q35-2)))</f>
        <v>0</v>
      </c>
      <c r="AF37" s="261">
        <f ca="1">IF($Q35=2,IF(AND(ACOMPANHAMENTO="PLE",ISNUMBER($E35)),SUMIF((OFFSET(CÁLCULO!$AM$15:$AW$15,$E35,0,OFFSET(ORÇAMENTO!$D$15,CRONO!$E35,0))),"="&amp;CRONO!AF$12,OFFSET(CÁLCULO!$AB$15:$AL$15,$E35,0,OFFSET(ORÇAMENTO!$D$15,CRONO!$E35,0)))+IF(AND($E37&lt;&gt;"",$E37&lt;&gt;0),SUMIF(CÁLCULO!$AM$15:$AW$192,"="&amp;CRONO!AF$12,CÁLCULO!$AB$15:$AL$192)/(ORÇAMENTO!$X$15-CÁLCULO.TotalAdmLocal)*CRONO!$E37,0),AF36*$R35),SUMIF(OFFSET($R37,1,0,$Q35-2),($L35+1)&amp;"$",OFFSET(AF37,1,0,$Q35-2)))</f>
        <v>0</v>
      </c>
      <c r="AG37" s="257">
        <f ca="1">IF($Q35=2,IF(AND(ACOMPANHAMENTO="PLE",ISNUMBER($E35)),SUMIF((OFFSET(CÁLCULO!$AM$15:$AW$15,$E35,0,OFFSET(ORÇAMENTO!$D$15,CRONO!$E35,0))),"="&amp;CRONO!AG$12,OFFSET(CÁLCULO!$AB$15:$AL$15,$E35,0,OFFSET(ORÇAMENTO!$D$15,CRONO!$E35,0)))+IF(AND($E37&lt;&gt;"",$E37&lt;&gt;0),SUMIF(CÁLCULO!$AM$15:$AW$192,"="&amp;CRONO!AG$12,CÁLCULO!$AB$15:$AL$192)/(ORÇAMENTO!$X$15-CÁLCULO.TotalAdmLocal)*CRONO!$E37,0),AG36*$R35),SUMIF(OFFSET($R37,1,0,$Q35-2),($L35+1)&amp;"$",OFFSET(AG37,1,0,$Q35-2)))</f>
        <v>0</v>
      </c>
      <c r="AH37" s="257">
        <f ca="1">IF($Q35=2,IF(AND(ACOMPANHAMENTO="PLE",ISNUMBER($E35)),SUMIF((OFFSET(CÁLCULO!$AM$15:$AW$15,$E35,0,OFFSET(ORÇAMENTO!$D$15,CRONO!$E35,0))),"="&amp;CRONO!AH$12,OFFSET(CÁLCULO!$AB$15:$AL$15,$E35,0,OFFSET(ORÇAMENTO!$D$15,CRONO!$E35,0)))+IF(AND($E37&lt;&gt;"",$E37&lt;&gt;0),SUMIF(CÁLCULO!$AM$15:$AW$192,"="&amp;CRONO!AH$12,CÁLCULO!$AB$15:$AL$192)/(ORÇAMENTO!$X$15-CÁLCULO.TotalAdmLocal)*CRONO!$E37,0),AH36*$R35),SUMIF(OFFSET($R37,1,0,$Q35-2),($L35+1)&amp;"$",OFFSET(AH37,1,0,$Q35-2)))</f>
        <v>0</v>
      </c>
      <c r="AI37" s="257">
        <f ca="1">IF($Q35=2,IF(AND(ACOMPANHAMENTO="PLE",ISNUMBER($E35)),SUMIF((OFFSET(CÁLCULO!$AM$15:$AW$15,$E35,0,OFFSET(ORÇAMENTO!$D$15,CRONO!$E35,0))),"="&amp;CRONO!AI$12,OFFSET(CÁLCULO!$AB$15:$AL$15,$E35,0,OFFSET(ORÇAMENTO!$D$15,CRONO!$E35,0)))+IF(AND($E37&lt;&gt;"",$E37&lt;&gt;0),SUMIF(CÁLCULO!$AM$15:$AW$192,"="&amp;CRONO!AI$12,CÁLCULO!$AB$15:$AL$192)/(ORÇAMENTO!$X$15-CÁLCULO.TotalAdmLocal)*CRONO!$E37,0),AI36*$R35),SUMIF(OFFSET($R37,1,0,$Q35-2),($L35+1)&amp;"$",OFFSET(AI37,1,0,$Q35-2)))</f>
        <v>0</v>
      </c>
      <c r="AJ37" s="257">
        <f ca="1">IF($Q35=2,IF(AND(ACOMPANHAMENTO="PLE",ISNUMBER($E35)),SUMIF((OFFSET(CÁLCULO!$AM$15:$AW$15,$E35,0,OFFSET(ORÇAMENTO!$D$15,CRONO!$E35,0))),"="&amp;CRONO!AJ$12,OFFSET(CÁLCULO!$AB$15:$AL$15,$E35,0,OFFSET(ORÇAMENTO!$D$15,CRONO!$E35,0)))+IF(AND($E37&lt;&gt;"",$E37&lt;&gt;0),SUMIF(CÁLCULO!$AM$15:$AW$192,"="&amp;CRONO!AJ$12,CÁLCULO!$AB$15:$AL$192)/(ORÇAMENTO!$X$15-CÁLCULO.TotalAdmLocal)*CRONO!$E37,0),AJ36*$R35),SUMIF(OFFSET($R37,1,0,$Q35-2),($L35+1)&amp;"$",OFFSET(AJ37,1,0,$Q35-2)))</f>
        <v>0</v>
      </c>
      <c r="AK37" s="257">
        <f ca="1">IF($Q35=2,IF(AND(ACOMPANHAMENTO="PLE",ISNUMBER($E35)),SUMIF((OFFSET(CÁLCULO!$AM$15:$AW$15,$E35,0,OFFSET(ORÇAMENTO!$D$15,CRONO!$E35,0))),"="&amp;CRONO!AK$12,OFFSET(CÁLCULO!$AB$15:$AL$15,$E35,0,OFFSET(ORÇAMENTO!$D$15,CRONO!$E35,0)))+IF(AND($E37&lt;&gt;"",$E37&lt;&gt;0),SUMIF(CÁLCULO!$AM$15:$AW$192,"="&amp;CRONO!AK$12,CÁLCULO!$AB$15:$AL$192)/(ORÇAMENTO!$X$15-CÁLCULO.TotalAdmLocal)*CRONO!$E37,0),AK36*$R35),SUMIF(OFFSET($R37,1,0,$Q35-2),($L35+1)&amp;"$",OFFSET(AK37,1,0,$Q35-2)))</f>
        <v>0</v>
      </c>
      <c r="AL37" s="257">
        <f ca="1">IF($Q35=2,IF(AND(ACOMPANHAMENTO="PLE",ISNUMBER($E35)),SUMIF((OFFSET(CÁLCULO!$AM$15:$AW$15,$E35,0,OFFSET(ORÇAMENTO!$D$15,CRONO!$E35,0))),"="&amp;CRONO!AL$12,OFFSET(CÁLCULO!$AB$15:$AL$15,$E35,0,OFFSET(ORÇAMENTO!$D$15,CRONO!$E35,0)))+IF(AND($E37&lt;&gt;"",$E37&lt;&gt;0),SUMIF(CÁLCULO!$AM$15:$AW$192,"="&amp;CRONO!AL$12,CÁLCULO!$AB$15:$AL$192)/(ORÇAMENTO!$X$15-CÁLCULO.TotalAdmLocal)*CRONO!$E37,0),AL36*$R35),SUMIF(OFFSET($R37,1,0,$Q35-2),($L35+1)&amp;"$",OFFSET(AL37,1,0,$Q35-2)))</f>
        <v>0</v>
      </c>
      <c r="AM37" s="257">
        <f ca="1">IF($Q35=2,IF(AND(ACOMPANHAMENTO="PLE",ISNUMBER($E35)),SUMIF((OFFSET(CÁLCULO!$AM$15:$AW$15,$E35,0,OFFSET(ORÇAMENTO!$D$15,CRONO!$E35,0))),"="&amp;CRONO!AM$12,OFFSET(CÁLCULO!$AB$15:$AL$15,$E35,0,OFFSET(ORÇAMENTO!$D$15,CRONO!$E35,0)))+IF(AND($E37&lt;&gt;"",$E37&lt;&gt;0),SUMIF(CÁLCULO!$AM$15:$AW$192,"="&amp;CRONO!AM$12,CÁLCULO!$AB$15:$AL$192)/(ORÇAMENTO!$X$15-CÁLCULO.TotalAdmLocal)*CRONO!$E37,0),AM36*$R35),SUMIF(OFFSET($R37,1,0,$Q35-2),($L35+1)&amp;"$",OFFSET(AM37,1,0,$Q35-2)))</f>
        <v>0</v>
      </c>
      <c r="AN37" s="257">
        <f ca="1">IF($Q35=2,IF(AND(ACOMPANHAMENTO="PLE",ISNUMBER($E35)),SUMIF((OFFSET(CÁLCULO!$AM$15:$AW$15,$E35,0,OFFSET(ORÇAMENTO!$D$15,CRONO!$E35,0))),"="&amp;CRONO!AN$12,OFFSET(CÁLCULO!$AB$15:$AL$15,$E35,0,OFFSET(ORÇAMENTO!$D$15,CRONO!$E35,0)))+IF(AND($E37&lt;&gt;"",$E37&lt;&gt;0),SUMIF(CÁLCULO!$AM$15:$AW$192,"="&amp;CRONO!AN$12,CÁLCULO!$AB$15:$AL$192)/(ORÇAMENTO!$X$15-CÁLCULO.TotalAdmLocal)*CRONO!$E37,0),AN36*$R35),SUMIF(OFFSET($R37,1,0,$Q35-2),($L35+1)&amp;"$",OFFSET(AN37,1,0,$Q35-2)))</f>
        <v>0</v>
      </c>
      <c r="AO37" s="257">
        <f ca="1">IF($Q35=2,IF(AND(ACOMPANHAMENTO="PLE",ISNUMBER($E35)),SUMIF((OFFSET(CÁLCULO!$AM$15:$AW$15,$E35,0,OFFSET(ORÇAMENTO!$D$15,CRONO!$E35,0))),"="&amp;CRONO!AO$12,OFFSET(CÁLCULO!$AB$15:$AL$15,$E35,0,OFFSET(ORÇAMENTO!$D$15,CRONO!$E35,0)))+IF(AND($E37&lt;&gt;"",$E37&lt;&gt;0),SUMIF(CÁLCULO!$AM$15:$AW$192,"="&amp;CRONO!AO$12,CÁLCULO!$AB$15:$AL$192)/(ORÇAMENTO!$X$15-CÁLCULO.TotalAdmLocal)*CRONO!$E37,0),AO36*$R35),SUMIF(OFFSET($R37,1,0,$Q35-2),($L35+1)&amp;"$",OFFSET(AO37,1,0,$Q35-2)))</f>
        <v>0</v>
      </c>
      <c r="AP37" s="257">
        <f ca="1">IF($Q35=2,IF(AND(ACOMPANHAMENTO="PLE",ISNUMBER($E35)),SUMIF((OFFSET(CÁLCULO!$AM$15:$AW$15,$E35,0,OFFSET(ORÇAMENTO!$D$15,CRONO!$E35,0))),"="&amp;CRONO!AP$12,OFFSET(CÁLCULO!$AB$15:$AL$15,$E35,0,OFFSET(ORÇAMENTO!$D$15,CRONO!$E35,0)))+IF(AND($E37&lt;&gt;"",$E37&lt;&gt;0),SUMIF(CÁLCULO!$AM$15:$AW$192,"="&amp;CRONO!AP$12,CÁLCULO!$AB$15:$AL$192)/(ORÇAMENTO!$X$15-CÁLCULO.TotalAdmLocal)*CRONO!$E37,0),AP36*$R35),SUMIF(OFFSET($R37,1,0,$Q35-2),($L35+1)&amp;"$",OFFSET(AP37,1,0,$Q35-2)))</f>
        <v>0</v>
      </c>
      <c r="AQ37" s="262">
        <f ca="1">IF($Q35=2,IF(AND(ACOMPANHAMENTO="PLE",ISNUMBER($E35)),SUMIF((OFFSET(CÁLCULO!$AM$15:$AW$15,$E35,0,OFFSET(ORÇAMENTO!$D$15,CRONO!$E35,0))),"="&amp;CRONO!AQ$12,OFFSET(CÁLCULO!$AB$15:$AL$15,$E35,0,OFFSET(ORÇAMENTO!$D$15,CRONO!$E35,0)))+IF(AND($E37&lt;&gt;"",$E37&lt;&gt;0),SUMIF(CÁLCULO!$AM$15:$AW$192,"="&amp;CRONO!AQ$12,CÁLCULO!$AB$15:$AL$192)/(ORÇAMENTO!$X$15-CÁLCULO.TotalAdmLocal)*CRONO!$E37,0),AQ36*$R35),SUMIF(OFFSET($R37,1,0,$Q35-2),($L35+1)&amp;"$",OFFSET(AQ37,1,0,$Q35-2)))</f>
        <v>0</v>
      </c>
    </row>
    <row r="38" spans="1:44" x14ac:dyDescent="0.2">
      <c r="A38" s="238">
        <f ca="1">OFFSET(A38,-3,0)+1</f>
        <v>9</v>
      </c>
      <c r="B38" s="238">
        <f ca="1">IF($Q38&lt;&gt;2,0,IF($R38=0,1,IF(E39&gt;0,OFFSET(QCI!$M$13,SUBSTITUTE(E39,".",""),0),OFFSET(ORÇAMENTO!$AA$15,CRONO!$E38,0))/$R38))</f>
        <v>1</v>
      </c>
      <c r="C38" s="238">
        <f ca="1">IF($Q38&lt;&gt;2,0,IF($R38=0,1,IF(E39&gt;0,OFFSET(QCI!$N$13,SUBSTITUTE(E39,".",""),0),OFFSET(ORÇAMENTO!$AB$15,CRONO!$E38,0))/$R38))</f>
        <v>1</v>
      </c>
      <c r="D38" s="241">
        <f ca="1">IF(AND($Q38=2,ACOMPANHAMENTO="BM"),D39,D40/$R38)</f>
        <v>0</v>
      </c>
      <c r="E38" s="238">
        <f ca="1">IF(A38&lt;=ORÇAMENTO.MáximoListaCrono,MATCH(A38,ORÇAMENTO.ListaCrono,0),NA())</f>
        <v>43</v>
      </c>
      <c r="F38" s="238" t="str">
        <f ca="1">IF(AND($E39&lt;&gt;-1,$R38&gt;0),"F","")</f>
        <v/>
      </c>
      <c r="G38" s="242" t="str">
        <f ca="1">IF(OR(R38=0,R38=""),"Linha",IF(AND(OR(ACOMPANHAMENTO="PLE",$Q38&lt;&gt;2),$E39=0),"Linha",1-SUM(T38:AR38)))</f>
        <v>Linha</v>
      </c>
      <c r="H38" s="243" t="str">
        <f ca="1">IF($E39=0,OFFSET(ORÇAMENTO!O$15,$E38,0),IF($E39&lt;&gt;-1,OFFSET(QCI!$D$13,$E39,0),""))</f>
        <v>1.8.</v>
      </c>
      <c r="I38" s="244" t="str">
        <f ca="1">IF($E39=0,OFFSET(ORÇAMENTO!R$15,$E38,0),IF($E39&lt;&gt;-1,OFFSET(QCI!$G$13,$E39,0),""))</f>
        <v xml:space="preserve">IMPERMEABILIZAÇÃO BALDRAME </v>
      </c>
      <c r="J38" s="244"/>
      <c r="K38" s="244"/>
      <c r="L38" s="245">
        <f ca="1">IF($E39=0,OFFSET(ORÇAMENTO!C$15,$E38,0),1)</f>
        <v>2</v>
      </c>
      <c r="M38" s="246">
        <f ca="1">IF($E39=-1,0,IF(M$13&lt;=$L38,IF(ISERROR(MATCH(M$13,OFFSET($L38,1,0,ROW($L$92)-ROW($L38)-1),0)),ROW($L$92)-ROW($L38)-1,MATCH(M$13,OFFSET($L38,1,0,ROW($L$92)-ROW($L38)-1),0)-1),0))</f>
        <v>53</v>
      </c>
      <c r="N38" s="246">
        <f ca="1">IF($E39=-1,0,IF(N$13&lt;=$L38,IF(ISERROR(MATCH(N$13,OFFSET($L38,1,0,ROW($L$92)-ROW($L38)-1),0)),ROW($L$92)-ROW($L38)-1,MATCH(N$13,OFFSET($L38,1,0,ROW($L$92)-ROW($L38)-1),0)-1),0))</f>
        <v>2</v>
      </c>
      <c r="O38" s="246">
        <f ca="1">IF($E39=-1,0,IF(O$13&lt;=$L38,IF(ISERROR(MATCH(O$13,OFFSET($L38,1,0,ROW($L$92)-ROW($L38)-1),0)),ROW($L$92)-ROW($L38)-1,MATCH(O$13,OFFSET($L38,1,0,ROW($L$92)-ROW($L38)-1),0)-1),0))</f>
        <v>0</v>
      </c>
      <c r="P38" s="246">
        <f ca="1">IF($E39=-1,0,IF(P$13&lt;=$L38,IF(ISERROR(MATCH(P$13,OFFSET($L38,1,0,ROW($L$92)-ROW($L38)-1),0)),ROW($L$92)-ROW($L38)-1,MATCH(P$13,OFFSET($L38,1,0,ROW($L$92)-ROW($L38)-1),0)-1),0))</f>
        <v>0</v>
      </c>
      <c r="Q38" s="246">
        <f ca="1">MIN(OFFSET(L38,0,1,,L38))</f>
        <v>2</v>
      </c>
      <c r="R38" s="247">
        <f ca="1">IF($E39=0,OFFSET(ORÇAMENTO!X$15,$E38,0),IF($E39&lt;&gt;-1,OFFSET(QCI!$O$13,$E39,0),""))</f>
        <v>0</v>
      </c>
      <c r="S38" s="248" t="s">
        <v>270</v>
      </c>
      <c r="T38" s="249">
        <f t="shared" ref="T38:AQ38" ca="1" si="13">IF(AND($Q38=2,ACOMPANHAMENTO="BM"),T39,T40/$R38)</f>
        <v>0</v>
      </c>
      <c r="U38" s="241">
        <f t="shared" ca="1" si="13"/>
        <v>0</v>
      </c>
      <c r="V38" s="241">
        <f t="shared" ca="1" si="13"/>
        <v>1</v>
      </c>
      <c r="W38" s="241">
        <f t="shared" ca="1" si="13"/>
        <v>0</v>
      </c>
      <c r="X38" s="241">
        <f t="shared" ca="1" si="13"/>
        <v>0</v>
      </c>
      <c r="Y38" s="241">
        <f t="shared" ca="1" si="13"/>
        <v>0</v>
      </c>
      <c r="Z38" s="241">
        <f t="shared" ca="1" si="13"/>
        <v>0</v>
      </c>
      <c r="AA38" s="241">
        <f t="shared" ca="1" si="13"/>
        <v>0</v>
      </c>
      <c r="AB38" s="241">
        <f t="shared" ca="1" si="13"/>
        <v>0</v>
      </c>
      <c r="AC38" s="241">
        <f t="shared" ca="1" si="13"/>
        <v>0</v>
      </c>
      <c r="AD38" s="241">
        <f t="shared" ca="1" si="13"/>
        <v>0</v>
      </c>
      <c r="AE38" s="250">
        <f t="shared" ca="1" si="13"/>
        <v>0</v>
      </c>
      <c r="AF38" s="249">
        <f t="shared" ca="1" si="13"/>
        <v>0</v>
      </c>
      <c r="AG38" s="241">
        <f t="shared" ca="1" si="13"/>
        <v>0</v>
      </c>
      <c r="AH38" s="241">
        <f t="shared" ca="1" si="13"/>
        <v>0</v>
      </c>
      <c r="AI38" s="241">
        <f t="shared" ca="1" si="13"/>
        <v>0</v>
      </c>
      <c r="AJ38" s="241">
        <f t="shared" ca="1" si="13"/>
        <v>0</v>
      </c>
      <c r="AK38" s="241">
        <f t="shared" ca="1" si="13"/>
        <v>0</v>
      </c>
      <c r="AL38" s="241">
        <f t="shared" ca="1" si="13"/>
        <v>0</v>
      </c>
      <c r="AM38" s="241">
        <f t="shared" ca="1" si="13"/>
        <v>0</v>
      </c>
      <c r="AN38" s="241">
        <f t="shared" ca="1" si="13"/>
        <v>0</v>
      </c>
      <c r="AO38" s="241">
        <f t="shared" ca="1" si="13"/>
        <v>0</v>
      </c>
      <c r="AP38" s="241">
        <f t="shared" ca="1" si="13"/>
        <v>0</v>
      </c>
      <c r="AQ38" s="250">
        <f t="shared" ca="1" si="13"/>
        <v>0</v>
      </c>
    </row>
    <row r="39" spans="1:44" ht="12.75" customHeight="1" x14ac:dyDescent="0.2">
      <c r="D39" s="657"/>
      <c r="E39" s="238">
        <f ca="1">IF(ISERROR(E38),IF(1+COUNTIF($L$13:OFFSET(L38,-1,0),1)&lt;=MAX(QCI!$D$13:$D$24),1+COUNTIF($L$13:OFFSET(L38,-1,0),1),-1),0)</f>
        <v>0</v>
      </c>
      <c r="F39" s="238" t="str">
        <f ca="1">IF(AND($E39&lt;&gt;-1,$R38&gt;0),"F","")</f>
        <v/>
      </c>
      <c r="G39" s="251" t="str">
        <f ca="1">IF(OR(R38=0,R38=""),"vazia",IF(AND(OR(ACOMPANHAMENTO="PLE",$Q38&lt;&gt;2),$E39=0),"calculada","--&gt;"))</f>
        <v>vazia</v>
      </c>
      <c r="H39" s="252"/>
      <c r="I39" s="253" t="str">
        <f ca="1">IF(AND(G38&lt;&gt;0,ISNUMBER(G38)),"PREENCHA ESTA LINHA --&gt;","")</f>
        <v/>
      </c>
      <c r="J39" s="253"/>
      <c r="K39" s="253"/>
      <c r="L39" s="254"/>
      <c r="M39" s="254"/>
      <c r="N39" s="254"/>
      <c r="O39" s="254"/>
      <c r="P39" s="254"/>
      <c r="Q39" s="254"/>
      <c r="R39" s="255"/>
      <c r="S39" s="256"/>
      <c r="T39" s="658"/>
      <c r="U39" s="657"/>
      <c r="V39" s="657">
        <v>1</v>
      </c>
      <c r="W39" s="657"/>
      <c r="X39" s="657"/>
      <c r="Y39" s="657"/>
      <c r="Z39" s="657"/>
      <c r="AA39" s="657"/>
      <c r="AB39" s="657"/>
      <c r="AC39" s="657"/>
      <c r="AD39" s="657"/>
      <c r="AE39" s="659"/>
      <c r="AF39" s="658"/>
      <c r="AG39" s="657"/>
      <c r="AH39" s="657"/>
      <c r="AI39" s="657"/>
      <c r="AJ39" s="657"/>
      <c r="AK39" s="657"/>
      <c r="AL39" s="657"/>
      <c r="AM39" s="657"/>
      <c r="AN39" s="657"/>
      <c r="AO39" s="657"/>
      <c r="AP39" s="657"/>
      <c r="AQ39" s="659"/>
      <c r="AR39" s="617"/>
    </row>
    <row r="40" spans="1:44" ht="0.2" hidden="1" customHeight="1" x14ac:dyDescent="0.2">
      <c r="D40" s="257">
        <f ca="1">IF($Q38=2,IF(AND(ACOMPANHAMENTO="PLE",ISNUMBER($E38)),SUMIF((OFFSET(CÁLCULO!$AM$15:$AW$15,$E38,0,OFFSET(ORÇAMENTO!$D$15,CRONO!$E38,0))),"="&amp;CRONO!D$12,OFFSET(CÁLCULO!$AB$15:$AL$15,$E38,0,OFFSET(ORÇAMENTO!$D$15,CRONO!$E38,0)))+IF(AND($E40&lt;&gt;"",$E40&lt;&gt;0),SUMIF(CÁLCULO!$AM$15:$AW$192,"="&amp;CRONO!D$12,CÁLCULO!$AB$15:$AL$192)/(ORÇAMENTO!$X$15-CÁLCULO.TotalAdmLocal)*CRONO!$E40,0),D39*$R38),SUMIF(OFFSET($R40,1,0,$Q38-2),($L38+1)&amp;"$",OFFSET(D40,1,0,$Q38-2)))</f>
        <v>0</v>
      </c>
      <c r="E40" s="238" t="str">
        <f ca="1">IF(OR($Q38&lt;&gt;2,AUTOEVENTO&lt;&gt;"manual",$E39&gt;0),"",SUMIF(OFFSET(CÁLCULO!$M$15,CRONO!$E38,0,OFFSET(ORÇAMENTO!$D$15,CRONO!$E38,0)),1,OFFSET(ORÇAMENTO!$X$15,CRONO!$E38,0,OFFSET(ORÇAMENTO!$D$15,CRONO!$E38,0))))</f>
        <v/>
      </c>
      <c r="G40" s="258"/>
      <c r="R40" s="259" t="str">
        <f ca="1">L38&amp;"$"</f>
        <v>2$</v>
      </c>
      <c r="S40" s="260"/>
      <c r="T40" s="261">
        <f ca="1">IF($Q38=2,IF(AND(ACOMPANHAMENTO="PLE",ISNUMBER($E38)),SUMIF((OFFSET(CÁLCULO!$AM$15:$AW$15,$E38,0,OFFSET(ORÇAMENTO!$D$15,CRONO!$E38,0))),"&lt;="&amp;CRONO!T$12,OFFSET(CÁLCULO!$AB$15:$AL$15,$E38,0,OFFSET(ORÇAMENTO!$D$15,CRONO!$E38,0)))+IF(AND($E40&lt;&gt;"",$E40&lt;&gt;0),SUMIF(CÁLCULO!$AM$15:$AW$192,"&lt;="&amp;CRONO!T$12,CÁLCULO!$AB$15:$AL$192)/(ORÇAMENTO!$X$15-CÁLCULO.TotalAdmLocal)*CRONO!$E40,0),T39*$R38),SUMIF(OFFSET($R40,1,0,$Q38-2),($L38+1)&amp;"$",OFFSET(T40,1,0,$Q38-2)))</f>
        <v>0</v>
      </c>
      <c r="U40" s="257">
        <f ca="1">IF($Q38=2,IF(AND(ACOMPANHAMENTO="PLE",ISNUMBER($E38)),SUMIF((OFFSET(CÁLCULO!$AM$15:$AW$15,$E38,0,OFFSET(ORÇAMENTO!$D$15,CRONO!$E38,0))),"="&amp;CRONO!U$12,OFFSET(CÁLCULO!$AB$15:$AL$15,$E38,0,OFFSET(ORÇAMENTO!$D$15,CRONO!$E38,0)))+IF(AND($E40&lt;&gt;"",$E40&lt;&gt;0),SUMIF(CÁLCULO!$AM$15:$AW$192,"="&amp;CRONO!U$12,CÁLCULO!$AB$15:$AL$192)/(ORÇAMENTO!$X$15-CÁLCULO.TotalAdmLocal)*CRONO!$E40,0),U39*$R38),SUMIF(OFFSET($R40,1,0,$Q38-2),($L38+1)&amp;"$",OFFSET(U40,1,0,$Q38-2)))</f>
        <v>0</v>
      </c>
      <c r="V40" s="257">
        <f ca="1">IF($Q38=2,IF(AND(ACOMPANHAMENTO="PLE",ISNUMBER($E38)),SUMIF((OFFSET(CÁLCULO!$AM$15:$AW$15,$E38,0,OFFSET(ORÇAMENTO!$D$15,CRONO!$E38,0))),"="&amp;CRONO!V$12,OFFSET(CÁLCULO!$AB$15:$AL$15,$E38,0,OFFSET(ORÇAMENTO!$D$15,CRONO!$E38,0)))+IF(AND($E40&lt;&gt;"",$E40&lt;&gt;0),SUMIF(CÁLCULO!$AM$15:$AW$192,"="&amp;CRONO!V$12,CÁLCULO!$AB$15:$AL$192)/(ORÇAMENTO!$X$15-CÁLCULO.TotalAdmLocal)*CRONO!$E40,0),V39*$R38),SUMIF(OFFSET($R40,1,0,$Q38-2),($L38+1)&amp;"$",OFFSET(V40,1,0,$Q38-2)))</f>
        <v>0</v>
      </c>
      <c r="W40" s="257">
        <f ca="1">IF($Q38=2,IF(AND(ACOMPANHAMENTO="PLE",ISNUMBER($E38)),SUMIF((OFFSET(CÁLCULO!$AM$15:$AW$15,$E38,0,OFFSET(ORÇAMENTO!$D$15,CRONO!$E38,0))),"="&amp;CRONO!W$12,OFFSET(CÁLCULO!$AB$15:$AL$15,$E38,0,OFFSET(ORÇAMENTO!$D$15,CRONO!$E38,0)))+IF(AND($E40&lt;&gt;"",$E40&lt;&gt;0),SUMIF(CÁLCULO!$AM$15:$AW$192,"="&amp;CRONO!W$12,CÁLCULO!$AB$15:$AL$192)/(ORÇAMENTO!$X$15-CÁLCULO.TotalAdmLocal)*CRONO!$E40,0),W39*$R38),SUMIF(OFFSET($R40,1,0,$Q38-2),($L38+1)&amp;"$",OFFSET(W40,1,0,$Q38-2)))</f>
        <v>0</v>
      </c>
      <c r="X40" s="257">
        <f ca="1">IF($Q38=2,IF(AND(ACOMPANHAMENTO="PLE",ISNUMBER($E38)),SUMIF((OFFSET(CÁLCULO!$AM$15:$AW$15,$E38,0,OFFSET(ORÇAMENTO!$D$15,CRONO!$E38,0))),"="&amp;CRONO!X$12,OFFSET(CÁLCULO!$AB$15:$AL$15,$E38,0,OFFSET(ORÇAMENTO!$D$15,CRONO!$E38,0)))+IF(AND($E40&lt;&gt;"",$E40&lt;&gt;0),SUMIF(CÁLCULO!$AM$15:$AW$192,"="&amp;CRONO!X$12,CÁLCULO!$AB$15:$AL$192)/(ORÇAMENTO!$X$15-CÁLCULO.TotalAdmLocal)*CRONO!$E40,0),X39*$R38),SUMIF(OFFSET($R40,1,0,$Q38-2),($L38+1)&amp;"$",OFFSET(X40,1,0,$Q38-2)))</f>
        <v>0</v>
      </c>
      <c r="Y40" s="257">
        <f ca="1">IF($Q38=2,IF(AND(ACOMPANHAMENTO="PLE",ISNUMBER($E38)),SUMIF((OFFSET(CÁLCULO!$AM$15:$AW$15,$E38,0,OFFSET(ORÇAMENTO!$D$15,CRONO!$E38,0))),"="&amp;CRONO!Y$12,OFFSET(CÁLCULO!$AB$15:$AL$15,$E38,0,OFFSET(ORÇAMENTO!$D$15,CRONO!$E38,0)))+IF(AND($E40&lt;&gt;"",$E40&lt;&gt;0),SUMIF(CÁLCULO!$AM$15:$AW$192,"="&amp;CRONO!Y$12,CÁLCULO!$AB$15:$AL$192)/(ORÇAMENTO!$X$15-CÁLCULO.TotalAdmLocal)*CRONO!$E40,0),Y39*$R38),SUMIF(OFFSET($R40,1,0,$Q38-2),($L38+1)&amp;"$",OFFSET(Y40,1,0,$Q38-2)))</f>
        <v>0</v>
      </c>
      <c r="Z40" s="257">
        <f ca="1">IF($Q38=2,IF(AND(ACOMPANHAMENTO="PLE",ISNUMBER($E38)),SUMIF((OFFSET(CÁLCULO!$AM$15:$AW$15,$E38,0,OFFSET(ORÇAMENTO!$D$15,CRONO!$E38,0))),"="&amp;CRONO!Z$12,OFFSET(CÁLCULO!$AB$15:$AL$15,$E38,0,OFFSET(ORÇAMENTO!$D$15,CRONO!$E38,0)))+IF(AND($E40&lt;&gt;"",$E40&lt;&gt;0),SUMIF(CÁLCULO!$AM$15:$AW$192,"="&amp;CRONO!Z$12,CÁLCULO!$AB$15:$AL$192)/(ORÇAMENTO!$X$15-CÁLCULO.TotalAdmLocal)*CRONO!$E40,0),Z39*$R38),SUMIF(OFFSET($R40,1,0,$Q38-2),($L38+1)&amp;"$",OFFSET(Z40,1,0,$Q38-2)))</f>
        <v>0</v>
      </c>
      <c r="AA40" s="257">
        <f ca="1">IF($Q38=2,IF(AND(ACOMPANHAMENTO="PLE",ISNUMBER($E38)),SUMIF((OFFSET(CÁLCULO!$AM$15:$AW$15,$E38,0,OFFSET(ORÇAMENTO!$D$15,CRONO!$E38,0))),"="&amp;CRONO!AA$12,OFFSET(CÁLCULO!$AB$15:$AL$15,$E38,0,OFFSET(ORÇAMENTO!$D$15,CRONO!$E38,0)))+IF(AND($E40&lt;&gt;"",$E40&lt;&gt;0),SUMIF(CÁLCULO!$AM$15:$AW$192,"="&amp;CRONO!AA$12,CÁLCULO!$AB$15:$AL$192)/(ORÇAMENTO!$X$15-CÁLCULO.TotalAdmLocal)*CRONO!$E40,0),AA39*$R38),SUMIF(OFFSET($R40,1,0,$Q38-2),($L38+1)&amp;"$",OFFSET(AA40,1,0,$Q38-2)))</f>
        <v>0</v>
      </c>
      <c r="AB40" s="257">
        <f ca="1">IF($Q38=2,IF(AND(ACOMPANHAMENTO="PLE",ISNUMBER($E38)),SUMIF((OFFSET(CÁLCULO!$AM$15:$AW$15,$E38,0,OFFSET(ORÇAMENTO!$D$15,CRONO!$E38,0))),"="&amp;CRONO!AB$12,OFFSET(CÁLCULO!$AB$15:$AL$15,$E38,0,OFFSET(ORÇAMENTO!$D$15,CRONO!$E38,0)))+IF(AND($E40&lt;&gt;"",$E40&lt;&gt;0),SUMIF(CÁLCULO!$AM$15:$AW$192,"="&amp;CRONO!AB$12,CÁLCULO!$AB$15:$AL$192)/(ORÇAMENTO!$X$15-CÁLCULO.TotalAdmLocal)*CRONO!$E40,0),AB39*$R38),SUMIF(OFFSET($R40,1,0,$Q38-2),($L38+1)&amp;"$",OFFSET(AB40,1,0,$Q38-2)))</f>
        <v>0</v>
      </c>
      <c r="AC40" s="257">
        <f ca="1">IF($Q38=2,IF(AND(ACOMPANHAMENTO="PLE",ISNUMBER($E38)),SUMIF((OFFSET(CÁLCULO!$AM$15:$AW$15,$E38,0,OFFSET(ORÇAMENTO!$D$15,CRONO!$E38,0))),"="&amp;CRONO!AC$12,OFFSET(CÁLCULO!$AB$15:$AL$15,$E38,0,OFFSET(ORÇAMENTO!$D$15,CRONO!$E38,0)))+IF(AND($E40&lt;&gt;"",$E40&lt;&gt;0),SUMIF(CÁLCULO!$AM$15:$AW$192,"="&amp;CRONO!AC$12,CÁLCULO!$AB$15:$AL$192)/(ORÇAMENTO!$X$15-CÁLCULO.TotalAdmLocal)*CRONO!$E40,0),AC39*$R38),SUMIF(OFFSET($R40,1,0,$Q38-2),($L38+1)&amp;"$",OFFSET(AC40,1,0,$Q38-2)))</f>
        <v>0</v>
      </c>
      <c r="AD40" s="257">
        <f ca="1">IF($Q38=2,IF(AND(ACOMPANHAMENTO="PLE",ISNUMBER($E38)),SUMIF((OFFSET(CÁLCULO!$AM$15:$AW$15,$E38,0,OFFSET(ORÇAMENTO!$D$15,CRONO!$E38,0))),"="&amp;CRONO!AD$12,OFFSET(CÁLCULO!$AB$15:$AL$15,$E38,0,OFFSET(ORÇAMENTO!$D$15,CRONO!$E38,0)))+IF(AND($E40&lt;&gt;"",$E40&lt;&gt;0),SUMIF(CÁLCULO!$AM$15:$AW$192,"="&amp;CRONO!AD$12,CÁLCULO!$AB$15:$AL$192)/(ORÇAMENTO!$X$15-CÁLCULO.TotalAdmLocal)*CRONO!$E40,0),AD39*$R38),SUMIF(OFFSET($R40,1,0,$Q38-2),($L38+1)&amp;"$",OFFSET(AD40,1,0,$Q38-2)))</f>
        <v>0</v>
      </c>
      <c r="AE40" s="262">
        <f ca="1">IF($Q38=2,IF(AND(ACOMPANHAMENTO="PLE",ISNUMBER($E38)),SUMIF((OFFSET(CÁLCULO!$AM$15:$AW$15,$E38,0,OFFSET(ORÇAMENTO!$D$15,CRONO!$E38,0))),"="&amp;CRONO!AE$12,OFFSET(CÁLCULO!$AB$15:$AL$15,$E38,0,OFFSET(ORÇAMENTO!$D$15,CRONO!$E38,0)))+IF(AND($E40&lt;&gt;"",$E40&lt;&gt;0),SUMIF(CÁLCULO!$AM$15:$AW$192,"="&amp;CRONO!AE$12,CÁLCULO!$AB$15:$AL$192)/(ORÇAMENTO!$X$15-CÁLCULO.TotalAdmLocal)*CRONO!$E40,0),AE39*$R38),SUMIF(OFFSET($R40,1,0,$Q38-2),($L38+1)&amp;"$",OFFSET(AE40,1,0,$Q38-2)))</f>
        <v>0</v>
      </c>
      <c r="AF40" s="261">
        <f ca="1">IF($Q38=2,IF(AND(ACOMPANHAMENTO="PLE",ISNUMBER($E38)),SUMIF((OFFSET(CÁLCULO!$AM$15:$AW$15,$E38,0,OFFSET(ORÇAMENTO!$D$15,CRONO!$E38,0))),"="&amp;CRONO!AF$12,OFFSET(CÁLCULO!$AB$15:$AL$15,$E38,0,OFFSET(ORÇAMENTO!$D$15,CRONO!$E38,0)))+IF(AND($E40&lt;&gt;"",$E40&lt;&gt;0),SUMIF(CÁLCULO!$AM$15:$AW$192,"="&amp;CRONO!AF$12,CÁLCULO!$AB$15:$AL$192)/(ORÇAMENTO!$X$15-CÁLCULO.TotalAdmLocal)*CRONO!$E40,0),AF39*$R38),SUMIF(OFFSET($R40,1,0,$Q38-2),($L38+1)&amp;"$",OFFSET(AF40,1,0,$Q38-2)))</f>
        <v>0</v>
      </c>
      <c r="AG40" s="257">
        <f ca="1">IF($Q38=2,IF(AND(ACOMPANHAMENTO="PLE",ISNUMBER($E38)),SUMIF((OFFSET(CÁLCULO!$AM$15:$AW$15,$E38,0,OFFSET(ORÇAMENTO!$D$15,CRONO!$E38,0))),"="&amp;CRONO!AG$12,OFFSET(CÁLCULO!$AB$15:$AL$15,$E38,0,OFFSET(ORÇAMENTO!$D$15,CRONO!$E38,0)))+IF(AND($E40&lt;&gt;"",$E40&lt;&gt;0),SUMIF(CÁLCULO!$AM$15:$AW$192,"="&amp;CRONO!AG$12,CÁLCULO!$AB$15:$AL$192)/(ORÇAMENTO!$X$15-CÁLCULO.TotalAdmLocal)*CRONO!$E40,0),AG39*$R38),SUMIF(OFFSET($R40,1,0,$Q38-2),($L38+1)&amp;"$",OFFSET(AG40,1,0,$Q38-2)))</f>
        <v>0</v>
      </c>
      <c r="AH40" s="257">
        <f ca="1">IF($Q38=2,IF(AND(ACOMPANHAMENTO="PLE",ISNUMBER($E38)),SUMIF((OFFSET(CÁLCULO!$AM$15:$AW$15,$E38,0,OFFSET(ORÇAMENTO!$D$15,CRONO!$E38,0))),"="&amp;CRONO!AH$12,OFFSET(CÁLCULO!$AB$15:$AL$15,$E38,0,OFFSET(ORÇAMENTO!$D$15,CRONO!$E38,0)))+IF(AND($E40&lt;&gt;"",$E40&lt;&gt;0),SUMIF(CÁLCULO!$AM$15:$AW$192,"="&amp;CRONO!AH$12,CÁLCULO!$AB$15:$AL$192)/(ORÇAMENTO!$X$15-CÁLCULO.TotalAdmLocal)*CRONO!$E40,0),AH39*$R38),SUMIF(OFFSET($R40,1,0,$Q38-2),($L38+1)&amp;"$",OFFSET(AH40,1,0,$Q38-2)))</f>
        <v>0</v>
      </c>
      <c r="AI40" s="257">
        <f ca="1">IF($Q38=2,IF(AND(ACOMPANHAMENTO="PLE",ISNUMBER($E38)),SUMIF((OFFSET(CÁLCULO!$AM$15:$AW$15,$E38,0,OFFSET(ORÇAMENTO!$D$15,CRONO!$E38,0))),"="&amp;CRONO!AI$12,OFFSET(CÁLCULO!$AB$15:$AL$15,$E38,0,OFFSET(ORÇAMENTO!$D$15,CRONO!$E38,0)))+IF(AND($E40&lt;&gt;"",$E40&lt;&gt;0),SUMIF(CÁLCULO!$AM$15:$AW$192,"="&amp;CRONO!AI$12,CÁLCULO!$AB$15:$AL$192)/(ORÇAMENTO!$X$15-CÁLCULO.TotalAdmLocal)*CRONO!$E40,0),AI39*$R38),SUMIF(OFFSET($R40,1,0,$Q38-2),($L38+1)&amp;"$",OFFSET(AI40,1,0,$Q38-2)))</f>
        <v>0</v>
      </c>
      <c r="AJ40" s="257">
        <f ca="1">IF($Q38=2,IF(AND(ACOMPANHAMENTO="PLE",ISNUMBER($E38)),SUMIF((OFFSET(CÁLCULO!$AM$15:$AW$15,$E38,0,OFFSET(ORÇAMENTO!$D$15,CRONO!$E38,0))),"="&amp;CRONO!AJ$12,OFFSET(CÁLCULO!$AB$15:$AL$15,$E38,0,OFFSET(ORÇAMENTO!$D$15,CRONO!$E38,0)))+IF(AND($E40&lt;&gt;"",$E40&lt;&gt;0),SUMIF(CÁLCULO!$AM$15:$AW$192,"="&amp;CRONO!AJ$12,CÁLCULO!$AB$15:$AL$192)/(ORÇAMENTO!$X$15-CÁLCULO.TotalAdmLocal)*CRONO!$E40,0),AJ39*$R38),SUMIF(OFFSET($R40,1,0,$Q38-2),($L38+1)&amp;"$",OFFSET(AJ40,1,0,$Q38-2)))</f>
        <v>0</v>
      </c>
      <c r="AK40" s="257">
        <f ca="1">IF($Q38=2,IF(AND(ACOMPANHAMENTO="PLE",ISNUMBER($E38)),SUMIF((OFFSET(CÁLCULO!$AM$15:$AW$15,$E38,0,OFFSET(ORÇAMENTO!$D$15,CRONO!$E38,0))),"="&amp;CRONO!AK$12,OFFSET(CÁLCULO!$AB$15:$AL$15,$E38,0,OFFSET(ORÇAMENTO!$D$15,CRONO!$E38,0)))+IF(AND($E40&lt;&gt;"",$E40&lt;&gt;0),SUMIF(CÁLCULO!$AM$15:$AW$192,"="&amp;CRONO!AK$12,CÁLCULO!$AB$15:$AL$192)/(ORÇAMENTO!$X$15-CÁLCULO.TotalAdmLocal)*CRONO!$E40,0),AK39*$R38),SUMIF(OFFSET($R40,1,0,$Q38-2),($L38+1)&amp;"$",OFFSET(AK40,1,0,$Q38-2)))</f>
        <v>0</v>
      </c>
      <c r="AL40" s="257">
        <f ca="1">IF($Q38=2,IF(AND(ACOMPANHAMENTO="PLE",ISNUMBER($E38)),SUMIF((OFFSET(CÁLCULO!$AM$15:$AW$15,$E38,0,OFFSET(ORÇAMENTO!$D$15,CRONO!$E38,0))),"="&amp;CRONO!AL$12,OFFSET(CÁLCULO!$AB$15:$AL$15,$E38,0,OFFSET(ORÇAMENTO!$D$15,CRONO!$E38,0)))+IF(AND($E40&lt;&gt;"",$E40&lt;&gt;0),SUMIF(CÁLCULO!$AM$15:$AW$192,"="&amp;CRONO!AL$12,CÁLCULO!$AB$15:$AL$192)/(ORÇAMENTO!$X$15-CÁLCULO.TotalAdmLocal)*CRONO!$E40,0),AL39*$R38),SUMIF(OFFSET($R40,1,0,$Q38-2),($L38+1)&amp;"$",OFFSET(AL40,1,0,$Q38-2)))</f>
        <v>0</v>
      </c>
      <c r="AM40" s="257">
        <f ca="1">IF($Q38=2,IF(AND(ACOMPANHAMENTO="PLE",ISNUMBER($E38)),SUMIF((OFFSET(CÁLCULO!$AM$15:$AW$15,$E38,0,OFFSET(ORÇAMENTO!$D$15,CRONO!$E38,0))),"="&amp;CRONO!AM$12,OFFSET(CÁLCULO!$AB$15:$AL$15,$E38,0,OFFSET(ORÇAMENTO!$D$15,CRONO!$E38,0)))+IF(AND($E40&lt;&gt;"",$E40&lt;&gt;0),SUMIF(CÁLCULO!$AM$15:$AW$192,"="&amp;CRONO!AM$12,CÁLCULO!$AB$15:$AL$192)/(ORÇAMENTO!$X$15-CÁLCULO.TotalAdmLocal)*CRONO!$E40,0),AM39*$R38),SUMIF(OFFSET($R40,1,0,$Q38-2),($L38+1)&amp;"$",OFFSET(AM40,1,0,$Q38-2)))</f>
        <v>0</v>
      </c>
      <c r="AN40" s="257">
        <f ca="1">IF($Q38=2,IF(AND(ACOMPANHAMENTO="PLE",ISNUMBER($E38)),SUMIF((OFFSET(CÁLCULO!$AM$15:$AW$15,$E38,0,OFFSET(ORÇAMENTO!$D$15,CRONO!$E38,0))),"="&amp;CRONO!AN$12,OFFSET(CÁLCULO!$AB$15:$AL$15,$E38,0,OFFSET(ORÇAMENTO!$D$15,CRONO!$E38,0)))+IF(AND($E40&lt;&gt;"",$E40&lt;&gt;0),SUMIF(CÁLCULO!$AM$15:$AW$192,"="&amp;CRONO!AN$12,CÁLCULO!$AB$15:$AL$192)/(ORÇAMENTO!$X$15-CÁLCULO.TotalAdmLocal)*CRONO!$E40,0),AN39*$R38),SUMIF(OFFSET($R40,1,0,$Q38-2),($L38+1)&amp;"$",OFFSET(AN40,1,0,$Q38-2)))</f>
        <v>0</v>
      </c>
      <c r="AO40" s="257">
        <f ca="1">IF($Q38=2,IF(AND(ACOMPANHAMENTO="PLE",ISNUMBER($E38)),SUMIF((OFFSET(CÁLCULO!$AM$15:$AW$15,$E38,0,OFFSET(ORÇAMENTO!$D$15,CRONO!$E38,0))),"="&amp;CRONO!AO$12,OFFSET(CÁLCULO!$AB$15:$AL$15,$E38,0,OFFSET(ORÇAMENTO!$D$15,CRONO!$E38,0)))+IF(AND($E40&lt;&gt;"",$E40&lt;&gt;0),SUMIF(CÁLCULO!$AM$15:$AW$192,"="&amp;CRONO!AO$12,CÁLCULO!$AB$15:$AL$192)/(ORÇAMENTO!$X$15-CÁLCULO.TotalAdmLocal)*CRONO!$E40,0),AO39*$R38),SUMIF(OFFSET($R40,1,0,$Q38-2),($L38+1)&amp;"$",OFFSET(AO40,1,0,$Q38-2)))</f>
        <v>0</v>
      </c>
      <c r="AP40" s="257">
        <f ca="1">IF($Q38=2,IF(AND(ACOMPANHAMENTO="PLE",ISNUMBER($E38)),SUMIF((OFFSET(CÁLCULO!$AM$15:$AW$15,$E38,0,OFFSET(ORÇAMENTO!$D$15,CRONO!$E38,0))),"="&amp;CRONO!AP$12,OFFSET(CÁLCULO!$AB$15:$AL$15,$E38,0,OFFSET(ORÇAMENTO!$D$15,CRONO!$E38,0)))+IF(AND($E40&lt;&gt;"",$E40&lt;&gt;0),SUMIF(CÁLCULO!$AM$15:$AW$192,"="&amp;CRONO!AP$12,CÁLCULO!$AB$15:$AL$192)/(ORÇAMENTO!$X$15-CÁLCULO.TotalAdmLocal)*CRONO!$E40,0),AP39*$R38),SUMIF(OFFSET($R40,1,0,$Q38-2),($L38+1)&amp;"$",OFFSET(AP40,1,0,$Q38-2)))</f>
        <v>0</v>
      </c>
      <c r="AQ40" s="262">
        <f ca="1">IF($Q38=2,IF(AND(ACOMPANHAMENTO="PLE",ISNUMBER($E38)),SUMIF((OFFSET(CÁLCULO!$AM$15:$AW$15,$E38,0,OFFSET(ORÇAMENTO!$D$15,CRONO!$E38,0))),"="&amp;CRONO!AQ$12,OFFSET(CÁLCULO!$AB$15:$AL$15,$E38,0,OFFSET(ORÇAMENTO!$D$15,CRONO!$E38,0)))+IF(AND($E40&lt;&gt;"",$E40&lt;&gt;0),SUMIF(CÁLCULO!$AM$15:$AW$192,"="&amp;CRONO!AQ$12,CÁLCULO!$AB$15:$AL$192)/(ORÇAMENTO!$X$15-CÁLCULO.TotalAdmLocal)*CRONO!$E40,0),AQ39*$R38),SUMIF(OFFSET($R40,1,0,$Q38-2),($L38+1)&amp;"$",OFFSET(AQ40,1,0,$Q38-2)))</f>
        <v>0</v>
      </c>
    </row>
    <row r="41" spans="1:44" x14ac:dyDescent="0.2">
      <c r="A41" s="238">
        <f ca="1">OFFSET(A41,-3,0)+1</f>
        <v>10</v>
      </c>
      <c r="B41" s="238">
        <f ca="1">IF($Q41&lt;&gt;2,0,IF($R41=0,1,IF(E42&gt;0,OFFSET(QCI!$M$13,SUBSTITUTE(E42,".",""),0),OFFSET(ORÇAMENTO!$AA$15,CRONO!$E41,0))/$R41))</f>
        <v>1</v>
      </c>
      <c r="C41" s="238">
        <f ca="1">IF($Q41&lt;&gt;2,0,IF($R41=0,1,IF(E42&gt;0,OFFSET(QCI!$N$13,SUBSTITUTE(E42,".",""),0),OFFSET(ORÇAMENTO!$AB$15,CRONO!$E41,0))/$R41))</f>
        <v>1</v>
      </c>
      <c r="D41" s="241">
        <f ca="1">IF(AND($Q41=2,ACOMPANHAMENTO="BM"),D42,D43/$R41)</f>
        <v>0</v>
      </c>
      <c r="E41" s="238">
        <f ca="1">IF(A41&lt;=ORÇAMENTO.MáximoListaCrono,MATCH(A41,ORÇAMENTO.ListaCrono,0),NA())</f>
        <v>45</v>
      </c>
      <c r="F41" s="238" t="str">
        <f ca="1">IF(AND($E42&lt;&gt;-1,$R41&gt;0),"F","")</f>
        <v/>
      </c>
      <c r="G41" s="242" t="str">
        <f ca="1">IF(OR(R41=0,R41=""),"Linha",IF(AND(OR(ACOMPANHAMENTO="PLE",$Q41&lt;&gt;2),$E42=0),"Linha",1-SUM(T41:AR41)))</f>
        <v>Linha</v>
      </c>
      <c r="H41" s="243" t="str">
        <f ca="1">IF($E42=0,OFFSET(ORÇAMENTO!O$15,$E41,0),IF($E42&lt;&gt;-1,OFFSET(QCI!$D$13,$E42,0),""))</f>
        <v>1.9.</v>
      </c>
      <c r="I41" s="244" t="str">
        <f ca="1">IF($E42=0,OFFSET(ORÇAMENTO!R$15,$E41,0),IF($E42&lt;&gt;-1,OFFSET(QCI!$G$13,$E42,0),""))</f>
        <v xml:space="preserve">ALVENARIAS </v>
      </c>
      <c r="J41" s="244"/>
      <c r="K41" s="244"/>
      <c r="L41" s="245">
        <f ca="1">IF($E42=0,OFFSET(ORÇAMENTO!C$15,$E41,0),1)</f>
        <v>2</v>
      </c>
      <c r="M41" s="246">
        <f ca="1">IF($E42=-1,0,IF(M$13&lt;=$L41,IF(ISERROR(MATCH(M$13,OFFSET($L41,1,0,ROW($L$92)-ROW($L41)-1),0)),ROW($L$92)-ROW($L41)-1,MATCH(M$13,OFFSET($L41,1,0,ROW($L$92)-ROW($L41)-1),0)-1),0))</f>
        <v>50</v>
      </c>
      <c r="N41" s="246">
        <f ca="1">IF($E42=-1,0,IF(N$13&lt;=$L41,IF(ISERROR(MATCH(N$13,OFFSET($L41,1,0,ROW($L$92)-ROW($L41)-1),0)),ROW($L$92)-ROW($L41)-1,MATCH(N$13,OFFSET($L41,1,0,ROW($L$92)-ROW($L41)-1),0)-1),0))</f>
        <v>2</v>
      </c>
      <c r="O41" s="246">
        <f ca="1">IF($E42=-1,0,IF(O$13&lt;=$L41,IF(ISERROR(MATCH(O$13,OFFSET($L41,1,0,ROW($L$92)-ROW($L41)-1),0)),ROW($L$92)-ROW($L41)-1,MATCH(O$13,OFFSET($L41,1,0,ROW($L$92)-ROW($L41)-1),0)-1),0))</f>
        <v>0</v>
      </c>
      <c r="P41" s="246">
        <f ca="1">IF($E42=-1,0,IF(P$13&lt;=$L41,IF(ISERROR(MATCH(P$13,OFFSET($L41,1,0,ROW($L$92)-ROW($L41)-1),0)),ROW($L$92)-ROW($L41)-1,MATCH(P$13,OFFSET($L41,1,0,ROW($L$92)-ROW($L41)-1),0)-1),0))</f>
        <v>0</v>
      </c>
      <c r="Q41" s="246">
        <f ca="1">MIN(OFFSET(L41,0,1,,L41))</f>
        <v>2</v>
      </c>
      <c r="R41" s="247">
        <f ca="1">IF($E42=0,OFFSET(ORÇAMENTO!X$15,$E41,0),IF($E42&lt;&gt;-1,OFFSET(QCI!$O$13,$E42,0),""))</f>
        <v>0</v>
      </c>
      <c r="S41" s="248" t="s">
        <v>270</v>
      </c>
      <c r="T41" s="249">
        <f t="shared" ref="T41:AQ41" ca="1" si="14">IF(AND($Q41=2,ACOMPANHAMENTO="BM"),T42,T43/$R41)</f>
        <v>0</v>
      </c>
      <c r="U41" s="241">
        <f t="shared" ca="1" si="14"/>
        <v>0</v>
      </c>
      <c r="V41" s="241">
        <f t="shared" ca="1" si="14"/>
        <v>0.25</v>
      </c>
      <c r="W41" s="241">
        <f t="shared" ca="1" si="14"/>
        <v>0.25</v>
      </c>
      <c r="X41" s="241">
        <f t="shared" ca="1" si="14"/>
        <v>0.25</v>
      </c>
      <c r="Y41" s="241">
        <f t="shared" ca="1" si="14"/>
        <v>0.25</v>
      </c>
      <c r="Z41" s="241">
        <f t="shared" ca="1" si="14"/>
        <v>0</v>
      </c>
      <c r="AA41" s="241">
        <f t="shared" ca="1" si="14"/>
        <v>0</v>
      </c>
      <c r="AB41" s="241">
        <f t="shared" ca="1" si="14"/>
        <v>0</v>
      </c>
      <c r="AC41" s="241">
        <f t="shared" ca="1" si="14"/>
        <v>0</v>
      </c>
      <c r="AD41" s="241">
        <f t="shared" ca="1" si="14"/>
        <v>0</v>
      </c>
      <c r="AE41" s="250">
        <f t="shared" ca="1" si="14"/>
        <v>0</v>
      </c>
      <c r="AF41" s="249">
        <f t="shared" ca="1" si="14"/>
        <v>0</v>
      </c>
      <c r="AG41" s="241">
        <f t="shared" ca="1" si="14"/>
        <v>0</v>
      </c>
      <c r="AH41" s="241">
        <f t="shared" ca="1" si="14"/>
        <v>0</v>
      </c>
      <c r="AI41" s="241">
        <f t="shared" ca="1" si="14"/>
        <v>0</v>
      </c>
      <c r="AJ41" s="241">
        <f t="shared" ca="1" si="14"/>
        <v>0</v>
      </c>
      <c r="AK41" s="241">
        <f t="shared" ca="1" si="14"/>
        <v>0</v>
      </c>
      <c r="AL41" s="241">
        <f t="shared" ca="1" si="14"/>
        <v>0</v>
      </c>
      <c r="AM41" s="241">
        <f t="shared" ca="1" si="14"/>
        <v>0</v>
      </c>
      <c r="AN41" s="241">
        <f t="shared" ca="1" si="14"/>
        <v>0</v>
      </c>
      <c r="AO41" s="241">
        <f t="shared" ca="1" si="14"/>
        <v>0</v>
      </c>
      <c r="AP41" s="241">
        <f t="shared" ca="1" si="14"/>
        <v>0</v>
      </c>
      <c r="AQ41" s="250">
        <f t="shared" ca="1" si="14"/>
        <v>0</v>
      </c>
    </row>
    <row r="42" spans="1:44" ht="12.75" customHeight="1" x14ac:dyDescent="0.2">
      <c r="D42" s="657"/>
      <c r="E42" s="238">
        <f ca="1">IF(ISERROR(E41),IF(1+COUNTIF($L$13:OFFSET(L41,-1,0),1)&lt;=MAX(QCI!$D$13:$D$24),1+COUNTIF($L$13:OFFSET(L41,-1,0),1),-1),0)</f>
        <v>0</v>
      </c>
      <c r="F42" s="238" t="str">
        <f ca="1">IF(AND($E42&lt;&gt;-1,$R41&gt;0),"F","")</f>
        <v/>
      </c>
      <c r="G42" s="251" t="str">
        <f ca="1">IF(OR(R41=0,R41=""),"vazia",IF(AND(OR(ACOMPANHAMENTO="PLE",$Q41&lt;&gt;2),$E42=0),"calculada","--&gt;"))</f>
        <v>vazia</v>
      </c>
      <c r="H42" s="252"/>
      <c r="I42" s="253" t="str">
        <f ca="1">IF(AND(G41&lt;&gt;0,ISNUMBER(G41)),"PREENCHA ESTA LINHA --&gt;","")</f>
        <v/>
      </c>
      <c r="J42" s="253"/>
      <c r="K42" s="253"/>
      <c r="L42" s="254"/>
      <c r="M42" s="254"/>
      <c r="N42" s="254"/>
      <c r="O42" s="254"/>
      <c r="P42" s="254"/>
      <c r="Q42" s="254"/>
      <c r="R42" s="255"/>
      <c r="S42" s="256"/>
      <c r="T42" s="658"/>
      <c r="U42" s="657"/>
      <c r="V42" s="657">
        <v>0.25</v>
      </c>
      <c r="W42" s="657">
        <v>0.25</v>
      </c>
      <c r="X42" s="657">
        <v>0.25</v>
      </c>
      <c r="Y42" s="657">
        <v>0.25</v>
      </c>
      <c r="Z42" s="657"/>
      <c r="AA42" s="657"/>
      <c r="AB42" s="657"/>
      <c r="AC42" s="657"/>
      <c r="AD42" s="657"/>
      <c r="AE42" s="659"/>
      <c r="AF42" s="658"/>
      <c r="AG42" s="657"/>
      <c r="AH42" s="657"/>
      <c r="AI42" s="657"/>
      <c r="AJ42" s="657"/>
      <c r="AK42" s="657"/>
      <c r="AL42" s="657"/>
      <c r="AM42" s="657"/>
      <c r="AN42" s="657"/>
      <c r="AO42" s="657"/>
      <c r="AP42" s="657"/>
      <c r="AQ42" s="659"/>
      <c r="AR42" s="617"/>
    </row>
    <row r="43" spans="1:44" ht="0.2" hidden="1" customHeight="1" x14ac:dyDescent="0.2">
      <c r="D43" s="257">
        <f ca="1">IF($Q41=2,IF(AND(ACOMPANHAMENTO="PLE",ISNUMBER($E41)),SUMIF((OFFSET(CÁLCULO!$AM$15:$AW$15,$E41,0,OFFSET(ORÇAMENTO!$D$15,CRONO!$E41,0))),"="&amp;CRONO!D$12,OFFSET(CÁLCULO!$AB$15:$AL$15,$E41,0,OFFSET(ORÇAMENTO!$D$15,CRONO!$E41,0)))+IF(AND($E43&lt;&gt;"",$E43&lt;&gt;0),SUMIF(CÁLCULO!$AM$15:$AW$192,"="&amp;CRONO!D$12,CÁLCULO!$AB$15:$AL$192)/(ORÇAMENTO!$X$15-CÁLCULO.TotalAdmLocal)*CRONO!$E43,0),D42*$R41),SUMIF(OFFSET($R43,1,0,$Q41-2),($L41+1)&amp;"$",OFFSET(D43,1,0,$Q41-2)))</f>
        <v>0</v>
      </c>
      <c r="E43" s="238" t="str">
        <f ca="1">IF(OR($Q41&lt;&gt;2,AUTOEVENTO&lt;&gt;"manual",$E42&gt;0),"",SUMIF(OFFSET(CÁLCULO!$M$15,CRONO!$E41,0,OFFSET(ORÇAMENTO!$D$15,CRONO!$E41,0)),1,OFFSET(ORÇAMENTO!$X$15,CRONO!$E41,0,OFFSET(ORÇAMENTO!$D$15,CRONO!$E41,0))))</f>
        <v/>
      </c>
      <c r="G43" s="258"/>
      <c r="R43" s="259" t="str">
        <f ca="1">L41&amp;"$"</f>
        <v>2$</v>
      </c>
      <c r="S43" s="260"/>
      <c r="T43" s="261">
        <f ca="1">IF($Q41=2,IF(AND(ACOMPANHAMENTO="PLE",ISNUMBER($E41)),SUMIF((OFFSET(CÁLCULO!$AM$15:$AW$15,$E41,0,OFFSET(ORÇAMENTO!$D$15,CRONO!$E41,0))),"&lt;="&amp;CRONO!T$12,OFFSET(CÁLCULO!$AB$15:$AL$15,$E41,0,OFFSET(ORÇAMENTO!$D$15,CRONO!$E41,0)))+IF(AND($E43&lt;&gt;"",$E43&lt;&gt;0),SUMIF(CÁLCULO!$AM$15:$AW$192,"&lt;="&amp;CRONO!T$12,CÁLCULO!$AB$15:$AL$192)/(ORÇAMENTO!$X$15-CÁLCULO.TotalAdmLocal)*CRONO!$E43,0),T42*$R41),SUMIF(OFFSET($R43,1,0,$Q41-2),($L41+1)&amp;"$",OFFSET(T43,1,0,$Q41-2)))</f>
        <v>0</v>
      </c>
      <c r="U43" s="257">
        <f ca="1">IF($Q41=2,IF(AND(ACOMPANHAMENTO="PLE",ISNUMBER($E41)),SUMIF((OFFSET(CÁLCULO!$AM$15:$AW$15,$E41,0,OFFSET(ORÇAMENTO!$D$15,CRONO!$E41,0))),"="&amp;CRONO!U$12,OFFSET(CÁLCULO!$AB$15:$AL$15,$E41,0,OFFSET(ORÇAMENTO!$D$15,CRONO!$E41,0)))+IF(AND($E43&lt;&gt;"",$E43&lt;&gt;0),SUMIF(CÁLCULO!$AM$15:$AW$192,"="&amp;CRONO!U$12,CÁLCULO!$AB$15:$AL$192)/(ORÇAMENTO!$X$15-CÁLCULO.TotalAdmLocal)*CRONO!$E43,0),U42*$R41),SUMIF(OFFSET($R43,1,0,$Q41-2),($L41+1)&amp;"$",OFFSET(U43,1,0,$Q41-2)))</f>
        <v>0</v>
      </c>
      <c r="V43" s="257">
        <f ca="1">IF($Q41=2,IF(AND(ACOMPANHAMENTO="PLE",ISNUMBER($E41)),SUMIF((OFFSET(CÁLCULO!$AM$15:$AW$15,$E41,0,OFFSET(ORÇAMENTO!$D$15,CRONO!$E41,0))),"="&amp;CRONO!V$12,OFFSET(CÁLCULO!$AB$15:$AL$15,$E41,0,OFFSET(ORÇAMENTO!$D$15,CRONO!$E41,0)))+IF(AND($E43&lt;&gt;"",$E43&lt;&gt;0),SUMIF(CÁLCULO!$AM$15:$AW$192,"="&amp;CRONO!V$12,CÁLCULO!$AB$15:$AL$192)/(ORÇAMENTO!$X$15-CÁLCULO.TotalAdmLocal)*CRONO!$E43,0),V42*$R41),SUMIF(OFFSET($R43,1,0,$Q41-2),($L41+1)&amp;"$",OFFSET(V43,1,0,$Q41-2)))</f>
        <v>0</v>
      </c>
      <c r="W43" s="257">
        <f ca="1">IF($Q41=2,IF(AND(ACOMPANHAMENTO="PLE",ISNUMBER($E41)),SUMIF((OFFSET(CÁLCULO!$AM$15:$AW$15,$E41,0,OFFSET(ORÇAMENTO!$D$15,CRONO!$E41,0))),"="&amp;CRONO!W$12,OFFSET(CÁLCULO!$AB$15:$AL$15,$E41,0,OFFSET(ORÇAMENTO!$D$15,CRONO!$E41,0)))+IF(AND($E43&lt;&gt;"",$E43&lt;&gt;0),SUMIF(CÁLCULO!$AM$15:$AW$192,"="&amp;CRONO!W$12,CÁLCULO!$AB$15:$AL$192)/(ORÇAMENTO!$X$15-CÁLCULO.TotalAdmLocal)*CRONO!$E43,0),W42*$R41),SUMIF(OFFSET($R43,1,0,$Q41-2),($L41+1)&amp;"$",OFFSET(W43,1,0,$Q41-2)))</f>
        <v>0</v>
      </c>
      <c r="X43" s="257">
        <f ca="1">IF($Q41=2,IF(AND(ACOMPANHAMENTO="PLE",ISNUMBER($E41)),SUMIF((OFFSET(CÁLCULO!$AM$15:$AW$15,$E41,0,OFFSET(ORÇAMENTO!$D$15,CRONO!$E41,0))),"="&amp;CRONO!X$12,OFFSET(CÁLCULO!$AB$15:$AL$15,$E41,0,OFFSET(ORÇAMENTO!$D$15,CRONO!$E41,0)))+IF(AND($E43&lt;&gt;"",$E43&lt;&gt;0),SUMIF(CÁLCULO!$AM$15:$AW$192,"="&amp;CRONO!X$12,CÁLCULO!$AB$15:$AL$192)/(ORÇAMENTO!$X$15-CÁLCULO.TotalAdmLocal)*CRONO!$E43,0),X42*$R41),SUMIF(OFFSET($R43,1,0,$Q41-2),($L41+1)&amp;"$",OFFSET(X43,1,0,$Q41-2)))</f>
        <v>0</v>
      </c>
      <c r="Y43" s="257">
        <f ca="1">IF($Q41=2,IF(AND(ACOMPANHAMENTO="PLE",ISNUMBER($E41)),SUMIF((OFFSET(CÁLCULO!$AM$15:$AW$15,$E41,0,OFFSET(ORÇAMENTO!$D$15,CRONO!$E41,0))),"="&amp;CRONO!Y$12,OFFSET(CÁLCULO!$AB$15:$AL$15,$E41,0,OFFSET(ORÇAMENTO!$D$15,CRONO!$E41,0)))+IF(AND($E43&lt;&gt;"",$E43&lt;&gt;0),SUMIF(CÁLCULO!$AM$15:$AW$192,"="&amp;CRONO!Y$12,CÁLCULO!$AB$15:$AL$192)/(ORÇAMENTO!$X$15-CÁLCULO.TotalAdmLocal)*CRONO!$E43,0),Y42*$R41),SUMIF(OFFSET($R43,1,0,$Q41-2),($L41+1)&amp;"$",OFFSET(Y43,1,0,$Q41-2)))</f>
        <v>0</v>
      </c>
      <c r="Z43" s="257">
        <f ca="1">IF($Q41=2,IF(AND(ACOMPANHAMENTO="PLE",ISNUMBER($E41)),SUMIF((OFFSET(CÁLCULO!$AM$15:$AW$15,$E41,0,OFFSET(ORÇAMENTO!$D$15,CRONO!$E41,0))),"="&amp;CRONO!Z$12,OFFSET(CÁLCULO!$AB$15:$AL$15,$E41,0,OFFSET(ORÇAMENTO!$D$15,CRONO!$E41,0)))+IF(AND($E43&lt;&gt;"",$E43&lt;&gt;0),SUMIF(CÁLCULO!$AM$15:$AW$192,"="&amp;CRONO!Z$12,CÁLCULO!$AB$15:$AL$192)/(ORÇAMENTO!$X$15-CÁLCULO.TotalAdmLocal)*CRONO!$E43,0),Z42*$R41),SUMIF(OFFSET($R43,1,0,$Q41-2),($L41+1)&amp;"$",OFFSET(Z43,1,0,$Q41-2)))</f>
        <v>0</v>
      </c>
      <c r="AA43" s="257">
        <f ca="1">IF($Q41=2,IF(AND(ACOMPANHAMENTO="PLE",ISNUMBER($E41)),SUMIF((OFFSET(CÁLCULO!$AM$15:$AW$15,$E41,0,OFFSET(ORÇAMENTO!$D$15,CRONO!$E41,0))),"="&amp;CRONO!AA$12,OFFSET(CÁLCULO!$AB$15:$AL$15,$E41,0,OFFSET(ORÇAMENTO!$D$15,CRONO!$E41,0)))+IF(AND($E43&lt;&gt;"",$E43&lt;&gt;0),SUMIF(CÁLCULO!$AM$15:$AW$192,"="&amp;CRONO!AA$12,CÁLCULO!$AB$15:$AL$192)/(ORÇAMENTO!$X$15-CÁLCULO.TotalAdmLocal)*CRONO!$E43,0),AA42*$R41),SUMIF(OFFSET($R43,1,0,$Q41-2),($L41+1)&amp;"$",OFFSET(AA43,1,0,$Q41-2)))</f>
        <v>0</v>
      </c>
      <c r="AB43" s="257">
        <f ca="1">IF($Q41=2,IF(AND(ACOMPANHAMENTO="PLE",ISNUMBER($E41)),SUMIF((OFFSET(CÁLCULO!$AM$15:$AW$15,$E41,0,OFFSET(ORÇAMENTO!$D$15,CRONO!$E41,0))),"="&amp;CRONO!AB$12,OFFSET(CÁLCULO!$AB$15:$AL$15,$E41,0,OFFSET(ORÇAMENTO!$D$15,CRONO!$E41,0)))+IF(AND($E43&lt;&gt;"",$E43&lt;&gt;0),SUMIF(CÁLCULO!$AM$15:$AW$192,"="&amp;CRONO!AB$12,CÁLCULO!$AB$15:$AL$192)/(ORÇAMENTO!$X$15-CÁLCULO.TotalAdmLocal)*CRONO!$E43,0),AB42*$R41),SUMIF(OFFSET($R43,1,0,$Q41-2),($L41+1)&amp;"$",OFFSET(AB43,1,0,$Q41-2)))</f>
        <v>0</v>
      </c>
      <c r="AC43" s="257">
        <f ca="1">IF($Q41=2,IF(AND(ACOMPANHAMENTO="PLE",ISNUMBER($E41)),SUMIF((OFFSET(CÁLCULO!$AM$15:$AW$15,$E41,0,OFFSET(ORÇAMENTO!$D$15,CRONO!$E41,0))),"="&amp;CRONO!AC$12,OFFSET(CÁLCULO!$AB$15:$AL$15,$E41,0,OFFSET(ORÇAMENTO!$D$15,CRONO!$E41,0)))+IF(AND($E43&lt;&gt;"",$E43&lt;&gt;0),SUMIF(CÁLCULO!$AM$15:$AW$192,"="&amp;CRONO!AC$12,CÁLCULO!$AB$15:$AL$192)/(ORÇAMENTO!$X$15-CÁLCULO.TotalAdmLocal)*CRONO!$E43,0),AC42*$R41),SUMIF(OFFSET($R43,1,0,$Q41-2),($L41+1)&amp;"$",OFFSET(AC43,1,0,$Q41-2)))</f>
        <v>0</v>
      </c>
      <c r="AD43" s="257">
        <f ca="1">IF($Q41=2,IF(AND(ACOMPANHAMENTO="PLE",ISNUMBER($E41)),SUMIF((OFFSET(CÁLCULO!$AM$15:$AW$15,$E41,0,OFFSET(ORÇAMENTO!$D$15,CRONO!$E41,0))),"="&amp;CRONO!AD$12,OFFSET(CÁLCULO!$AB$15:$AL$15,$E41,0,OFFSET(ORÇAMENTO!$D$15,CRONO!$E41,0)))+IF(AND($E43&lt;&gt;"",$E43&lt;&gt;0),SUMIF(CÁLCULO!$AM$15:$AW$192,"="&amp;CRONO!AD$12,CÁLCULO!$AB$15:$AL$192)/(ORÇAMENTO!$X$15-CÁLCULO.TotalAdmLocal)*CRONO!$E43,0),AD42*$R41),SUMIF(OFFSET($R43,1,0,$Q41-2),($L41+1)&amp;"$",OFFSET(AD43,1,0,$Q41-2)))</f>
        <v>0</v>
      </c>
      <c r="AE43" s="262">
        <f ca="1">IF($Q41=2,IF(AND(ACOMPANHAMENTO="PLE",ISNUMBER($E41)),SUMIF((OFFSET(CÁLCULO!$AM$15:$AW$15,$E41,0,OFFSET(ORÇAMENTO!$D$15,CRONO!$E41,0))),"="&amp;CRONO!AE$12,OFFSET(CÁLCULO!$AB$15:$AL$15,$E41,0,OFFSET(ORÇAMENTO!$D$15,CRONO!$E41,0)))+IF(AND($E43&lt;&gt;"",$E43&lt;&gt;0),SUMIF(CÁLCULO!$AM$15:$AW$192,"="&amp;CRONO!AE$12,CÁLCULO!$AB$15:$AL$192)/(ORÇAMENTO!$X$15-CÁLCULO.TotalAdmLocal)*CRONO!$E43,0),AE42*$R41),SUMIF(OFFSET($R43,1,0,$Q41-2),($L41+1)&amp;"$",OFFSET(AE43,1,0,$Q41-2)))</f>
        <v>0</v>
      </c>
      <c r="AF43" s="261">
        <f ca="1">IF($Q41=2,IF(AND(ACOMPANHAMENTO="PLE",ISNUMBER($E41)),SUMIF((OFFSET(CÁLCULO!$AM$15:$AW$15,$E41,0,OFFSET(ORÇAMENTO!$D$15,CRONO!$E41,0))),"="&amp;CRONO!AF$12,OFFSET(CÁLCULO!$AB$15:$AL$15,$E41,0,OFFSET(ORÇAMENTO!$D$15,CRONO!$E41,0)))+IF(AND($E43&lt;&gt;"",$E43&lt;&gt;0),SUMIF(CÁLCULO!$AM$15:$AW$192,"="&amp;CRONO!AF$12,CÁLCULO!$AB$15:$AL$192)/(ORÇAMENTO!$X$15-CÁLCULO.TotalAdmLocal)*CRONO!$E43,0),AF42*$R41),SUMIF(OFFSET($R43,1,0,$Q41-2),($L41+1)&amp;"$",OFFSET(AF43,1,0,$Q41-2)))</f>
        <v>0</v>
      </c>
      <c r="AG43" s="257">
        <f ca="1">IF($Q41=2,IF(AND(ACOMPANHAMENTO="PLE",ISNUMBER($E41)),SUMIF((OFFSET(CÁLCULO!$AM$15:$AW$15,$E41,0,OFFSET(ORÇAMENTO!$D$15,CRONO!$E41,0))),"="&amp;CRONO!AG$12,OFFSET(CÁLCULO!$AB$15:$AL$15,$E41,0,OFFSET(ORÇAMENTO!$D$15,CRONO!$E41,0)))+IF(AND($E43&lt;&gt;"",$E43&lt;&gt;0),SUMIF(CÁLCULO!$AM$15:$AW$192,"="&amp;CRONO!AG$12,CÁLCULO!$AB$15:$AL$192)/(ORÇAMENTO!$X$15-CÁLCULO.TotalAdmLocal)*CRONO!$E43,0),AG42*$R41),SUMIF(OFFSET($R43,1,0,$Q41-2),($L41+1)&amp;"$",OFFSET(AG43,1,0,$Q41-2)))</f>
        <v>0</v>
      </c>
      <c r="AH43" s="257">
        <f ca="1">IF($Q41=2,IF(AND(ACOMPANHAMENTO="PLE",ISNUMBER($E41)),SUMIF((OFFSET(CÁLCULO!$AM$15:$AW$15,$E41,0,OFFSET(ORÇAMENTO!$D$15,CRONO!$E41,0))),"="&amp;CRONO!AH$12,OFFSET(CÁLCULO!$AB$15:$AL$15,$E41,0,OFFSET(ORÇAMENTO!$D$15,CRONO!$E41,0)))+IF(AND($E43&lt;&gt;"",$E43&lt;&gt;0),SUMIF(CÁLCULO!$AM$15:$AW$192,"="&amp;CRONO!AH$12,CÁLCULO!$AB$15:$AL$192)/(ORÇAMENTO!$X$15-CÁLCULO.TotalAdmLocal)*CRONO!$E43,0),AH42*$R41),SUMIF(OFFSET($R43,1,0,$Q41-2),($L41+1)&amp;"$",OFFSET(AH43,1,0,$Q41-2)))</f>
        <v>0</v>
      </c>
      <c r="AI43" s="257">
        <f ca="1">IF($Q41=2,IF(AND(ACOMPANHAMENTO="PLE",ISNUMBER($E41)),SUMIF((OFFSET(CÁLCULO!$AM$15:$AW$15,$E41,0,OFFSET(ORÇAMENTO!$D$15,CRONO!$E41,0))),"="&amp;CRONO!AI$12,OFFSET(CÁLCULO!$AB$15:$AL$15,$E41,0,OFFSET(ORÇAMENTO!$D$15,CRONO!$E41,0)))+IF(AND($E43&lt;&gt;"",$E43&lt;&gt;0),SUMIF(CÁLCULO!$AM$15:$AW$192,"="&amp;CRONO!AI$12,CÁLCULO!$AB$15:$AL$192)/(ORÇAMENTO!$X$15-CÁLCULO.TotalAdmLocal)*CRONO!$E43,0),AI42*$R41),SUMIF(OFFSET($R43,1,0,$Q41-2),($L41+1)&amp;"$",OFFSET(AI43,1,0,$Q41-2)))</f>
        <v>0</v>
      </c>
      <c r="AJ43" s="257">
        <f ca="1">IF($Q41=2,IF(AND(ACOMPANHAMENTO="PLE",ISNUMBER($E41)),SUMIF((OFFSET(CÁLCULO!$AM$15:$AW$15,$E41,0,OFFSET(ORÇAMENTO!$D$15,CRONO!$E41,0))),"="&amp;CRONO!AJ$12,OFFSET(CÁLCULO!$AB$15:$AL$15,$E41,0,OFFSET(ORÇAMENTO!$D$15,CRONO!$E41,0)))+IF(AND($E43&lt;&gt;"",$E43&lt;&gt;0),SUMIF(CÁLCULO!$AM$15:$AW$192,"="&amp;CRONO!AJ$12,CÁLCULO!$AB$15:$AL$192)/(ORÇAMENTO!$X$15-CÁLCULO.TotalAdmLocal)*CRONO!$E43,0),AJ42*$R41),SUMIF(OFFSET($R43,1,0,$Q41-2),($L41+1)&amp;"$",OFFSET(AJ43,1,0,$Q41-2)))</f>
        <v>0</v>
      </c>
      <c r="AK43" s="257">
        <f ca="1">IF($Q41=2,IF(AND(ACOMPANHAMENTO="PLE",ISNUMBER($E41)),SUMIF((OFFSET(CÁLCULO!$AM$15:$AW$15,$E41,0,OFFSET(ORÇAMENTO!$D$15,CRONO!$E41,0))),"="&amp;CRONO!AK$12,OFFSET(CÁLCULO!$AB$15:$AL$15,$E41,0,OFFSET(ORÇAMENTO!$D$15,CRONO!$E41,0)))+IF(AND($E43&lt;&gt;"",$E43&lt;&gt;0),SUMIF(CÁLCULO!$AM$15:$AW$192,"="&amp;CRONO!AK$12,CÁLCULO!$AB$15:$AL$192)/(ORÇAMENTO!$X$15-CÁLCULO.TotalAdmLocal)*CRONO!$E43,0),AK42*$R41),SUMIF(OFFSET($R43,1,0,$Q41-2),($L41+1)&amp;"$",OFFSET(AK43,1,0,$Q41-2)))</f>
        <v>0</v>
      </c>
      <c r="AL43" s="257">
        <f ca="1">IF($Q41=2,IF(AND(ACOMPANHAMENTO="PLE",ISNUMBER($E41)),SUMIF((OFFSET(CÁLCULO!$AM$15:$AW$15,$E41,0,OFFSET(ORÇAMENTO!$D$15,CRONO!$E41,0))),"="&amp;CRONO!AL$12,OFFSET(CÁLCULO!$AB$15:$AL$15,$E41,0,OFFSET(ORÇAMENTO!$D$15,CRONO!$E41,0)))+IF(AND($E43&lt;&gt;"",$E43&lt;&gt;0),SUMIF(CÁLCULO!$AM$15:$AW$192,"="&amp;CRONO!AL$12,CÁLCULO!$AB$15:$AL$192)/(ORÇAMENTO!$X$15-CÁLCULO.TotalAdmLocal)*CRONO!$E43,0),AL42*$R41),SUMIF(OFFSET($R43,1,0,$Q41-2),($L41+1)&amp;"$",OFFSET(AL43,1,0,$Q41-2)))</f>
        <v>0</v>
      </c>
      <c r="AM43" s="257">
        <f ca="1">IF($Q41=2,IF(AND(ACOMPANHAMENTO="PLE",ISNUMBER($E41)),SUMIF((OFFSET(CÁLCULO!$AM$15:$AW$15,$E41,0,OFFSET(ORÇAMENTO!$D$15,CRONO!$E41,0))),"="&amp;CRONO!AM$12,OFFSET(CÁLCULO!$AB$15:$AL$15,$E41,0,OFFSET(ORÇAMENTO!$D$15,CRONO!$E41,0)))+IF(AND($E43&lt;&gt;"",$E43&lt;&gt;0),SUMIF(CÁLCULO!$AM$15:$AW$192,"="&amp;CRONO!AM$12,CÁLCULO!$AB$15:$AL$192)/(ORÇAMENTO!$X$15-CÁLCULO.TotalAdmLocal)*CRONO!$E43,0),AM42*$R41),SUMIF(OFFSET($R43,1,0,$Q41-2),($L41+1)&amp;"$",OFFSET(AM43,1,0,$Q41-2)))</f>
        <v>0</v>
      </c>
      <c r="AN43" s="257">
        <f ca="1">IF($Q41=2,IF(AND(ACOMPANHAMENTO="PLE",ISNUMBER($E41)),SUMIF((OFFSET(CÁLCULO!$AM$15:$AW$15,$E41,0,OFFSET(ORÇAMENTO!$D$15,CRONO!$E41,0))),"="&amp;CRONO!AN$12,OFFSET(CÁLCULO!$AB$15:$AL$15,$E41,0,OFFSET(ORÇAMENTO!$D$15,CRONO!$E41,0)))+IF(AND($E43&lt;&gt;"",$E43&lt;&gt;0),SUMIF(CÁLCULO!$AM$15:$AW$192,"="&amp;CRONO!AN$12,CÁLCULO!$AB$15:$AL$192)/(ORÇAMENTO!$X$15-CÁLCULO.TotalAdmLocal)*CRONO!$E43,0),AN42*$R41),SUMIF(OFFSET($R43,1,0,$Q41-2),($L41+1)&amp;"$",OFFSET(AN43,1,0,$Q41-2)))</f>
        <v>0</v>
      </c>
      <c r="AO43" s="257">
        <f ca="1">IF($Q41=2,IF(AND(ACOMPANHAMENTO="PLE",ISNUMBER($E41)),SUMIF((OFFSET(CÁLCULO!$AM$15:$AW$15,$E41,0,OFFSET(ORÇAMENTO!$D$15,CRONO!$E41,0))),"="&amp;CRONO!AO$12,OFFSET(CÁLCULO!$AB$15:$AL$15,$E41,0,OFFSET(ORÇAMENTO!$D$15,CRONO!$E41,0)))+IF(AND($E43&lt;&gt;"",$E43&lt;&gt;0),SUMIF(CÁLCULO!$AM$15:$AW$192,"="&amp;CRONO!AO$12,CÁLCULO!$AB$15:$AL$192)/(ORÇAMENTO!$X$15-CÁLCULO.TotalAdmLocal)*CRONO!$E43,0),AO42*$R41),SUMIF(OFFSET($R43,1,0,$Q41-2),($L41+1)&amp;"$",OFFSET(AO43,1,0,$Q41-2)))</f>
        <v>0</v>
      </c>
      <c r="AP43" s="257">
        <f ca="1">IF($Q41=2,IF(AND(ACOMPANHAMENTO="PLE",ISNUMBER($E41)),SUMIF((OFFSET(CÁLCULO!$AM$15:$AW$15,$E41,0,OFFSET(ORÇAMENTO!$D$15,CRONO!$E41,0))),"="&amp;CRONO!AP$12,OFFSET(CÁLCULO!$AB$15:$AL$15,$E41,0,OFFSET(ORÇAMENTO!$D$15,CRONO!$E41,0)))+IF(AND($E43&lt;&gt;"",$E43&lt;&gt;0),SUMIF(CÁLCULO!$AM$15:$AW$192,"="&amp;CRONO!AP$12,CÁLCULO!$AB$15:$AL$192)/(ORÇAMENTO!$X$15-CÁLCULO.TotalAdmLocal)*CRONO!$E43,0),AP42*$R41),SUMIF(OFFSET($R43,1,0,$Q41-2),($L41+1)&amp;"$",OFFSET(AP43,1,0,$Q41-2)))</f>
        <v>0</v>
      </c>
      <c r="AQ43" s="262">
        <f ca="1">IF($Q41=2,IF(AND(ACOMPANHAMENTO="PLE",ISNUMBER($E41)),SUMIF((OFFSET(CÁLCULO!$AM$15:$AW$15,$E41,0,OFFSET(ORÇAMENTO!$D$15,CRONO!$E41,0))),"="&amp;CRONO!AQ$12,OFFSET(CÁLCULO!$AB$15:$AL$15,$E41,0,OFFSET(ORÇAMENTO!$D$15,CRONO!$E41,0)))+IF(AND($E43&lt;&gt;"",$E43&lt;&gt;0),SUMIF(CÁLCULO!$AM$15:$AW$192,"="&amp;CRONO!AQ$12,CÁLCULO!$AB$15:$AL$192)/(ORÇAMENTO!$X$15-CÁLCULO.TotalAdmLocal)*CRONO!$E43,0),AQ42*$R41),SUMIF(OFFSET($R43,1,0,$Q41-2),($L41+1)&amp;"$",OFFSET(AQ43,1,0,$Q41-2)))</f>
        <v>0</v>
      </c>
    </row>
    <row r="44" spans="1:44" x14ac:dyDescent="0.2">
      <c r="A44" s="238">
        <f ca="1">OFFSET(A44,-3,0)+1</f>
        <v>11</v>
      </c>
      <c r="B44" s="238">
        <f ca="1">IF($Q44&lt;&gt;2,0,IF($R44=0,1,IF(E45&gt;0,OFFSET(QCI!$M$13,SUBSTITUTE(E45,".",""),0),OFFSET(ORÇAMENTO!$AA$15,CRONO!$E44,0))/$R44))</f>
        <v>1</v>
      </c>
      <c r="C44" s="238">
        <f ca="1">IF($Q44&lt;&gt;2,0,IF($R44=0,1,IF(E45&gt;0,OFFSET(QCI!$N$13,SUBSTITUTE(E45,".",""),0),OFFSET(ORÇAMENTO!$AB$15,CRONO!$E44,0))/$R44))</f>
        <v>1</v>
      </c>
      <c r="D44" s="241">
        <f ca="1">IF(AND($Q44=2,ACOMPANHAMENTO="BM"),D45,D46/$R44)</f>
        <v>0</v>
      </c>
      <c r="E44" s="238">
        <f ca="1">IF(A44&lt;=ORÇAMENTO.MáximoListaCrono,MATCH(A44,ORÇAMENTO.ListaCrono,0),NA())</f>
        <v>51</v>
      </c>
      <c r="F44" s="238" t="str">
        <f ca="1">IF(AND($E45&lt;&gt;-1,$R44&gt;0),"F","")</f>
        <v/>
      </c>
      <c r="G44" s="242" t="str">
        <f ca="1">IF(OR(R44=0,R44=""),"Linha",IF(AND(OR(ACOMPANHAMENTO="PLE",$Q44&lt;&gt;2),$E45=0),"Linha",1-SUM(T44:AR44)))</f>
        <v>Linha</v>
      </c>
      <c r="H44" s="243" t="str">
        <f ca="1">IF($E45=0,OFFSET(ORÇAMENTO!O$15,$E44,0),IF($E45&lt;&gt;-1,OFFSET(QCI!$D$13,$E45,0),""))</f>
        <v>1.10.</v>
      </c>
      <c r="I44" s="244" t="str">
        <f ca="1">IF($E45=0,OFFSET(ORÇAMENTO!R$15,$E44,0),IF($E45&lt;&gt;-1,OFFSET(QCI!$G$13,$E45,0),""))</f>
        <v>DIVISÓRIA EM VIDRO FIXO</v>
      </c>
      <c r="J44" s="244"/>
      <c r="K44" s="244"/>
      <c r="L44" s="245">
        <f ca="1">IF($E45=0,OFFSET(ORÇAMENTO!C$15,$E44,0),1)</f>
        <v>2</v>
      </c>
      <c r="M44" s="246">
        <f ca="1">IF($E45=-1,0,IF(M$13&lt;=$L44,IF(ISERROR(MATCH(M$13,OFFSET($L44,1,0,ROW($L$92)-ROW($L44)-1),0)),ROW($L$92)-ROW($L44)-1,MATCH(M$13,OFFSET($L44,1,0,ROW($L$92)-ROW($L44)-1),0)-1),0))</f>
        <v>47</v>
      </c>
      <c r="N44" s="246">
        <f ca="1">IF($E45=-1,0,IF(N$13&lt;=$L44,IF(ISERROR(MATCH(N$13,OFFSET($L44,1,0,ROW($L$92)-ROW($L44)-1),0)),ROW($L$92)-ROW($L44)-1,MATCH(N$13,OFFSET($L44,1,0,ROW($L$92)-ROW($L44)-1),0)-1),0))</f>
        <v>2</v>
      </c>
      <c r="O44" s="246">
        <f ca="1">IF($E45=-1,0,IF(O$13&lt;=$L44,IF(ISERROR(MATCH(O$13,OFFSET($L44,1,0,ROW($L$92)-ROW($L44)-1),0)),ROW($L$92)-ROW($L44)-1,MATCH(O$13,OFFSET($L44,1,0,ROW($L$92)-ROW($L44)-1),0)-1),0))</f>
        <v>0</v>
      </c>
      <c r="P44" s="246">
        <f ca="1">IF($E45=-1,0,IF(P$13&lt;=$L44,IF(ISERROR(MATCH(P$13,OFFSET($L44,1,0,ROW($L$92)-ROW($L44)-1),0)),ROW($L$92)-ROW($L44)-1,MATCH(P$13,OFFSET($L44,1,0,ROW($L$92)-ROW($L44)-1),0)-1),0))</f>
        <v>0</v>
      </c>
      <c r="Q44" s="246">
        <f ca="1">MIN(OFFSET(L44,0,1,,L44))</f>
        <v>2</v>
      </c>
      <c r="R44" s="247">
        <f ca="1">IF($E45=0,OFFSET(ORÇAMENTO!X$15,$E44,0),IF($E45&lt;&gt;-1,OFFSET(QCI!$O$13,$E45,0),""))</f>
        <v>0</v>
      </c>
      <c r="S44" s="248" t="s">
        <v>270</v>
      </c>
      <c r="T44" s="249">
        <f t="shared" ref="T44:AQ44" ca="1" si="15">IF(AND($Q44=2,ACOMPANHAMENTO="BM"),T45,T46/$R44)</f>
        <v>0</v>
      </c>
      <c r="U44" s="241">
        <f t="shared" ca="1" si="15"/>
        <v>0</v>
      </c>
      <c r="V44" s="241">
        <f t="shared" ca="1" si="15"/>
        <v>0</v>
      </c>
      <c r="W44" s="241">
        <f t="shared" ca="1" si="15"/>
        <v>0</v>
      </c>
      <c r="X44" s="241">
        <f t="shared" ca="1" si="15"/>
        <v>0</v>
      </c>
      <c r="Y44" s="241">
        <f t="shared" ca="1" si="15"/>
        <v>0</v>
      </c>
      <c r="Z44" s="241">
        <f t="shared" ca="1" si="15"/>
        <v>0</v>
      </c>
      <c r="AA44" s="241">
        <f t="shared" ca="1" si="15"/>
        <v>0.5</v>
      </c>
      <c r="AB44" s="241">
        <f t="shared" ca="1" si="15"/>
        <v>0.5</v>
      </c>
      <c r="AC44" s="241">
        <f t="shared" ca="1" si="15"/>
        <v>0</v>
      </c>
      <c r="AD44" s="241">
        <f t="shared" ca="1" si="15"/>
        <v>0</v>
      </c>
      <c r="AE44" s="250">
        <f t="shared" ca="1" si="15"/>
        <v>0</v>
      </c>
      <c r="AF44" s="249">
        <f t="shared" ca="1" si="15"/>
        <v>0</v>
      </c>
      <c r="AG44" s="241">
        <f t="shared" ca="1" si="15"/>
        <v>0</v>
      </c>
      <c r="AH44" s="241">
        <f t="shared" ca="1" si="15"/>
        <v>0</v>
      </c>
      <c r="AI44" s="241">
        <f t="shared" ca="1" si="15"/>
        <v>0</v>
      </c>
      <c r="AJ44" s="241">
        <f t="shared" ca="1" si="15"/>
        <v>0</v>
      </c>
      <c r="AK44" s="241">
        <f t="shared" ca="1" si="15"/>
        <v>0</v>
      </c>
      <c r="AL44" s="241">
        <f t="shared" ca="1" si="15"/>
        <v>0</v>
      </c>
      <c r="AM44" s="241">
        <f t="shared" ca="1" si="15"/>
        <v>0</v>
      </c>
      <c r="AN44" s="241">
        <f t="shared" ca="1" si="15"/>
        <v>0</v>
      </c>
      <c r="AO44" s="241">
        <f t="shared" ca="1" si="15"/>
        <v>0</v>
      </c>
      <c r="AP44" s="241">
        <f t="shared" ca="1" si="15"/>
        <v>0</v>
      </c>
      <c r="AQ44" s="250">
        <f t="shared" ca="1" si="15"/>
        <v>0</v>
      </c>
    </row>
    <row r="45" spans="1:44" ht="12.75" customHeight="1" x14ac:dyDescent="0.2">
      <c r="D45" s="657"/>
      <c r="E45" s="238">
        <f ca="1">IF(ISERROR(E44),IF(1+COUNTIF($L$13:OFFSET(L44,-1,0),1)&lt;=MAX(QCI!$D$13:$D$24),1+COUNTIF($L$13:OFFSET(L44,-1,0),1),-1),0)</f>
        <v>0</v>
      </c>
      <c r="F45" s="238" t="str">
        <f ca="1">IF(AND($E45&lt;&gt;-1,$R44&gt;0),"F","")</f>
        <v/>
      </c>
      <c r="G45" s="251" t="str">
        <f ca="1">IF(OR(R44=0,R44=""),"vazia",IF(AND(OR(ACOMPANHAMENTO="PLE",$Q44&lt;&gt;2),$E45=0),"calculada","--&gt;"))</f>
        <v>vazia</v>
      </c>
      <c r="H45" s="252"/>
      <c r="I45" s="253" t="str">
        <f ca="1">IF(AND(G44&lt;&gt;0,ISNUMBER(G44)),"PREENCHA ESTA LINHA --&gt;","")</f>
        <v/>
      </c>
      <c r="J45" s="253"/>
      <c r="K45" s="253"/>
      <c r="L45" s="254"/>
      <c r="M45" s="254"/>
      <c r="N45" s="254"/>
      <c r="O45" s="254"/>
      <c r="P45" s="254"/>
      <c r="Q45" s="254"/>
      <c r="R45" s="255"/>
      <c r="S45" s="256"/>
      <c r="T45" s="658"/>
      <c r="U45" s="657"/>
      <c r="V45" s="657"/>
      <c r="W45" s="657"/>
      <c r="X45" s="657"/>
      <c r="Y45" s="657"/>
      <c r="Z45" s="657"/>
      <c r="AA45" s="657">
        <v>0.5</v>
      </c>
      <c r="AB45" s="657">
        <v>0.5</v>
      </c>
      <c r="AC45" s="657"/>
      <c r="AD45" s="657"/>
      <c r="AE45" s="659"/>
      <c r="AF45" s="658"/>
      <c r="AG45" s="657"/>
      <c r="AH45" s="657"/>
      <c r="AI45" s="657"/>
      <c r="AJ45" s="657"/>
      <c r="AK45" s="657"/>
      <c r="AL45" s="657"/>
      <c r="AM45" s="657"/>
      <c r="AN45" s="657"/>
      <c r="AO45" s="657"/>
      <c r="AP45" s="657"/>
      <c r="AQ45" s="659"/>
      <c r="AR45" s="617"/>
    </row>
    <row r="46" spans="1:44" ht="0.2" hidden="1" customHeight="1" x14ac:dyDescent="0.2">
      <c r="D46" s="257">
        <f ca="1">IF($Q44=2,IF(AND(ACOMPANHAMENTO="PLE",ISNUMBER($E44)),SUMIF((OFFSET(CÁLCULO!$AM$15:$AW$15,$E44,0,OFFSET(ORÇAMENTO!$D$15,CRONO!$E44,0))),"="&amp;CRONO!D$12,OFFSET(CÁLCULO!$AB$15:$AL$15,$E44,0,OFFSET(ORÇAMENTO!$D$15,CRONO!$E44,0)))+IF(AND($E46&lt;&gt;"",$E46&lt;&gt;0),SUMIF(CÁLCULO!$AM$15:$AW$192,"="&amp;CRONO!D$12,CÁLCULO!$AB$15:$AL$192)/(ORÇAMENTO!$X$15-CÁLCULO.TotalAdmLocal)*CRONO!$E46,0),D45*$R44),SUMIF(OFFSET($R46,1,0,$Q44-2),($L44+1)&amp;"$",OFFSET(D46,1,0,$Q44-2)))</f>
        <v>0</v>
      </c>
      <c r="E46" s="238" t="str">
        <f ca="1">IF(OR($Q44&lt;&gt;2,AUTOEVENTO&lt;&gt;"manual",$E45&gt;0),"",SUMIF(OFFSET(CÁLCULO!$M$15,CRONO!$E44,0,OFFSET(ORÇAMENTO!$D$15,CRONO!$E44,0)),1,OFFSET(ORÇAMENTO!$X$15,CRONO!$E44,0,OFFSET(ORÇAMENTO!$D$15,CRONO!$E44,0))))</f>
        <v/>
      </c>
      <c r="G46" s="258"/>
      <c r="R46" s="259" t="str">
        <f ca="1">L44&amp;"$"</f>
        <v>2$</v>
      </c>
      <c r="S46" s="260"/>
      <c r="T46" s="261">
        <f ca="1">IF($Q44=2,IF(AND(ACOMPANHAMENTO="PLE",ISNUMBER($E44)),SUMIF((OFFSET(CÁLCULO!$AM$15:$AW$15,$E44,0,OFFSET(ORÇAMENTO!$D$15,CRONO!$E44,0))),"&lt;="&amp;CRONO!T$12,OFFSET(CÁLCULO!$AB$15:$AL$15,$E44,0,OFFSET(ORÇAMENTO!$D$15,CRONO!$E44,0)))+IF(AND($E46&lt;&gt;"",$E46&lt;&gt;0),SUMIF(CÁLCULO!$AM$15:$AW$192,"&lt;="&amp;CRONO!T$12,CÁLCULO!$AB$15:$AL$192)/(ORÇAMENTO!$X$15-CÁLCULO.TotalAdmLocal)*CRONO!$E46,0),T45*$R44),SUMIF(OFFSET($R46,1,0,$Q44-2),($L44+1)&amp;"$",OFFSET(T46,1,0,$Q44-2)))</f>
        <v>0</v>
      </c>
      <c r="U46" s="257">
        <f ca="1">IF($Q44=2,IF(AND(ACOMPANHAMENTO="PLE",ISNUMBER($E44)),SUMIF((OFFSET(CÁLCULO!$AM$15:$AW$15,$E44,0,OFFSET(ORÇAMENTO!$D$15,CRONO!$E44,0))),"="&amp;CRONO!U$12,OFFSET(CÁLCULO!$AB$15:$AL$15,$E44,0,OFFSET(ORÇAMENTO!$D$15,CRONO!$E44,0)))+IF(AND($E46&lt;&gt;"",$E46&lt;&gt;0),SUMIF(CÁLCULO!$AM$15:$AW$192,"="&amp;CRONO!U$12,CÁLCULO!$AB$15:$AL$192)/(ORÇAMENTO!$X$15-CÁLCULO.TotalAdmLocal)*CRONO!$E46,0),U45*$R44),SUMIF(OFFSET($R46,1,0,$Q44-2),($L44+1)&amp;"$",OFFSET(U46,1,0,$Q44-2)))</f>
        <v>0</v>
      </c>
      <c r="V46" s="257">
        <f ca="1">IF($Q44=2,IF(AND(ACOMPANHAMENTO="PLE",ISNUMBER($E44)),SUMIF((OFFSET(CÁLCULO!$AM$15:$AW$15,$E44,0,OFFSET(ORÇAMENTO!$D$15,CRONO!$E44,0))),"="&amp;CRONO!V$12,OFFSET(CÁLCULO!$AB$15:$AL$15,$E44,0,OFFSET(ORÇAMENTO!$D$15,CRONO!$E44,0)))+IF(AND($E46&lt;&gt;"",$E46&lt;&gt;0),SUMIF(CÁLCULO!$AM$15:$AW$192,"="&amp;CRONO!V$12,CÁLCULO!$AB$15:$AL$192)/(ORÇAMENTO!$X$15-CÁLCULO.TotalAdmLocal)*CRONO!$E46,0),V45*$R44),SUMIF(OFFSET($R46,1,0,$Q44-2),($L44+1)&amp;"$",OFFSET(V46,1,0,$Q44-2)))</f>
        <v>0</v>
      </c>
      <c r="W46" s="257">
        <f ca="1">IF($Q44=2,IF(AND(ACOMPANHAMENTO="PLE",ISNUMBER($E44)),SUMIF((OFFSET(CÁLCULO!$AM$15:$AW$15,$E44,0,OFFSET(ORÇAMENTO!$D$15,CRONO!$E44,0))),"="&amp;CRONO!W$12,OFFSET(CÁLCULO!$AB$15:$AL$15,$E44,0,OFFSET(ORÇAMENTO!$D$15,CRONO!$E44,0)))+IF(AND($E46&lt;&gt;"",$E46&lt;&gt;0),SUMIF(CÁLCULO!$AM$15:$AW$192,"="&amp;CRONO!W$12,CÁLCULO!$AB$15:$AL$192)/(ORÇAMENTO!$X$15-CÁLCULO.TotalAdmLocal)*CRONO!$E46,0),W45*$R44),SUMIF(OFFSET($R46,1,0,$Q44-2),($L44+1)&amp;"$",OFFSET(W46,1,0,$Q44-2)))</f>
        <v>0</v>
      </c>
      <c r="X46" s="257">
        <f ca="1">IF($Q44=2,IF(AND(ACOMPANHAMENTO="PLE",ISNUMBER($E44)),SUMIF((OFFSET(CÁLCULO!$AM$15:$AW$15,$E44,0,OFFSET(ORÇAMENTO!$D$15,CRONO!$E44,0))),"="&amp;CRONO!X$12,OFFSET(CÁLCULO!$AB$15:$AL$15,$E44,0,OFFSET(ORÇAMENTO!$D$15,CRONO!$E44,0)))+IF(AND($E46&lt;&gt;"",$E46&lt;&gt;0),SUMIF(CÁLCULO!$AM$15:$AW$192,"="&amp;CRONO!X$12,CÁLCULO!$AB$15:$AL$192)/(ORÇAMENTO!$X$15-CÁLCULO.TotalAdmLocal)*CRONO!$E46,0),X45*$R44),SUMIF(OFFSET($R46,1,0,$Q44-2),($L44+1)&amp;"$",OFFSET(X46,1,0,$Q44-2)))</f>
        <v>0</v>
      </c>
      <c r="Y46" s="257">
        <f ca="1">IF($Q44=2,IF(AND(ACOMPANHAMENTO="PLE",ISNUMBER($E44)),SUMIF((OFFSET(CÁLCULO!$AM$15:$AW$15,$E44,0,OFFSET(ORÇAMENTO!$D$15,CRONO!$E44,0))),"="&amp;CRONO!Y$12,OFFSET(CÁLCULO!$AB$15:$AL$15,$E44,0,OFFSET(ORÇAMENTO!$D$15,CRONO!$E44,0)))+IF(AND($E46&lt;&gt;"",$E46&lt;&gt;0),SUMIF(CÁLCULO!$AM$15:$AW$192,"="&amp;CRONO!Y$12,CÁLCULO!$AB$15:$AL$192)/(ORÇAMENTO!$X$15-CÁLCULO.TotalAdmLocal)*CRONO!$E46,0),Y45*$R44),SUMIF(OFFSET($R46,1,0,$Q44-2),($L44+1)&amp;"$",OFFSET(Y46,1,0,$Q44-2)))</f>
        <v>0</v>
      </c>
      <c r="Z46" s="257">
        <f ca="1">IF($Q44=2,IF(AND(ACOMPANHAMENTO="PLE",ISNUMBER($E44)),SUMIF((OFFSET(CÁLCULO!$AM$15:$AW$15,$E44,0,OFFSET(ORÇAMENTO!$D$15,CRONO!$E44,0))),"="&amp;CRONO!Z$12,OFFSET(CÁLCULO!$AB$15:$AL$15,$E44,0,OFFSET(ORÇAMENTO!$D$15,CRONO!$E44,0)))+IF(AND($E46&lt;&gt;"",$E46&lt;&gt;0),SUMIF(CÁLCULO!$AM$15:$AW$192,"="&amp;CRONO!Z$12,CÁLCULO!$AB$15:$AL$192)/(ORÇAMENTO!$X$15-CÁLCULO.TotalAdmLocal)*CRONO!$E46,0),Z45*$R44),SUMIF(OFFSET($R46,1,0,$Q44-2),($L44+1)&amp;"$",OFFSET(Z46,1,0,$Q44-2)))</f>
        <v>0</v>
      </c>
      <c r="AA46" s="257">
        <f ca="1">IF($Q44=2,IF(AND(ACOMPANHAMENTO="PLE",ISNUMBER($E44)),SUMIF((OFFSET(CÁLCULO!$AM$15:$AW$15,$E44,0,OFFSET(ORÇAMENTO!$D$15,CRONO!$E44,0))),"="&amp;CRONO!AA$12,OFFSET(CÁLCULO!$AB$15:$AL$15,$E44,0,OFFSET(ORÇAMENTO!$D$15,CRONO!$E44,0)))+IF(AND($E46&lt;&gt;"",$E46&lt;&gt;0),SUMIF(CÁLCULO!$AM$15:$AW$192,"="&amp;CRONO!AA$12,CÁLCULO!$AB$15:$AL$192)/(ORÇAMENTO!$X$15-CÁLCULO.TotalAdmLocal)*CRONO!$E46,0),AA45*$R44),SUMIF(OFFSET($R46,1,0,$Q44-2),($L44+1)&amp;"$",OFFSET(AA46,1,0,$Q44-2)))</f>
        <v>0</v>
      </c>
      <c r="AB46" s="257">
        <f ca="1">IF($Q44=2,IF(AND(ACOMPANHAMENTO="PLE",ISNUMBER($E44)),SUMIF((OFFSET(CÁLCULO!$AM$15:$AW$15,$E44,0,OFFSET(ORÇAMENTO!$D$15,CRONO!$E44,0))),"="&amp;CRONO!AB$12,OFFSET(CÁLCULO!$AB$15:$AL$15,$E44,0,OFFSET(ORÇAMENTO!$D$15,CRONO!$E44,0)))+IF(AND($E46&lt;&gt;"",$E46&lt;&gt;0),SUMIF(CÁLCULO!$AM$15:$AW$192,"="&amp;CRONO!AB$12,CÁLCULO!$AB$15:$AL$192)/(ORÇAMENTO!$X$15-CÁLCULO.TotalAdmLocal)*CRONO!$E46,0),AB45*$R44),SUMIF(OFFSET($R46,1,0,$Q44-2),($L44+1)&amp;"$",OFFSET(AB46,1,0,$Q44-2)))</f>
        <v>0</v>
      </c>
      <c r="AC46" s="257">
        <f ca="1">IF($Q44=2,IF(AND(ACOMPANHAMENTO="PLE",ISNUMBER($E44)),SUMIF((OFFSET(CÁLCULO!$AM$15:$AW$15,$E44,0,OFFSET(ORÇAMENTO!$D$15,CRONO!$E44,0))),"="&amp;CRONO!AC$12,OFFSET(CÁLCULO!$AB$15:$AL$15,$E44,0,OFFSET(ORÇAMENTO!$D$15,CRONO!$E44,0)))+IF(AND($E46&lt;&gt;"",$E46&lt;&gt;0),SUMIF(CÁLCULO!$AM$15:$AW$192,"="&amp;CRONO!AC$12,CÁLCULO!$AB$15:$AL$192)/(ORÇAMENTO!$X$15-CÁLCULO.TotalAdmLocal)*CRONO!$E46,0),AC45*$R44),SUMIF(OFFSET($R46,1,0,$Q44-2),($L44+1)&amp;"$",OFFSET(AC46,1,0,$Q44-2)))</f>
        <v>0</v>
      </c>
      <c r="AD46" s="257">
        <f ca="1">IF($Q44=2,IF(AND(ACOMPANHAMENTO="PLE",ISNUMBER($E44)),SUMIF((OFFSET(CÁLCULO!$AM$15:$AW$15,$E44,0,OFFSET(ORÇAMENTO!$D$15,CRONO!$E44,0))),"="&amp;CRONO!AD$12,OFFSET(CÁLCULO!$AB$15:$AL$15,$E44,0,OFFSET(ORÇAMENTO!$D$15,CRONO!$E44,0)))+IF(AND($E46&lt;&gt;"",$E46&lt;&gt;0),SUMIF(CÁLCULO!$AM$15:$AW$192,"="&amp;CRONO!AD$12,CÁLCULO!$AB$15:$AL$192)/(ORÇAMENTO!$X$15-CÁLCULO.TotalAdmLocal)*CRONO!$E46,0),AD45*$R44),SUMIF(OFFSET($R46,1,0,$Q44-2),($L44+1)&amp;"$",OFFSET(AD46,1,0,$Q44-2)))</f>
        <v>0</v>
      </c>
      <c r="AE46" s="262">
        <f ca="1">IF($Q44=2,IF(AND(ACOMPANHAMENTO="PLE",ISNUMBER($E44)),SUMIF((OFFSET(CÁLCULO!$AM$15:$AW$15,$E44,0,OFFSET(ORÇAMENTO!$D$15,CRONO!$E44,0))),"="&amp;CRONO!AE$12,OFFSET(CÁLCULO!$AB$15:$AL$15,$E44,0,OFFSET(ORÇAMENTO!$D$15,CRONO!$E44,0)))+IF(AND($E46&lt;&gt;"",$E46&lt;&gt;0),SUMIF(CÁLCULO!$AM$15:$AW$192,"="&amp;CRONO!AE$12,CÁLCULO!$AB$15:$AL$192)/(ORÇAMENTO!$X$15-CÁLCULO.TotalAdmLocal)*CRONO!$E46,0),AE45*$R44),SUMIF(OFFSET($R46,1,0,$Q44-2),($L44+1)&amp;"$",OFFSET(AE46,1,0,$Q44-2)))</f>
        <v>0</v>
      </c>
      <c r="AF46" s="261">
        <f ca="1">IF($Q44=2,IF(AND(ACOMPANHAMENTO="PLE",ISNUMBER($E44)),SUMIF((OFFSET(CÁLCULO!$AM$15:$AW$15,$E44,0,OFFSET(ORÇAMENTO!$D$15,CRONO!$E44,0))),"="&amp;CRONO!AF$12,OFFSET(CÁLCULO!$AB$15:$AL$15,$E44,0,OFFSET(ORÇAMENTO!$D$15,CRONO!$E44,0)))+IF(AND($E46&lt;&gt;"",$E46&lt;&gt;0),SUMIF(CÁLCULO!$AM$15:$AW$192,"="&amp;CRONO!AF$12,CÁLCULO!$AB$15:$AL$192)/(ORÇAMENTO!$X$15-CÁLCULO.TotalAdmLocal)*CRONO!$E46,0),AF45*$R44),SUMIF(OFFSET($R46,1,0,$Q44-2),($L44+1)&amp;"$",OFFSET(AF46,1,0,$Q44-2)))</f>
        <v>0</v>
      </c>
      <c r="AG46" s="257">
        <f ca="1">IF($Q44=2,IF(AND(ACOMPANHAMENTO="PLE",ISNUMBER($E44)),SUMIF((OFFSET(CÁLCULO!$AM$15:$AW$15,$E44,0,OFFSET(ORÇAMENTO!$D$15,CRONO!$E44,0))),"="&amp;CRONO!AG$12,OFFSET(CÁLCULO!$AB$15:$AL$15,$E44,0,OFFSET(ORÇAMENTO!$D$15,CRONO!$E44,0)))+IF(AND($E46&lt;&gt;"",$E46&lt;&gt;0),SUMIF(CÁLCULO!$AM$15:$AW$192,"="&amp;CRONO!AG$12,CÁLCULO!$AB$15:$AL$192)/(ORÇAMENTO!$X$15-CÁLCULO.TotalAdmLocal)*CRONO!$E46,0),AG45*$R44),SUMIF(OFFSET($R46,1,0,$Q44-2),($L44+1)&amp;"$",OFFSET(AG46,1,0,$Q44-2)))</f>
        <v>0</v>
      </c>
      <c r="AH46" s="257">
        <f ca="1">IF($Q44=2,IF(AND(ACOMPANHAMENTO="PLE",ISNUMBER($E44)),SUMIF((OFFSET(CÁLCULO!$AM$15:$AW$15,$E44,0,OFFSET(ORÇAMENTO!$D$15,CRONO!$E44,0))),"="&amp;CRONO!AH$12,OFFSET(CÁLCULO!$AB$15:$AL$15,$E44,0,OFFSET(ORÇAMENTO!$D$15,CRONO!$E44,0)))+IF(AND($E46&lt;&gt;"",$E46&lt;&gt;0),SUMIF(CÁLCULO!$AM$15:$AW$192,"="&amp;CRONO!AH$12,CÁLCULO!$AB$15:$AL$192)/(ORÇAMENTO!$X$15-CÁLCULO.TotalAdmLocal)*CRONO!$E46,0),AH45*$R44),SUMIF(OFFSET($R46,1,0,$Q44-2),($L44+1)&amp;"$",OFFSET(AH46,1,0,$Q44-2)))</f>
        <v>0</v>
      </c>
      <c r="AI46" s="257">
        <f ca="1">IF($Q44=2,IF(AND(ACOMPANHAMENTO="PLE",ISNUMBER($E44)),SUMIF((OFFSET(CÁLCULO!$AM$15:$AW$15,$E44,0,OFFSET(ORÇAMENTO!$D$15,CRONO!$E44,0))),"="&amp;CRONO!AI$12,OFFSET(CÁLCULO!$AB$15:$AL$15,$E44,0,OFFSET(ORÇAMENTO!$D$15,CRONO!$E44,0)))+IF(AND($E46&lt;&gt;"",$E46&lt;&gt;0),SUMIF(CÁLCULO!$AM$15:$AW$192,"="&amp;CRONO!AI$12,CÁLCULO!$AB$15:$AL$192)/(ORÇAMENTO!$X$15-CÁLCULO.TotalAdmLocal)*CRONO!$E46,0),AI45*$R44),SUMIF(OFFSET($R46,1,0,$Q44-2),($L44+1)&amp;"$",OFFSET(AI46,1,0,$Q44-2)))</f>
        <v>0</v>
      </c>
      <c r="AJ46" s="257">
        <f ca="1">IF($Q44=2,IF(AND(ACOMPANHAMENTO="PLE",ISNUMBER($E44)),SUMIF((OFFSET(CÁLCULO!$AM$15:$AW$15,$E44,0,OFFSET(ORÇAMENTO!$D$15,CRONO!$E44,0))),"="&amp;CRONO!AJ$12,OFFSET(CÁLCULO!$AB$15:$AL$15,$E44,0,OFFSET(ORÇAMENTO!$D$15,CRONO!$E44,0)))+IF(AND($E46&lt;&gt;"",$E46&lt;&gt;0),SUMIF(CÁLCULO!$AM$15:$AW$192,"="&amp;CRONO!AJ$12,CÁLCULO!$AB$15:$AL$192)/(ORÇAMENTO!$X$15-CÁLCULO.TotalAdmLocal)*CRONO!$E46,0),AJ45*$R44),SUMIF(OFFSET($R46,1,0,$Q44-2),($L44+1)&amp;"$",OFFSET(AJ46,1,0,$Q44-2)))</f>
        <v>0</v>
      </c>
      <c r="AK46" s="257">
        <f ca="1">IF($Q44=2,IF(AND(ACOMPANHAMENTO="PLE",ISNUMBER($E44)),SUMIF((OFFSET(CÁLCULO!$AM$15:$AW$15,$E44,0,OFFSET(ORÇAMENTO!$D$15,CRONO!$E44,0))),"="&amp;CRONO!AK$12,OFFSET(CÁLCULO!$AB$15:$AL$15,$E44,0,OFFSET(ORÇAMENTO!$D$15,CRONO!$E44,0)))+IF(AND($E46&lt;&gt;"",$E46&lt;&gt;0),SUMIF(CÁLCULO!$AM$15:$AW$192,"="&amp;CRONO!AK$12,CÁLCULO!$AB$15:$AL$192)/(ORÇAMENTO!$X$15-CÁLCULO.TotalAdmLocal)*CRONO!$E46,0),AK45*$R44),SUMIF(OFFSET($R46,1,0,$Q44-2),($L44+1)&amp;"$",OFFSET(AK46,1,0,$Q44-2)))</f>
        <v>0</v>
      </c>
      <c r="AL46" s="257">
        <f ca="1">IF($Q44=2,IF(AND(ACOMPANHAMENTO="PLE",ISNUMBER($E44)),SUMIF((OFFSET(CÁLCULO!$AM$15:$AW$15,$E44,0,OFFSET(ORÇAMENTO!$D$15,CRONO!$E44,0))),"="&amp;CRONO!AL$12,OFFSET(CÁLCULO!$AB$15:$AL$15,$E44,0,OFFSET(ORÇAMENTO!$D$15,CRONO!$E44,0)))+IF(AND($E46&lt;&gt;"",$E46&lt;&gt;0),SUMIF(CÁLCULO!$AM$15:$AW$192,"="&amp;CRONO!AL$12,CÁLCULO!$AB$15:$AL$192)/(ORÇAMENTO!$X$15-CÁLCULO.TotalAdmLocal)*CRONO!$E46,0),AL45*$R44),SUMIF(OFFSET($R46,1,0,$Q44-2),($L44+1)&amp;"$",OFFSET(AL46,1,0,$Q44-2)))</f>
        <v>0</v>
      </c>
      <c r="AM46" s="257">
        <f ca="1">IF($Q44=2,IF(AND(ACOMPANHAMENTO="PLE",ISNUMBER($E44)),SUMIF((OFFSET(CÁLCULO!$AM$15:$AW$15,$E44,0,OFFSET(ORÇAMENTO!$D$15,CRONO!$E44,0))),"="&amp;CRONO!AM$12,OFFSET(CÁLCULO!$AB$15:$AL$15,$E44,0,OFFSET(ORÇAMENTO!$D$15,CRONO!$E44,0)))+IF(AND($E46&lt;&gt;"",$E46&lt;&gt;0),SUMIF(CÁLCULO!$AM$15:$AW$192,"="&amp;CRONO!AM$12,CÁLCULO!$AB$15:$AL$192)/(ORÇAMENTO!$X$15-CÁLCULO.TotalAdmLocal)*CRONO!$E46,0),AM45*$R44),SUMIF(OFFSET($R46,1,0,$Q44-2),($L44+1)&amp;"$",OFFSET(AM46,1,0,$Q44-2)))</f>
        <v>0</v>
      </c>
      <c r="AN46" s="257">
        <f ca="1">IF($Q44=2,IF(AND(ACOMPANHAMENTO="PLE",ISNUMBER($E44)),SUMIF((OFFSET(CÁLCULO!$AM$15:$AW$15,$E44,0,OFFSET(ORÇAMENTO!$D$15,CRONO!$E44,0))),"="&amp;CRONO!AN$12,OFFSET(CÁLCULO!$AB$15:$AL$15,$E44,0,OFFSET(ORÇAMENTO!$D$15,CRONO!$E44,0)))+IF(AND($E46&lt;&gt;"",$E46&lt;&gt;0),SUMIF(CÁLCULO!$AM$15:$AW$192,"="&amp;CRONO!AN$12,CÁLCULO!$AB$15:$AL$192)/(ORÇAMENTO!$X$15-CÁLCULO.TotalAdmLocal)*CRONO!$E46,0),AN45*$R44),SUMIF(OFFSET($R46,1,0,$Q44-2),($L44+1)&amp;"$",OFFSET(AN46,1,0,$Q44-2)))</f>
        <v>0</v>
      </c>
      <c r="AO46" s="257">
        <f ca="1">IF($Q44=2,IF(AND(ACOMPANHAMENTO="PLE",ISNUMBER($E44)),SUMIF((OFFSET(CÁLCULO!$AM$15:$AW$15,$E44,0,OFFSET(ORÇAMENTO!$D$15,CRONO!$E44,0))),"="&amp;CRONO!AO$12,OFFSET(CÁLCULO!$AB$15:$AL$15,$E44,0,OFFSET(ORÇAMENTO!$D$15,CRONO!$E44,0)))+IF(AND($E46&lt;&gt;"",$E46&lt;&gt;0),SUMIF(CÁLCULO!$AM$15:$AW$192,"="&amp;CRONO!AO$12,CÁLCULO!$AB$15:$AL$192)/(ORÇAMENTO!$X$15-CÁLCULO.TotalAdmLocal)*CRONO!$E46,0),AO45*$R44),SUMIF(OFFSET($R46,1,0,$Q44-2),($L44+1)&amp;"$",OFFSET(AO46,1,0,$Q44-2)))</f>
        <v>0</v>
      </c>
      <c r="AP46" s="257">
        <f ca="1">IF($Q44=2,IF(AND(ACOMPANHAMENTO="PLE",ISNUMBER($E44)),SUMIF((OFFSET(CÁLCULO!$AM$15:$AW$15,$E44,0,OFFSET(ORÇAMENTO!$D$15,CRONO!$E44,0))),"="&amp;CRONO!AP$12,OFFSET(CÁLCULO!$AB$15:$AL$15,$E44,0,OFFSET(ORÇAMENTO!$D$15,CRONO!$E44,0)))+IF(AND($E46&lt;&gt;"",$E46&lt;&gt;0),SUMIF(CÁLCULO!$AM$15:$AW$192,"="&amp;CRONO!AP$12,CÁLCULO!$AB$15:$AL$192)/(ORÇAMENTO!$X$15-CÁLCULO.TotalAdmLocal)*CRONO!$E46,0),AP45*$R44),SUMIF(OFFSET($R46,1,0,$Q44-2),($L44+1)&amp;"$",OFFSET(AP46,1,0,$Q44-2)))</f>
        <v>0</v>
      </c>
      <c r="AQ46" s="262">
        <f ca="1">IF($Q44=2,IF(AND(ACOMPANHAMENTO="PLE",ISNUMBER($E44)),SUMIF((OFFSET(CÁLCULO!$AM$15:$AW$15,$E44,0,OFFSET(ORÇAMENTO!$D$15,CRONO!$E44,0))),"="&amp;CRONO!AQ$12,OFFSET(CÁLCULO!$AB$15:$AL$15,$E44,0,OFFSET(ORÇAMENTO!$D$15,CRONO!$E44,0)))+IF(AND($E46&lt;&gt;"",$E46&lt;&gt;0),SUMIF(CÁLCULO!$AM$15:$AW$192,"="&amp;CRONO!AQ$12,CÁLCULO!$AB$15:$AL$192)/(ORÇAMENTO!$X$15-CÁLCULO.TotalAdmLocal)*CRONO!$E46,0),AQ45*$R44),SUMIF(OFFSET($R46,1,0,$Q44-2),($L44+1)&amp;"$",OFFSET(AQ46,1,0,$Q44-2)))</f>
        <v>0</v>
      </c>
    </row>
    <row r="47" spans="1:44" x14ac:dyDescent="0.2">
      <c r="A47" s="238">
        <f ca="1">OFFSET(A47,-3,0)+1</f>
        <v>12</v>
      </c>
      <c r="B47" s="238">
        <f ca="1">IF($Q47&lt;&gt;2,0,IF($R47=0,1,IF(E48&gt;0,OFFSET(QCI!$M$13,SUBSTITUTE(E48,".",""),0),OFFSET(ORÇAMENTO!$AA$15,CRONO!$E47,0))/$R47))</f>
        <v>1</v>
      </c>
      <c r="C47" s="238">
        <f ca="1">IF($Q47&lt;&gt;2,0,IF($R47=0,1,IF(E48&gt;0,OFFSET(QCI!$N$13,SUBSTITUTE(E48,".",""),0),OFFSET(ORÇAMENTO!$AB$15,CRONO!$E47,0))/$R47))</f>
        <v>1</v>
      </c>
      <c r="D47" s="241">
        <f ca="1">IF(AND($Q47=2,ACOMPANHAMENTO="BM"),D48,D49/$R47)</f>
        <v>0</v>
      </c>
      <c r="E47" s="238">
        <f ca="1">IF(A47&lt;=ORÇAMENTO.MáximoListaCrono,MATCH(A47,ORÇAMENTO.ListaCrono,0),NA())</f>
        <v>53</v>
      </c>
      <c r="F47" s="238" t="str">
        <f ca="1">IF(AND($E48&lt;&gt;-1,$R47&gt;0),"F","")</f>
        <v/>
      </c>
      <c r="G47" s="242" t="str">
        <f ca="1">IF(OR(R47=0,R47=""),"Linha",IF(AND(OR(ACOMPANHAMENTO="PLE",$Q47&lt;&gt;2),$E48=0),"Linha",1-SUM(T47:AR47)))</f>
        <v>Linha</v>
      </c>
      <c r="H47" s="243" t="str">
        <f ca="1">IF($E48=0,OFFSET(ORÇAMENTO!O$15,$E47,0),IF($E48&lt;&gt;-1,OFFSET(QCI!$D$13,$E48,0),""))</f>
        <v>1.11.</v>
      </c>
      <c r="I47" s="244" t="str">
        <f ca="1">IF($E48=0,OFFSET(ORÇAMENTO!R$15,$E47,0),IF($E48&lt;&gt;-1,OFFSET(QCI!$G$13,$E48,0),""))</f>
        <v>PISO</v>
      </c>
      <c r="J47" s="244"/>
      <c r="K47" s="244"/>
      <c r="L47" s="245">
        <f ca="1">IF($E48=0,OFFSET(ORÇAMENTO!C$15,$E47,0),1)</f>
        <v>2</v>
      </c>
      <c r="M47" s="246">
        <f ca="1">IF($E48=-1,0,IF(M$13&lt;=$L47,IF(ISERROR(MATCH(M$13,OFFSET($L47,1,0,ROW($L$92)-ROW($L47)-1),0)),ROW($L$92)-ROW($L47)-1,MATCH(M$13,OFFSET($L47,1,0,ROW($L$92)-ROW($L47)-1),0)-1),0))</f>
        <v>44</v>
      </c>
      <c r="N47" s="246">
        <f ca="1">IF($E48=-1,0,IF(N$13&lt;=$L47,IF(ISERROR(MATCH(N$13,OFFSET($L47,1,0,ROW($L$92)-ROW($L47)-1),0)),ROW($L$92)-ROW($L47)-1,MATCH(N$13,OFFSET($L47,1,0,ROW($L$92)-ROW($L47)-1),0)-1),0))</f>
        <v>2</v>
      </c>
      <c r="O47" s="246">
        <f ca="1">IF($E48=-1,0,IF(O$13&lt;=$L47,IF(ISERROR(MATCH(O$13,OFFSET($L47,1,0,ROW($L$92)-ROW($L47)-1),0)),ROW($L$92)-ROW($L47)-1,MATCH(O$13,OFFSET($L47,1,0,ROW($L$92)-ROW($L47)-1),0)-1),0))</f>
        <v>0</v>
      </c>
      <c r="P47" s="246">
        <f ca="1">IF($E48=-1,0,IF(P$13&lt;=$L47,IF(ISERROR(MATCH(P$13,OFFSET($L47,1,0,ROW($L$92)-ROW($L47)-1),0)),ROW($L$92)-ROW($L47)-1,MATCH(P$13,OFFSET($L47,1,0,ROW($L$92)-ROW($L47)-1),0)-1),0))</f>
        <v>0</v>
      </c>
      <c r="Q47" s="246">
        <f ca="1">MIN(OFFSET(L47,0,1,,L47))</f>
        <v>2</v>
      </c>
      <c r="R47" s="247">
        <f ca="1">IF($E48=0,OFFSET(ORÇAMENTO!X$15,$E47,0),IF($E48&lt;&gt;-1,OFFSET(QCI!$O$13,$E48,0),""))</f>
        <v>0</v>
      </c>
      <c r="S47" s="248" t="s">
        <v>270</v>
      </c>
      <c r="T47" s="249">
        <f t="shared" ref="T47:AQ47" ca="1" si="16">IF(AND($Q47=2,ACOMPANHAMENTO="BM"),T48,T49/$R47)</f>
        <v>0</v>
      </c>
      <c r="U47" s="241">
        <f t="shared" ca="1" si="16"/>
        <v>0</v>
      </c>
      <c r="V47" s="241">
        <f t="shared" ca="1" si="16"/>
        <v>0</v>
      </c>
      <c r="W47" s="241">
        <f t="shared" ca="1" si="16"/>
        <v>0</v>
      </c>
      <c r="X47" s="241">
        <f t="shared" ca="1" si="16"/>
        <v>0</v>
      </c>
      <c r="Y47" s="241">
        <f t="shared" ca="1" si="16"/>
        <v>0.5</v>
      </c>
      <c r="Z47" s="241">
        <f t="shared" ca="1" si="16"/>
        <v>0.5</v>
      </c>
      <c r="AA47" s="241">
        <f t="shared" ca="1" si="16"/>
        <v>0</v>
      </c>
      <c r="AB47" s="241">
        <f t="shared" ca="1" si="16"/>
        <v>0</v>
      </c>
      <c r="AC47" s="241">
        <f t="shared" ca="1" si="16"/>
        <v>0</v>
      </c>
      <c r="AD47" s="241">
        <f t="shared" ca="1" si="16"/>
        <v>0</v>
      </c>
      <c r="AE47" s="250">
        <f t="shared" ca="1" si="16"/>
        <v>0</v>
      </c>
      <c r="AF47" s="249">
        <f t="shared" ca="1" si="16"/>
        <v>0</v>
      </c>
      <c r="AG47" s="241">
        <f t="shared" ca="1" si="16"/>
        <v>0</v>
      </c>
      <c r="AH47" s="241">
        <f t="shared" ca="1" si="16"/>
        <v>0</v>
      </c>
      <c r="AI47" s="241">
        <f t="shared" ca="1" si="16"/>
        <v>0</v>
      </c>
      <c r="AJ47" s="241">
        <f t="shared" ca="1" si="16"/>
        <v>0</v>
      </c>
      <c r="AK47" s="241">
        <f t="shared" ca="1" si="16"/>
        <v>0</v>
      </c>
      <c r="AL47" s="241">
        <f t="shared" ca="1" si="16"/>
        <v>0</v>
      </c>
      <c r="AM47" s="241">
        <f t="shared" ca="1" si="16"/>
        <v>0</v>
      </c>
      <c r="AN47" s="241">
        <f t="shared" ca="1" si="16"/>
        <v>0</v>
      </c>
      <c r="AO47" s="241">
        <f t="shared" ca="1" si="16"/>
        <v>0</v>
      </c>
      <c r="AP47" s="241">
        <f t="shared" ca="1" si="16"/>
        <v>0</v>
      </c>
      <c r="AQ47" s="250">
        <f t="shared" ca="1" si="16"/>
        <v>0</v>
      </c>
    </row>
    <row r="48" spans="1:44" ht="12.75" customHeight="1" x14ac:dyDescent="0.2">
      <c r="D48" s="657"/>
      <c r="E48" s="238">
        <f ca="1">IF(ISERROR(E47),IF(1+COUNTIF($L$13:OFFSET(L47,-1,0),1)&lt;=MAX(QCI!$D$13:$D$24),1+COUNTIF($L$13:OFFSET(L47,-1,0),1),-1),0)</f>
        <v>0</v>
      </c>
      <c r="F48" s="238" t="str">
        <f ca="1">IF(AND($E48&lt;&gt;-1,$R47&gt;0),"F","")</f>
        <v/>
      </c>
      <c r="G48" s="251" t="str">
        <f ca="1">IF(OR(R47=0,R47=""),"vazia",IF(AND(OR(ACOMPANHAMENTO="PLE",$Q47&lt;&gt;2),$E48=0),"calculada","--&gt;"))</f>
        <v>vazia</v>
      </c>
      <c r="H48" s="252"/>
      <c r="I48" s="253" t="str">
        <f ca="1">IF(AND(G47&lt;&gt;0,ISNUMBER(G47)),"PREENCHA ESTA LINHA --&gt;","")</f>
        <v/>
      </c>
      <c r="J48" s="253"/>
      <c r="K48" s="253"/>
      <c r="L48" s="254"/>
      <c r="M48" s="254"/>
      <c r="N48" s="254"/>
      <c r="O48" s="254"/>
      <c r="P48" s="254"/>
      <c r="Q48" s="254"/>
      <c r="R48" s="255"/>
      <c r="S48" s="256"/>
      <c r="T48" s="658"/>
      <c r="U48" s="657"/>
      <c r="V48" s="657"/>
      <c r="W48" s="657"/>
      <c r="X48" s="657"/>
      <c r="Y48" s="657">
        <v>0.5</v>
      </c>
      <c r="Z48" s="657">
        <v>0.5</v>
      </c>
      <c r="AA48" s="657"/>
      <c r="AB48" s="657"/>
      <c r="AC48" s="657"/>
      <c r="AD48" s="657"/>
      <c r="AE48" s="659"/>
      <c r="AF48" s="658"/>
      <c r="AG48" s="657"/>
      <c r="AH48" s="657"/>
      <c r="AI48" s="657"/>
      <c r="AJ48" s="657"/>
      <c r="AK48" s="657"/>
      <c r="AL48" s="657"/>
      <c r="AM48" s="657"/>
      <c r="AN48" s="657"/>
      <c r="AO48" s="657"/>
      <c r="AP48" s="657"/>
      <c r="AQ48" s="659"/>
      <c r="AR48" s="617"/>
    </row>
    <row r="49" spans="1:44" ht="0.2" hidden="1" customHeight="1" x14ac:dyDescent="0.2">
      <c r="D49" s="257">
        <f ca="1">IF($Q47=2,IF(AND(ACOMPANHAMENTO="PLE",ISNUMBER($E47)),SUMIF((OFFSET(CÁLCULO!$AM$15:$AW$15,$E47,0,OFFSET(ORÇAMENTO!$D$15,CRONO!$E47,0))),"="&amp;CRONO!D$12,OFFSET(CÁLCULO!$AB$15:$AL$15,$E47,0,OFFSET(ORÇAMENTO!$D$15,CRONO!$E47,0)))+IF(AND($E49&lt;&gt;"",$E49&lt;&gt;0),SUMIF(CÁLCULO!$AM$15:$AW$192,"="&amp;CRONO!D$12,CÁLCULO!$AB$15:$AL$192)/(ORÇAMENTO!$X$15-CÁLCULO.TotalAdmLocal)*CRONO!$E49,0),D48*$R47),SUMIF(OFFSET($R49,1,0,$Q47-2),($L47+1)&amp;"$",OFFSET(D49,1,0,$Q47-2)))</f>
        <v>0</v>
      </c>
      <c r="E49" s="238" t="str">
        <f ca="1">IF(OR($Q47&lt;&gt;2,AUTOEVENTO&lt;&gt;"manual",$E48&gt;0),"",SUMIF(OFFSET(CÁLCULO!$M$15,CRONO!$E47,0,OFFSET(ORÇAMENTO!$D$15,CRONO!$E47,0)),1,OFFSET(ORÇAMENTO!$X$15,CRONO!$E47,0,OFFSET(ORÇAMENTO!$D$15,CRONO!$E47,0))))</f>
        <v/>
      </c>
      <c r="G49" s="258"/>
      <c r="R49" s="259" t="str">
        <f ca="1">L47&amp;"$"</f>
        <v>2$</v>
      </c>
      <c r="S49" s="260"/>
      <c r="T49" s="261">
        <f ca="1">IF($Q47=2,IF(AND(ACOMPANHAMENTO="PLE",ISNUMBER($E47)),SUMIF((OFFSET(CÁLCULO!$AM$15:$AW$15,$E47,0,OFFSET(ORÇAMENTO!$D$15,CRONO!$E47,0))),"&lt;="&amp;CRONO!T$12,OFFSET(CÁLCULO!$AB$15:$AL$15,$E47,0,OFFSET(ORÇAMENTO!$D$15,CRONO!$E47,0)))+IF(AND($E49&lt;&gt;"",$E49&lt;&gt;0),SUMIF(CÁLCULO!$AM$15:$AW$192,"&lt;="&amp;CRONO!T$12,CÁLCULO!$AB$15:$AL$192)/(ORÇAMENTO!$X$15-CÁLCULO.TotalAdmLocal)*CRONO!$E49,0),T48*$R47),SUMIF(OFFSET($R49,1,0,$Q47-2),($L47+1)&amp;"$",OFFSET(T49,1,0,$Q47-2)))</f>
        <v>0</v>
      </c>
      <c r="U49" s="257">
        <f ca="1">IF($Q47=2,IF(AND(ACOMPANHAMENTO="PLE",ISNUMBER($E47)),SUMIF((OFFSET(CÁLCULO!$AM$15:$AW$15,$E47,0,OFFSET(ORÇAMENTO!$D$15,CRONO!$E47,0))),"="&amp;CRONO!U$12,OFFSET(CÁLCULO!$AB$15:$AL$15,$E47,0,OFFSET(ORÇAMENTO!$D$15,CRONO!$E47,0)))+IF(AND($E49&lt;&gt;"",$E49&lt;&gt;0),SUMIF(CÁLCULO!$AM$15:$AW$192,"="&amp;CRONO!U$12,CÁLCULO!$AB$15:$AL$192)/(ORÇAMENTO!$X$15-CÁLCULO.TotalAdmLocal)*CRONO!$E49,0),U48*$R47),SUMIF(OFFSET($R49,1,0,$Q47-2),($L47+1)&amp;"$",OFFSET(U49,1,0,$Q47-2)))</f>
        <v>0</v>
      </c>
      <c r="V49" s="257">
        <f ca="1">IF($Q47=2,IF(AND(ACOMPANHAMENTO="PLE",ISNUMBER($E47)),SUMIF((OFFSET(CÁLCULO!$AM$15:$AW$15,$E47,0,OFFSET(ORÇAMENTO!$D$15,CRONO!$E47,0))),"="&amp;CRONO!V$12,OFFSET(CÁLCULO!$AB$15:$AL$15,$E47,0,OFFSET(ORÇAMENTO!$D$15,CRONO!$E47,0)))+IF(AND($E49&lt;&gt;"",$E49&lt;&gt;0),SUMIF(CÁLCULO!$AM$15:$AW$192,"="&amp;CRONO!V$12,CÁLCULO!$AB$15:$AL$192)/(ORÇAMENTO!$X$15-CÁLCULO.TotalAdmLocal)*CRONO!$E49,0),V48*$R47),SUMIF(OFFSET($R49,1,0,$Q47-2),($L47+1)&amp;"$",OFFSET(V49,1,0,$Q47-2)))</f>
        <v>0</v>
      </c>
      <c r="W49" s="257">
        <f ca="1">IF($Q47=2,IF(AND(ACOMPANHAMENTO="PLE",ISNUMBER($E47)),SUMIF((OFFSET(CÁLCULO!$AM$15:$AW$15,$E47,0,OFFSET(ORÇAMENTO!$D$15,CRONO!$E47,0))),"="&amp;CRONO!W$12,OFFSET(CÁLCULO!$AB$15:$AL$15,$E47,0,OFFSET(ORÇAMENTO!$D$15,CRONO!$E47,0)))+IF(AND($E49&lt;&gt;"",$E49&lt;&gt;0),SUMIF(CÁLCULO!$AM$15:$AW$192,"="&amp;CRONO!W$12,CÁLCULO!$AB$15:$AL$192)/(ORÇAMENTO!$X$15-CÁLCULO.TotalAdmLocal)*CRONO!$E49,0),W48*$R47),SUMIF(OFFSET($R49,1,0,$Q47-2),($L47+1)&amp;"$",OFFSET(W49,1,0,$Q47-2)))</f>
        <v>0</v>
      </c>
      <c r="X49" s="257">
        <f ca="1">IF($Q47=2,IF(AND(ACOMPANHAMENTO="PLE",ISNUMBER($E47)),SUMIF((OFFSET(CÁLCULO!$AM$15:$AW$15,$E47,0,OFFSET(ORÇAMENTO!$D$15,CRONO!$E47,0))),"="&amp;CRONO!X$12,OFFSET(CÁLCULO!$AB$15:$AL$15,$E47,0,OFFSET(ORÇAMENTO!$D$15,CRONO!$E47,0)))+IF(AND($E49&lt;&gt;"",$E49&lt;&gt;0),SUMIF(CÁLCULO!$AM$15:$AW$192,"="&amp;CRONO!X$12,CÁLCULO!$AB$15:$AL$192)/(ORÇAMENTO!$X$15-CÁLCULO.TotalAdmLocal)*CRONO!$E49,0),X48*$R47),SUMIF(OFFSET($R49,1,0,$Q47-2),($L47+1)&amp;"$",OFFSET(X49,1,0,$Q47-2)))</f>
        <v>0</v>
      </c>
      <c r="Y49" s="257">
        <f ca="1">IF($Q47=2,IF(AND(ACOMPANHAMENTO="PLE",ISNUMBER($E47)),SUMIF((OFFSET(CÁLCULO!$AM$15:$AW$15,$E47,0,OFFSET(ORÇAMENTO!$D$15,CRONO!$E47,0))),"="&amp;CRONO!Y$12,OFFSET(CÁLCULO!$AB$15:$AL$15,$E47,0,OFFSET(ORÇAMENTO!$D$15,CRONO!$E47,0)))+IF(AND($E49&lt;&gt;"",$E49&lt;&gt;0),SUMIF(CÁLCULO!$AM$15:$AW$192,"="&amp;CRONO!Y$12,CÁLCULO!$AB$15:$AL$192)/(ORÇAMENTO!$X$15-CÁLCULO.TotalAdmLocal)*CRONO!$E49,0),Y48*$R47),SUMIF(OFFSET($R49,1,0,$Q47-2),($L47+1)&amp;"$",OFFSET(Y49,1,0,$Q47-2)))</f>
        <v>0</v>
      </c>
      <c r="Z49" s="257">
        <f ca="1">IF($Q47=2,IF(AND(ACOMPANHAMENTO="PLE",ISNUMBER($E47)),SUMIF((OFFSET(CÁLCULO!$AM$15:$AW$15,$E47,0,OFFSET(ORÇAMENTO!$D$15,CRONO!$E47,0))),"="&amp;CRONO!Z$12,OFFSET(CÁLCULO!$AB$15:$AL$15,$E47,0,OFFSET(ORÇAMENTO!$D$15,CRONO!$E47,0)))+IF(AND($E49&lt;&gt;"",$E49&lt;&gt;0),SUMIF(CÁLCULO!$AM$15:$AW$192,"="&amp;CRONO!Z$12,CÁLCULO!$AB$15:$AL$192)/(ORÇAMENTO!$X$15-CÁLCULO.TotalAdmLocal)*CRONO!$E49,0),Z48*$R47),SUMIF(OFFSET($R49,1,0,$Q47-2),($L47+1)&amp;"$",OFFSET(Z49,1,0,$Q47-2)))</f>
        <v>0</v>
      </c>
      <c r="AA49" s="257">
        <f ca="1">IF($Q47=2,IF(AND(ACOMPANHAMENTO="PLE",ISNUMBER($E47)),SUMIF((OFFSET(CÁLCULO!$AM$15:$AW$15,$E47,0,OFFSET(ORÇAMENTO!$D$15,CRONO!$E47,0))),"="&amp;CRONO!AA$12,OFFSET(CÁLCULO!$AB$15:$AL$15,$E47,0,OFFSET(ORÇAMENTO!$D$15,CRONO!$E47,0)))+IF(AND($E49&lt;&gt;"",$E49&lt;&gt;0),SUMIF(CÁLCULO!$AM$15:$AW$192,"="&amp;CRONO!AA$12,CÁLCULO!$AB$15:$AL$192)/(ORÇAMENTO!$X$15-CÁLCULO.TotalAdmLocal)*CRONO!$E49,0),AA48*$R47),SUMIF(OFFSET($R49,1,0,$Q47-2),($L47+1)&amp;"$",OFFSET(AA49,1,0,$Q47-2)))</f>
        <v>0</v>
      </c>
      <c r="AB49" s="257">
        <f ca="1">IF($Q47=2,IF(AND(ACOMPANHAMENTO="PLE",ISNUMBER($E47)),SUMIF((OFFSET(CÁLCULO!$AM$15:$AW$15,$E47,0,OFFSET(ORÇAMENTO!$D$15,CRONO!$E47,0))),"="&amp;CRONO!AB$12,OFFSET(CÁLCULO!$AB$15:$AL$15,$E47,0,OFFSET(ORÇAMENTO!$D$15,CRONO!$E47,0)))+IF(AND($E49&lt;&gt;"",$E49&lt;&gt;0),SUMIF(CÁLCULO!$AM$15:$AW$192,"="&amp;CRONO!AB$12,CÁLCULO!$AB$15:$AL$192)/(ORÇAMENTO!$X$15-CÁLCULO.TotalAdmLocal)*CRONO!$E49,0),AB48*$R47),SUMIF(OFFSET($R49,1,0,$Q47-2),($L47+1)&amp;"$",OFFSET(AB49,1,0,$Q47-2)))</f>
        <v>0</v>
      </c>
      <c r="AC49" s="257">
        <f ca="1">IF($Q47=2,IF(AND(ACOMPANHAMENTO="PLE",ISNUMBER($E47)),SUMIF((OFFSET(CÁLCULO!$AM$15:$AW$15,$E47,0,OFFSET(ORÇAMENTO!$D$15,CRONO!$E47,0))),"="&amp;CRONO!AC$12,OFFSET(CÁLCULO!$AB$15:$AL$15,$E47,0,OFFSET(ORÇAMENTO!$D$15,CRONO!$E47,0)))+IF(AND($E49&lt;&gt;"",$E49&lt;&gt;0),SUMIF(CÁLCULO!$AM$15:$AW$192,"="&amp;CRONO!AC$12,CÁLCULO!$AB$15:$AL$192)/(ORÇAMENTO!$X$15-CÁLCULO.TotalAdmLocal)*CRONO!$E49,0),AC48*$R47),SUMIF(OFFSET($R49,1,0,$Q47-2),($L47+1)&amp;"$",OFFSET(AC49,1,0,$Q47-2)))</f>
        <v>0</v>
      </c>
      <c r="AD49" s="257">
        <f ca="1">IF($Q47=2,IF(AND(ACOMPANHAMENTO="PLE",ISNUMBER($E47)),SUMIF((OFFSET(CÁLCULO!$AM$15:$AW$15,$E47,0,OFFSET(ORÇAMENTO!$D$15,CRONO!$E47,0))),"="&amp;CRONO!AD$12,OFFSET(CÁLCULO!$AB$15:$AL$15,$E47,0,OFFSET(ORÇAMENTO!$D$15,CRONO!$E47,0)))+IF(AND($E49&lt;&gt;"",$E49&lt;&gt;0),SUMIF(CÁLCULO!$AM$15:$AW$192,"="&amp;CRONO!AD$12,CÁLCULO!$AB$15:$AL$192)/(ORÇAMENTO!$X$15-CÁLCULO.TotalAdmLocal)*CRONO!$E49,0),AD48*$R47),SUMIF(OFFSET($R49,1,0,$Q47-2),($L47+1)&amp;"$",OFFSET(AD49,1,0,$Q47-2)))</f>
        <v>0</v>
      </c>
      <c r="AE49" s="262">
        <f ca="1">IF($Q47=2,IF(AND(ACOMPANHAMENTO="PLE",ISNUMBER($E47)),SUMIF((OFFSET(CÁLCULO!$AM$15:$AW$15,$E47,0,OFFSET(ORÇAMENTO!$D$15,CRONO!$E47,0))),"="&amp;CRONO!AE$12,OFFSET(CÁLCULO!$AB$15:$AL$15,$E47,0,OFFSET(ORÇAMENTO!$D$15,CRONO!$E47,0)))+IF(AND($E49&lt;&gt;"",$E49&lt;&gt;0),SUMIF(CÁLCULO!$AM$15:$AW$192,"="&amp;CRONO!AE$12,CÁLCULO!$AB$15:$AL$192)/(ORÇAMENTO!$X$15-CÁLCULO.TotalAdmLocal)*CRONO!$E49,0),AE48*$R47),SUMIF(OFFSET($R49,1,0,$Q47-2),($L47+1)&amp;"$",OFFSET(AE49,1,0,$Q47-2)))</f>
        <v>0</v>
      </c>
      <c r="AF49" s="261">
        <f ca="1">IF($Q47=2,IF(AND(ACOMPANHAMENTO="PLE",ISNUMBER($E47)),SUMIF((OFFSET(CÁLCULO!$AM$15:$AW$15,$E47,0,OFFSET(ORÇAMENTO!$D$15,CRONO!$E47,0))),"="&amp;CRONO!AF$12,OFFSET(CÁLCULO!$AB$15:$AL$15,$E47,0,OFFSET(ORÇAMENTO!$D$15,CRONO!$E47,0)))+IF(AND($E49&lt;&gt;"",$E49&lt;&gt;0),SUMIF(CÁLCULO!$AM$15:$AW$192,"="&amp;CRONO!AF$12,CÁLCULO!$AB$15:$AL$192)/(ORÇAMENTO!$X$15-CÁLCULO.TotalAdmLocal)*CRONO!$E49,0),AF48*$R47),SUMIF(OFFSET($R49,1,0,$Q47-2),($L47+1)&amp;"$",OFFSET(AF49,1,0,$Q47-2)))</f>
        <v>0</v>
      </c>
      <c r="AG49" s="257">
        <f ca="1">IF($Q47=2,IF(AND(ACOMPANHAMENTO="PLE",ISNUMBER($E47)),SUMIF((OFFSET(CÁLCULO!$AM$15:$AW$15,$E47,0,OFFSET(ORÇAMENTO!$D$15,CRONO!$E47,0))),"="&amp;CRONO!AG$12,OFFSET(CÁLCULO!$AB$15:$AL$15,$E47,0,OFFSET(ORÇAMENTO!$D$15,CRONO!$E47,0)))+IF(AND($E49&lt;&gt;"",$E49&lt;&gt;0),SUMIF(CÁLCULO!$AM$15:$AW$192,"="&amp;CRONO!AG$12,CÁLCULO!$AB$15:$AL$192)/(ORÇAMENTO!$X$15-CÁLCULO.TotalAdmLocal)*CRONO!$E49,0),AG48*$R47),SUMIF(OFFSET($R49,1,0,$Q47-2),($L47+1)&amp;"$",OFFSET(AG49,1,0,$Q47-2)))</f>
        <v>0</v>
      </c>
      <c r="AH49" s="257">
        <f ca="1">IF($Q47=2,IF(AND(ACOMPANHAMENTO="PLE",ISNUMBER($E47)),SUMIF((OFFSET(CÁLCULO!$AM$15:$AW$15,$E47,0,OFFSET(ORÇAMENTO!$D$15,CRONO!$E47,0))),"="&amp;CRONO!AH$12,OFFSET(CÁLCULO!$AB$15:$AL$15,$E47,0,OFFSET(ORÇAMENTO!$D$15,CRONO!$E47,0)))+IF(AND($E49&lt;&gt;"",$E49&lt;&gt;0),SUMIF(CÁLCULO!$AM$15:$AW$192,"="&amp;CRONO!AH$12,CÁLCULO!$AB$15:$AL$192)/(ORÇAMENTO!$X$15-CÁLCULO.TotalAdmLocal)*CRONO!$E49,0),AH48*$R47),SUMIF(OFFSET($R49,1,0,$Q47-2),($L47+1)&amp;"$",OFFSET(AH49,1,0,$Q47-2)))</f>
        <v>0</v>
      </c>
      <c r="AI49" s="257">
        <f ca="1">IF($Q47=2,IF(AND(ACOMPANHAMENTO="PLE",ISNUMBER($E47)),SUMIF((OFFSET(CÁLCULO!$AM$15:$AW$15,$E47,0,OFFSET(ORÇAMENTO!$D$15,CRONO!$E47,0))),"="&amp;CRONO!AI$12,OFFSET(CÁLCULO!$AB$15:$AL$15,$E47,0,OFFSET(ORÇAMENTO!$D$15,CRONO!$E47,0)))+IF(AND($E49&lt;&gt;"",$E49&lt;&gt;0),SUMIF(CÁLCULO!$AM$15:$AW$192,"="&amp;CRONO!AI$12,CÁLCULO!$AB$15:$AL$192)/(ORÇAMENTO!$X$15-CÁLCULO.TotalAdmLocal)*CRONO!$E49,0),AI48*$R47),SUMIF(OFFSET($R49,1,0,$Q47-2),($L47+1)&amp;"$",OFFSET(AI49,1,0,$Q47-2)))</f>
        <v>0</v>
      </c>
      <c r="AJ49" s="257">
        <f ca="1">IF($Q47=2,IF(AND(ACOMPANHAMENTO="PLE",ISNUMBER($E47)),SUMIF((OFFSET(CÁLCULO!$AM$15:$AW$15,$E47,0,OFFSET(ORÇAMENTO!$D$15,CRONO!$E47,0))),"="&amp;CRONO!AJ$12,OFFSET(CÁLCULO!$AB$15:$AL$15,$E47,0,OFFSET(ORÇAMENTO!$D$15,CRONO!$E47,0)))+IF(AND($E49&lt;&gt;"",$E49&lt;&gt;0),SUMIF(CÁLCULO!$AM$15:$AW$192,"="&amp;CRONO!AJ$12,CÁLCULO!$AB$15:$AL$192)/(ORÇAMENTO!$X$15-CÁLCULO.TotalAdmLocal)*CRONO!$E49,0),AJ48*$R47),SUMIF(OFFSET($R49,1,0,$Q47-2),($L47+1)&amp;"$",OFFSET(AJ49,1,0,$Q47-2)))</f>
        <v>0</v>
      </c>
      <c r="AK49" s="257">
        <f ca="1">IF($Q47=2,IF(AND(ACOMPANHAMENTO="PLE",ISNUMBER($E47)),SUMIF((OFFSET(CÁLCULO!$AM$15:$AW$15,$E47,0,OFFSET(ORÇAMENTO!$D$15,CRONO!$E47,0))),"="&amp;CRONO!AK$12,OFFSET(CÁLCULO!$AB$15:$AL$15,$E47,0,OFFSET(ORÇAMENTO!$D$15,CRONO!$E47,0)))+IF(AND($E49&lt;&gt;"",$E49&lt;&gt;0),SUMIF(CÁLCULO!$AM$15:$AW$192,"="&amp;CRONO!AK$12,CÁLCULO!$AB$15:$AL$192)/(ORÇAMENTO!$X$15-CÁLCULO.TotalAdmLocal)*CRONO!$E49,0),AK48*$R47),SUMIF(OFFSET($R49,1,0,$Q47-2),($L47+1)&amp;"$",OFFSET(AK49,1,0,$Q47-2)))</f>
        <v>0</v>
      </c>
      <c r="AL49" s="257">
        <f ca="1">IF($Q47=2,IF(AND(ACOMPANHAMENTO="PLE",ISNUMBER($E47)),SUMIF((OFFSET(CÁLCULO!$AM$15:$AW$15,$E47,0,OFFSET(ORÇAMENTO!$D$15,CRONO!$E47,0))),"="&amp;CRONO!AL$12,OFFSET(CÁLCULO!$AB$15:$AL$15,$E47,0,OFFSET(ORÇAMENTO!$D$15,CRONO!$E47,0)))+IF(AND($E49&lt;&gt;"",$E49&lt;&gt;0),SUMIF(CÁLCULO!$AM$15:$AW$192,"="&amp;CRONO!AL$12,CÁLCULO!$AB$15:$AL$192)/(ORÇAMENTO!$X$15-CÁLCULO.TotalAdmLocal)*CRONO!$E49,0),AL48*$R47),SUMIF(OFFSET($R49,1,0,$Q47-2),($L47+1)&amp;"$",OFFSET(AL49,1,0,$Q47-2)))</f>
        <v>0</v>
      </c>
      <c r="AM49" s="257">
        <f ca="1">IF($Q47=2,IF(AND(ACOMPANHAMENTO="PLE",ISNUMBER($E47)),SUMIF((OFFSET(CÁLCULO!$AM$15:$AW$15,$E47,0,OFFSET(ORÇAMENTO!$D$15,CRONO!$E47,0))),"="&amp;CRONO!AM$12,OFFSET(CÁLCULO!$AB$15:$AL$15,$E47,0,OFFSET(ORÇAMENTO!$D$15,CRONO!$E47,0)))+IF(AND($E49&lt;&gt;"",$E49&lt;&gt;0),SUMIF(CÁLCULO!$AM$15:$AW$192,"="&amp;CRONO!AM$12,CÁLCULO!$AB$15:$AL$192)/(ORÇAMENTO!$X$15-CÁLCULO.TotalAdmLocal)*CRONO!$E49,0),AM48*$R47),SUMIF(OFFSET($R49,1,0,$Q47-2),($L47+1)&amp;"$",OFFSET(AM49,1,0,$Q47-2)))</f>
        <v>0</v>
      </c>
      <c r="AN49" s="257">
        <f ca="1">IF($Q47=2,IF(AND(ACOMPANHAMENTO="PLE",ISNUMBER($E47)),SUMIF((OFFSET(CÁLCULO!$AM$15:$AW$15,$E47,0,OFFSET(ORÇAMENTO!$D$15,CRONO!$E47,0))),"="&amp;CRONO!AN$12,OFFSET(CÁLCULO!$AB$15:$AL$15,$E47,0,OFFSET(ORÇAMENTO!$D$15,CRONO!$E47,0)))+IF(AND($E49&lt;&gt;"",$E49&lt;&gt;0),SUMIF(CÁLCULO!$AM$15:$AW$192,"="&amp;CRONO!AN$12,CÁLCULO!$AB$15:$AL$192)/(ORÇAMENTO!$X$15-CÁLCULO.TotalAdmLocal)*CRONO!$E49,0),AN48*$R47),SUMIF(OFFSET($R49,1,0,$Q47-2),($L47+1)&amp;"$",OFFSET(AN49,1,0,$Q47-2)))</f>
        <v>0</v>
      </c>
      <c r="AO49" s="257">
        <f ca="1">IF($Q47=2,IF(AND(ACOMPANHAMENTO="PLE",ISNUMBER($E47)),SUMIF((OFFSET(CÁLCULO!$AM$15:$AW$15,$E47,0,OFFSET(ORÇAMENTO!$D$15,CRONO!$E47,0))),"="&amp;CRONO!AO$12,OFFSET(CÁLCULO!$AB$15:$AL$15,$E47,0,OFFSET(ORÇAMENTO!$D$15,CRONO!$E47,0)))+IF(AND($E49&lt;&gt;"",$E49&lt;&gt;0),SUMIF(CÁLCULO!$AM$15:$AW$192,"="&amp;CRONO!AO$12,CÁLCULO!$AB$15:$AL$192)/(ORÇAMENTO!$X$15-CÁLCULO.TotalAdmLocal)*CRONO!$E49,0),AO48*$R47),SUMIF(OFFSET($R49,1,0,$Q47-2),($L47+1)&amp;"$",OFFSET(AO49,1,0,$Q47-2)))</f>
        <v>0</v>
      </c>
      <c r="AP49" s="257">
        <f ca="1">IF($Q47=2,IF(AND(ACOMPANHAMENTO="PLE",ISNUMBER($E47)),SUMIF((OFFSET(CÁLCULO!$AM$15:$AW$15,$E47,0,OFFSET(ORÇAMENTO!$D$15,CRONO!$E47,0))),"="&amp;CRONO!AP$12,OFFSET(CÁLCULO!$AB$15:$AL$15,$E47,0,OFFSET(ORÇAMENTO!$D$15,CRONO!$E47,0)))+IF(AND($E49&lt;&gt;"",$E49&lt;&gt;0),SUMIF(CÁLCULO!$AM$15:$AW$192,"="&amp;CRONO!AP$12,CÁLCULO!$AB$15:$AL$192)/(ORÇAMENTO!$X$15-CÁLCULO.TotalAdmLocal)*CRONO!$E49,0),AP48*$R47),SUMIF(OFFSET($R49,1,0,$Q47-2),($L47+1)&amp;"$",OFFSET(AP49,1,0,$Q47-2)))</f>
        <v>0</v>
      </c>
      <c r="AQ49" s="262">
        <f ca="1">IF($Q47=2,IF(AND(ACOMPANHAMENTO="PLE",ISNUMBER($E47)),SUMIF((OFFSET(CÁLCULO!$AM$15:$AW$15,$E47,0,OFFSET(ORÇAMENTO!$D$15,CRONO!$E47,0))),"="&amp;CRONO!AQ$12,OFFSET(CÁLCULO!$AB$15:$AL$15,$E47,0,OFFSET(ORÇAMENTO!$D$15,CRONO!$E47,0)))+IF(AND($E49&lt;&gt;"",$E49&lt;&gt;0),SUMIF(CÁLCULO!$AM$15:$AW$192,"="&amp;CRONO!AQ$12,CÁLCULO!$AB$15:$AL$192)/(ORÇAMENTO!$X$15-CÁLCULO.TotalAdmLocal)*CRONO!$E49,0),AQ48*$R47),SUMIF(OFFSET($R49,1,0,$Q47-2),($L47+1)&amp;"$",OFFSET(AQ49,1,0,$Q47-2)))</f>
        <v>0</v>
      </c>
    </row>
    <row r="50" spans="1:44" x14ac:dyDescent="0.2">
      <c r="A50" s="238">
        <f ca="1">OFFSET(A50,-3,0)+1</f>
        <v>13</v>
      </c>
      <c r="B50" s="238">
        <f ca="1">IF($Q50&lt;&gt;2,0,IF($R50=0,1,IF(E51&gt;0,OFFSET(QCI!$M$13,SUBSTITUTE(E51,".",""),0),OFFSET(ORÇAMENTO!$AA$15,CRONO!$E50,0))/$R50))</f>
        <v>1</v>
      </c>
      <c r="C50" s="238">
        <f ca="1">IF($Q50&lt;&gt;2,0,IF($R50=0,1,IF(E51&gt;0,OFFSET(QCI!$N$13,SUBSTITUTE(E51,".",""),0),OFFSET(ORÇAMENTO!$AB$15,CRONO!$E50,0))/$R50))</f>
        <v>1</v>
      </c>
      <c r="D50" s="241">
        <f ca="1">IF(AND($Q50=2,ACOMPANHAMENTO="BM"),D51,D52/$R50)</f>
        <v>0</v>
      </c>
      <c r="E50" s="238">
        <f ca="1">IF(A50&lt;=ORÇAMENTO.MáximoListaCrono,MATCH(A50,ORÇAMENTO.ListaCrono,0),NA())</f>
        <v>60</v>
      </c>
      <c r="F50" s="238" t="str">
        <f ca="1">IF(AND($E51&lt;&gt;-1,$R50&gt;0),"F","")</f>
        <v/>
      </c>
      <c r="G50" s="242" t="str">
        <f ca="1">IF(OR(R50=0,R50=""),"Linha",IF(AND(OR(ACOMPANHAMENTO="PLE",$Q50&lt;&gt;2),$E51=0),"Linha",1-SUM(T50:AR50)))</f>
        <v>Linha</v>
      </c>
      <c r="H50" s="243" t="str">
        <f ca="1">IF($E51=0,OFFSET(ORÇAMENTO!O$15,$E50,0),IF($E51&lt;&gt;-1,OFFSET(QCI!$D$13,$E51,0),""))</f>
        <v>1.12.</v>
      </c>
      <c r="I50" s="244" t="str">
        <f ca="1">IF($E51=0,OFFSET(ORÇAMENTO!R$15,$E50,0),IF($E51&lt;&gt;-1,OFFSET(QCI!$G$13,$E51,0),""))</f>
        <v>LAJE</v>
      </c>
      <c r="J50" s="244"/>
      <c r="K50" s="244"/>
      <c r="L50" s="245">
        <f ca="1">IF($E51=0,OFFSET(ORÇAMENTO!C$15,$E50,0),1)</f>
        <v>2</v>
      </c>
      <c r="M50" s="246">
        <f ca="1">IF($E51=-1,0,IF(M$13&lt;=$L50,IF(ISERROR(MATCH(M$13,OFFSET($L50,1,0,ROW($L$92)-ROW($L50)-1),0)),ROW($L$92)-ROW($L50)-1,MATCH(M$13,OFFSET($L50,1,0,ROW($L$92)-ROW($L50)-1),0)-1),0))</f>
        <v>41</v>
      </c>
      <c r="N50" s="246">
        <f ca="1">IF($E51=-1,0,IF(N$13&lt;=$L50,IF(ISERROR(MATCH(N$13,OFFSET($L50,1,0,ROW($L$92)-ROW($L50)-1),0)),ROW($L$92)-ROW($L50)-1,MATCH(N$13,OFFSET($L50,1,0,ROW($L$92)-ROW($L50)-1),0)-1),0))</f>
        <v>2</v>
      </c>
      <c r="O50" s="246">
        <f ca="1">IF($E51=-1,0,IF(O$13&lt;=$L50,IF(ISERROR(MATCH(O$13,OFFSET($L50,1,0,ROW($L$92)-ROW($L50)-1),0)),ROW($L$92)-ROW($L50)-1,MATCH(O$13,OFFSET($L50,1,0,ROW($L$92)-ROW($L50)-1),0)-1),0))</f>
        <v>0</v>
      </c>
      <c r="P50" s="246">
        <f ca="1">IF($E51=-1,0,IF(P$13&lt;=$L50,IF(ISERROR(MATCH(P$13,OFFSET($L50,1,0,ROW($L$92)-ROW($L50)-1),0)),ROW($L$92)-ROW($L50)-1,MATCH(P$13,OFFSET($L50,1,0,ROW($L$92)-ROW($L50)-1),0)-1),0))</f>
        <v>0</v>
      </c>
      <c r="Q50" s="246">
        <f ca="1">MIN(OFFSET(L50,0,1,,L50))</f>
        <v>2</v>
      </c>
      <c r="R50" s="247">
        <f ca="1">IF($E51=0,OFFSET(ORÇAMENTO!X$15,$E50,0),IF($E51&lt;&gt;-1,OFFSET(QCI!$O$13,$E51,0),""))</f>
        <v>0</v>
      </c>
      <c r="S50" s="248" t="s">
        <v>270</v>
      </c>
      <c r="T50" s="249">
        <f t="shared" ref="T50:AQ50" ca="1" si="17">IF(AND($Q50=2,ACOMPANHAMENTO="BM"),T51,T52/$R50)</f>
        <v>0</v>
      </c>
      <c r="U50" s="241">
        <f t="shared" ca="1" si="17"/>
        <v>0</v>
      </c>
      <c r="V50" s="241">
        <f t="shared" ca="1" si="17"/>
        <v>0</v>
      </c>
      <c r="W50" s="241">
        <f t="shared" ca="1" si="17"/>
        <v>0</v>
      </c>
      <c r="X50" s="241">
        <f t="shared" ca="1" si="17"/>
        <v>0</v>
      </c>
      <c r="Y50" s="241">
        <f t="shared" ca="1" si="17"/>
        <v>0</v>
      </c>
      <c r="Z50" s="241">
        <f t="shared" ca="1" si="17"/>
        <v>0</v>
      </c>
      <c r="AA50" s="241">
        <f t="shared" ca="1" si="17"/>
        <v>0.5</v>
      </c>
      <c r="AB50" s="241">
        <f t="shared" ca="1" si="17"/>
        <v>0.5</v>
      </c>
      <c r="AC50" s="241">
        <f t="shared" ca="1" si="17"/>
        <v>0</v>
      </c>
      <c r="AD50" s="241">
        <f t="shared" ca="1" si="17"/>
        <v>0</v>
      </c>
      <c r="AE50" s="250">
        <f t="shared" ca="1" si="17"/>
        <v>0</v>
      </c>
      <c r="AF50" s="249">
        <f t="shared" ca="1" si="17"/>
        <v>0</v>
      </c>
      <c r="AG50" s="241">
        <f t="shared" ca="1" si="17"/>
        <v>0</v>
      </c>
      <c r="AH50" s="241">
        <f t="shared" ca="1" si="17"/>
        <v>0</v>
      </c>
      <c r="AI50" s="241">
        <f t="shared" ca="1" si="17"/>
        <v>0</v>
      </c>
      <c r="AJ50" s="241">
        <f t="shared" ca="1" si="17"/>
        <v>0</v>
      </c>
      <c r="AK50" s="241">
        <f t="shared" ca="1" si="17"/>
        <v>0</v>
      </c>
      <c r="AL50" s="241">
        <f t="shared" ca="1" si="17"/>
        <v>0</v>
      </c>
      <c r="AM50" s="241">
        <f t="shared" ca="1" si="17"/>
        <v>0</v>
      </c>
      <c r="AN50" s="241">
        <f t="shared" ca="1" si="17"/>
        <v>0</v>
      </c>
      <c r="AO50" s="241">
        <f t="shared" ca="1" si="17"/>
        <v>0</v>
      </c>
      <c r="AP50" s="241">
        <f t="shared" ca="1" si="17"/>
        <v>0</v>
      </c>
      <c r="AQ50" s="250">
        <f t="shared" ca="1" si="17"/>
        <v>0</v>
      </c>
    </row>
    <row r="51" spans="1:44" ht="12.75" customHeight="1" x14ac:dyDescent="0.2">
      <c r="D51" s="657"/>
      <c r="E51" s="238">
        <f ca="1">IF(ISERROR(E50),IF(1+COUNTIF($L$13:OFFSET(L50,-1,0),1)&lt;=MAX(QCI!$D$13:$D$24),1+COUNTIF($L$13:OFFSET(L50,-1,0),1),-1),0)</f>
        <v>0</v>
      </c>
      <c r="F51" s="238" t="str">
        <f ca="1">IF(AND($E51&lt;&gt;-1,$R50&gt;0),"F","")</f>
        <v/>
      </c>
      <c r="G51" s="251" t="str">
        <f ca="1">IF(OR(R50=0,R50=""),"vazia",IF(AND(OR(ACOMPANHAMENTO="PLE",$Q50&lt;&gt;2),$E51=0),"calculada","--&gt;"))</f>
        <v>vazia</v>
      </c>
      <c r="H51" s="252"/>
      <c r="I51" s="253" t="str">
        <f ca="1">IF(AND(G50&lt;&gt;0,ISNUMBER(G50)),"PREENCHA ESTA LINHA --&gt;","")</f>
        <v/>
      </c>
      <c r="J51" s="253"/>
      <c r="K51" s="253"/>
      <c r="L51" s="254"/>
      <c r="M51" s="254"/>
      <c r="N51" s="254"/>
      <c r="O51" s="254"/>
      <c r="P51" s="254"/>
      <c r="Q51" s="254"/>
      <c r="R51" s="255"/>
      <c r="S51" s="256"/>
      <c r="T51" s="658"/>
      <c r="U51" s="657"/>
      <c r="V51" s="657"/>
      <c r="W51" s="657"/>
      <c r="X51" s="657"/>
      <c r="Y51" s="657"/>
      <c r="Z51" s="657"/>
      <c r="AA51" s="657">
        <v>0.5</v>
      </c>
      <c r="AB51" s="657">
        <v>0.5</v>
      </c>
      <c r="AC51" s="657"/>
      <c r="AD51" s="657"/>
      <c r="AE51" s="659"/>
      <c r="AF51" s="658"/>
      <c r="AG51" s="657"/>
      <c r="AH51" s="657"/>
      <c r="AI51" s="657"/>
      <c r="AJ51" s="657"/>
      <c r="AK51" s="657"/>
      <c r="AL51" s="657"/>
      <c r="AM51" s="657"/>
      <c r="AN51" s="657"/>
      <c r="AO51" s="657"/>
      <c r="AP51" s="657"/>
      <c r="AQ51" s="659"/>
      <c r="AR51" s="617"/>
    </row>
    <row r="52" spans="1:44" ht="0.2" hidden="1" customHeight="1" x14ac:dyDescent="0.2">
      <c r="D52" s="257">
        <f ca="1">IF($Q50=2,IF(AND(ACOMPANHAMENTO="PLE",ISNUMBER($E50)),SUMIF((OFFSET(CÁLCULO!$AM$15:$AW$15,$E50,0,OFFSET(ORÇAMENTO!$D$15,CRONO!$E50,0))),"="&amp;CRONO!D$12,OFFSET(CÁLCULO!$AB$15:$AL$15,$E50,0,OFFSET(ORÇAMENTO!$D$15,CRONO!$E50,0)))+IF(AND($E52&lt;&gt;"",$E52&lt;&gt;0),SUMIF(CÁLCULO!$AM$15:$AW$192,"="&amp;CRONO!D$12,CÁLCULO!$AB$15:$AL$192)/(ORÇAMENTO!$X$15-CÁLCULO.TotalAdmLocal)*CRONO!$E52,0),D51*$R50),SUMIF(OFFSET($R52,1,0,$Q50-2),($L50+1)&amp;"$",OFFSET(D52,1,0,$Q50-2)))</f>
        <v>0</v>
      </c>
      <c r="E52" s="238" t="str">
        <f ca="1">IF(OR($Q50&lt;&gt;2,AUTOEVENTO&lt;&gt;"manual",$E51&gt;0),"",SUMIF(OFFSET(CÁLCULO!$M$15,CRONO!$E50,0,OFFSET(ORÇAMENTO!$D$15,CRONO!$E50,0)),1,OFFSET(ORÇAMENTO!$X$15,CRONO!$E50,0,OFFSET(ORÇAMENTO!$D$15,CRONO!$E50,0))))</f>
        <v/>
      </c>
      <c r="G52" s="258"/>
      <c r="R52" s="259" t="str">
        <f ca="1">L50&amp;"$"</f>
        <v>2$</v>
      </c>
      <c r="S52" s="260"/>
      <c r="T52" s="261">
        <f ca="1">IF($Q50=2,IF(AND(ACOMPANHAMENTO="PLE",ISNUMBER($E50)),SUMIF((OFFSET(CÁLCULO!$AM$15:$AW$15,$E50,0,OFFSET(ORÇAMENTO!$D$15,CRONO!$E50,0))),"&lt;="&amp;CRONO!T$12,OFFSET(CÁLCULO!$AB$15:$AL$15,$E50,0,OFFSET(ORÇAMENTO!$D$15,CRONO!$E50,0)))+IF(AND($E52&lt;&gt;"",$E52&lt;&gt;0),SUMIF(CÁLCULO!$AM$15:$AW$192,"&lt;="&amp;CRONO!T$12,CÁLCULO!$AB$15:$AL$192)/(ORÇAMENTO!$X$15-CÁLCULO.TotalAdmLocal)*CRONO!$E52,0),T51*$R50),SUMIF(OFFSET($R52,1,0,$Q50-2),($L50+1)&amp;"$",OFFSET(T52,1,0,$Q50-2)))</f>
        <v>0</v>
      </c>
      <c r="U52" s="257">
        <f ca="1">IF($Q50=2,IF(AND(ACOMPANHAMENTO="PLE",ISNUMBER($E50)),SUMIF((OFFSET(CÁLCULO!$AM$15:$AW$15,$E50,0,OFFSET(ORÇAMENTO!$D$15,CRONO!$E50,0))),"="&amp;CRONO!U$12,OFFSET(CÁLCULO!$AB$15:$AL$15,$E50,0,OFFSET(ORÇAMENTO!$D$15,CRONO!$E50,0)))+IF(AND($E52&lt;&gt;"",$E52&lt;&gt;0),SUMIF(CÁLCULO!$AM$15:$AW$192,"="&amp;CRONO!U$12,CÁLCULO!$AB$15:$AL$192)/(ORÇAMENTO!$X$15-CÁLCULO.TotalAdmLocal)*CRONO!$E52,0),U51*$R50),SUMIF(OFFSET($R52,1,0,$Q50-2),($L50+1)&amp;"$",OFFSET(U52,1,0,$Q50-2)))</f>
        <v>0</v>
      </c>
      <c r="V52" s="257">
        <f ca="1">IF($Q50=2,IF(AND(ACOMPANHAMENTO="PLE",ISNUMBER($E50)),SUMIF((OFFSET(CÁLCULO!$AM$15:$AW$15,$E50,0,OFFSET(ORÇAMENTO!$D$15,CRONO!$E50,0))),"="&amp;CRONO!V$12,OFFSET(CÁLCULO!$AB$15:$AL$15,$E50,0,OFFSET(ORÇAMENTO!$D$15,CRONO!$E50,0)))+IF(AND($E52&lt;&gt;"",$E52&lt;&gt;0),SUMIF(CÁLCULO!$AM$15:$AW$192,"="&amp;CRONO!V$12,CÁLCULO!$AB$15:$AL$192)/(ORÇAMENTO!$X$15-CÁLCULO.TotalAdmLocal)*CRONO!$E52,0),V51*$R50),SUMIF(OFFSET($R52,1,0,$Q50-2),($L50+1)&amp;"$",OFFSET(V52,1,0,$Q50-2)))</f>
        <v>0</v>
      </c>
      <c r="W52" s="257">
        <f ca="1">IF($Q50=2,IF(AND(ACOMPANHAMENTO="PLE",ISNUMBER($E50)),SUMIF((OFFSET(CÁLCULO!$AM$15:$AW$15,$E50,0,OFFSET(ORÇAMENTO!$D$15,CRONO!$E50,0))),"="&amp;CRONO!W$12,OFFSET(CÁLCULO!$AB$15:$AL$15,$E50,0,OFFSET(ORÇAMENTO!$D$15,CRONO!$E50,0)))+IF(AND($E52&lt;&gt;"",$E52&lt;&gt;0),SUMIF(CÁLCULO!$AM$15:$AW$192,"="&amp;CRONO!W$12,CÁLCULO!$AB$15:$AL$192)/(ORÇAMENTO!$X$15-CÁLCULO.TotalAdmLocal)*CRONO!$E52,0),W51*$R50),SUMIF(OFFSET($R52,1,0,$Q50-2),($L50+1)&amp;"$",OFFSET(W52,1,0,$Q50-2)))</f>
        <v>0</v>
      </c>
      <c r="X52" s="257">
        <f ca="1">IF($Q50=2,IF(AND(ACOMPANHAMENTO="PLE",ISNUMBER($E50)),SUMIF((OFFSET(CÁLCULO!$AM$15:$AW$15,$E50,0,OFFSET(ORÇAMENTO!$D$15,CRONO!$E50,0))),"="&amp;CRONO!X$12,OFFSET(CÁLCULO!$AB$15:$AL$15,$E50,0,OFFSET(ORÇAMENTO!$D$15,CRONO!$E50,0)))+IF(AND($E52&lt;&gt;"",$E52&lt;&gt;0),SUMIF(CÁLCULO!$AM$15:$AW$192,"="&amp;CRONO!X$12,CÁLCULO!$AB$15:$AL$192)/(ORÇAMENTO!$X$15-CÁLCULO.TotalAdmLocal)*CRONO!$E52,0),X51*$R50),SUMIF(OFFSET($R52,1,0,$Q50-2),($L50+1)&amp;"$",OFFSET(X52,1,0,$Q50-2)))</f>
        <v>0</v>
      </c>
      <c r="Y52" s="257">
        <f ca="1">IF($Q50=2,IF(AND(ACOMPANHAMENTO="PLE",ISNUMBER($E50)),SUMIF((OFFSET(CÁLCULO!$AM$15:$AW$15,$E50,0,OFFSET(ORÇAMENTO!$D$15,CRONO!$E50,0))),"="&amp;CRONO!Y$12,OFFSET(CÁLCULO!$AB$15:$AL$15,$E50,0,OFFSET(ORÇAMENTO!$D$15,CRONO!$E50,0)))+IF(AND($E52&lt;&gt;"",$E52&lt;&gt;0),SUMIF(CÁLCULO!$AM$15:$AW$192,"="&amp;CRONO!Y$12,CÁLCULO!$AB$15:$AL$192)/(ORÇAMENTO!$X$15-CÁLCULO.TotalAdmLocal)*CRONO!$E52,0),Y51*$R50),SUMIF(OFFSET($R52,1,0,$Q50-2),($L50+1)&amp;"$",OFFSET(Y52,1,0,$Q50-2)))</f>
        <v>0</v>
      </c>
      <c r="Z52" s="257">
        <f ca="1">IF($Q50=2,IF(AND(ACOMPANHAMENTO="PLE",ISNUMBER($E50)),SUMIF((OFFSET(CÁLCULO!$AM$15:$AW$15,$E50,0,OFFSET(ORÇAMENTO!$D$15,CRONO!$E50,0))),"="&amp;CRONO!Z$12,OFFSET(CÁLCULO!$AB$15:$AL$15,$E50,0,OFFSET(ORÇAMENTO!$D$15,CRONO!$E50,0)))+IF(AND($E52&lt;&gt;"",$E52&lt;&gt;0),SUMIF(CÁLCULO!$AM$15:$AW$192,"="&amp;CRONO!Z$12,CÁLCULO!$AB$15:$AL$192)/(ORÇAMENTO!$X$15-CÁLCULO.TotalAdmLocal)*CRONO!$E52,0),Z51*$R50),SUMIF(OFFSET($R52,1,0,$Q50-2),($L50+1)&amp;"$",OFFSET(Z52,1,0,$Q50-2)))</f>
        <v>0</v>
      </c>
      <c r="AA52" s="257">
        <f ca="1">IF($Q50=2,IF(AND(ACOMPANHAMENTO="PLE",ISNUMBER($E50)),SUMIF((OFFSET(CÁLCULO!$AM$15:$AW$15,$E50,0,OFFSET(ORÇAMENTO!$D$15,CRONO!$E50,0))),"="&amp;CRONO!AA$12,OFFSET(CÁLCULO!$AB$15:$AL$15,$E50,0,OFFSET(ORÇAMENTO!$D$15,CRONO!$E50,0)))+IF(AND($E52&lt;&gt;"",$E52&lt;&gt;0),SUMIF(CÁLCULO!$AM$15:$AW$192,"="&amp;CRONO!AA$12,CÁLCULO!$AB$15:$AL$192)/(ORÇAMENTO!$X$15-CÁLCULO.TotalAdmLocal)*CRONO!$E52,0),AA51*$R50),SUMIF(OFFSET($R52,1,0,$Q50-2),($L50+1)&amp;"$",OFFSET(AA52,1,0,$Q50-2)))</f>
        <v>0</v>
      </c>
      <c r="AB52" s="257">
        <f ca="1">IF($Q50=2,IF(AND(ACOMPANHAMENTO="PLE",ISNUMBER($E50)),SUMIF((OFFSET(CÁLCULO!$AM$15:$AW$15,$E50,0,OFFSET(ORÇAMENTO!$D$15,CRONO!$E50,0))),"="&amp;CRONO!AB$12,OFFSET(CÁLCULO!$AB$15:$AL$15,$E50,0,OFFSET(ORÇAMENTO!$D$15,CRONO!$E50,0)))+IF(AND($E52&lt;&gt;"",$E52&lt;&gt;0),SUMIF(CÁLCULO!$AM$15:$AW$192,"="&amp;CRONO!AB$12,CÁLCULO!$AB$15:$AL$192)/(ORÇAMENTO!$X$15-CÁLCULO.TotalAdmLocal)*CRONO!$E52,0),AB51*$R50),SUMIF(OFFSET($R52,1,0,$Q50-2),($L50+1)&amp;"$",OFFSET(AB52,1,0,$Q50-2)))</f>
        <v>0</v>
      </c>
      <c r="AC52" s="257">
        <f ca="1">IF($Q50=2,IF(AND(ACOMPANHAMENTO="PLE",ISNUMBER($E50)),SUMIF((OFFSET(CÁLCULO!$AM$15:$AW$15,$E50,0,OFFSET(ORÇAMENTO!$D$15,CRONO!$E50,0))),"="&amp;CRONO!AC$12,OFFSET(CÁLCULO!$AB$15:$AL$15,$E50,0,OFFSET(ORÇAMENTO!$D$15,CRONO!$E50,0)))+IF(AND($E52&lt;&gt;"",$E52&lt;&gt;0),SUMIF(CÁLCULO!$AM$15:$AW$192,"="&amp;CRONO!AC$12,CÁLCULO!$AB$15:$AL$192)/(ORÇAMENTO!$X$15-CÁLCULO.TotalAdmLocal)*CRONO!$E52,0),AC51*$R50),SUMIF(OFFSET($R52,1,0,$Q50-2),($L50+1)&amp;"$",OFFSET(AC52,1,0,$Q50-2)))</f>
        <v>0</v>
      </c>
      <c r="AD52" s="257">
        <f ca="1">IF($Q50=2,IF(AND(ACOMPANHAMENTO="PLE",ISNUMBER($E50)),SUMIF((OFFSET(CÁLCULO!$AM$15:$AW$15,$E50,0,OFFSET(ORÇAMENTO!$D$15,CRONO!$E50,0))),"="&amp;CRONO!AD$12,OFFSET(CÁLCULO!$AB$15:$AL$15,$E50,0,OFFSET(ORÇAMENTO!$D$15,CRONO!$E50,0)))+IF(AND($E52&lt;&gt;"",$E52&lt;&gt;0),SUMIF(CÁLCULO!$AM$15:$AW$192,"="&amp;CRONO!AD$12,CÁLCULO!$AB$15:$AL$192)/(ORÇAMENTO!$X$15-CÁLCULO.TotalAdmLocal)*CRONO!$E52,0),AD51*$R50),SUMIF(OFFSET($R52,1,0,$Q50-2),($L50+1)&amp;"$",OFFSET(AD52,1,0,$Q50-2)))</f>
        <v>0</v>
      </c>
      <c r="AE52" s="262">
        <f ca="1">IF($Q50=2,IF(AND(ACOMPANHAMENTO="PLE",ISNUMBER($E50)),SUMIF((OFFSET(CÁLCULO!$AM$15:$AW$15,$E50,0,OFFSET(ORÇAMENTO!$D$15,CRONO!$E50,0))),"="&amp;CRONO!AE$12,OFFSET(CÁLCULO!$AB$15:$AL$15,$E50,0,OFFSET(ORÇAMENTO!$D$15,CRONO!$E50,0)))+IF(AND($E52&lt;&gt;"",$E52&lt;&gt;0),SUMIF(CÁLCULO!$AM$15:$AW$192,"="&amp;CRONO!AE$12,CÁLCULO!$AB$15:$AL$192)/(ORÇAMENTO!$X$15-CÁLCULO.TotalAdmLocal)*CRONO!$E52,0),AE51*$R50),SUMIF(OFFSET($R52,1,0,$Q50-2),($L50+1)&amp;"$",OFFSET(AE52,1,0,$Q50-2)))</f>
        <v>0</v>
      </c>
      <c r="AF52" s="261">
        <f ca="1">IF($Q50=2,IF(AND(ACOMPANHAMENTO="PLE",ISNUMBER($E50)),SUMIF((OFFSET(CÁLCULO!$AM$15:$AW$15,$E50,0,OFFSET(ORÇAMENTO!$D$15,CRONO!$E50,0))),"="&amp;CRONO!AF$12,OFFSET(CÁLCULO!$AB$15:$AL$15,$E50,0,OFFSET(ORÇAMENTO!$D$15,CRONO!$E50,0)))+IF(AND($E52&lt;&gt;"",$E52&lt;&gt;0),SUMIF(CÁLCULO!$AM$15:$AW$192,"="&amp;CRONO!AF$12,CÁLCULO!$AB$15:$AL$192)/(ORÇAMENTO!$X$15-CÁLCULO.TotalAdmLocal)*CRONO!$E52,0),AF51*$R50),SUMIF(OFFSET($R52,1,0,$Q50-2),($L50+1)&amp;"$",OFFSET(AF52,1,0,$Q50-2)))</f>
        <v>0</v>
      </c>
      <c r="AG52" s="257">
        <f ca="1">IF($Q50=2,IF(AND(ACOMPANHAMENTO="PLE",ISNUMBER($E50)),SUMIF((OFFSET(CÁLCULO!$AM$15:$AW$15,$E50,0,OFFSET(ORÇAMENTO!$D$15,CRONO!$E50,0))),"="&amp;CRONO!AG$12,OFFSET(CÁLCULO!$AB$15:$AL$15,$E50,0,OFFSET(ORÇAMENTO!$D$15,CRONO!$E50,0)))+IF(AND($E52&lt;&gt;"",$E52&lt;&gt;0),SUMIF(CÁLCULO!$AM$15:$AW$192,"="&amp;CRONO!AG$12,CÁLCULO!$AB$15:$AL$192)/(ORÇAMENTO!$X$15-CÁLCULO.TotalAdmLocal)*CRONO!$E52,0),AG51*$R50),SUMIF(OFFSET($R52,1,0,$Q50-2),($L50+1)&amp;"$",OFFSET(AG52,1,0,$Q50-2)))</f>
        <v>0</v>
      </c>
      <c r="AH52" s="257">
        <f ca="1">IF($Q50=2,IF(AND(ACOMPANHAMENTO="PLE",ISNUMBER($E50)),SUMIF((OFFSET(CÁLCULO!$AM$15:$AW$15,$E50,0,OFFSET(ORÇAMENTO!$D$15,CRONO!$E50,0))),"="&amp;CRONO!AH$12,OFFSET(CÁLCULO!$AB$15:$AL$15,$E50,0,OFFSET(ORÇAMENTO!$D$15,CRONO!$E50,0)))+IF(AND($E52&lt;&gt;"",$E52&lt;&gt;0),SUMIF(CÁLCULO!$AM$15:$AW$192,"="&amp;CRONO!AH$12,CÁLCULO!$AB$15:$AL$192)/(ORÇAMENTO!$X$15-CÁLCULO.TotalAdmLocal)*CRONO!$E52,0),AH51*$R50),SUMIF(OFFSET($R52,1,0,$Q50-2),($L50+1)&amp;"$",OFFSET(AH52,1,0,$Q50-2)))</f>
        <v>0</v>
      </c>
      <c r="AI52" s="257">
        <f ca="1">IF($Q50=2,IF(AND(ACOMPANHAMENTO="PLE",ISNUMBER($E50)),SUMIF((OFFSET(CÁLCULO!$AM$15:$AW$15,$E50,0,OFFSET(ORÇAMENTO!$D$15,CRONO!$E50,0))),"="&amp;CRONO!AI$12,OFFSET(CÁLCULO!$AB$15:$AL$15,$E50,0,OFFSET(ORÇAMENTO!$D$15,CRONO!$E50,0)))+IF(AND($E52&lt;&gt;"",$E52&lt;&gt;0),SUMIF(CÁLCULO!$AM$15:$AW$192,"="&amp;CRONO!AI$12,CÁLCULO!$AB$15:$AL$192)/(ORÇAMENTO!$X$15-CÁLCULO.TotalAdmLocal)*CRONO!$E52,0),AI51*$R50),SUMIF(OFFSET($R52,1,0,$Q50-2),($L50+1)&amp;"$",OFFSET(AI52,1,0,$Q50-2)))</f>
        <v>0</v>
      </c>
      <c r="AJ52" s="257">
        <f ca="1">IF($Q50=2,IF(AND(ACOMPANHAMENTO="PLE",ISNUMBER($E50)),SUMIF((OFFSET(CÁLCULO!$AM$15:$AW$15,$E50,0,OFFSET(ORÇAMENTO!$D$15,CRONO!$E50,0))),"="&amp;CRONO!AJ$12,OFFSET(CÁLCULO!$AB$15:$AL$15,$E50,0,OFFSET(ORÇAMENTO!$D$15,CRONO!$E50,0)))+IF(AND($E52&lt;&gt;"",$E52&lt;&gt;0),SUMIF(CÁLCULO!$AM$15:$AW$192,"="&amp;CRONO!AJ$12,CÁLCULO!$AB$15:$AL$192)/(ORÇAMENTO!$X$15-CÁLCULO.TotalAdmLocal)*CRONO!$E52,0),AJ51*$R50),SUMIF(OFFSET($R52,1,0,$Q50-2),($L50+1)&amp;"$",OFFSET(AJ52,1,0,$Q50-2)))</f>
        <v>0</v>
      </c>
      <c r="AK52" s="257">
        <f ca="1">IF($Q50=2,IF(AND(ACOMPANHAMENTO="PLE",ISNUMBER($E50)),SUMIF((OFFSET(CÁLCULO!$AM$15:$AW$15,$E50,0,OFFSET(ORÇAMENTO!$D$15,CRONO!$E50,0))),"="&amp;CRONO!AK$12,OFFSET(CÁLCULO!$AB$15:$AL$15,$E50,0,OFFSET(ORÇAMENTO!$D$15,CRONO!$E50,0)))+IF(AND($E52&lt;&gt;"",$E52&lt;&gt;0),SUMIF(CÁLCULO!$AM$15:$AW$192,"="&amp;CRONO!AK$12,CÁLCULO!$AB$15:$AL$192)/(ORÇAMENTO!$X$15-CÁLCULO.TotalAdmLocal)*CRONO!$E52,0),AK51*$R50),SUMIF(OFFSET($R52,1,0,$Q50-2),($L50+1)&amp;"$",OFFSET(AK52,1,0,$Q50-2)))</f>
        <v>0</v>
      </c>
      <c r="AL52" s="257">
        <f ca="1">IF($Q50=2,IF(AND(ACOMPANHAMENTO="PLE",ISNUMBER($E50)),SUMIF((OFFSET(CÁLCULO!$AM$15:$AW$15,$E50,0,OFFSET(ORÇAMENTO!$D$15,CRONO!$E50,0))),"="&amp;CRONO!AL$12,OFFSET(CÁLCULO!$AB$15:$AL$15,$E50,0,OFFSET(ORÇAMENTO!$D$15,CRONO!$E50,0)))+IF(AND($E52&lt;&gt;"",$E52&lt;&gt;0),SUMIF(CÁLCULO!$AM$15:$AW$192,"="&amp;CRONO!AL$12,CÁLCULO!$AB$15:$AL$192)/(ORÇAMENTO!$X$15-CÁLCULO.TotalAdmLocal)*CRONO!$E52,0),AL51*$R50),SUMIF(OFFSET($R52,1,0,$Q50-2),($L50+1)&amp;"$",OFFSET(AL52,1,0,$Q50-2)))</f>
        <v>0</v>
      </c>
      <c r="AM52" s="257">
        <f ca="1">IF($Q50=2,IF(AND(ACOMPANHAMENTO="PLE",ISNUMBER($E50)),SUMIF((OFFSET(CÁLCULO!$AM$15:$AW$15,$E50,0,OFFSET(ORÇAMENTO!$D$15,CRONO!$E50,0))),"="&amp;CRONO!AM$12,OFFSET(CÁLCULO!$AB$15:$AL$15,$E50,0,OFFSET(ORÇAMENTO!$D$15,CRONO!$E50,0)))+IF(AND($E52&lt;&gt;"",$E52&lt;&gt;0),SUMIF(CÁLCULO!$AM$15:$AW$192,"="&amp;CRONO!AM$12,CÁLCULO!$AB$15:$AL$192)/(ORÇAMENTO!$X$15-CÁLCULO.TotalAdmLocal)*CRONO!$E52,0),AM51*$R50),SUMIF(OFFSET($R52,1,0,$Q50-2),($L50+1)&amp;"$",OFFSET(AM52,1,0,$Q50-2)))</f>
        <v>0</v>
      </c>
      <c r="AN52" s="257">
        <f ca="1">IF($Q50=2,IF(AND(ACOMPANHAMENTO="PLE",ISNUMBER($E50)),SUMIF((OFFSET(CÁLCULO!$AM$15:$AW$15,$E50,0,OFFSET(ORÇAMENTO!$D$15,CRONO!$E50,0))),"="&amp;CRONO!AN$12,OFFSET(CÁLCULO!$AB$15:$AL$15,$E50,0,OFFSET(ORÇAMENTO!$D$15,CRONO!$E50,0)))+IF(AND($E52&lt;&gt;"",$E52&lt;&gt;0),SUMIF(CÁLCULO!$AM$15:$AW$192,"="&amp;CRONO!AN$12,CÁLCULO!$AB$15:$AL$192)/(ORÇAMENTO!$X$15-CÁLCULO.TotalAdmLocal)*CRONO!$E52,0),AN51*$R50),SUMIF(OFFSET($R52,1,0,$Q50-2),($L50+1)&amp;"$",OFFSET(AN52,1,0,$Q50-2)))</f>
        <v>0</v>
      </c>
      <c r="AO52" s="257">
        <f ca="1">IF($Q50=2,IF(AND(ACOMPANHAMENTO="PLE",ISNUMBER($E50)),SUMIF((OFFSET(CÁLCULO!$AM$15:$AW$15,$E50,0,OFFSET(ORÇAMENTO!$D$15,CRONO!$E50,0))),"="&amp;CRONO!AO$12,OFFSET(CÁLCULO!$AB$15:$AL$15,$E50,0,OFFSET(ORÇAMENTO!$D$15,CRONO!$E50,0)))+IF(AND($E52&lt;&gt;"",$E52&lt;&gt;0),SUMIF(CÁLCULO!$AM$15:$AW$192,"="&amp;CRONO!AO$12,CÁLCULO!$AB$15:$AL$192)/(ORÇAMENTO!$X$15-CÁLCULO.TotalAdmLocal)*CRONO!$E52,0),AO51*$R50),SUMIF(OFFSET($R52,1,0,$Q50-2),($L50+1)&amp;"$",OFFSET(AO52,1,0,$Q50-2)))</f>
        <v>0</v>
      </c>
      <c r="AP52" s="257">
        <f ca="1">IF($Q50=2,IF(AND(ACOMPANHAMENTO="PLE",ISNUMBER($E50)),SUMIF((OFFSET(CÁLCULO!$AM$15:$AW$15,$E50,0,OFFSET(ORÇAMENTO!$D$15,CRONO!$E50,0))),"="&amp;CRONO!AP$12,OFFSET(CÁLCULO!$AB$15:$AL$15,$E50,0,OFFSET(ORÇAMENTO!$D$15,CRONO!$E50,0)))+IF(AND($E52&lt;&gt;"",$E52&lt;&gt;0),SUMIF(CÁLCULO!$AM$15:$AW$192,"="&amp;CRONO!AP$12,CÁLCULO!$AB$15:$AL$192)/(ORÇAMENTO!$X$15-CÁLCULO.TotalAdmLocal)*CRONO!$E52,0),AP51*$R50),SUMIF(OFFSET($R52,1,0,$Q50-2),($L50+1)&amp;"$",OFFSET(AP52,1,0,$Q50-2)))</f>
        <v>0</v>
      </c>
      <c r="AQ52" s="262">
        <f ca="1">IF($Q50=2,IF(AND(ACOMPANHAMENTO="PLE",ISNUMBER($E50)),SUMIF((OFFSET(CÁLCULO!$AM$15:$AW$15,$E50,0,OFFSET(ORÇAMENTO!$D$15,CRONO!$E50,0))),"="&amp;CRONO!AQ$12,OFFSET(CÁLCULO!$AB$15:$AL$15,$E50,0,OFFSET(ORÇAMENTO!$D$15,CRONO!$E50,0)))+IF(AND($E52&lt;&gt;"",$E52&lt;&gt;0),SUMIF(CÁLCULO!$AM$15:$AW$192,"="&amp;CRONO!AQ$12,CÁLCULO!$AB$15:$AL$192)/(ORÇAMENTO!$X$15-CÁLCULO.TotalAdmLocal)*CRONO!$E52,0),AQ51*$R50),SUMIF(OFFSET($R52,1,0,$Q50-2),($L50+1)&amp;"$",OFFSET(AQ52,1,0,$Q50-2)))</f>
        <v>0</v>
      </c>
    </row>
    <row r="53" spans="1:44" x14ac:dyDescent="0.2">
      <c r="A53" s="238">
        <f ca="1">OFFSET(A53,-3,0)+1</f>
        <v>14</v>
      </c>
      <c r="B53" s="238">
        <f ca="1">IF($Q53&lt;&gt;2,0,IF($R53=0,1,IF(E54&gt;0,OFFSET(QCI!$M$13,SUBSTITUTE(E54,".",""),0),OFFSET(ORÇAMENTO!$AA$15,CRONO!$E53,0))/$R53))</f>
        <v>1</v>
      </c>
      <c r="C53" s="238">
        <f ca="1">IF($Q53&lt;&gt;2,0,IF($R53=0,1,IF(E54&gt;0,OFFSET(QCI!$N$13,SUBSTITUTE(E54,".",""),0),OFFSET(ORÇAMENTO!$AB$15,CRONO!$E53,0))/$R53))</f>
        <v>1</v>
      </c>
      <c r="D53" s="241">
        <f ca="1">IF(AND($Q53=2,ACOMPANHAMENTO="BM"),D54,D55/$R53)</f>
        <v>0</v>
      </c>
      <c r="E53" s="238">
        <f ca="1">IF(A53&lt;=ORÇAMENTO.MáximoListaCrono,MATCH(A53,ORÇAMENTO.ListaCrono,0),NA())</f>
        <v>64</v>
      </c>
      <c r="F53" s="238" t="str">
        <f ca="1">IF(AND($E54&lt;&gt;-1,$R53&gt;0),"F","")</f>
        <v/>
      </c>
      <c r="G53" s="242" t="str">
        <f ca="1">IF(OR(R53=0,R53=""),"Linha",IF(AND(OR(ACOMPANHAMENTO="PLE",$Q53&lt;&gt;2),$E54=0),"Linha",1-SUM(T53:AR53)))</f>
        <v>Linha</v>
      </c>
      <c r="H53" s="243" t="str">
        <f ca="1">IF($E54=0,OFFSET(ORÇAMENTO!O$15,$E53,0),IF($E54&lt;&gt;-1,OFFSET(QCI!$D$13,$E54,0),""))</f>
        <v>1.13.</v>
      </c>
      <c r="I53" s="244" t="str">
        <f ca="1">IF($E54=0,OFFSET(ORÇAMENTO!R$15,$E53,0),IF($E54&lt;&gt;-1,OFFSET(QCI!$G$13,$E54,0),""))</f>
        <v xml:space="preserve">COBERTURA </v>
      </c>
      <c r="J53" s="244"/>
      <c r="K53" s="244"/>
      <c r="L53" s="245">
        <f ca="1">IF($E54=0,OFFSET(ORÇAMENTO!C$15,$E53,0),1)</f>
        <v>2</v>
      </c>
      <c r="M53" s="246">
        <f ca="1">IF($E54=-1,0,IF(M$13&lt;=$L53,IF(ISERROR(MATCH(M$13,OFFSET($L53,1,0,ROW($L$92)-ROW($L53)-1),0)),ROW($L$92)-ROW($L53)-1,MATCH(M$13,OFFSET($L53,1,0,ROW($L$92)-ROW($L53)-1),0)-1),0))</f>
        <v>38</v>
      </c>
      <c r="N53" s="246">
        <f ca="1">IF($E54=-1,0,IF(N$13&lt;=$L53,IF(ISERROR(MATCH(N$13,OFFSET($L53,1,0,ROW($L$92)-ROW($L53)-1),0)),ROW($L$92)-ROW($L53)-1,MATCH(N$13,OFFSET($L53,1,0,ROW($L$92)-ROW($L53)-1),0)-1),0))</f>
        <v>2</v>
      </c>
      <c r="O53" s="246">
        <f ca="1">IF($E54=-1,0,IF(O$13&lt;=$L53,IF(ISERROR(MATCH(O$13,OFFSET($L53,1,0,ROW($L$92)-ROW($L53)-1),0)),ROW($L$92)-ROW($L53)-1,MATCH(O$13,OFFSET($L53,1,0,ROW($L$92)-ROW($L53)-1),0)-1),0))</f>
        <v>0</v>
      </c>
      <c r="P53" s="246">
        <f ca="1">IF($E54=-1,0,IF(P$13&lt;=$L53,IF(ISERROR(MATCH(P$13,OFFSET($L53,1,0,ROW($L$92)-ROW($L53)-1),0)),ROW($L$92)-ROW($L53)-1,MATCH(P$13,OFFSET($L53,1,0,ROW($L$92)-ROW($L53)-1),0)-1),0))</f>
        <v>0</v>
      </c>
      <c r="Q53" s="246">
        <f ca="1">MIN(OFFSET(L53,0,1,,L53))</f>
        <v>2</v>
      </c>
      <c r="R53" s="247">
        <f ca="1">IF($E54=0,OFFSET(ORÇAMENTO!X$15,$E53,0),IF($E54&lt;&gt;-1,OFFSET(QCI!$O$13,$E54,0),""))</f>
        <v>0</v>
      </c>
      <c r="S53" s="248" t="s">
        <v>270</v>
      </c>
      <c r="T53" s="249">
        <f t="shared" ref="T53:AQ53" ca="1" si="18">IF(AND($Q53=2,ACOMPANHAMENTO="BM"),T54,T55/$R53)</f>
        <v>0</v>
      </c>
      <c r="U53" s="241">
        <f t="shared" ca="1" si="18"/>
        <v>0</v>
      </c>
      <c r="V53" s="241">
        <f t="shared" ca="1" si="18"/>
        <v>0</v>
      </c>
      <c r="W53" s="241">
        <f t="shared" ca="1" si="18"/>
        <v>0</v>
      </c>
      <c r="X53" s="241">
        <f t="shared" ca="1" si="18"/>
        <v>0</v>
      </c>
      <c r="Y53" s="241">
        <f t="shared" ca="1" si="18"/>
        <v>0</v>
      </c>
      <c r="Z53" s="241">
        <f t="shared" ca="1" si="18"/>
        <v>0</v>
      </c>
      <c r="AA53" s="241">
        <f t="shared" ca="1" si="18"/>
        <v>0</v>
      </c>
      <c r="AB53" s="241">
        <f t="shared" ca="1" si="18"/>
        <v>0</v>
      </c>
      <c r="AC53" s="241">
        <f t="shared" ca="1" si="18"/>
        <v>0.5</v>
      </c>
      <c r="AD53" s="241">
        <f t="shared" ca="1" si="18"/>
        <v>0.5</v>
      </c>
      <c r="AE53" s="250">
        <f t="shared" ca="1" si="18"/>
        <v>0</v>
      </c>
      <c r="AF53" s="249">
        <f t="shared" ca="1" si="18"/>
        <v>0</v>
      </c>
      <c r="AG53" s="241">
        <f t="shared" ca="1" si="18"/>
        <v>0</v>
      </c>
      <c r="AH53" s="241">
        <f t="shared" ca="1" si="18"/>
        <v>0</v>
      </c>
      <c r="AI53" s="241">
        <f t="shared" ca="1" si="18"/>
        <v>0</v>
      </c>
      <c r="AJ53" s="241">
        <f t="shared" ca="1" si="18"/>
        <v>0</v>
      </c>
      <c r="AK53" s="241">
        <f t="shared" ca="1" si="18"/>
        <v>0</v>
      </c>
      <c r="AL53" s="241">
        <f t="shared" ca="1" si="18"/>
        <v>0</v>
      </c>
      <c r="AM53" s="241">
        <f t="shared" ca="1" si="18"/>
        <v>0</v>
      </c>
      <c r="AN53" s="241">
        <f t="shared" ca="1" si="18"/>
        <v>0</v>
      </c>
      <c r="AO53" s="241">
        <f t="shared" ca="1" si="18"/>
        <v>0</v>
      </c>
      <c r="AP53" s="241">
        <f t="shared" ca="1" si="18"/>
        <v>0</v>
      </c>
      <c r="AQ53" s="250">
        <f t="shared" ca="1" si="18"/>
        <v>0</v>
      </c>
    </row>
    <row r="54" spans="1:44" ht="12.75" customHeight="1" x14ac:dyDescent="0.2">
      <c r="D54" s="657"/>
      <c r="E54" s="238">
        <f ca="1">IF(ISERROR(E53),IF(1+COUNTIF($L$13:OFFSET(L53,-1,0),1)&lt;=MAX(QCI!$D$13:$D$24),1+COUNTIF($L$13:OFFSET(L53,-1,0),1),-1),0)</f>
        <v>0</v>
      </c>
      <c r="F54" s="238" t="str">
        <f ca="1">IF(AND($E54&lt;&gt;-1,$R53&gt;0),"F","")</f>
        <v/>
      </c>
      <c r="G54" s="251" t="str">
        <f ca="1">IF(OR(R53=0,R53=""),"vazia",IF(AND(OR(ACOMPANHAMENTO="PLE",$Q53&lt;&gt;2),$E54=0),"calculada","--&gt;"))</f>
        <v>vazia</v>
      </c>
      <c r="H54" s="252"/>
      <c r="I54" s="253" t="str">
        <f ca="1">IF(AND(G53&lt;&gt;0,ISNUMBER(G53)),"PREENCHA ESTA LINHA --&gt;","")</f>
        <v/>
      </c>
      <c r="J54" s="253"/>
      <c r="K54" s="253"/>
      <c r="L54" s="254"/>
      <c r="M54" s="254"/>
      <c r="N54" s="254"/>
      <c r="O54" s="254"/>
      <c r="P54" s="254"/>
      <c r="Q54" s="254"/>
      <c r="R54" s="255"/>
      <c r="S54" s="256"/>
      <c r="T54" s="658"/>
      <c r="U54" s="657"/>
      <c r="V54" s="657"/>
      <c r="W54" s="657"/>
      <c r="X54" s="657"/>
      <c r="Y54" s="657"/>
      <c r="Z54" s="657"/>
      <c r="AA54" s="657"/>
      <c r="AB54" s="657"/>
      <c r="AC54" s="657">
        <v>0.5</v>
      </c>
      <c r="AD54" s="657">
        <v>0.5</v>
      </c>
      <c r="AE54" s="659"/>
      <c r="AF54" s="658"/>
      <c r="AG54" s="657"/>
      <c r="AH54" s="657"/>
      <c r="AI54" s="657"/>
      <c r="AJ54" s="657"/>
      <c r="AK54" s="657"/>
      <c r="AL54" s="657"/>
      <c r="AM54" s="657"/>
      <c r="AN54" s="657"/>
      <c r="AO54" s="657"/>
      <c r="AP54" s="657"/>
      <c r="AQ54" s="659"/>
      <c r="AR54" s="617"/>
    </row>
    <row r="55" spans="1:44" ht="0.2" hidden="1" customHeight="1" x14ac:dyDescent="0.2">
      <c r="D55" s="257">
        <f ca="1">IF($Q53=2,IF(AND(ACOMPANHAMENTO="PLE",ISNUMBER($E53)),SUMIF((OFFSET(CÁLCULO!$AM$15:$AW$15,$E53,0,OFFSET(ORÇAMENTO!$D$15,CRONO!$E53,0))),"="&amp;CRONO!D$12,OFFSET(CÁLCULO!$AB$15:$AL$15,$E53,0,OFFSET(ORÇAMENTO!$D$15,CRONO!$E53,0)))+IF(AND($E55&lt;&gt;"",$E55&lt;&gt;0),SUMIF(CÁLCULO!$AM$15:$AW$192,"="&amp;CRONO!D$12,CÁLCULO!$AB$15:$AL$192)/(ORÇAMENTO!$X$15-CÁLCULO.TotalAdmLocal)*CRONO!$E55,0),D54*$R53),SUMIF(OFFSET($R55,1,0,$Q53-2),($L53+1)&amp;"$",OFFSET(D55,1,0,$Q53-2)))</f>
        <v>0</v>
      </c>
      <c r="E55" s="238" t="str">
        <f ca="1">IF(OR($Q53&lt;&gt;2,AUTOEVENTO&lt;&gt;"manual",$E54&gt;0),"",SUMIF(OFFSET(CÁLCULO!$M$15,CRONO!$E53,0,OFFSET(ORÇAMENTO!$D$15,CRONO!$E53,0)),1,OFFSET(ORÇAMENTO!$X$15,CRONO!$E53,0,OFFSET(ORÇAMENTO!$D$15,CRONO!$E53,0))))</f>
        <v/>
      </c>
      <c r="G55" s="258"/>
      <c r="R55" s="259" t="str">
        <f ca="1">L53&amp;"$"</f>
        <v>2$</v>
      </c>
      <c r="S55" s="260"/>
      <c r="T55" s="261">
        <f ca="1">IF($Q53=2,IF(AND(ACOMPANHAMENTO="PLE",ISNUMBER($E53)),SUMIF((OFFSET(CÁLCULO!$AM$15:$AW$15,$E53,0,OFFSET(ORÇAMENTO!$D$15,CRONO!$E53,0))),"&lt;="&amp;CRONO!T$12,OFFSET(CÁLCULO!$AB$15:$AL$15,$E53,0,OFFSET(ORÇAMENTO!$D$15,CRONO!$E53,0)))+IF(AND($E55&lt;&gt;"",$E55&lt;&gt;0),SUMIF(CÁLCULO!$AM$15:$AW$192,"&lt;="&amp;CRONO!T$12,CÁLCULO!$AB$15:$AL$192)/(ORÇAMENTO!$X$15-CÁLCULO.TotalAdmLocal)*CRONO!$E55,0),T54*$R53),SUMIF(OFFSET($R55,1,0,$Q53-2),($L53+1)&amp;"$",OFFSET(T55,1,0,$Q53-2)))</f>
        <v>0</v>
      </c>
      <c r="U55" s="257">
        <f ca="1">IF($Q53=2,IF(AND(ACOMPANHAMENTO="PLE",ISNUMBER($E53)),SUMIF((OFFSET(CÁLCULO!$AM$15:$AW$15,$E53,0,OFFSET(ORÇAMENTO!$D$15,CRONO!$E53,0))),"="&amp;CRONO!U$12,OFFSET(CÁLCULO!$AB$15:$AL$15,$E53,0,OFFSET(ORÇAMENTO!$D$15,CRONO!$E53,0)))+IF(AND($E55&lt;&gt;"",$E55&lt;&gt;0),SUMIF(CÁLCULO!$AM$15:$AW$192,"="&amp;CRONO!U$12,CÁLCULO!$AB$15:$AL$192)/(ORÇAMENTO!$X$15-CÁLCULO.TotalAdmLocal)*CRONO!$E55,0),U54*$R53),SUMIF(OFFSET($R55,1,0,$Q53-2),($L53+1)&amp;"$",OFFSET(U55,1,0,$Q53-2)))</f>
        <v>0</v>
      </c>
      <c r="V55" s="257">
        <f ca="1">IF($Q53=2,IF(AND(ACOMPANHAMENTO="PLE",ISNUMBER($E53)),SUMIF((OFFSET(CÁLCULO!$AM$15:$AW$15,$E53,0,OFFSET(ORÇAMENTO!$D$15,CRONO!$E53,0))),"="&amp;CRONO!V$12,OFFSET(CÁLCULO!$AB$15:$AL$15,$E53,0,OFFSET(ORÇAMENTO!$D$15,CRONO!$E53,0)))+IF(AND($E55&lt;&gt;"",$E55&lt;&gt;0),SUMIF(CÁLCULO!$AM$15:$AW$192,"="&amp;CRONO!V$12,CÁLCULO!$AB$15:$AL$192)/(ORÇAMENTO!$X$15-CÁLCULO.TotalAdmLocal)*CRONO!$E55,0),V54*$R53),SUMIF(OFFSET($R55,1,0,$Q53-2),($L53+1)&amp;"$",OFFSET(V55,1,0,$Q53-2)))</f>
        <v>0</v>
      </c>
      <c r="W55" s="257">
        <f ca="1">IF($Q53=2,IF(AND(ACOMPANHAMENTO="PLE",ISNUMBER($E53)),SUMIF((OFFSET(CÁLCULO!$AM$15:$AW$15,$E53,0,OFFSET(ORÇAMENTO!$D$15,CRONO!$E53,0))),"="&amp;CRONO!W$12,OFFSET(CÁLCULO!$AB$15:$AL$15,$E53,0,OFFSET(ORÇAMENTO!$D$15,CRONO!$E53,0)))+IF(AND($E55&lt;&gt;"",$E55&lt;&gt;0),SUMIF(CÁLCULO!$AM$15:$AW$192,"="&amp;CRONO!W$12,CÁLCULO!$AB$15:$AL$192)/(ORÇAMENTO!$X$15-CÁLCULO.TotalAdmLocal)*CRONO!$E55,0),W54*$R53),SUMIF(OFFSET($R55,1,0,$Q53-2),($L53+1)&amp;"$",OFFSET(W55,1,0,$Q53-2)))</f>
        <v>0</v>
      </c>
      <c r="X55" s="257">
        <f ca="1">IF($Q53=2,IF(AND(ACOMPANHAMENTO="PLE",ISNUMBER($E53)),SUMIF((OFFSET(CÁLCULO!$AM$15:$AW$15,$E53,0,OFFSET(ORÇAMENTO!$D$15,CRONO!$E53,0))),"="&amp;CRONO!X$12,OFFSET(CÁLCULO!$AB$15:$AL$15,$E53,0,OFFSET(ORÇAMENTO!$D$15,CRONO!$E53,0)))+IF(AND($E55&lt;&gt;"",$E55&lt;&gt;0),SUMIF(CÁLCULO!$AM$15:$AW$192,"="&amp;CRONO!X$12,CÁLCULO!$AB$15:$AL$192)/(ORÇAMENTO!$X$15-CÁLCULO.TotalAdmLocal)*CRONO!$E55,0),X54*$R53),SUMIF(OFFSET($R55,1,0,$Q53-2),($L53+1)&amp;"$",OFFSET(X55,1,0,$Q53-2)))</f>
        <v>0</v>
      </c>
      <c r="Y55" s="257">
        <f ca="1">IF($Q53=2,IF(AND(ACOMPANHAMENTO="PLE",ISNUMBER($E53)),SUMIF((OFFSET(CÁLCULO!$AM$15:$AW$15,$E53,0,OFFSET(ORÇAMENTO!$D$15,CRONO!$E53,0))),"="&amp;CRONO!Y$12,OFFSET(CÁLCULO!$AB$15:$AL$15,$E53,0,OFFSET(ORÇAMENTO!$D$15,CRONO!$E53,0)))+IF(AND($E55&lt;&gt;"",$E55&lt;&gt;0),SUMIF(CÁLCULO!$AM$15:$AW$192,"="&amp;CRONO!Y$12,CÁLCULO!$AB$15:$AL$192)/(ORÇAMENTO!$X$15-CÁLCULO.TotalAdmLocal)*CRONO!$E55,0),Y54*$R53),SUMIF(OFFSET($R55,1,0,$Q53-2),($L53+1)&amp;"$",OFFSET(Y55,1,0,$Q53-2)))</f>
        <v>0</v>
      </c>
      <c r="Z55" s="257">
        <f ca="1">IF($Q53=2,IF(AND(ACOMPANHAMENTO="PLE",ISNUMBER($E53)),SUMIF((OFFSET(CÁLCULO!$AM$15:$AW$15,$E53,0,OFFSET(ORÇAMENTO!$D$15,CRONO!$E53,0))),"="&amp;CRONO!Z$12,OFFSET(CÁLCULO!$AB$15:$AL$15,$E53,0,OFFSET(ORÇAMENTO!$D$15,CRONO!$E53,0)))+IF(AND($E55&lt;&gt;"",$E55&lt;&gt;0),SUMIF(CÁLCULO!$AM$15:$AW$192,"="&amp;CRONO!Z$12,CÁLCULO!$AB$15:$AL$192)/(ORÇAMENTO!$X$15-CÁLCULO.TotalAdmLocal)*CRONO!$E55,0),Z54*$R53),SUMIF(OFFSET($R55,1,0,$Q53-2),($L53+1)&amp;"$",OFFSET(Z55,1,0,$Q53-2)))</f>
        <v>0</v>
      </c>
      <c r="AA55" s="257">
        <f ca="1">IF($Q53=2,IF(AND(ACOMPANHAMENTO="PLE",ISNUMBER($E53)),SUMIF((OFFSET(CÁLCULO!$AM$15:$AW$15,$E53,0,OFFSET(ORÇAMENTO!$D$15,CRONO!$E53,0))),"="&amp;CRONO!AA$12,OFFSET(CÁLCULO!$AB$15:$AL$15,$E53,0,OFFSET(ORÇAMENTO!$D$15,CRONO!$E53,0)))+IF(AND($E55&lt;&gt;"",$E55&lt;&gt;0),SUMIF(CÁLCULO!$AM$15:$AW$192,"="&amp;CRONO!AA$12,CÁLCULO!$AB$15:$AL$192)/(ORÇAMENTO!$X$15-CÁLCULO.TotalAdmLocal)*CRONO!$E55,0),AA54*$R53),SUMIF(OFFSET($R55,1,0,$Q53-2),($L53+1)&amp;"$",OFFSET(AA55,1,0,$Q53-2)))</f>
        <v>0</v>
      </c>
      <c r="AB55" s="257">
        <f ca="1">IF($Q53=2,IF(AND(ACOMPANHAMENTO="PLE",ISNUMBER($E53)),SUMIF((OFFSET(CÁLCULO!$AM$15:$AW$15,$E53,0,OFFSET(ORÇAMENTO!$D$15,CRONO!$E53,0))),"="&amp;CRONO!AB$12,OFFSET(CÁLCULO!$AB$15:$AL$15,$E53,0,OFFSET(ORÇAMENTO!$D$15,CRONO!$E53,0)))+IF(AND($E55&lt;&gt;"",$E55&lt;&gt;0),SUMIF(CÁLCULO!$AM$15:$AW$192,"="&amp;CRONO!AB$12,CÁLCULO!$AB$15:$AL$192)/(ORÇAMENTO!$X$15-CÁLCULO.TotalAdmLocal)*CRONO!$E55,0),AB54*$R53),SUMIF(OFFSET($R55,1,0,$Q53-2),($L53+1)&amp;"$",OFFSET(AB55,1,0,$Q53-2)))</f>
        <v>0</v>
      </c>
      <c r="AC55" s="257">
        <f ca="1">IF($Q53=2,IF(AND(ACOMPANHAMENTO="PLE",ISNUMBER($E53)),SUMIF((OFFSET(CÁLCULO!$AM$15:$AW$15,$E53,0,OFFSET(ORÇAMENTO!$D$15,CRONO!$E53,0))),"="&amp;CRONO!AC$12,OFFSET(CÁLCULO!$AB$15:$AL$15,$E53,0,OFFSET(ORÇAMENTO!$D$15,CRONO!$E53,0)))+IF(AND($E55&lt;&gt;"",$E55&lt;&gt;0),SUMIF(CÁLCULO!$AM$15:$AW$192,"="&amp;CRONO!AC$12,CÁLCULO!$AB$15:$AL$192)/(ORÇAMENTO!$X$15-CÁLCULO.TotalAdmLocal)*CRONO!$E55,0),AC54*$R53),SUMIF(OFFSET($R55,1,0,$Q53-2),($L53+1)&amp;"$",OFFSET(AC55,1,0,$Q53-2)))</f>
        <v>0</v>
      </c>
      <c r="AD55" s="257">
        <f ca="1">IF($Q53=2,IF(AND(ACOMPANHAMENTO="PLE",ISNUMBER($E53)),SUMIF((OFFSET(CÁLCULO!$AM$15:$AW$15,$E53,0,OFFSET(ORÇAMENTO!$D$15,CRONO!$E53,0))),"="&amp;CRONO!AD$12,OFFSET(CÁLCULO!$AB$15:$AL$15,$E53,0,OFFSET(ORÇAMENTO!$D$15,CRONO!$E53,0)))+IF(AND($E55&lt;&gt;"",$E55&lt;&gt;0),SUMIF(CÁLCULO!$AM$15:$AW$192,"="&amp;CRONO!AD$12,CÁLCULO!$AB$15:$AL$192)/(ORÇAMENTO!$X$15-CÁLCULO.TotalAdmLocal)*CRONO!$E55,0),AD54*$R53),SUMIF(OFFSET($R55,1,0,$Q53-2),($L53+1)&amp;"$",OFFSET(AD55,1,0,$Q53-2)))</f>
        <v>0</v>
      </c>
      <c r="AE55" s="262">
        <f ca="1">IF($Q53=2,IF(AND(ACOMPANHAMENTO="PLE",ISNUMBER($E53)),SUMIF((OFFSET(CÁLCULO!$AM$15:$AW$15,$E53,0,OFFSET(ORÇAMENTO!$D$15,CRONO!$E53,0))),"="&amp;CRONO!AE$12,OFFSET(CÁLCULO!$AB$15:$AL$15,$E53,0,OFFSET(ORÇAMENTO!$D$15,CRONO!$E53,0)))+IF(AND($E55&lt;&gt;"",$E55&lt;&gt;0),SUMIF(CÁLCULO!$AM$15:$AW$192,"="&amp;CRONO!AE$12,CÁLCULO!$AB$15:$AL$192)/(ORÇAMENTO!$X$15-CÁLCULO.TotalAdmLocal)*CRONO!$E55,0),AE54*$R53),SUMIF(OFFSET($R55,1,0,$Q53-2),($L53+1)&amp;"$",OFFSET(AE55,1,0,$Q53-2)))</f>
        <v>0</v>
      </c>
      <c r="AF55" s="261">
        <f ca="1">IF($Q53=2,IF(AND(ACOMPANHAMENTO="PLE",ISNUMBER($E53)),SUMIF((OFFSET(CÁLCULO!$AM$15:$AW$15,$E53,0,OFFSET(ORÇAMENTO!$D$15,CRONO!$E53,0))),"="&amp;CRONO!AF$12,OFFSET(CÁLCULO!$AB$15:$AL$15,$E53,0,OFFSET(ORÇAMENTO!$D$15,CRONO!$E53,0)))+IF(AND($E55&lt;&gt;"",$E55&lt;&gt;0),SUMIF(CÁLCULO!$AM$15:$AW$192,"="&amp;CRONO!AF$12,CÁLCULO!$AB$15:$AL$192)/(ORÇAMENTO!$X$15-CÁLCULO.TotalAdmLocal)*CRONO!$E55,0),AF54*$R53),SUMIF(OFFSET($R55,1,0,$Q53-2),($L53+1)&amp;"$",OFFSET(AF55,1,0,$Q53-2)))</f>
        <v>0</v>
      </c>
      <c r="AG55" s="257">
        <f ca="1">IF($Q53=2,IF(AND(ACOMPANHAMENTO="PLE",ISNUMBER($E53)),SUMIF((OFFSET(CÁLCULO!$AM$15:$AW$15,$E53,0,OFFSET(ORÇAMENTO!$D$15,CRONO!$E53,0))),"="&amp;CRONO!AG$12,OFFSET(CÁLCULO!$AB$15:$AL$15,$E53,0,OFFSET(ORÇAMENTO!$D$15,CRONO!$E53,0)))+IF(AND($E55&lt;&gt;"",$E55&lt;&gt;0),SUMIF(CÁLCULO!$AM$15:$AW$192,"="&amp;CRONO!AG$12,CÁLCULO!$AB$15:$AL$192)/(ORÇAMENTO!$X$15-CÁLCULO.TotalAdmLocal)*CRONO!$E55,0),AG54*$R53),SUMIF(OFFSET($R55,1,0,$Q53-2),($L53+1)&amp;"$",OFFSET(AG55,1,0,$Q53-2)))</f>
        <v>0</v>
      </c>
      <c r="AH55" s="257">
        <f ca="1">IF($Q53=2,IF(AND(ACOMPANHAMENTO="PLE",ISNUMBER($E53)),SUMIF((OFFSET(CÁLCULO!$AM$15:$AW$15,$E53,0,OFFSET(ORÇAMENTO!$D$15,CRONO!$E53,0))),"="&amp;CRONO!AH$12,OFFSET(CÁLCULO!$AB$15:$AL$15,$E53,0,OFFSET(ORÇAMENTO!$D$15,CRONO!$E53,0)))+IF(AND($E55&lt;&gt;"",$E55&lt;&gt;0),SUMIF(CÁLCULO!$AM$15:$AW$192,"="&amp;CRONO!AH$12,CÁLCULO!$AB$15:$AL$192)/(ORÇAMENTO!$X$15-CÁLCULO.TotalAdmLocal)*CRONO!$E55,0),AH54*$R53),SUMIF(OFFSET($R55,1,0,$Q53-2),($L53+1)&amp;"$",OFFSET(AH55,1,0,$Q53-2)))</f>
        <v>0</v>
      </c>
      <c r="AI55" s="257">
        <f ca="1">IF($Q53=2,IF(AND(ACOMPANHAMENTO="PLE",ISNUMBER($E53)),SUMIF((OFFSET(CÁLCULO!$AM$15:$AW$15,$E53,0,OFFSET(ORÇAMENTO!$D$15,CRONO!$E53,0))),"="&amp;CRONO!AI$12,OFFSET(CÁLCULO!$AB$15:$AL$15,$E53,0,OFFSET(ORÇAMENTO!$D$15,CRONO!$E53,0)))+IF(AND($E55&lt;&gt;"",$E55&lt;&gt;0),SUMIF(CÁLCULO!$AM$15:$AW$192,"="&amp;CRONO!AI$12,CÁLCULO!$AB$15:$AL$192)/(ORÇAMENTO!$X$15-CÁLCULO.TotalAdmLocal)*CRONO!$E55,0),AI54*$R53),SUMIF(OFFSET($R55,1,0,$Q53-2),($L53+1)&amp;"$",OFFSET(AI55,1,0,$Q53-2)))</f>
        <v>0</v>
      </c>
      <c r="AJ55" s="257">
        <f ca="1">IF($Q53=2,IF(AND(ACOMPANHAMENTO="PLE",ISNUMBER($E53)),SUMIF((OFFSET(CÁLCULO!$AM$15:$AW$15,$E53,0,OFFSET(ORÇAMENTO!$D$15,CRONO!$E53,0))),"="&amp;CRONO!AJ$12,OFFSET(CÁLCULO!$AB$15:$AL$15,$E53,0,OFFSET(ORÇAMENTO!$D$15,CRONO!$E53,0)))+IF(AND($E55&lt;&gt;"",$E55&lt;&gt;0),SUMIF(CÁLCULO!$AM$15:$AW$192,"="&amp;CRONO!AJ$12,CÁLCULO!$AB$15:$AL$192)/(ORÇAMENTO!$X$15-CÁLCULO.TotalAdmLocal)*CRONO!$E55,0),AJ54*$R53),SUMIF(OFFSET($R55,1,0,$Q53-2),($L53+1)&amp;"$",OFFSET(AJ55,1,0,$Q53-2)))</f>
        <v>0</v>
      </c>
      <c r="AK55" s="257">
        <f ca="1">IF($Q53=2,IF(AND(ACOMPANHAMENTO="PLE",ISNUMBER($E53)),SUMIF((OFFSET(CÁLCULO!$AM$15:$AW$15,$E53,0,OFFSET(ORÇAMENTO!$D$15,CRONO!$E53,0))),"="&amp;CRONO!AK$12,OFFSET(CÁLCULO!$AB$15:$AL$15,$E53,0,OFFSET(ORÇAMENTO!$D$15,CRONO!$E53,0)))+IF(AND($E55&lt;&gt;"",$E55&lt;&gt;0),SUMIF(CÁLCULO!$AM$15:$AW$192,"="&amp;CRONO!AK$12,CÁLCULO!$AB$15:$AL$192)/(ORÇAMENTO!$X$15-CÁLCULO.TotalAdmLocal)*CRONO!$E55,0),AK54*$R53),SUMIF(OFFSET($R55,1,0,$Q53-2),($L53+1)&amp;"$",OFFSET(AK55,1,0,$Q53-2)))</f>
        <v>0</v>
      </c>
      <c r="AL55" s="257">
        <f ca="1">IF($Q53=2,IF(AND(ACOMPANHAMENTO="PLE",ISNUMBER($E53)),SUMIF((OFFSET(CÁLCULO!$AM$15:$AW$15,$E53,0,OFFSET(ORÇAMENTO!$D$15,CRONO!$E53,0))),"="&amp;CRONO!AL$12,OFFSET(CÁLCULO!$AB$15:$AL$15,$E53,0,OFFSET(ORÇAMENTO!$D$15,CRONO!$E53,0)))+IF(AND($E55&lt;&gt;"",$E55&lt;&gt;0),SUMIF(CÁLCULO!$AM$15:$AW$192,"="&amp;CRONO!AL$12,CÁLCULO!$AB$15:$AL$192)/(ORÇAMENTO!$X$15-CÁLCULO.TotalAdmLocal)*CRONO!$E55,0),AL54*$R53),SUMIF(OFFSET($R55,1,0,$Q53-2),($L53+1)&amp;"$",OFFSET(AL55,1,0,$Q53-2)))</f>
        <v>0</v>
      </c>
      <c r="AM55" s="257">
        <f ca="1">IF($Q53=2,IF(AND(ACOMPANHAMENTO="PLE",ISNUMBER($E53)),SUMIF((OFFSET(CÁLCULO!$AM$15:$AW$15,$E53,0,OFFSET(ORÇAMENTO!$D$15,CRONO!$E53,0))),"="&amp;CRONO!AM$12,OFFSET(CÁLCULO!$AB$15:$AL$15,$E53,0,OFFSET(ORÇAMENTO!$D$15,CRONO!$E53,0)))+IF(AND($E55&lt;&gt;"",$E55&lt;&gt;0),SUMIF(CÁLCULO!$AM$15:$AW$192,"="&amp;CRONO!AM$12,CÁLCULO!$AB$15:$AL$192)/(ORÇAMENTO!$X$15-CÁLCULO.TotalAdmLocal)*CRONO!$E55,0),AM54*$R53),SUMIF(OFFSET($R55,1,0,$Q53-2),($L53+1)&amp;"$",OFFSET(AM55,1,0,$Q53-2)))</f>
        <v>0</v>
      </c>
      <c r="AN55" s="257">
        <f ca="1">IF($Q53=2,IF(AND(ACOMPANHAMENTO="PLE",ISNUMBER($E53)),SUMIF((OFFSET(CÁLCULO!$AM$15:$AW$15,$E53,0,OFFSET(ORÇAMENTO!$D$15,CRONO!$E53,0))),"="&amp;CRONO!AN$12,OFFSET(CÁLCULO!$AB$15:$AL$15,$E53,0,OFFSET(ORÇAMENTO!$D$15,CRONO!$E53,0)))+IF(AND($E55&lt;&gt;"",$E55&lt;&gt;0),SUMIF(CÁLCULO!$AM$15:$AW$192,"="&amp;CRONO!AN$12,CÁLCULO!$AB$15:$AL$192)/(ORÇAMENTO!$X$15-CÁLCULO.TotalAdmLocal)*CRONO!$E55,0),AN54*$R53),SUMIF(OFFSET($R55,1,0,$Q53-2),($L53+1)&amp;"$",OFFSET(AN55,1,0,$Q53-2)))</f>
        <v>0</v>
      </c>
      <c r="AO55" s="257">
        <f ca="1">IF($Q53=2,IF(AND(ACOMPANHAMENTO="PLE",ISNUMBER($E53)),SUMIF((OFFSET(CÁLCULO!$AM$15:$AW$15,$E53,0,OFFSET(ORÇAMENTO!$D$15,CRONO!$E53,0))),"="&amp;CRONO!AO$12,OFFSET(CÁLCULO!$AB$15:$AL$15,$E53,0,OFFSET(ORÇAMENTO!$D$15,CRONO!$E53,0)))+IF(AND($E55&lt;&gt;"",$E55&lt;&gt;0),SUMIF(CÁLCULO!$AM$15:$AW$192,"="&amp;CRONO!AO$12,CÁLCULO!$AB$15:$AL$192)/(ORÇAMENTO!$X$15-CÁLCULO.TotalAdmLocal)*CRONO!$E55,0),AO54*$R53),SUMIF(OFFSET($R55,1,0,$Q53-2),($L53+1)&amp;"$",OFFSET(AO55,1,0,$Q53-2)))</f>
        <v>0</v>
      </c>
      <c r="AP55" s="257">
        <f ca="1">IF($Q53=2,IF(AND(ACOMPANHAMENTO="PLE",ISNUMBER($E53)),SUMIF((OFFSET(CÁLCULO!$AM$15:$AW$15,$E53,0,OFFSET(ORÇAMENTO!$D$15,CRONO!$E53,0))),"="&amp;CRONO!AP$12,OFFSET(CÁLCULO!$AB$15:$AL$15,$E53,0,OFFSET(ORÇAMENTO!$D$15,CRONO!$E53,0)))+IF(AND($E55&lt;&gt;"",$E55&lt;&gt;0),SUMIF(CÁLCULO!$AM$15:$AW$192,"="&amp;CRONO!AP$12,CÁLCULO!$AB$15:$AL$192)/(ORÇAMENTO!$X$15-CÁLCULO.TotalAdmLocal)*CRONO!$E55,0),AP54*$R53),SUMIF(OFFSET($R55,1,0,$Q53-2),($L53+1)&amp;"$",OFFSET(AP55,1,0,$Q53-2)))</f>
        <v>0</v>
      </c>
      <c r="AQ55" s="262">
        <f ca="1">IF($Q53=2,IF(AND(ACOMPANHAMENTO="PLE",ISNUMBER($E53)),SUMIF((OFFSET(CÁLCULO!$AM$15:$AW$15,$E53,0,OFFSET(ORÇAMENTO!$D$15,CRONO!$E53,0))),"="&amp;CRONO!AQ$12,OFFSET(CÁLCULO!$AB$15:$AL$15,$E53,0,OFFSET(ORÇAMENTO!$D$15,CRONO!$E53,0)))+IF(AND($E55&lt;&gt;"",$E55&lt;&gt;0),SUMIF(CÁLCULO!$AM$15:$AW$192,"="&amp;CRONO!AQ$12,CÁLCULO!$AB$15:$AL$192)/(ORÇAMENTO!$X$15-CÁLCULO.TotalAdmLocal)*CRONO!$E55,0),AQ54*$R53),SUMIF(OFFSET($R55,1,0,$Q53-2),($L53+1)&amp;"$",OFFSET(AQ55,1,0,$Q53-2)))</f>
        <v>0</v>
      </c>
    </row>
    <row r="56" spans="1:44" x14ac:dyDescent="0.2">
      <c r="A56" s="238">
        <f t="shared" ref="A56" ca="1" si="19">OFFSET(A56,-3,0)+1</f>
        <v>15</v>
      </c>
      <c r="B56" s="238">
        <f ca="1">IF($Q56&lt;&gt;2,0,IF($R56=0,1,IF(E57&gt;0,OFFSET(QCI!$M$13,SUBSTITUTE(E57,".",""),0),OFFSET(ORÇAMENTO!$AA$15,CRONO!$E56,0))/$R56))</f>
        <v>1</v>
      </c>
      <c r="C56" s="238">
        <f ca="1">IF($Q56&lt;&gt;2,0,IF($R56=0,1,IF(E57&gt;0,OFFSET(QCI!$N$13,SUBSTITUTE(E57,".",""),0),OFFSET(ORÇAMENTO!$AB$15,CRONO!$E56,0))/$R56))</f>
        <v>1</v>
      </c>
      <c r="D56" s="241">
        <f ca="1">IF(AND($Q56=2,ACOMPANHAMENTO="BM"),D57,D58/$R56)</f>
        <v>0</v>
      </c>
      <c r="E56" s="238">
        <f ca="1">IF(A56&lt;=ORÇAMENTO.MáximoListaCrono,MATCH(A56,ORÇAMENTO.ListaCrono,0),NA())</f>
        <v>72</v>
      </c>
      <c r="F56" s="238" t="str">
        <f t="shared" ref="F56" ca="1" si="20">IF(AND($E57&lt;&gt;-1,$R56&gt;0),"F","")</f>
        <v/>
      </c>
      <c r="G56" s="242" t="str">
        <f ca="1">IF(OR(R56=0,R56=""),"Linha",IF(AND(OR(ACOMPANHAMENTO="PLE",$Q56&lt;&gt;2),$E57=0),"Linha",1-SUM(T56:AR56)))</f>
        <v>Linha</v>
      </c>
      <c r="H56" s="243" t="str">
        <f ca="1">IF($E57=0,OFFSET(ORÇAMENTO!O$15,$E56,0),IF($E57&lt;&gt;-1,OFFSET(QCI!$D$13,$E57,0),""))</f>
        <v>1.14.</v>
      </c>
      <c r="I56" s="244" t="str">
        <f ca="1">IF($E57=0,OFFSET(ORÇAMENTO!R$15,$E56,0),IF($E57&lt;&gt;-1,OFFSET(QCI!$G$13,$E57,0),""))</f>
        <v>SPDA</v>
      </c>
      <c r="J56" s="244"/>
      <c r="K56" s="244"/>
      <c r="L56" s="245">
        <f ca="1">IF($E57=0,OFFSET(ORÇAMENTO!C$15,$E56,0),1)</f>
        <v>2</v>
      </c>
      <c r="M56" s="246">
        <f ca="1">IF($E57=-1,0,IF(M$13&lt;=$L56,IF(ISERROR(MATCH(M$13,OFFSET($L56,1,0,ROW($L$92)-ROW($L56)-1),0)),ROW($L$92)-ROW($L56)-1,MATCH(M$13,OFFSET($L56,1,0,ROW($L$92)-ROW($L56)-1),0)-1),0))</f>
        <v>35</v>
      </c>
      <c r="N56" s="246">
        <f ca="1">IF($E57=-1,0,IF(N$13&lt;=$L56,IF(ISERROR(MATCH(N$13,OFFSET($L56,1,0,ROW($L$92)-ROW($L56)-1),0)),ROW($L$92)-ROW($L56)-1,MATCH(N$13,OFFSET($L56,1,0,ROW($L$92)-ROW($L56)-1),0)-1),0))</f>
        <v>2</v>
      </c>
      <c r="O56" s="246">
        <f ca="1">IF($E57=-1,0,IF(O$13&lt;=$L56,IF(ISERROR(MATCH(O$13,OFFSET($L56,1,0,ROW($L$92)-ROW($L56)-1),0)),ROW($L$92)-ROW($L56)-1,MATCH(O$13,OFFSET($L56,1,0,ROW($L$92)-ROW($L56)-1),0)-1),0))</f>
        <v>0</v>
      </c>
      <c r="P56" s="246">
        <f ca="1">IF($E57=-1,0,IF(P$13&lt;=$L56,IF(ISERROR(MATCH(P$13,OFFSET($L56,1,0,ROW($L$92)-ROW($L56)-1),0)),ROW($L$92)-ROW($L56)-1,MATCH(P$13,OFFSET($L56,1,0,ROW($L$92)-ROW($L56)-1),0)-1),0))</f>
        <v>0</v>
      </c>
      <c r="Q56" s="246">
        <f t="shared" ref="Q56" ca="1" si="21">MIN(OFFSET(L56,0,1,,L56))</f>
        <v>2</v>
      </c>
      <c r="R56" s="247">
        <f ca="1">IF($E57=0,OFFSET(ORÇAMENTO!X$15,$E56,0),IF($E57&lt;&gt;-1,OFFSET(QCI!$O$13,$E57,0),""))</f>
        <v>0</v>
      </c>
      <c r="S56" s="248" t="s">
        <v>270</v>
      </c>
      <c r="T56" s="249">
        <f t="shared" ref="T56:AQ56" ca="1" si="22">IF(AND($Q56=2,ACOMPANHAMENTO="BM"),T57,T58/$R56)</f>
        <v>0</v>
      </c>
      <c r="U56" s="241">
        <f t="shared" ca="1" si="22"/>
        <v>0</v>
      </c>
      <c r="V56" s="241">
        <f t="shared" ca="1" si="22"/>
        <v>0</v>
      </c>
      <c r="W56" s="241">
        <f t="shared" ca="1" si="22"/>
        <v>0</v>
      </c>
      <c r="X56" s="241">
        <f t="shared" ca="1" si="22"/>
        <v>0</v>
      </c>
      <c r="Y56" s="241">
        <f t="shared" ca="1" si="22"/>
        <v>0</v>
      </c>
      <c r="Z56" s="241">
        <f t="shared" ca="1" si="22"/>
        <v>0</v>
      </c>
      <c r="AA56" s="241">
        <f t="shared" ca="1" si="22"/>
        <v>0</v>
      </c>
      <c r="AB56" s="241">
        <f t="shared" ca="1" si="22"/>
        <v>0</v>
      </c>
      <c r="AC56" s="241">
        <f t="shared" ca="1" si="22"/>
        <v>0</v>
      </c>
      <c r="AD56" s="241">
        <f t="shared" ca="1" si="22"/>
        <v>0</v>
      </c>
      <c r="AE56" s="250">
        <f t="shared" ca="1" si="22"/>
        <v>0</v>
      </c>
      <c r="AF56" s="249">
        <f t="shared" ca="1" si="22"/>
        <v>0.5</v>
      </c>
      <c r="AG56" s="241">
        <f t="shared" ca="1" si="22"/>
        <v>0.5</v>
      </c>
      <c r="AH56" s="241">
        <f t="shared" ca="1" si="22"/>
        <v>0</v>
      </c>
      <c r="AI56" s="241">
        <f t="shared" ca="1" si="22"/>
        <v>0</v>
      </c>
      <c r="AJ56" s="241">
        <f t="shared" ca="1" si="22"/>
        <v>0</v>
      </c>
      <c r="AK56" s="241">
        <f t="shared" ca="1" si="22"/>
        <v>0</v>
      </c>
      <c r="AL56" s="241">
        <f t="shared" ca="1" si="22"/>
        <v>0</v>
      </c>
      <c r="AM56" s="241">
        <f t="shared" ca="1" si="22"/>
        <v>0</v>
      </c>
      <c r="AN56" s="241">
        <f t="shared" ca="1" si="22"/>
        <v>0</v>
      </c>
      <c r="AO56" s="241">
        <f t="shared" ca="1" si="22"/>
        <v>0</v>
      </c>
      <c r="AP56" s="241">
        <f t="shared" ca="1" si="22"/>
        <v>0</v>
      </c>
      <c r="AQ56" s="250">
        <f t="shared" ca="1" si="22"/>
        <v>0</v>
      </c>
    </row>
    <row r="57" spans="1:44" ht="12.75" customHeight="1" x14ac:dyDescent="0.2">
      <c r="D57" s="657"/>
      <c r="E57" s="238">
        <f ca="1">IF(ISERROR(E56),IF(1+COUNTIF($L$13:OFFSET(L56,-1,0),1)&lt;=MAX(QCI!$D$13:$D$24),1+COUNTIF($L$13:OFFSET(L56,-1,0),1),-1),0)</f>
        <v>0</v>
      </c>
      <c r="F57" s="238" t="str">
        <f t="shared" ref="F57" ca="1" si="23">IF(AND($E57&lt;&gt;-1,$R56&gt;0),"F","")</f>
        <v/>
      </c>
      <c r="G57" s="251" t="str">
        <f ca="1">IF(OR(R56=0,R56=""),"vazia",IF(AND(OR(ACOMPANHAMENTO="PLE",$Q56&lt;&gt;2),$E57=0),"calculada","--&gt;"))</f>
        <v>vazia</v>
      </c>
      <c r="H57" s="252"/>
      <c r="I57" s="253" t="str">
        <f t="shared" ref="I57" ca="1" si="24">IF(AND(G56&lt;&gt;0,ISNUMBER(G56)),"PREENCHA ESTA LINHA --&gt;","")</f>
        <v/>
      </c>
      <c r="J57" s="253"/>
      <c r="K57" s="253"/>
      <c r="L57" s="254"/>
      <c r="M57" s="254"/>
      <c r="N57" s="254"/>
      <c r="O57" s="254"/>
      <c r="P57" s="254"/>
      <c r="Q57" s="254"/>
      <c r="R57" s="255"/>
      <c r="S57" s="256"/>
      <c r="T57" s="658"/>
      <c r="U57" s="657"/>
      <c r="V57" s="657"/>
      <c r="W57" s="657"/>
      <c r="X57" s="657"/>
      <c r="Y57" s="657"/>
      <c r="Z57" s="657"/>
      <c r="AA57" s="657"/>
      <c r="AB57" s="657"/>
      <c r="AC57" s="657"/>
      <c r="AD57" s="657"/>
      <c r="AE57" s="659"/>
      <c r="AF57" s="658">
        <v>0.5</v>
      </c>
      <c r="AG57" s="657">
        <v>0.5</v>
      </c>
      <c r="AH57" s="657"/>
      <c r="AI57" s="657"/>
      <c r="AJ57" s="657"/>
      <c r="AK57" s="657"/>
      <c r="AL57" s="657"/>
      <c r="AM57" s="657"/>
      <c r="AN57" s="657"/>
      <c r="AO57" s="657"/>
      <c r="AP57" s="657"/>
      <c r="AQ57" s="659"/>
      <c r="AR57" s="617"/>
    </row>
    <row r="58" spans="1:44" ht="0.2" hidden="1" customHeight="1" x14ac:dyDescent="0.2">
      <c r="D58" s="257">
        <f ca="1">IF($Q56=2,IF(AND(ACOMPANHAMENTO="PLE",ISNUMBER($E56)),SUMIF((OFFSET(CÁLCULO!$AM$15:$AW$15,$E56,0,OFFSET(ORÇAMENTO!$D$15,CRONO!$E56,0))),"="&amp;CRONO!D$12,OFFSET(CÁLCULO!$AB$15:$AL$15,$E56,0,OFFSET(ORÇAMENTO!$D$15,CRONO!$E56,0)))+IF(AND($E58&lt;&gt;"",$E58&lt;&gt;0),SUMIF(CÁLCULO!$AM$15:$AW$192,"="&amp;CRONO!D$12,CÁLCULO!$AB$15:$AL$192)/(ORÇAMENTO!$X$15-CÁLCULO.TotalAdmLocal)*CRONO!$E58,0),D57*$R56),SUMIF(OFFSET($R58,1,0,$Q56-2),($L56+1)&amp;"$",OFFSET(D58,1,0,$Q56-2)))</f>
        <v>0</v>
      </c>
      <c r="E58" s="238" t="str">
        <f ca="1">IF(OR($Q56&lt;&gt;2,AUTOEVENTO&lt;&gt;"manual",$E57&gt;0),"",SUMIF(OFFSET(CÁLCULO!$M$15,CRONO!$E56,0,OFFSET(ORÇAMENTO!$D$15,CRONO!$E56,0)),1,OFFSET(ORÇAMENTO!$X$15,CRONO!$E56,0,OFFSET(ORÇAMENTO!$D$15,CRONO!$E56,0))))</f>
        <v/>
      </c>
      <c r="G58" s="258"/>
      <c r="R58" s="259" t="str">
        <f t="shared" ref="R58" ca="1" si="25">L56&amp;"$"</f>
        <v>2$</v>
      </c>
      <c r="S58" s="260"/>
      <c r="T58" s="261">
        <f ca="1">IF($Q56=2,IF(AND(ACOMPANHAMENTO="PLE",ISNUMBER($E56)),SUMIF((OFFSET(CÁLCULO!$AM$15:$AW$15,$E56,0,OFFSET(ORÇAMENTO!$D$15,CRONO!$E56,0))),"&lt;="&amp;CRONO!T$12,OFFSET(CÁLCULO!$AB$15:$AL$15,$E56,0,OFFSET(ORÇAMENTO!$D$15,CRONO!$E56,0)))+IF(AND($E58&lt;&gt;"",$E58&lt;&gt;0),SUMIF(CÁLCULO!$AM$15:$AW$192,"&lt;="&amp;CRONO!T$12,CÁLCULO!$AB$15:$AL$192)/(ORÇAMENTO!$X$15-CÁLCULO.TotalAdmLocal)*CRONO!$E58,0),T57*$R56),SUMIF(OFFSET($R58,1,0,$Q56-2),($L56+1)&amp;"$",OFFSET(T58,1,0,$Q56-2)))</f>
        <v>0</v>
      </c>
      <c r="U58" s="257">
        <f ca="1">IF($Q56=2,IF(AND(ACOMPANHAMENTO="PLE",ISNUMBER($E56)),SUMIF((OFFSET(CÁLCULO!$AM$15:$AW$15,$E56,0,OFFSET(ORÇAMENTO!$D$15,CRONO!$E56,0))),"="&amp;CRONO!U$12,OFFSET(CÁLCULO!$AB$15:$AL$15,$E56,0,OFFSET(ORÇAMENTO!$D$15,CRONO!$E56,0)))+IF(AND($E58&lt;&gt;"",$E58&lt;&gt;0),SUMIF(CÁLCULO!$AM$15:$AW$192,"="&amp;CRONO!U$12,CÁLCULO!$AB$15:$AL$192)/(ORÇAMENTO!$X$15-CÁLCULO.TotalAdmLocal)*CRONO!$E58,0),U57*$R56),SUMIF(OFFSET($R58,1,0,$Q56-2),($L56+1)&amp;"$",OFFSET(U58,1,0,$Q56-2)))</f>
        <v>0</v>
      </c>
      <c r="V58" s="257">
        <f ca="1">IF($Q56=2,IF(AND(ACOMPANHAMENTO="PLE",ISNUMBER($E56)),SUMIF((OFFSET(CÁLCULO!$AM$15:$AW$15,$E56,0,OFFSET(ORÇAMENTO!$D$15,CRONO!$E56,0))),"="&amp;CRONO!V$12,OFFSET(CÁLCULO!$AB$15:$AL$15,$E56,0,OFFSET(ORÇAMENTO!$D$15,CRONO!$E56,0)))+IF(AND($E58&lt;&gt;"",$E58&lt;&gt;0),SUMIF(CÁLCULO!$AM$15:$AW$192,"="&amp;CRONO!V$12,CÁLCULO!$AB$15:$AL$192)/(ORÇAMENTO!$X$15-CÁLCULO.TotalAdmLocal)*CRONO!$E58,0),V57*$R56),SUMIF(OFFSET($R58,1,0,$Q56-2),($L56+1)&amp;"$",OFFSET(V58,1,0,$Q56-2)))</f>
        <v>0</v>
      </c>
      <c r="W58" s="257">
        <f ca="1">IF($Q56=2,IF(AND(ACOMPANHAMENTO="PLE",ISNUMBER($E56)),SUMIF((OFFSET(CÁLCULO!$AM$15:$AW$15,$E56,0,OFFSET(ORÇAMENTO!$D$15,CRONO!$E56,0))),"="&amp;CRONO!W$12,OFFSET(CÁLCULO!$AB$15:$AL$15,$E56,0,OFFSET(ORÇAMENTO!$D$15,CRONO!$E56,0)))+IF(AND($E58&lt;&gt;"",$E58&lt;&gt;0),SUMIF(CÁLCULO!$AM$15:$AW$192,"="&amp;CRONO!W$12,CÁLCULO!$AB$15:$AL$192)/(ORÇAMENTO!$X$15-CÁLCULO.TotalAdmLocal)*CRONO!$E58,0),W57*$R56),SUMIF(OFFSET($R58,1,0,$Q56-2),($L56+1)&amp;"$",OFFSET(W58,1,0,$Q56-2)))</f>
        <v>0</v>
      </c>
      <c r="X58" s="257">
        <f ca="1">IF($Q56=2,IF(AND(ACOMPANHAMENTO="PLE",ISNUMBER($E56)),SUMIF((OFFSET(CÁLCULO!$AM$15:$AW$15,$E56,0,OFFSET(ORÇAMENTO!$D$15,CRONO!$E56,0))),"="&amp;CRONO!X$12,OFFSET(CÁLCULO!$AB$15:$AL$15,$E56,0,OFFSET(ORÇAMENTO!$D$15,CRONO!$E56,0)))+IF(AND($E58&lt;&gt;"",$E58&lt;&gt;0),SUMIF(CÁLCULO!$AM$15:$AW$192,"="&amp;CRONO!X$12,CÁLCULO!$AB$15:$AL$192)/(ORÇAMENTO!$X$15-CÁLCULO.TotalAdmLocal)*CRONO!$E58,0),X57*$R56),SUMIF(OFFSET($R58,1,0,$Q56-2),($L56+1)&amp;"$",OFFSET(X58,1,0,$Q56-2)))</f>
        <v>0</v>
      </c>
      <c r="Y58" s="257">
        <f ca="1">IF($Q56=2,IF(AND(ACOMPANHAMENTO="PLE",ISNUMBER($E56)),SUMIF((OFFSET(CÁLCULO!$AM$15:$AW$15,$E56,0,OFFSET(ORÇAMENTO!$D$15,CRONO!$E56,0))),"="&amp;CRONO!Y$12,OFFSET(CÁLCULO!$AB$15:$AL$15,$E56,0,OFFSET(ORÇAMENTO!$D$15,CRONO!$E56,0)))+IF(AND($E58&lt;&gt;"",$E58&lt;&gt;0),SUMIF(CÁLCULO!$AM$15:$AW$192,"="&amp;CRONO!Y$12,CÁLCULO!$AB$15:$AL$192)/(ORÇAMENTO!$X$15-CÁLCULO.TotalAdmLocal)*CRONO!$E58,0),Y57*$R56),SUMIF(OFFSET($R58,1,0,$Q56-2),($L56+1)&amp;"$",OFFSET(Y58,1,0,$Q56-2)))</f>
        <v>0</v>
      </c>
      <c r="Z58" s="257">
        <f ca="1">IF($Q56=2,IF(AND(ACOMPANHAMENTO="PLE",ISNUMBER($E56)),SUMIF((OFFSET(CÁLCULO!$AM$15:$AW$15,$E56,0,OFFSET(ORÇAMENTO!$D$15,CRONO!$E56,0))),"="&amp;CRONO!Z$12,OFFSET(CÁLCULO!$AB$15:$AL$15,$E56,0,OFFSET(ORÇAMENTO!$D$15,CRONO!$E56,0)))+IF(AND($E58&lt;&gt;"",$E58&lt;&gt;0),SUMIF(CÁLCULO!$AM$15:$AW$192,"="&amp;CRONO!Z$12,CÁLCULO!$AB$15:$AL$192)/(ORÇAMENTO!$X$15-CÁLCULO.TotalAdmLocal)*CRONO!$E58,0),Z57*$R56),SUMIF(OFFSET($R58,1,0,$Q56-2),($L56+1)&amp;"$",OFFSET(Z58,1,0,$Q56-2)))</f>
        <v>0</v>
      </c>
      <c r="AA58" s="257">
        <f ca="1">IF($Q56=2,IF(AND(ACOMPANHAMENTO="PLE",ISNUMBER($E56)),SUMIF((OFFSET(CÁLCULO!$AM$15:$AW$15,$E56,0,OFFSET(ORÇAMENTO!$D$15,CRONO!$E56,0))),"="&amp;CRONO!AA$12,OFFSET(CÁLCULO!$AB$15:$AL$15,$E56,0,OFFSET(ORÇAMENTO!$D$15,CRONO!$E56,0)))+IF(AND($E58&lt;&gt;"",$E58&lt;&gt;0),SUMIF(CÁLCULO!$AM$15:$AW$192,"="&amp;CRONO!AA$12,CÁLCULO!$AB$15:$AL$192)/(ORÇAMENTO!$X$15-CÁLCULO.TotalAdmLocal)*CRONO!$E58,0),AA57*$R56),SUMIF(OFFSET($R58,1,0,$Q56-2),($L56+1)&amp;"$",OFFSET(AA58,1,0,$Q56-2)))</f>
        <v>0</v>
      </c>
      <c r="AB58" s="257">
        <f ca="1">IF($Q56=2,IF(AND(ACOMPANHAMENTO="PLE",ISNUMBER($E56)),SUMIF((OFFSET(CÁLCULO!$AM$15:$AW$15,$E56,0,OFFSET(ORÇAMENTO!$D$15,CRONO!$E56,0))),"="&amp;CRONO!AB$12,OFFSET(CÁLCULO!$AB$15:$AL$15,$E56,0,OFFSET(ORÇAMENTO!$D$15,CRONO!$E56,0)))+IF(AND($E58&lt;&gt;"",$E58&lt;&gt;0),SUMIF(CÁLCULO!$AM$15:$AW$192,"="&amp;CRONO!AB$12,CÁLCULO!$AB$15:$AL$192)/(ORÇAMENTO!$X$15-CÁLCULO.TotalAdmLocal)*CRONO!$E58,0),AB57*$R56),SUMIF(OFFSET($R58,1,0,$Q56-2),($L56+1)&amp;"$",OFFSET(AB58,1,0,$Q56-2)))</f>
        <v>0</v>
      </c>
      <c r="AC58" s="257">
        <f ca="1">IF($Q56=2,IF(AND(ACOMPANHAMENTO="PLE",ISNUMBER($E56)),SUMIF((OFFSET(CÁLCULO!$AM$15:$AW$15,$E56,0,OFFSET(ORÇAMENTO!$D$15,CRONO!$E56,0))),"="&amp;CRONO!AC$12,OFFSET(CÁLCULO!$AB$15:$AL$15,$E56,0,OFFSET(ORÇAMENTO!$D$15,CRONO!$E56,0)))+IF(AND($E58&lt;&gt;"",$E58&lt;&gt;0),SUMIF(CÁLCULO!$AM$15:$AW$192,"="&amp;CRONO!AC$12,CÁLCULO!$AB$15:$AL$192)/(ORÇAMENTO!$X$15-CÁLCULO.TotalAdmLocal)*CRONO!$E58,0),AC57*$R56),SUMIF(OFFSET($R58,1,0,$Q56-2),($L56+1)&amp;"$",OFFSET(AC58,1,0,$Q56-2)))</f>
        <v>0</v>
      </c>
      <c r="AD58" s="257">
        <f ca="1">IF($Q56=2,IF(AND(ACOMPANHAMENTO="PLE",ISNUMBER($E56)),SUMIF((OFFSET(CÁLCULO!$AM$15:$AW$15,$E56,0,OFFSET(ORÇAMENTO!$D$15,CRONO!$E56,0))),"="&amp;CRONO!AD$12,OFFSET(CÁLCULO!$AB$15:$AL$15,$E56,0,OFFSET(ORÇAMENTO!$D$15,CRONO!$E56,0)))+IF(AND($E58&lt;&gt;"",$E58&lt;&gt;0),SUMIF(CÁLCULO!$AM$15:$AW$192,"="&amp;CRONO!AD$12,CÁLCULO!$AB$15:$AL$192)/(ORÇAMENTO!$X$15-CÁLCULO.TotalAdmLocal)*CRONO!$E58,0),AD57*$R56),SUMIF(OFFSET($R58,1,0,$Q56-2),($L56+1)&amp;"$",OFFSET(AD58,1,0,$Q56-2)))</f>
        <v>0</v>
      </c>
      <c r="AE58" s="262">
        <f ca="1">IF($Q56=2,IF(AND(ACOMPANHAMENTO="PLE",ISNUMBER($E56)),SUMIF((OFFSET(CÁLCULO!$AM$15:$AW$15,$E56,0,OFFSET(ORÇAMENTO!$D$15,CRONO!$E56,0))),"="&amp;CRONO!AE$12,OFFSET(CÁLCULO!$AB$15:$AL$15,$E56,0,OFFSET(ORÇAMENTO!$D$15,CRONO!$E56,0)))+IF(AND($E58&lt;&gt;"",$E58&lt;&gt;0),SUMIF(CÁLCULO!$AM$15:$AW$192,"="&amp;CRONO!AE$12,CÁLCULO!$AB$15:$AL$192)/(ORÇAMENTO!$X$15-CÁLCULO.TotalAdmLocal)*CRONO!$E58,0),AE57*$R56),SUMIF(OFFSET($R58,1,0,$Q56-2),($L56+1)&amp;"$",OFFSET(AE58,1,0,$Q56-2)))</f>
        <v>0</v>
      </c>
      <c r="AF58" s="261">
        <f ca="1">IF($Q56=2,IF(AND(ACOMPANHAMENTO="PLE",ISNUMBER($E56)),SUMIF((OFFSET(CÁLCULO!$AM$15:$AW$15,$E56,0,OFFSET(ORÇAMENTO!$D$15,CRONO!$E56,0))),"="&amp;CRONO!AF$12,OFFSET(CÁLCULO!$AB$15:$AL$15,$E56,0,OFFSET(ORÇAMENTO!$D$15,CRONO!$E56,0)))+IF(AND($E58&lt;&gt;"",$E58&lt;&gt;0),SUMIF(CÁLCULO!$AM$15:$AW$192,"="&amp;CRONO!AF$12,CÁLCULO!$AB$15:$AL$192)/(ORÇAMENTO!$X$15-CÁLCULO.TotalAdmLocal)*CRONO!$E58,0),AF57*$R56),SUMIF(OFFSET($R58,1,0,$Q56-2),($L56+1)&amp;"$",OFFSET(AF58,1,0,$Q56-2)))</f>
        <v>0</v>
      </c>
      <c r="AG58" s="257">
        <f ca="1">IF($Q56=2,IF(AND(ACOMPANHAMENTO="PLE",ISNUMBER($E56)),SUMIF((OFFSET(CÁLCULO!$AM$15:$AW$15,$E56,0,OFFSET(ORÇAMENTO!$D$15,CRONO!$E56,0))),"="&amp;CRONO!AG$12,OFFSET(CÁLCULO!$AB$15:$AL$15,$E56,0,OFFSET(ORÇAMENTO!$D$15,CRONO!$E56,0)))+IF(AND($E58&lt;&gt;"",$E58&lt;&gt;0),SUMIF(CÁLCULO!$AM$15:$AW$192,"="&amp;CRONO!AG$12,CÁLCULO!$AB$15:$AL$192)/(ORÇAMENTO!$X$15-CÁLCULO.TotalAdmLocal)*CRONO!$E58,0),AG57*$R56),SUMIF(OFFSET($R58,1,0,$Q56-2),($L56+1)&amp;"$",OFFSET(AG58,1,0,$Q56-2)))</f>
        <v>0</v>
      </c>
      <c r="AH58" s="257">
        <f ca="1">IF($Q56=2,IF(AND(ACOMPANHAMENTO="PLE",ISNUMBER($E56)),SUMIF((OFFSET(CÁLCULO!$AM$15:$AW$15,$E56,0,OFFSET(ORÇAMENTO!$D$15,CRONO!$E56,0))),"="&amp;CRONO!AH$12,OFFSET(CÁLCULO!$AB$15:$AL$15,$E56,0,OFFSET(ORÇAMENTO!$D$15,CRONO!$E56,0)))+IF(AND($E58&lt;&gt;"",$E58&lt;&gt;0),SUMIF(CÁLCULO!$AM$15:$AW$192,"="&amp;CRONO!AH$12,CÁLCULO!$AB$15:$AL$192)/(ORÇAMENTO!$X$15-CÁLCULO.TotalAdmLocal)*CRONO!$E58,0),AH57*$R56),SUMIF(OFFSET($R58,1,0,$Q56-2),($L56+1)&amp;"$",OFFSET(AH58,1,0,$Q56-2)))</f>
        <v>0</v>
      </c>
      <c r="AI58" s="257">
        <f ca="1">IF($Q56=2,IF(AND(ACOMPANHAMENTO="PLE",ISNUMBER($E56)),SUMIF((OFFSET(CÁLCULO!$AM$15:$AW$15,$E56,0,OFFSET(ORÇAMENTO!$D$15,CRONO!$E56,0))),"="&amp;CRONO!AI$12,OFFSET(CÁLCULO!$AB$15:$AL$15,$E56,0,OFFSET(ORÇAMENTO!$D$15,CRONO!$E56,0)))+IF(AND($E58&lt;&gt;"",$E58&lt;&gt;0),SUMIF(CÁLCULO!$AM$15:$AW$192,"="&amp;CRONO!AI$12,CÁLCULO!$AB$15:$AL$192)/(ORÇAMENTO!$X$15-CÁLCULO.TotalAdmLocal)*CRONO!$E58,0),AI57*$R56),SUMIF(OFFSET($R58,1,0,$Q56-2),($L56+1)&amp;"$",OFFSET(AI58,1,0,$Q56-2)))</f>
        <v>0</v>
      </c>
      <c r="AJ58" s="257">
        <f ca="1">IF($Q56=2,IF(AND(ACOMPANHAMENTO="PLE",ISNUMBER($E56)),SUMIF((OFFSET(CÁLCULO!$AM$15:$AW$15,$E56,0,OFFSET(ORÇAMENTO!$D$15,CRONO!$E56,0))),"="&amp;CRONO!AJ$12,OFFSET(CÁLCULO!$AB$15:$AL$15,$E56,0,OFFSET(ORÇAMENTO!$D$15,CRONO!$E56,0)))+IF(AND($E58&lt;&gt;"",$E58&lt;&gt;0),SUMIF(CÁLCULO!$AM$15:$AW$192,"="&amp;CRONO!AJ$12,CÁLCULO!$AB$15:$AL$192)/(ORÇAMENTO!$X$15-CÁLCULO.TotalAdmLocal)*CRONO!$E58,0),AJ57*$R56),SUMIF(OFFSET($R58,1,0,$Q56-2),($L56+1)&amp;"$",OFFSET(AJ58,1,0,$Q56-2)))</f>
        <v>0</v>
      </c>
      <c r="AK58" s="257">
        <f ca="1">IF($Q56=2,IF(AND(ACOMPANHAMENTO="PLE",ISNUMBER($E56)),SUMIF((OFFSET(CÁLCULO!$AM$15:$AW$15,$E56,0,OFFSET(ORÇAMENTO!$D$15,CRONO!$E56,0))),"="&amp;CRONO!AK$12,OFFSET(CÁLCULO!$AB$15:$AL$15,$E56,0,OFFSET(ORÇAMENTO!$D$15,CRONO!$E56,0)))+IF(AND($E58&lt;&gt;"",$E58&lt;&gt;0),SUMIF(CÁLCULO!$AM$15:$AW$192,"="&amp;CRONO!AK$12,CÁLCULO!$AB$15:$AL$192)/(ORÇAMENTO!$X$15-CÁLCULO.TotalAdmLocal)*CRONO!$E58,0),AK57*$R56),SUMIF(OFFSET($R58,1,0,$Q56-2),($L56+1)&amp;"$",OFFSET(AK58,1,0,$Q56-2)))</f>
        <v>0</v>
      </c>
      <c r="AL58" s="257">
        <f ca="1">IF($Q56=2,IF(AND(ACOMPANHAMENTO="PLE",ISNUMBER($E56)),SUMIF((OFFSET(CÁLCULO!$AM$15:$AW$15,$E56,0,OFFSET(ORÇAMENTO!$D$15,CRONO!$E56,0))),"="&amp;CRONO!AL$12,OFFSET(CÁLCULO!$AB$15:$AL$15,$E56,0,OFFSET(ORÇAMENTO!$D$15,CRONO!$E56,0)))+IF(AND($E58&lt;&gt;"",$E58&lt;&gt;0),SUMIF(CÁLCULO!$AM$15:$AW$192,"="&amp;CRONO!AL$12,CÁLCULO!$AB$15:$AL$192)/(ORÇAMENTO!$X$15-CÁLCULO.TotalAdmLocal)*CRONO!$E58,0),AL57*$R56),SUMIF(OFFSET($R58,1,0,$Q56-2),($L56+1)&amp;"$",OFFSET(AL58,1,0,$Q56-2)))</f>
        <v>0</v>
      </c>
      <c r="AM58" s="257">
        <f ca="1">IF($Q56=2,IF(AND(ACOMPANHAMENTO="PLE",ISNUMBER($E56)),SUMIF((OFFSET(CÁLCULO!$AM$15:$AW$15,$E56,0,OFFSET(ORÇAMENTO!$D$15,CRONO!$E56,0))),"="&amp;CRONO!AM$12,OFFSET(CÁLCULO!$AB$15:$AL$15,$E56,0,OFFSET(ORÇAMENTO!$D$15,CRONO!$E56,0)))+IF(AND($E58&lt;&gt;"",$E58&lt;&gt;0),SUMIF(CÁLCULO!$AM$15:$AW$192,"="&amp;CRONO!AM$12,CÁLCULO!$AB$15:$AL$192)/(ORÇAMENTO!$X$15-CÁLCULO.TotalAdmLocal)*CRONO!$E58,0),AM57*$R56),SUMIF(OFFSET($R58,1,0,$Q56-2),($L56+1)&amp;"$",OFFSET(AM58,1,0,$Q56-2)))</f>
        <v>0</v>
      </c>
      <c r="AN58" s="257">
        <f ca="1">IF($Q56=2,IF(AND(ACOMPANHAMENTO="PLE",ISNUMBER($E56)),SUMIF((OFFSET(CÁLCULO!$AM$15:$AW$15,$E56,0,OFFSET(ORÇAMENTO!$D$15,CRONO!$E56,0))),"="&amp;CRONO!AN$12,OFFSET(CÁLCULO!$AB$15:$AL$15,$E56,0,OFFSET(ORÇAMENTO!$D$15,CRONO!$E56,0)))+IF(AND($E58&lt;&gt;"",$E58&lt;&gt;0),SUMIF(CÁLCULO!$AM$15:$AW$192,"="&amp;CRONO!AN$12,CÁLCULO!$AB$15:$AL$192)/(ORÇAMENTO!$X$15-CÁLCULO.TotalAdmLocal)*CRONO!$E58,0),AN57*$R56),SUMIF(OFFSET($R58,1,0,$Q56-2),($L56+1)&amp;"$",OFFSET(AN58,1,0,$Q56-2)))</f>
        <v>0</v>
      </c>
      <c r="AO58" s="257">
        <f ca="1">IF($Q56=2,IF(AND(ACOMPANHAMENTO="PLE",ISNUMBER($E56)),SUMIF((OFFSET(CÁLCULO!$AM$15:$AW$15,$E56,0,OFFSET(ORÇAMENTO!$D$15,CRONO!$E56,0))),"="&amp;CRONO!AO$12,OFFSET(CÁLCULO!$AB$15:$AL$15,$E56,0,OFFSET(ORÇAMENTO!$D$15,CRONO!$E56,0)))+IF(AND($E58&lt;&gt;"",$E58&lt;&gt;0),SUMIF(CÁLCULO!$AM$15:$AW$192,"="&amp;CRONO!AO$12,CÁLCULO!$AB$15:$AL$192)/(ORÇAMENTO!$X$15-CÁLCULO.TotalAdmLocal)*CRONO!$E58,0),AO57*$R56),SUMIF(OFFSET($R58,1,0,$Q56-2),($L56+1)&amp;"$",OFFSET(AO58,1,0,$Q56-2)))</f>
        <v>0</v>
      </c>
      <c r="AP58" s="257">
        <f ca="1">IF($Q56=2,IF(AND(ACOMPANHAMENTO="PLE",ISNUMBER($E56)),SUMIF((OFFSET(CÁLCULO!$AM$15:$AW$15,$E56,0,OFFSET(ORÇAMENTO!$D$15,CRONO!$E56,0))),"="&amp;CRONO!AP$12,OFFSET(CÁLCULO!$AB$15:$AL$15,$E56,0,OFFSET(ORÇAMENTO!$D$15,CRONO!$E56,0)))+IF(AND($E58&lt;&gt;"",$E58&lt;&gt;0),SUMIF(CÁLCULO!$AM$15:$AW$192,"="&amp;CRONO!AP$12,CÁLCULO!$AB$15:$AL$192)/(ORÇAMENTO!$X$15-CÁLCULO.TotalAdmLocal)*CRONO!$E58,0),AP57*$R56),SUMIF(OFFSET($R58,1,0,$Q56-2),($L56+1)&amp;"$",OFFSET(AP58,1,0,$Q56-2)))</f>
        <v>0</v>
      </c>
      <c r="AQ58" s="262">
        <f ca="1">IF($Q56=2,IF(AND(ACOMPANHAMENTO="PLE",ISNUMBER($E56)),SUMIF((OFFSET(CÁLCULO!$AM$15:$AW$15,$E56,0,OFFSET(ORÇAMENTO!$D$15,CRONO!$E56,0))),"="&amp;CRONO!AQ$12,OFFSET(CÁLCULO!$AB$15:$AL$15,$E56,0,OFFSET(ORÇAMENTO!$D$15,CRONO!$E56,0)))+IF(AND($E58&lt;&gt;"",$E58&lt;&gt;0),SUMIF(CÁLCULO!$AM$15:$AW$192,"="&amp;CRONO!AQ$12,CÁLCULO!$AB$15:$AL$192)/(ORÇAMENTO!$X$15-CÁLCULO.TotalAdmLocal)*CRONO!$E58,0),AQ57*$R56),SUMIF(OFFSET($R58,1,0,$Q56-2),($L56+1)&amp;"$",OFFSET(AQ58,1,0,$Q56-2)))</f>
        <v>0</v>
      </c>
    </row>
    <row r="59" spans="1:44" x14ac:dyDescent="0.2">
      <c r="A59" s="238">
        <f t="shared" ref="A59" ca="1" si="26">OFFSET(A59,-3,0)+1</f>
        <v>16</v>
      </c>
      <c r="B59" s="238">
        <f ca="1">IF($Q59&lt;&gt;2,0,IF($R59=0,1,IF(E60&gt;0,OFFSET(QCI!$M$13,SUBSTITUTE(E60,".",""),0),OFFSET(ORÇAMENTO!$AA$15,CRONO!$E59,0))/$R59))</f>
        <v>1</v>
      </c>
      <c r="C59" s="238">
        <f ca="1">IF($Q59&lt;&gt;2,0,IF($R59=0,1,IF(E60&gt;0,OFFSET(QCI!$N$13,SUBSTITUTE(E60,".",""),0),OFFSET(ORÇAMENTO!$AB$15,CRONO!$E59,0))/$R59))</f>
        <v>1</v>
      </c>
      <c r="D59" s="241">
        <f ca="1">IF(AND($Q59=2,ACOMPANHAMENTO="BM"),D60,D61/$R59)</f>
        <v>0</v>
      </c>
      <c r="E59" s="238">
        <f ca="1">IF(A59&lt;=ORÇAMENTO.MáximoListaCrono,MATCH(A59,ORÇAMENTO.ListaCrono,0),NA())</f>
        <v>79</v>
      </c>
      <c r="F59" s="238" t="str">
        <f t="shared" ref="F59" ca="1" si="27">IF(AND($E60&lt;&gt;-1,$R59&gt;0),"F","")</f>
        <v/>
      </c>
      <c r="G59" s="242" t="str">
        <f ca="1">IF(OR(R59=0,R59=""),"Linha",IF(AND(OR(ACOMPANHAMENTO="PLE",$Q59&lt;&gt;2),$E60=0),"Linha",1-SUM(T59:AR59)))</f>
        <v>Linha</v>
      </c>
      <c r="H59" s="243" t="str">
        <f ca="1">IF($E60=0,OFFSET(ORÇAMENTO!O$15,$E59,0),IF($E60&lt;&gt;-1,OFFSET(QCI!$D$13,$E60,0),""))</f>
        <v>1.15.</v>
      </c>
      <c r="I59" s="244" t="str">
        <f ca="1">IF($E60=0,OFFSET(ORÇAMENTO!R$15,$E59,0),IF($E60&lt;&gt;-1,OFFSET(QCI!$G$13,$E60,0),""))</f>
        <v xml:space="preserve">ESQUADRIAS </v>
      </c>
      <c r="J59" s="244"/>
      <c r="K59" s="244"/>
      <c r="L59" s="245">
        <f ca="1">IF($E60=0,OFFSET(ORÇAMENTO!C$15,$E59,0),1)</f>
        <v>2</v>
      </c>
      <c r="M59" s="246">
        <f ca="1">IF($E60=-1,0,IF(M$13&lt;=$L59,IF(ISERROR(MATCH(M$13,OFFSET($L59,1,0,ROW($L$92)-ROW($L59)-1),0)),ROW($L$92)-ROW($L59)-1,MATCH(M$13,OFFSET($L59,1,0,ROW($L$92)-ROW($L59)-1),0)-1),0))</f>
        <v>32</v>
      </c>
      <c r="N59" s="246">
        <f ca="1">IF($E60=-1,0,IF(N$13&lt;=$L59,IF(ISERROR(MATCH(N$13,OFFSET($L59,1,0,ROW($L$92)-ROW($L59)-1),0)),ROW($L$92)-ROW($L59)-1,MATCH(N$13,OFFSET($L59,1,0,ROW($L$92)-ROW($L59)-1),0)-1),0))</f>
        <v>2</v>
      </c>
      <c r="O59" s="246">
        <f ca="1">IF($E60=-1,0,IF(O$13&lt;=$L59,IF(ISERROR(MATCH(O$13,OFFSET($L59,1,0,ROW($L$92)-ROW($L59)-1),0)),ROW($L$92)-ROW($L59)-1,MATCH(O$13,OFFSET($L59,1,0,ROW($L$92)-ROW($L59)-1),0)-1),0))</f>
        <v>0</v>
      </c>
      <c r="P59" s="246">
        <f ca="1">IF($E60=-1,0,IF(P$13&lt;=$L59,IF(ISERROR(MATCH(P$13,OFFSET($L59,1,0,ROW($L$92)-ROW($L59)-1),0)),ROW($L$92)-ROW($L59)-1,MATCH(P$13,OFFSET($L59,1,0,ROW($L$92)-ROW($L59)-1),0)-1),0))</f>
        <v>0</v>
      </c>
      <c r="Q59" s="246">
        <f t="shared" ref="Q59" ca="1" si="28">MIN(OFFSET(L59,0,1,,L59))</f>
        <v>2</v>
      </c>
      <c r="R59" s="247">
        <f ca="1">IF($E60=0,OFFSET(ORÇAMENTO!X$15,$E59,0),IF($E60&lt;&gt;-1,OFFSET(QCI!$O$13,$E60,0),""))</f>
        <v>0</v>
      </c>
      <c r="S59" s="248" t="s">
        <v>270</v>
      </c>
      <c r="T59" s="249">
        <f t="shared" ref="T59:AQ59" ca="1" si="29">IF(AND($Q59=2,ACOMPANHAMENTO="BM"),T60,T61/$R59)</f>
        <v>0</v>
      </c>
      <c r="U59" s="241">
        <f t="shared" ca="1" si="29"/>
        <v>0</v>
      </c>
      <c r="V59" s="241">
        <f t="shared" ca="1" si="29"/>
        <v>0</v>
      </c>
      <c r="W59" s="241">
        <f t="shared" ca="1" si="29"/>
        <v>0</v>
      </c>
      <c r="X59" s="241">
        <f t="shared" ca="1" si="29"/>
        <v>0</v>
      </c>
      <c r="Y59" s="241">
        <f t="shared" ca="1" si="29"/>
        <v>0</v>
      </c>
      <c r="Z59" s="241">
        <f t="shared" ca="1" si="29"/>
        <v>0</v>
      </c>
      <c r="AA59" s="241">
        <f t="shared" ca="1" si="29"/>
        <v>0</v>
      </c>
      <c r="AB59" s="241">
        <f t="shared" ca="1" si="29"/>
        <v>0</v>
      </c>
      <c r="AC59" s="241">
        <f t="shared" ca="1" si="29"/>
        <v>0</v>
      </c>
      <c r="AD59" s="241">
        <f t="shared" ca="1" si="29"/>
        <v>0</v>
      </c>
      <c r="AE59" s="250">
        <f t="shared" ca="1" si="29"/>
        <v>0.5</v>
      </c>
      <c r="AF59" s="249">
        <f t="shared" ca="1" si="29"/>
        <v>0.5</v>
      </c>
      <c r="AG59" s="241">
        <f t="shared" ca="1" si="29"/>
        <v>0</v>
      </c>
      <c r="AH59" s="241">
        <f t="shared" ca="1" si="29"/>
        <v>0</v>
      </c>
      <c r="AI59" s="241">
        <f t="shared" ca="1" si="29"/>
        <v>0</v>
      </c>
      <c r="AJ59" s="241">
        <f t="shared" ca="1" si="29"/>
        <v>0</v>
      </c>
      <c r="AK59" s="241">
        <f t="shared" ca="1" si="29"/>
        <v>0</v>
      </c>
      <c r="AL59" s="241">
        <f t="shared" ca="1" si="29"/>
        <v>0</v>
      </c>
      <c r="AM59" s="241">
        <f t="shared" ca="1" si="29"/>
        <v>0</v>
      </c>
      <c r="AN59" s="241">
        <f t="shared" ca="1" si="29"/>
        <v>0</v>
      </c>
      <c r="AO59" s="241">
        <f t="shared" ca="1" si="29"/>
        <v>0</v>
      </c>
      <c r="AP59" s="241">
        <f t="shared" ca="1" si="29"/>
        <v>0</v>
      </c>
      <c r="AQ59" s="250">
        <f t="shared" ca="1" si="29"/>
        <v>0</v>
      </c>
    </row>
    <row r="60" spans="1:44" ht="12.75" customHeight="1" x14ac:dyDescent="0.2">
      <c r="D60" s="657"/>
      <c r="E60" s="238">
        <f ca="1">IF(ISERROR(E59),IF(1+COUNTIF($L$13:OFFSET(L59,-1,0),1)&lt;=MAX(QCI!$D$13:$D$24),1+COUNTIF($L$13:OFFSET(L59,-1,0),1),-1),0)</f>
        <v>0</v>
      </c>
      <c r="F60" s="238" t="str">
        <f t="shared" ref="F60" ca="1" si="30">IF(AND($E60&lt;&gt;-1,$R59&gt;0),"F","")</f>
        <v/>
      </c>
      <c r="G60" s="251" t="str">
        <f ca="1">IF(OR(R59=0,R59=""),"vazia",IF(AND(OR(ACOMPANHAMENTO="PLE",$Q59&lt;&gt;2),$E60=0),"calculada","--&gt;"))</f>
        <v>vazia</v>
      </c>
      <c r="H60" s="252"/>
      <c r="I60" s="253" t="str">
        <f t="shared" ref="I60" ca="1" si="31">IF(AND(G59&lt;&gt;0,ISNUMBER(G59)),"PREENCHA ESTA LINHA --&gt;","")</f>
        <v/>
      </c>
      <c r="J60" s="253"/>
      <c r="K60" s="253"/>
      <c r="L60" s="254"/>
      <c r="M60" s="254"/>
      <c r="N60" s="254"/>
      <c r="O60" s="254"/>
      <c r="P60" s="254"/>
      <c r="Q60" s="254"/>
      <c r="R60" s="255"/>
      <c r="S60" s="256"/>
      <c r="T60" s="658"/>
      <c r="U60" s="657"/>
      <c r="V60" s="657"/>
      <c r="W60" s="657"/>
      <c r="X60" s="657"/>
      <c r="Y60" s="657"/>
      <c r="Z60" s="657"/>
      <c r="AA60" s="657"/>
      <c r="AB60" s="657"/>
      <c r="AC60" s="657"/>
      <c r="AD60" s="657"/>
      <c r="AE60" s="659">
        <v>0.5</v>
      </c>
      <c r="AF60" s="658">
        <v>0.5</v>
      </c>
      <c r="AG60" s="657"/>
      <c r="AH60" s="657"/>
      <c r="AI60" s="657"/>
      <c r="AJ60" s="657"/>
      <c r="AK60" s="657"/>
      <c r="AL60" s="657"/>
      <c r="AM60" s="657"/>
      <c r="AN60" s="657"/>
      <c r="AO60" s="657"/>
      <c r="AP60" s="657"/>
      <c r="AQ60" s="659"/>
      <c r="AR60" s="617"/>
    </row>
    <row r="61" spans="1:44" ht="0.2" hidden="1" customHeight="1" x14ac:dyDescent="0.2">
      <c r="D61" s="257">
        <f ca="1">IF($Q59=2,IF(AND(ACOMPANHAMENTO="PLE",ISNUMBER($E59)),SUMIF((OFFSET(CÁLCULO!$AM$15:$AW$15,$E59,0,OFFSET(ORÇAMENTO!$D$15,CRONO!$E59,0))),"="&amp;CRONO!D$12,OFFSET(CÁLCULO!$AB$15:$AL$15,$E59,0,OFFSET(ORÇAMENTO!$D$15,CRONO!$E59,0)))+IF(AND($E61&lt;&gt;"",$E61&lt;&gt;0),SUMIF(CÁLCULO!$AM$15:$AW$192,"="&amp;CRONO!D$12,CÁLCULO!$AB$15:$AL$192)/(ORÇAMENTO!$X$15-CÁLCULO.TotalAdmLocal)*CRONO!$E61,0),D60*$R59),SUMIF(OFFSET($R61,1,0,$Q59-2),($L59+1)&amp;"$",OFFSET(D61,1,0,$Q59-2)))</f>
        <v>0</v>
      </c>
      <c r="E61" s="238" t="str">
        <f ca="1">IF(OR($Q59&lt;&gt;2,AUTOEVENTO&lt;&gt;"manual",$E60&gt;0),"",SUMIF(OFFSET(CÁLCULO!$M$15,CRONO!$E59,0,OFFSET(ORÇAMENTO!$D$15,CRONO!$E59,0)),1,OFFSET(ORÇAMENTO!$X$15,CRONO!$E59,0,OFFSET(ORÇAMENTO!$D$15,CRONO!$E59,0))))</f>
        <v/>
      </c>
      <c r="G61" s="258"/>
      <c r="R61" s="259" t="str">
        <f t="shared" ref="R61" ca="1" si="32">L59&amp;"$"</f>
        <v>2$</v>
      </c>
      <c r="S61" s="260"/>
      <c r="T61" s="261">
        <f ca="1">IF($Q59=2,IF(AND(ACOMPANHAMENTO="PLE",ISNUMBER($E59)),SUMIF((OFFSET(CÁLCULO!$AM$15:$AW$15,$E59,0,OFFSET(ORÇAMENTO!$D$15,CRONO!$E59,0))),"&lt;="&amp;CRONO!T$12,OFFSET(CÁLCULO!$AB$15:$AL$15,$E59,0,OFFSET(ORÇAMENTO!$D$15,CRONO!$E59,0)))+IF(AND($E61&lt;&gt;"",$E61&lt;&gt;0),SUMIF(CÁLCULO!$AM$15:$AW$192,"&lt;="&amp;CRONO!T$12,CÁLCULO!$AB$15:$AL$192)/(ORÇAMENTO!$X$15-CÁLCULO.TotalAdmLocal)*CRONO!$E61,0),T60*$R59),SUMIF(OFFSET($R61,1,0,$Q59-2),($L59+1)&amp;"$",OFFSET(T61,1,0,$Q59-2)))</f>
        <v>0</v>
      </c>
      <c r="U61" s="257">
        <f ca="1">IF($Q59=2,IF(AND(ACOMPANHAMENTO="PLE",ISNUMBER($E59)),SUMIF((OFFSET(CÁLCULO!$AM$15:$AW$15,$E59,0,OFFSET(ORÇAMENTO!$D$15,CRONO!$E59,0))),"="&amp;CRONO!U$12,OFFSET(CÁLCULO!$AB$15:$AL$15,$E59,0,OFFSET(ORÇAMENTO!$D$15,CRONO!$E59,0)))+IF(AND($E61&lt;&gt;"",$E61&lt;&gt;0),SUMIF(CÁLCULO!$AM$15:$AW$192,"="&amp;CRONO!U$12,CÁLCULO!$AB$15:$AL$192)/(ORÇAMENTO!$X$15-CÁLCULO.TotalAdmLocal)*CRONO!$E61,0),U60*$R59),SUMIF(OFFSET($R61,1,0,$Q59-2),($L59+1)&amp;"$",OFFSET(U61,1,0,$Q59-2)))</f>
        <v>0</v>
      </c>
      <c r="V61" s="257">
        <f ca="1">IF($Q59=2,IF(AND(ACOMPANHAMENTO="PLE",ISNUMBER($E59)),SUMIF((OFFSET(CÁLCULO!$AM$15:$AW$15,$E59,0,OFFSET(ORÇAMENTO!$D$15,CRONO!$E59,0))),"="&amp;CRONO!V$12,OFFSET(CÁLCULO!$AB$15:$AL$15,$E59,0,OFFSET(ORÇAMENTO!$D$15,CRONO!$E59,0)))+IF(AND($E61&lt;&gt;"",$E61&lt;&gt;0),SUMIF(CÁLCULO!$AM$15:$AW$192,"="&amp;CRONO!V$12,CÁLCULO!$AB$15:$AL$192)/(ORÇAMENTO!$X$15-CÁLCULO.TotalAdmLocal)*CRONO!$E61,0),V60*$R59),SUMIF(OFFSET($R61,1,0,$Q59-2),($L59+1)&amp;"$",OFFSET(V61,1,0,$Q59-2)))</f>
        <v>0</v>
      </c>
      <c r="W61" s="257">
        <f ca="1">IF($Q59=2,IF(AND(ACOMPANHAMENTO="PLE",ISNUMBER($E59)),SUMIF((OFFSET(CÁLCULO!$AM$15:$AW$15,$E59,0,OFFSET(ORÇAMENTO!$D$15,CRONO!$E59,0))),"="&amp;CRONO!W$12,OFFSET(CÁLCULO!$AB$15:$AL$15,$E59,0,OFFSET(ORÇAMENTO!$D$15,CRONO!$E59,0)))+IF(AND($E61&lt;&gt;"",$E61&lt;&gt;0),SUMIF(CÁLCULO!$AM$15:$AW$192,"="&amp;CRONO!W$12,CÁLCULO!$AB$15:$AL$192)/(ORÇAMENTO!$X$15-CÁLCULO.TotalAdmLocal)*CRONO!$E61,0),W60*$R59),SUMIF(OFFSET($R61,1,0,$Q59-2),($L59+1)&amp;"$",OFFSET(W61,1,0,$Q59-2)))</f>
        <v>0</v>
      </c>
      <c r="X61" s="257">
        <f ca="1">IF($Q59=2,IF(AND(ACOMPANHAMENTO="PLE",ISNUMBER($E59)),SUMIF((OFFSET(CÁLCULO!$AM$15:$AW$15,$E59,0,OFFSET(ORÇAMENTO!$D$15,CRONO!$E59,0))),"="&amp;CRONO!X$12,OFFSET(CÁLCULO!$AB$15:$AL$15,$E59,0,OFFSET(ORÇAMENTO!$D$15,CRONO!$E59,0)))+IF(AND($E61&lt;&gt;"",$E61&lt;&gt;0),SUMIF(CÁLCULO!$AM$15:$AW$192,"="&amp;CRONO!X$12,CÁLCULO!$AB$15:$AL$192)/(ORÇAMENTO!$X$15-CÁLCULO.TotalAdmLocal)*CRONO!$E61,0),X60*$R59),SUMIF(OFFSET($R61,1,0,$Q59-2),($L59+1)&amp;"$",OFFSET(X61,1,0,$Q59-2)))</f>
        <v>0</v>
      </c>
      <c r="Y61" s="257">
        <f ca="1">IF($Q59=2,IF(AND(ACOMPANHAMENTO="PLE",ISNUMBER($E59)),SUMIF((OFFSET(CÁLCULO!$AM$15:$AW$15,$E59,0,OFFSET(ORÇAMENTO!$D$15,CRONO!$E59,0))),"="&amp;CRONO!Y$12,OFFSET(CÁLCULO!$AB$15:$AL$15,$E59,0,OFFSET(ORÇAMENTO!$D$15,CRONO!$E59,0)))+IF(AND($E61&lt;&gt;"",$E61&lt;&gt;0),SUMIF(CÁLCULO!$AM$15:$AW$192,"="&amp;CRONO!Y$12,CÁLCULO!$AB$15:$AL$192)/(ORÇAMENTO!$X$15-CÁLCULO.TotalAdmLocal)*CRONO!$E61,0),Y60*$R59),SUMIF(OFFSET($R61,1,0,$Q59-2),($L59+1)&amp;"$",OFFSET(Y61,1,0,$Q59-2)))</f>
        <v>0</v>
      </c>
      <c r="Z61" s="257">
        <f ca="1">IF($Q59=2,IF(AND(ACOMPANHAMENTO="PLE",ISNUMBER($E59)),SUMIF((OFFSET(CÁLCULO!$AM$15:$AW$15,$E59,0,OFFSET(ORÇAMENTO!$D$15,CRONO!$E59,0))),"="&amp;CRONO!Z$12,OFFSET(CÁLCULO!$AB$15:$AL$15,$E59,0,OFFSET(ORÇAMENTO!$D$15,CRONO!$E59,0)))+IF(AND($E61&lt;&gt;"",$E61&lt;&gt;0),SUMIF(CÁLCULO!$AM$15:$AW$192,"="&amp;CRONO!Z$12,CÁLCULO!$AB$15:$AL$192)/(ORÇAMENTO!$X$15-CÁLCULO.TotalAdmLocal)*CRONO!$E61,0),Z60*$R59),SUMIF(OFFSET($R61,1,0,$Q59-2),($L59+1)&amp;"$",OFFSET(Z61,1,0,$Q59-2)))</f>
        <v>0</v>
      </c>
      <c r="AA61" s="257">
        <f ca="1">IF($Q59=2,IF(AND(ACOMPANHAMENTO="PLE",ISNUMBER($E59)),SUMIF((OFFSET(CÁLCULO!$AM$15:$AW$15,$E59,0,OFFSET(ORÇAMENTO!$D$15,CRONO!$E59,0))),"="&amp;CRONO!AA$12,OFFSET(CÁLCULO!$AB$15:$AL$15,$E59,0,OFFSET(ORÇAMENTO!$D$15,CRONO!$E59,0)))+IF(AND($E61&lt;&gt;"",$E61&lt;&gt;0),SUMIF(CÁLCULO!$AM$15:$AW$192,"="&amp;CRONO!AA$12,CÁLCULO!$AB$15:$AL$192)/(ORÇAMENTO!$X$15-CÁLCULO.TotalAdmLocal)*CRONO!$E61,0),AA60*$R59),SUMIF(OFFSET($R61,1,0,$Q59-2),($L59+1)&amp;"$",OFFSET(AA61,1,0,$Q59-2)))</f>
        <v>0</v>
      </c>
      <c r="AB61" s="257">
        <f ca="1">IF($Q59=2,IF(AND(ACOMPANHAMENTO="PLE",ISNUMBER($E59)),SUMIF((OFFSET(CÁLCULO!$AM$15:$AW$15,$E59,0,OFFSET(ORÇAMENTO!$D$15,CRONO!$E59,0))),"="&amp;CRONO!AB$12,OFFSET(CÁLCULO!$AB$15:$AL$15,$E59,0,OFFSET(ORÇAMENTO!$D$15,CRONO!$E59,0)))+IF(AND($E61&lt;&gt;"",$E61&lt;&gt;0),SUMIF(CÁLCULO!$AM$15:$AW$192,"="&amp;CRONO!AB$12,CÁLCULO!$AB$15:$AL$192)/(ORÇAMENTO!$X$15-CÁLCULO.TotalAdmLocal)*CRONO!$E61,0),AB60*$R59),SUMIF(OFFSET($R61,1,0,$Q59-2),($L59+1)&amp;"$",OFFSET(AB61,1,0,$Q59-2)))</f>
        <v>0</v>
      </c>
      <c r="AC61" s="257">
        <f ca="1">IF($Q59=2,IF(AND(ACOMPANHAMENTO="PLE",ISNUMBER($E59)),SUMIF((OFFSET(CÁLCULO!$AM$15:$AW$15,$E59,0,OFFSET(ORÇAMENTO!$D$15,CRONO!$E59,0))),"="&amp;CRONO!AC$12,OFFSET(CÁLCULO!$AB$15:$AL$15,$E59,0,OFFSET(ORÇAMENTO!$D$15,CRONO!$E59,0)))+IF(AND($E61&lt;&gt;"",$E61&lt;&gt;0),SUMIF(CÁLCULO!$AM$15:$AW$192,"="&amp;CRONO!AC$12,CÁLCULO!$AB$15:$AL$192)/(ORÇAMENTO!$X$15-CÁLCULO.TotalAdmLocal)*CRONO!$E61,0),AC60*$R59),SUMIF(OFFSET($R61,1,0,$Q59-2),($L59+1)&amp;"$",OFFSET(AC61,1,0,$Q59-2)))</f>
        <v>0</v>
      </c>
      <c r="AD61" s="257">
        <f ca="1">IF($Q59=2,IF(AND(ACOMPANHAMENTO="PLE",ISNUMBER($E59)),SUMIF((OFFSET(CÁLCULO!$AM$15:$AW$15,$E59,0,OFFSET(ORÇAMENTO!$D$15,CRONO!$E59,0))),"="&amp;CRONO!AD$12,OFFSET(CÁLCULO!$AB$15:$AL$15,$E59,0,OFFSET(ORÇAMENTO!$D$15,CRONO!$E59,0)))+IF(AND($E61&lt;&gt;"",$E61&lt;&gt;0),SUMIF(CÁLCULO!$AM$15:$AW$192,"="&amp;CRONO!AD$12,CÁLCULO!$AB$15:$AL$192)/(ORÇAMENTO!$X$15-CÁLCULO.TotalAdmLocal)*CRONO!$E61,0),AD60*$R59),SUMIF(OFFSET($R61,1,0,$Q59-2),($L59+1)&amp;"$",OFFSET(AD61,1,0,$Q59-2)))</f>
        <v>0</v>
      </c>
      <c r="AE61" s="262">
        <f ca="1">IF($Q59=2,IF(AND(ACOMPANHAMENTO="PLE",ISNUMBER($E59)),SUMIF((OFFSET(CÁLCULO!$AM$15:$AW$15,$E59,0,OFFSET(ORÇAMENTO!$D$15,CRONO!$E59,0))),"="&amp;CRONO!AE$12,OFFSET(CÁLCULO!$AB$15:$AL$15,$E59,0,OFFSET(ORÇAMENTO!$D$15,CRONO!$E59,0)))+IF(AND($E61&lt;&gt;"",$E61&lt;&gt;0),SUMIF(CÁLCULO!$AM$15:$AW$192,"="&amp;CRONO!AE$12,CÁLCULO!$AB$15:$AL$192)/(ORÇAMENTO!$X$15-CÁLCULO.TotalAdmLocal)*CRONO!$E61,0),AE60*$R59),SUMIF(OFFSET($R61,1,0,$Q59-2),($L59+1)&amp;"$",OFFSET(AE61,1,0,$Q59-2)))</f>
        <v>0</v>
      </c>
      <c r="AF61" s="261">
        <f ca="1">IF($Q59=2,IF(AND(ACOMPANHAMENTO="PLE",ISNUMBER($E59)),SUMIF((OFFSET(CÁLCULO!$AM$15:$AW$15,$E59,0,OFFSET(ORÇAMENTO!$D$15,CRONO!$E59,0))),"="&amp;CRONO!AF$12,OFFSET(CÁLCULO!$AB$15:$AL$15,$E59,0,OFFSET(ORÇAMENTO!$D$15,CRONO!$E59,0)))+IF(AND($E61&lt;&gt;"",$E61&lt;&gt;0),SUMIF(CÁLCULO!$AM$15:$AW$192,"="&amp;CRONO!AF$12,CÁLCULO!$AB$15:$AL$192)/(ORÇAMENTO!$X$15-CÁLCULO.TotalAdmLocal)*CRONO!$E61,0),AF60*$R59),SUMIF(OFFSET($R61,1,0,$Q59-2),($L59+1)&amp;"$",OFFSET(AF61,1,0,$Q59-2)))</f>
        <v>0</v>
      </c>
      <c r="AG61" s="257">
        <f ca="1">IF($Q59=2,IF(AND(ACOMPANHAMENTO="PLE",ISNUMBER($E59)),SUMIF((OFFSET(CÁLCULO!$AM$15:$AW$15,$E59,0,OFFSET(ORÇAMENTO!$D$15,CRONO!$E59,0))),"="&amp;CRONO!AG$12,OFFSET(CÁLCULO!$AB$15:$AL$15,$E59,0,OFFSET(ORÇAMENTO!$D$15,CRONO!$E59,0)))+IF(AND($E61&lt;&gt;"",$E61&lt;&gt;0),SUMIF(CÁLCULO!$AM$15:$AW$192,"="&amp;CRONO!AG$12,CÁLCULO!$AB$15:$AL$192)/(ORÇAMENTO!$X$15-CÁLCULO.TotalAdmLocal)*CRONO!$E61,0),AG60*$R59),SUMIF(OFFSET($R61,1,0,$Q59-2),($L59+1)&amp;"$",OFFSET(AG61,1,0,$Q59-2)))</f>
        <v>0</v>
      </c>
      <c r="AH61" s="257">
        <f ca="1">IF($Q59=2,IF(AND(ACOMPANHAMENTO="PLE",ISNUMBER($E59)),SUMIF((OFFSET(CÁLCULO!$AM$15:$AW$15,$E59,0,OFFSET(ORÇAMENTO!$D$15,CRONO!$E59,0))),"="&amp;CRONO!AH$12,OFFSET(CÁLCULO!$AB$15:$AL$15,$E59,0,OFFSET(ORÇAMENTO!$D$15,CRONO!$E59,0)))+IF(AND($E61&lt;&gt;"",$E61&lt;&gt;0),SUMIF(CÁLCULO!$AM$15:$AW$192,"="&amp;CRONO!AH$12,CÁLCULO!$AB$15:$AL$192)/(ORÇAMENTO!$X$15-CÁLCULO.TotalAdmLocal)*CRONO!$E61,0),AH60*$R59),SUMIF(OFFSET($R61,1,0,$Q59-2),($L59+1)&amp;"$",OFFSET(AH61,1,0,$Q59-2)))</f>
        <v>0</v>
      </c>
      <c r="AI61" s="257">
        <f ca="1">IF($Q59=2,IF(AND(ACOMPANHAMENTO="PLE",ISNUMBER($E59)),SUMIF((OFFSET(CÁLCULO!$AM$15:$AW$15,$E59,0,OFFSET(ORÇAMENTO!$D$15,CRONO!$E59,0))),"="&amp;CRONO!AI$12,OFFSET(CÁLCULO!$AB$15:$AL$15,$E59,0,OFFSET(ORÇAMENTO!$D$15,CRONO!$E59,0)))+IF(AND($E61&lt;&gt;"",$E61&lt;&gt;0),SUMIF(CÁLCULO!$AM$15:$AW$192,"="&amp;CRONO!AI$12,CÁLCULO!$AB$15:$AL$192)/(ORÇAMENTO!$X$15-CÁLCULO.TotalAdmLocal)*CRONO!$E61,0),AI60*$R59),SUMIF(OFFSET($R61,1,0,$Q59-2),($L59+1)&amp;"$",OFFSET(AI61,1,0,$Q59-2)))</f>
        <v>0</v>
      </c>
      <c r="AJ61" s="257">
        <f ca="1">IF($Q59=2,IF(AND(ACOMPANHAMENTO="PLE",ISNUMBER($E59)),SUMIF((OFFSET(CÁLCULO!$AM$15:$AW$15,$E59,0,OFFSET(ORÇAMENTO!$D$15,CRONO!$E59,0))),"="&amp;CRONO!AJ$12,OFFSET(CÁLCULO!$AB$15:$AL$15,$E59,0,OFFSET(ORÇAMENTO!$D$15,CRONO!$E59,0)))+IF(AND($E61&lt;&gt;"",$E61&lt;&gt;0),SUMIF(CÁLCULO!$AM$15:$AW$192,"="&amp;CRONO!AJ$12,CÁLCULO!$AB$15:$AL$192)/(ORÇAMENTO!$X$15-CÁLCULO.TotalAdmLocal)*CRONO!$E61,0),AJ60*$R59),SUMIF(OFFSET($R61,1,0,$Q59-2),($L59+1)&amp;"$",OFFSET(AJ61,1,0,$Q59-2)))</f>
        <v>0</v>
      </c>
      <c r="AK61" s="257">
        <f ca="1">IF($Q59=2,IF(AND(ACOMPANHAMENTO="PLE",ISNUMBER($E59)),SUMIF((OFFSET(CÁLCULO!$AM$15:$AW$15,$E59,0,OFFSET(ORÇAMENTO!$D$15,CRONO!$E59,0))),"="&amp;CRONO!AK$12,OFFSET(CÁLCULO!$AB$15:$AL$15,$E59,0,OFFSET(ORÇAMENTO!$D$15,CRONO!$E59,0)))+IF(AND($E61&lt;&gt;"",$E61&lt;&gt;0),SUMIF(CÁLCULO!$AM$15:$AW$192,"="&amp;CRONO!AK$12,CÁLCULO!$AB$15:$AL$192)/(ORÇAMENTO!$X$15-CÁLCULO.TotalAdmLocal)*CRONO!$E61,0),AK60*$R59),SUMIF(OFFSET($R61,1,0,$Q59-2),($L59+1)&amp;"$",OFFSET(AK61,1,0,$Q59-2)))</f>
        <v>0</v>
      </c>
      <c r="AL61" s="257">
        <f ca="1">IF($Q59=2,IF(AND(ACOMPANHAMENTO="PLE",ISNUMBER($E59)),SUMIF((OFFSET(CÁLCULO!$AM$15:$AW$15,$E59,0,OFFSET(ORÇAMENTO!$D$15,CRONO!$E59,0))),"="&amp;CRONO!AL$12,OFFSET(CÁLCULO!$AB$15:$AL$15,$E59,0,OFFSET(ORÇAMENTO!$D$15,CRONO!$E59,0)))+IF(AND($E61&lt;&gt;"",$E61&lt;&gt;0),SUMIF(CÁLCULO!$AM$15:$AW$192,"="&amp;CRONO!AL$12,CÁLCULO!$AB$15:$AL$192)/(ORÇAMENTO!$X$15-CÁLCULO.TotalAdmLocal)*CRONO!$E61,0),AL60*$R59),SUMIF(OFFSET($R61,1,0,$Q59-2),($L59+1)&amp;"$",OFFSET(AL61,1,0,$Q59-2)))</f>
        <v>0</v>
      </c>
      <c r="AM61" s="257">
        <f ca="1">IF($Q59=2,IF(AND(ACOMPANHAMENTO="PLE",ISNUMBER($E59)),SUMIF((OFFSET(CÁLCULO!$AM$15:$AW$15,$E59,0,OFFSET(ORÇAMENTO!$D$15,CRONO!$E59,0))),"="&amp;CRONO!AM$12,OFFSET(CÁLCULO!$AB$15:$AL$15,$E59,0,OFFSET(ORÇAMENTO!$D$15,CRONO!$E59,0)))+IF(AND($E61&lt;&gt;"",$E61&lt;&gt;0),SUMIF(CÁLCULO!$AM$15:$AW$192,"="&amp;CRONO!AM$12,CÁLCULO!$AB$15:$AL$192)/(ORÇAMENTO!$X$15-CÁLCULO.TotalAdmLocal)*CRONO!$E61,0),AM60*$R59),SUMIF(OFFSET($R61,1,0,$Q59-2),($L59+1)&amp;"$",OFFSET(AM61,1,0,$Q59-2)))</f>
        <v>0</v>
      </c>
      <c r="AN61" s="257">
        <f ca="1">IF($Q59=2,IF(AND(ACOMPANHAMENTO="PLE",ISNUMBER($E59)),SUMIF((OFFSET(CÁLCULO!$AM$15:$AW$15,$E59,0,OFFSET(ORÇAMENTO!$D$15,CRONO!$E59,0))),"="&amp;CRONO!AN$12,OFFSET(CÁLCULO!$AB$15:$AL$15,$E59,0,OFFSET(ORÇAMENTO!$D$15,CRONO!$E59,0)))+IF(AND($E61&lt;&gt;"",$E61&lt;&gt;0),SUMIF(CÁLCULO!$AM$15:$AW$192,"="&amp;CRONO!AN$12,CÁLCULO!$AB$15:$AL$192)/(ORÇAMENTO!$X$15-CÁLCULO.TotalAdmLocal)*CRONO!$E61,0),AN60*$R59),SUMIF(OFFSET($R61,1,0,$Q59-2),($L59+1)&amp;"$",OFFSET(AN61,1,0,$Q59-2)))</f>
        <v>0</v>
      </c>
      <c r="AO61" s="257">
        <f ca="1">IF($Q59=2,IF(AND(ACOMPANHAMENTO="PLE",ISNUMBER($E59)),SUMIF((OFFSET(CÁLCULO!$AM$15:$AW$15,$E59,0,OFFSET(ORÇAMENTO!$D$15,CRONO!$E59,0))),"="&amp;CRONO!AO$12,OFFSET(CÁLCULO!$AB$15:$AL$15,$E59,0,OFFSET(ORÇAMENTO!$D$15,CRONO!$E59,0)))+IF(AND($E61&lt;&gt;"",$E61&lt;&gt;0),SUMIF(CÁLCULO!$AM$15:$AW$192,"="&amp;CRONO!AO$12,CÁLCULO!$AB$15:$AL$192)/(ORÇAMENTO!$X$15-CÁLCULO.TotalAdmLocal)*CRONO!$E61,0),AO60*$R59),SUMIF(OFFSET($R61,1,0,$Q59-2),($L59+1)&amp;"$",OFFSET(AO61,1,0,$Q59-2)))</f>
        <v>0</v>
      </c>
      <c r="AP61" s="257">
        <f ca="1">IF($Q59=2,IF(AND(ACOMPANHAMENTO="PLE",ISNUMBER($E59)),SUMIF((OFFSET(CÁLCULO!$AM$15:$AW$15,$E59,0,OFFSET(ORÇAMENTO!$D$15,CRONO!$E59,0))),"="&amp;CRONO!AP$12,OFFSET(CÁLCULO!$AB$15:$AL$15,$E59,0,OFFSET(ORÇAMENTO!$D$15,CRONO!$E59,0)))+IF(AND($E61&lt;&gt;"",$E61&lt;&gt;0),SUMIF(CÁLCULO!$AM$15:$AW$192,"="&amp;CRONO!AP$12,CÁLCULO!$AB$15:$AL$192)/(ORÇAMENTO!$X$15-CÁLCULO.TotalAdmLocal)*CRONO!$E61,0),AP60*$R59),SUMIF(OFFSET($R61,1,0,$Q59-2),($L59+1)&amp;"$",OFFSET(AP61,1,0,$Q59-2)))</f>
        <v>0</v>
      </c>
      <c r="AQ61" s="262">
        <f ca="1">IF($Q59=2,IF(AND(ACOMPANHAMENTO="PLE",ISNUMBER($E59)),SUMIF((OFFSET(CÁLCULO!$AM$15:$AW$15,$E59,0,OFFSET(ORÇAMENTO!$D$15,CRONO!$E59,0))),"="&amp;CRONO!AQ$12,OFFSET(CÁLCULO!$AB$15:$AL$15,$E59,0,OFFSET(ORÇAMENTO!$D$15,CRONO!$E59,0)))+IF(AND($E61&lt;&gt;"",$E61&lt;&gt;0),SUMIF(CÁLCULO!$AM$15:$AW$192,"="&amp;CRONO!AQ$12,CÁLCULO!$AB$15:$AL$192)/(ORÇAMENTO!$X$15-CÁLCULO.TotalAdmLocal)*CRONO!$E61,0),AQ60*$R59),SUMIF(OFFSET($R61,1,0,$Q59-2),($L59+1)&amp;"$",OFFSET(AQ61,1,0,$Q59-2)))</f>
        <v>0</v>
      </c>
    </row>
    <row r="62" spans="1:44" x14ac:dyDescent="0.2">
      <c r="A62" s="238">
        <f t="shared" ref="A62" ca="1" si="33">OFFSET(A62,-3,0)+1</f>
        <v>17</v>
      </c>
      <c r="B62" s="238">
        <f ca="1">IF($Q62&lt;&gt;2,0,IF($R62=0,1,IF(E63&gt;0,OFFSET(QCI!$M$13,SUBSTITUTE(E63,".",""),0),OFFSET(ORÇAMENTO!$AA$15,CRONO!$E62,0))/$R62))</f>
        <v>1</v>
      </c>
      <c r="C62" s="238">
        <f ca="1">IF($Q62&lt;&gt;2,0,IF($R62=0,1,IF(E63&gt;0,OFFSET(QCI!$N$13,SUBSTITUTE(E63,".",""),0),OFFSET(ORÇAMENTO!$AB$15,CRONO!$E62,0))/$R62))</f>
        <v>1</v>
      </c>
      <c r="D62" s="241">
        <f ca="1">IF(AND($Q62=2,ACOMPANHAMENTO="BM"),D63,D64/$R62)</f>
        <v>0</v>
      </c>
      <c r="E62" s="238">
        <f ca="1">IF(A62&lt;=ORÇAMENTO.MáximoListaCrono,MATCH(A62,ORÇAMENTO.ListaCrono,0),NA())</f>
        <v>85</v>
      </c>
      <c r="F62" s="238" t="str">
        <f t="shared" ref="F62" ca="1" si="34">IF(AND($E63&lt;&gt;-1,$R62&gt;0),"F","")</f>
        <v/>
      </c>
      <c r="G62" s="242" t="str">
        <f ca="1">IF(OR(R62=0,R62=""),"Linha",IF(AND(OR(ACOMPANHAMENTO="PLE",$Q62&lt;&gt;2),$E63=0),"Linha",1-SUM(T62:AR62)))</f>
        <v>Linha</v>
      </c>
      <c r="H62" s="243" t="str">
        <f ca="1">IF($E63=0,OFFSET(ORÇAMENTO!O$15,$E62,0),IF($E63&lt;&gt;-1,OFFSET(QCI!$D$13,$E63,0),""))</f>
        <v>1.16.</v>
      </c>
      <c r="I62" s="244" t="str">
        <f ca="1">IF($E63=0,OFFSET(ORÇAMENTO!R$15,$E62,0),IF($E63&lt;&gt;-1,OFFSET(QCI!$G$13,$E63,0),""))</f>
        <v xml:space="preserve">PINTURA </v>
      </c>
      <c r="J62" s="244"/>
      <c r="K62" s="244"/>
      <c r="L62" s="245">
        <f ca="1">IF($E63=0,OFFSET(ORÇAMENTO!C$15,$E62,0),1)</f>
        <v>2</v>
      </c>
      <c r="M62" s="246">
        <f ca="1">IF($E63=-1,0,IF(M$13&lt;=$L62,IF(ISERROR(MATCH(M$13,OFFSET($L62,1,0,ROW($L$92)-ROW($L62)-1),0)),ROW($L$92)-ROW($L62)-1,MATCH(M$13,OFFSET($L62,1,0,ROW($L$92)-ROW($L62)-1),0)-1),0))</f>
        <v>29</v>
      </c>
      <c r="N62" s="246">
        <f ca="1">IF($E63=-1,0,IF(N$13&lt;=$L62,IF(ISERROR(MATCH(N$13,OFFSET($L62,1,0,ROW($L$92)-ROW($L62)-1),0)),ROW($L$92)-ROW($L62)-1,MATCH(N$13,OFFSET($L62,1,0,ROW($L$92)-ROW($L62)-1),0)-1),0))</f>
        <v>2</v>
      </c>
      <c r="O62" s="246">
        <f ca="1">IF($E63=-1,0,IF(O$13&lt;=$L62,IF(ISERROR(MATCH(O$13,OFFSET($L62,1,0,ROW($L$92)-ROW($L62)-1),0)),ROW($L$92)-ROW($L62)-1,MATCH(O$13,OFFSET($L62,1,0,ROW($L$92)-ROW($L62)-1),0)-1),0))</f>
        <v>0</v>
      </c>
      <c r="P62" s="246">
        <f ca="1">IF($E63=-1,0,IF(P$13&lt;=$L62,IF(ISERROR(MATCH(P$13,OFFSET($L62,1,0,ROW($L$92)-ROW($L62)-1),0)),ROW($L$92)-ROW($L62)-1,MATCH(P$13,OFFSET($L62,1,0,ROW($L$92)-ROW($L62)-1),0)-1),0))</f>
        <v>0</v>
      </c>
      <c r="Q62" s="246">
        <f t="shared" ref="Q62" ca="1" si="35">MIN(OFFSET(L62,0,1,,L62))</f>
        <v>2</v>
      </c>
      <c r="R62" s="247">
        <f ca="1">IF($E63=0,OFFSET(ORÇAMENTO!X$15,$E62,0),IF($E63&lt;&gt;-1,OFFSET(QCI!$O$13,$E63,0),""))</f>
        <v>0</v>
      </c>
      <c r="S62" s="248" t="s">
        <v>270</v>
      </c>
      <c r="T62" s="249">
        <f t="shared" ref="T62:AQ62" ca="1" si="36">IF(AND($Q62=2,ACOMPANHAMENTO="BM"),T63,T64/$R62)</f>
        <v>0</v>
      </c>
      <c r="U62" s="241">
        <f t="shared" ca="1" si="36"/>
        <v>0</v>
      </c>
      <c r="V62" s="241">
        <f t="shared" ca="1" si="36"/>
        <v>0</v>
      </c>
      <c r="W62" s="241">
        <f t="shared" ca="1" si="36"/>
        <v>0</v>
      </c>
      <c r="X62" s="241">
        <f t="shared" ca="1" si="36"/>
        <v>0</v>
      </c>
      <c r="Y62" s="241">
        <f t="shared" ca="1" si="36"/>
        <v>0</v>
      </c>
      <c r="Z62" s="241">
        <f t="shared" ca="1" si="36"/>
        <v>0</v>
      </c>
      <c r="AA62" s="241">
        <f t="shared" ca="1" si="36"/>
        <v>0</v>
      </c>
      <c r="AB62" s="241">
        <f t="shared" ca="1" si="36"/>
        <v>0</v>
      </c>
      <c r="AC62" s="241">
        <f t="shared" ca="1" si="36"/>
        <v>0</v>
      </c>
      <c r="AD62" s="241">
        <f t="shared" ca="1" si="36"/>
        <v>0</v>
      </c>
      <c r="AE62" s="250">
        <f t="shared" ca="1" si="36"/>
        <v>0.25</v>
      </c>
      <c r="AF62" s="249">
        <f t="shared" ca="1" si="36"/>
        <v>0.25</v>
      </c>
      <c r="AG62" s="241">
        <f t="shared" ca="1" si="36"/>
        <v>0.25</v>
      </c>
      <c r="AH62" s="241">
        <f t="shared" ca="1" si="36"/>
        <v>0.25</v>
      </c>
      <c r="AI62" s="241">
        <f t="shared" ca="1" si="36"/>
        <v>0</v>
      </c>
      <c r="AJ62" s="241">
        <f t="shared" ca="1" si="36"/>
        <v>0</v>
      </c>
      <c r="AK62" s="241">
        <f t="shared" ca="1" si="36"/>
        <v>0</v>
      </c>
      <c r="AL62" s="241">
        <f t="shared" ca="1" si="36"/>
        <v>0</v>
      </c>
      <c r="AM62" s="241">
        <f t="shared" ca="1" si="36"/>
        <v>0</v>
      </c>
      <c r="AN62" s="241">
        <f t="shared" ca="1" si="36"/>
        <v>0</v>
      </c>
      <c r="AO62" s="241">
        <f t="shared" ca="1" si="36"/>
        <v>0</v>
      </c>
      <c r="AP62" s="241">
        <f t="shared" ca="1" si="36"/>
        <v>0</v>
      </c>
      <c r="AQ62" s="250">
        <f t="shared" ca="1" si="36"/>
        <v>0</v>
      </c>
    </row>
    <row r="63" spans="1:44" ht="12.75" customHeight="1" x14ac:dyDescent="0.2">
      <c r="D63" s="657"/>
      <c r="E63" s="238">
        <f ca="1">IF(ISERROR(E62),IF(1+COUNTIF($L$13:OFFSET(L62,-1,0),1)&lt;=MAX(QCI!$D$13:$D$24),1+COUNTIF($L$13:OFFSET(L62,-1,0),1),-1),0)</f>
        <v>0</v>
      </c>
      <c r="F63" s="238" t="str">
        <f t="shared" ref="F63" ca="1" si="37">IF(AND($E63&lt;&gt;-1,$R62&gt;0),"F","")</f>
        <v/>
      </c>
      <c r="G63" s="251" t="str">
        <f ca="1">IF(OR(R62=0,R62=""),"vazia",IF(AND(OR(ACOMPANHAMENTO="PLE",$Q62&lt;&gt;2),$E63=0),"calculada","--&gt;"))</f>
        <v>vazia</v>
      </c>
      <c r="H63" s="252"/>
      <c r="I63" s="253" t="str">
        <f t="shared" ref="I63" ca="1" si="38">IF(AND(G62&lt;&gt;0,ISNUMBER(G62)),"PREENCHA ESTA LINHA --&gt;","")</f>
        <v/>
      </c>
      <c r="J63" s="253"/>
      <c r="K63" s="253"/>
      <c r="L63" s="254"/>
      <c r="M63" s="254"/>
      <c r="N63" s="254"/>
      <c r="O63" s="254"/>
      <c r="P63" s="254"/>
      <c r="Q63" s="254"/>
      <c r="R63" s="255"/>
      <c r="S63" s="256"/>
      <c r="T63" s="658"/>
      <c r="U63" s="657"/>
      <c r="V63" s="657"/>
      <c r="W63" s="657"/>
      <c r="X63" s="657"/>
      <c r="Y63" s="657"/>
      <c r="Z63" s="657"/>
      <c r="AA63" s="657"/>
      <c r="AB63" s="657"/>
      <c r="AC63" s="657"/>
      <c r="AD63" s="657"/>
      <c r="AE63" s="659">
        <v>0.25</v>
      </c>
      <c r="AF63" s="658">
        <v>0.25</v>
      </c>
      <c r="AG63" s="657">
        <v>0.25</v>
      </c>
      <c r="AH63" s="657">
        <v>0.25</v>
      </c>
      <c r="AI63" s="657"/>
      <c r="AJ63" s="657"/>
      <c r="AK63" s="657"/>
      <c r="AL63" s="657"/>
      <c r="AM63" s="657"/>
      <c r="AN63" s="657"/>
      <c r="AO63" s="657"/>
      <c r="AP63" s="657"/>
      <c r="AQ63" s="659"/>
      <c r="AR63" s="617"/>
    </row>
    <row r="64" spans="1:44" ht="0.2" hidden="1" customHeight="1" x14ac:dyDescent="0.2">
      <c r="D64" s="257">
        <f ca="1">IF($Q62=2,IF(AND(ACOMPANHAMENTO="PLE",ISNUMBER($E62)),SUMIF((OFFSET(CÁLCULO!$AM$15:$AW$15,$E62,0,OFFSET(ORÇAMENTO!$D$15,CRONO!$E62,0))),"="&amp;CRONO!D$12,OFFSET(CÁLCULO!$AB$15:$AL$15,$E62,0,OFFSET(ORÇAMENTO!$D$15,CRONO!$E62,0)))+IF(AND($E64&lt;&gt;"",$E64&lt;&gt;0),SUMIF(CÁLCULO!$AM$15:$AW$192,"="&amp;CRONO!D$12,CÁLCULO!$AB$15:$AL$192)/(ORÇAMENTO!$X$15-CÁLCULO.TotalAdmLocal)*CRONO!$E64,0),D63*$R62),SUMIF(OFFSET($R64,1,0,$Q62-2),($L62+1)&amp;"$",OFFSET(D64,1,0,$Q62-2)))</f>
        <v>0</v>
      </c>
      <c r="E64" s="238" t="str">
        <f ca="1">IF(OR($Q62&lt;&gt;2,AUTOEVENTO&lt;&gt;"manual",$E63&gt;0),"",SUMIF(OFFSET(CÁLCULO!$M$15,CRONO!$E62,0,OFFSET(ORÇAMENTO!$D$15,CRONO!$E62,0)),1,OFFSET(ORÇAMENTO!$X$15,CRONO!$E62,0,OFFSET(ORÇAMENTO!$D$15,CRONO!$E62,0))))</f>
        <v/>
      </c>
      <c r="G64" s="258"/>
      <c r="R64" s="259" t="str">
        <f t="shared" ref="R64" ca="1" si="39">L62&amp;"$"</f>
        <v>2$</v>
      </c>
      <c r="S64" s="260"/>
      <c r="T64" s="261">
        <f ca="1">IF($Q62=2,IF(AND(ACOMPANHAMENTO="PLE",ISNUMBER($E62)),SUMIF((OFFSET(CÁLCULO!$AM$15:$AW$15,$E62,0,OFFSET(ORÇAMENTO!$D$15,CRONO!$E62,0))),"&lt;="&amp;CRONO!T$12,OFFSET(CÁLCULO!$AB$15:$AL$15,$E62,0,OFFSET(ORÇAMENTO!$D$15,CRONO!$E62,0)))+IF(AND($E64&lt;&gt;"",$E64&lt;&gt;0),SUMIF(CÁLCULO!$AM$15:$AW$192,"&lt;="&amp;CRONO!T$12,CÁLCULO!$AB$15:$AL$192)/(ORÇAMENTO!$X$15-CÁLCULO.TotalAdmLocal)*CRONO!$E64,0),T63*$R62),SUMIF(OFFSET($R64,1,0,$Q62-2),($L62+1)&amp;"$",OFFSET(T64,1,0,$Q62-2)))</f>
        <v>0</v>
      </c>
      <c r="U64" s="257">
        <f ca="1">IF($Q62=2,IF(AND(ACOMPANHAMENTO="PLE",ISNUMBER($E62)),SUMIF((OFFSET(CÁLCULO!$AM$15:$AW$15,$E62,0,OFFSET(ORÇAMENTO!$D$15,CRONO!$E62,0))),"="&amp;CRONO!U$12,OFFSET(CÁLCULO!$AB$15:$AL$15,$E62,0,OFFSET(ORÇAMENTO!$D$15,CRONO!$E62,0)))+IF(AND($E64&lt;&gt;"",$E64&lt;&gt;0),SUMIF(CÁLCULO!$AM$15:$AW$192,"="&amp;CRONO!U$12,CÁLCULO!$AB$15:$AL$192)/(ORÇAMENTO!$X$15-CÁLCULO.TotalAdmLocal)*CRONO!$E64,0),U63*$R62),SUMIF(OFFSET($R64,1,0,$Q62-2),($L62+1)&amp;"$",OFFSET(U64,1,0,$Q62-2)))</f>
        <v>0</v>
      </c>
      <c r="V64" s="257">
        <f ca="1">IF($Q62=2,IF(AND(ACOMPANHAMENTO="PLE",ISNUMBER($E62)),SUMIF((OFFSET(CÁLCULO!$AM$15:$AW$15,$E62,0,OFFSET(ORÇAMENTO!$D$15,CRONO!$E62,0))),"="&amp;CRONO!V$12,OFFSET(CÁLCULO!$AB$15:$AL$15,$E62,0,OFFSET(ORÇAMENTO!$D$15,CRONO!$E62,0)))+IF(AND($E64&lt;&gt;"",$E64&lt;&gt;0),SUMIF(CÁLCULO!$AM$15:$AW$192,"="&amp;CRONO!V$12,CÁLCULO!$AB$15:$AL$192)/(ORÇAMENTO!$X$15-CÁLCULO.TotalAdmLocal)*CRONO!$E64,0),V63*$R62),SUMIF(OFFSET($R64,1,0,$Q62-2),($L62+1)&amp;"$",OFFSET(V64,1,0,$Q62-2)))</f>
        <v>0</v>
      </c>
      <c r="W64" s="257">
        <f ca="1">IF($Q62=2,IF(AND(ACOMPANHAMENTO="PLE",ISNUMBER($E62)),SUMIF((OFFSET(CÁLCULO!$AM$15:$AW$15,$E62,0,OFFSET(ORÇAMENTO!$D$15,CRONO!$E62,0))),"="&amp;CRONO!W$12,OFFSET(CÁLCULO!$AB$15:$AL$15,$E62,0,OFFSET(ORÇAMENTO!$D$15,CRONO!$E62,0)))+IF(AND($E64&lt;&gt;"",$E64&lt;&gt;0),SUMIF(CÁLCULO!$AM$15:$AW$192,"="&amp;CRONO!W$12,CÁLCULO!$AB$15:$AL$192)/(ORÇAMENTO!$X$15-CÁLCULO.TotalAdmLocal)*CRONO!$E64,0),W63*$R62),SUMIF(OFFSET($R64,1,0,$Q62-2),($L62+1)&amp;"$",OFFSET(W64,1,0,$Q62-2)))</f>
        <v>0</v>
      </c>
      <c r="X64" s="257">
        <f ca="1">IF($Q62=2,IF(AND(ACOMPANHAMENTO="PLE",ISNUMBER($E62)),SUMIF((OFFSET(CÁLCULO!$AM$15:$AW$15,$E62,0,OFFSET(ORÇAMENTO!$D$15,CRONO!$E62,0))),"="&amp;CRONO!X$12,OFFSET(CÁLCULO!$AB$15:$AL$15,$E62,0,OFFSET(ORÇAMENTO!$D$15,CRONO!$E62,0)))+IF(AND($E64&lt;&gt;"",$E64&lt;&gt;0),SUMIF(CÁLCULO!$AM$15:$AW$192,"="&amp;CRONO!X$12,CÁLCULO!$AB$15:$AL$192)/(ORÇAMENTO!$X$15-CÁLCULO.TotalAdmLocal)*CRONO!$E64,0),X63*$R62),SUMIF(OFFSET($R64,1,0,$Q62-2),($L62+1)&amp;"$",OFFSET(X64,1,0,$Q62-2)))</f>
        <v>0</v>
      </c>
      <c r="Y64" s="257">
        <f ca="1">IF($Q62=2,IF(AND(ACOMPANHAMENTO="PLE",ISNUMBER($E62)),SUMIF((OFFSET(CÁLCULO!$AM$15:$AW$15,$E62,0,OFFSET(ORÇAMENTO!$D$15,CRONO!$E62,0))),"="&amp;CRONO!Y$12,OFFSET(CÁLCULO!$AB$15:$AL$15,$E62,0,OFFSET(ORÇAMENTO!$D$15,CRONO!$E62,0)))+IF(AND($E64&lt;&gt;"",$E64&lt;&gt;0),SUMIF(CÁLCULO!$AM$15:$AW$192,"="&amp;CRONO!Y$12,CÁLCULO!$AB$15:$AL$192)/(ORÇAMENTO!$X$15-CÁLCULO.TotalAdmLocal)*CRONO!$E64,0),Y63*$R62),SUMIF(OFFSET($R64,1,0,$Q62-2),($L62+1)&amp;"$",OFFSET(Y64,1,0,$Q62-2)))</f>
        <v>0</v>
      </c>
      <c r="Z64" s="257">
        <f ca="1">IF($Q62=2,IF(AND(ACOMPANHAMENTO="PLE",ISNUMBER($E62)),SUMIF((OFFSET(CÁLCULO!$AM$15:$AW$15,$E62,0,OFFSET(ORÇAMENTO!$D$15,CRONO!$E62,0))),"="&amp;CRONO!Z$12,OFFSET(CÁLCULO!$AB$15:$AL$15,$E62,0,OFFSET(ORÇAMENTO!$D$15,CRONO!$E62,0)))+IF(AND($E64&lt;&gt;"",$E64&lt;&gt;0),SUMIF(CÁLCULO!$AM$15:$AW$192,"="&amp;CRONO!Z$12,CÁLCULO!$AB$15:$AL$192)/(ORÇAMENTO!$X$15-CÁLCULO.TotalAdmLocal)*CRONO!$E64,0),Z63*$R62),SUMIF(OFFSET($R64,1,0,$Q62-2),($L62+1)&amp;"$",OFFSET(Z64,1,0,$Q62-2)))</f>
        <v>0</v>
      </c>
      <c r="AA64" s="257">
        <f ca="1">IF($Q62=2,IF(AND(ACOMPANHAMENTO="PLE",ISNUMBER($E62)),SUMIF((OFFSET(CÁLCULO!$AM$15:$AW$15,$E62,0,OFFSET(ORÇAMENTO!$D$15,CRONO!$E62,0))),"="&amp;CRONO!AA$12,OFFSET(CÁLCULO!$AB$15:$AL$15,$E62,0,OFFSET(ORÇAMENTO!$D$15,CRONO!$E62,0)))+IF(AND($E64&lt;&gt;"",$E64&lt;&gt;0),SUMIF(CÁLCULO!$AM$15:$AW$192,"="&amp;CRONO!AA$12,CÁLCULO!$AB$15:$AL$192)/(ORÇAMENTO!$X$15-CÁLCULO.TotalAdmLocal)*CRONO!$E64,0),AA63*$R62),SUMIF(OFFSET($R64,1,0,$Q62-2),($L62+1)&amp;"$",OFFSET(AA64,1,0,$Q62-2)))</f>
        <v>0</v>
      </c>
      <c r="AB64" s="257">
        <f ca="1">IF($Q62=2,IF(AND(ACOMPANHAMENTO="PLE",ISNUMBER($E62)),SUMIF((OFFSET(CÁLCULO!$AM$15:$AW$15,$E62,0,OFFSET(ORÇAMENTO!$D$15,CRONO!$E62,0))),"="&amp;CRONO!AB$12,OFFSET(CÁLCULO!$AB$15:$AL$15,$E62,0,OFFSET(ORÇAMENTO!$D$15,CRONO!$E62,0)))+IF(AND($E64&lt;&gt;"",$E64&lt;&gt;0),SUMIF(CÁLCULO!$AM$15:$AW$192,"="&amp;CRONO!AB$12,CÁLCULO!$AB$15:$AL$192)/(ORÇAMENTO!$X$15-CÁLCULO.TotalAdmLocal)*CRONO!$E64,0),AB63*$R62),SUMIF(OFFSET($R64,1,0,$Q62-2),($L62+1)&amp;"$",OFFSET(AB64,1,0,$Q62-2)))</f>
        <v>0</v>
      </c>
      <c r="AC64" s="257">
        <f ca="1">IF($Q62=2,IF(AND(ACOMPANHAMENTO="PLE",ISNUMBER($E62)),SUMIF((OFFSET(CÁLCULO!$AM$15:$AW$15,$E62,0,OFFSET(ORÇAMENTO!$D$15,CRONO!$E62,0))),"="&amp;CRONO!AC$12,OFFSET(CÁLCULO!$AB$15:$AL$15,$E62,0,OFFSET(ORÇAMENTO!$D$15,CRONO!$E62,0)))+IF(AND($E64&lt;&gt;"",$E64&lt;&gt;0),SUMIF(CÁLCULO!$AM$15:$AW$192,"="&amp;CRONO!AC$12,CÁLCULO!$AB$15:$AL$192)/(ORÇAMENTO!$X$15-CÁLCULO.TotalAdmLocal)*CRONO!$E64,0),AC63*$R62),SUMIF(OFFSET($R64,1,0,$Q62-2),($L62+1)&amp;"$",OFFSET(AC64,1,0,$Q62-2)))</f>
        <v>0</v>
      </c>
      <c r="AD64" s="257">
        <f ca="1">IF($Q62=2,IF(AND(ACOMPANHAMENTO="PLE",ISNUMBER($E62)),SUMIF((OFFSET(CÁLCULO!$AM$15:$AW$15,$E62,0,OFFSET(ORÇAMENTO!$D$15,CRONO!$E62,0))),"="&amp;CRONO!AD$12,OFFSET(CÁLCULO!$AB$15:$AL$15,$E62,0,OFFSET(ORÇAMENTO!$D$15,CRONO!$E62,0)))+IF(AND($E64&lt;&gt;"",$E64&lt;&gt;0),SUMIF(CÁLCULO!$AM$15:$AW$192,"="&amp;CRONO!AD$12,CÁLCULO!$AB$15:$AL$192)/(ORÇAMENTO!$X$15-CÁLCULO.TotalAdmLocal)*CRONO!$E64,0),AD63*$R62),SUMIF(OFFSET($R64,1,0,$Q62-2),($L62+1)&amp;"$",OFFSET(AD64,1,0,$Q62-2)))</f>
        <v>0</v>
      </c>
      <c r="AE64" s="262">
        <f ca="1">IF($Q62=2,IF(AND(ACOMPANHAMENTO="PLE",ISNUMBER($E62)),SUMIF((OFFSET(CÁLCULO!$AM$15:$AW$15,$E62,0,OFFSET(ORÇAMENTO!$D$15,CRONO!$E62,0))),"="&amp;CRONO!AE$12,OFFSET(CÁLCULO!$AB$15:$AL$15,$E62,0,OFFSET(ORÇAMENTO!$D$15,CRONO!$E62,0)))+IF(AND($E64&lt;&gt;"",$E64&lt;&gt;0),SUMIF(CÁLCULO!$AM$15:$AW$192,"="&amp;CRONO!AE$12,CÁLCULO!$AB$15:$AL$192)/(ORÇAMENTO!$X$15-CÁLCULO.TotalAdmLocal)*CRONO!$E64,0),AE63*$R62),SUMIF(OFFSET($R64,1,0,$Q62-2),($L62+1)&amp;"$",OFFSET(AE64,1,0,$Q62-2)))</f>
        <v>0</v>
      </c>
      <c r="AF64" s="261">
        <f ca="1">IF($Q62=2,IF(AND(ACOMPANHAMENTO="PLE",ISNUMBER($E62)),SUMIF((OFFSET(CÁLCULO!$AM$15:$AW$15,$E62,0,OFFSET(ORÇAMENTO!$D$15,CRONO!$E62,0))),"="&amp;CRONO!AF$12,OFFSET(CÁLCULO!$AB$15:$AL$15,$E62,0,OFFSET(ORÇAMENTO!$D$15,CRONO!$E62,0)))+IF(AND($E64&lt;&gt;"",$E64&lt;&gt;0),SUMIF(CÁLCULO!$AM$15:$AW$192,"="&amp;CRONO!AF$12,CÁLCULO!$AB$15:$AL$192)/(ORÇAMENTO!$X$15-CÁLCULO.TotalAdmLocal)*CRONO!$E64,0),AF63*$R62),SUMIF(OFFSET($R64,1,0,$Q62-2),($L62+1)&amp;"$",OFFSET(AF64,1,0,$Q62-2)))</f>
        <v>0</v>
      </c>
      <c r="AG64" s="257">
        <f ca="1">IF($Q62=2,IF(AND(ACOMPANHAMENTO="PLE",ISNUMBER($E62)),SUMIF((OFFSET(CÁLCULO!$AM$15:$AW$15,$E62,0,OFFSET(ORÇAMENTO!$D$15,CRONO!$E62,0))),"="&amp;CRONO!AG$12,OFFSET(CÁLCULO!$AB$15:$AL$15,$E62,0,OFFSET(ORÇAMENTO!$D$15,CRONO!$E62,0)))+IF(AND($E64&lt;&gt;"",$E64&lt;&gt;0),SUMIF(CÁLCULO!$AM$15:$AW$192,"="&amp;CRONO!AG$12,CÁLCULO!$AB$15:$AL$192)/(ORÇAMENTO!$X$15-CÁLCULO.TotalAdmLocal)*CRONO!$E64,0),AG63*$R62),SUMIF(OFFSET($R64,1,0,$Q62-2),($L62+1)&amp;"$",OFFSET(AG64,1,0,$Q62-2)))</f>
        <v>0</v>
      </c>
      <c r="AH64" s="257">
        <f ca="1">IF($Q62=2,IF(AND(ACOMPANHAMENTO="PLE",ISNUMBER($E62)),SUMIF((OFFSET(CÁLCULO!$AM$15:$AW$15,$E62,0,OFFSET(ORÇAMENTO!$D$15,CRONO!$E62,0))),"="&amp;CRONO!AH$12,OFFSET(CÁLCULO!$AB$15:$AL$15,$E62,0,OFFSET(ORÇAMENTO!$D$15,CRONO!$E62,0)))+IF(AND($E64&lt;&gt;"",$E64&lt;&gt;0),SUMIF(CÁLCULO!$AM$15:$AW$192,"="&amp;CRONO!AH$12,CÁLCULO!$AB$15:$AL$192)/(ORÇAMENTO!$X$15-CÁLCULO.TotalAdmLocal)*CRONO!$E64,0),AH63*$R62),SUMIF(OFFSET($R64,1,0,$Q62-2),($L62+1)&amp;"$",OFFSET(AH64,1,0,$Q62-2)))</f>
        <v>0</v>
      </c>
      <c r="AI64" s="257">
        <f ca="1">IF($Q62=2,IF(AND(ACOMPANHAMENTO="PLE",ISNUMBER($E62)),SUMIF((OFFSET(CÁLCULO!$AM$15:$AW$15,$E62,0,OFFSET(ORÇAMENTO!$D$15,CRONO!$E62,0))),"="&amp;CRONO!AI$12,OFFSET(CÁLCULO!$AB$15:$AL$15,$E62,0,OFFSET(ORÇAMENTO!$D$15,CRONO!$E62,0)))+IF(AND($E64&lt;&gt;"",$E64&lt;&gt;0),SUMIF(CÁLCULO!$AM$15:$AW$192,"="&amp;CRONO!AI$12,CÁLCULO!$AB$15:$AL$192)/(ORÇAMENTO!$X$15-CÁLCULO.TotalAdmLocal)*CRONO!$E64,0),AI63*$R62),SUMIF(OFFSET($R64,1,0,$Q62-2),($L62+1)&amp;"$",OFFSET(AI64,1,0,$Q62-2)))</f>
        <v>0</v>
      </c>
      <c r="AJ64" s="257">
        <f ca="1">IF($Q62=2,IF(AND(ACOMPANHAMENTO="PLE",ISNUMBER($E62)),SUMIF((OFFSET(CÁLCULO!$AM$15:$AW$15,$E62,0,OFFSET(ORÇAMENTO!$D$15,CRONO!$E62,0))),"="&amp;CRONO!AJ$12,OFFSET(CÁLCULO!$AB$15:$AL$15,$E62,0,OFFSET(ORÇAMENTO!$D$15,CRONO!$E62,0)))+IF(AND($E64&lt;&gt;"",$E64&lt;&gt;0),SUMIF(CÁLCULO!$AM$15:$AW$192,"="&amp;CRONO!AJ$12,CÁLCULO!$AB$15:$AL$192)/(ORÇAMENTO!$X$15-CÁLCULO.TotalAdmLocal)*CRONO!$E64,0),AJ63*$R62),SUMIF(OFFSET($R64,1,0,$Q62-2),($L62+1)&amp;"$",OFFSET(AJ64,1,0,$Q62-2)))</f>
        <v>0</v>
      </c>
      <c r="AK64" s="257">
        <f ca="1">IF($Q62=2,IF(AND(ACOMPANHAMENTO="PLE",ISNUMBER($E62)),SUMIF((OFFSET(CÁLCULO!$AM$15:$AW$15,$E62,0,OFFSET(ORÇAMENTO!$D$15,CRONO!$E62,0))),"="&amp;CRONO!AK$12,OFFSET(CÁLCULO!$AB$15:$AL$15,$E62,0,OFFSET(ORÇAMENTO!$D$15,CRONO!$E62,0)))+IF(AND($E64&lt;&gt;"",$E64&lt;&gt;0),SUMIF(CÁLCULO!$AM$15:$AW$192,"="&amp;CRONO!AK$12,CÁLCULO!$AB$15:$AL$192)/(ORÇAMENTO!$X$15-CÁLCULO.TotalAdmLocal)*CRONO!$E64,0),AK63*$R62),SUMIF(OFFSET($R64,1,0,$Q62-2),($L62+1)&amp;"$",OFFSET(AK64,1,0,$Q62-2)))</f>
        <v>0</v>
      </c>
      <c r="AL64" s="257">
        <f ca="1">IF($Q62=2,IF(AND(ACOMPANHAMENTO="PLE",ISNUMBER($E62)),SUMIF((OFFSET(CÁLCULO!$AM$15:$AW$15,$E62,0,OFFSET(ORÇAMENTO!$D$15,CRONO!$E62,0))),"="&amp;CRONO!AL$12,OFFSET(CÁLCULO!$AB$15:$AL$15,$E62,0,OFFSET(ORÇAMENTO!$D$15,CRONO!$E62,0)))+IF(AND($E64&lt;&gt;"",$E64&lt;&gt;0),SUMIF(CÁLCULO!$AM$15:$AW$192,"="&amp;CRONO!AL$12,CÁLCULO!$AB$15:$AL$192)/(ORÇAMENTO!$X$15-CÁLCULO.TotalAdmLocal)*CRONO!$E64,0),AL63*$R62),SUMIF(OFFSET($R64,1,0,$Q62-2),($L62+1)&amp;"$",OFFSET(AL64,1,0,$Q62-2)))</f>
        <v>0</v>
      </c>
      <c r="AM64" s="257">
        <f ca="1">IF($Q62=2,IF(AND(ACOMPANHAMENTO="PLE",ISNUMBER($E62)),SUMIF((OFFSET(CÁLCULO!$AM$15:$AW$15,$E62,0,OFFSET(ORÇAMENTO!$D$15,CRONO!$E62,0))),"="&amp;CRONO!AM$12,OFFSET(CÁLCULO!$AB$15:$AL$15,$E62,0,OFFSET(ORÇAMENTO!$D$15,CRONO!$E62,0)))+IF(AND($E64&lt;&gt;"",$E64&lt;&gt;0),SUMIF(CÁLCULO!$AM$15:$AW$192,"="&amp;CRONO!AM$12,CÁLCULO!$AB$15:$AL$192)/(ORÇAMENTO!$X$15-CÁLCULO.TotalAdmLocal)*CRONO!$E64,0),AM63*$R62),SUMIF(OFFSET($R64,1,0,$Q62-2),($L62+1)&amp;"$",OFFSET(AM64,1,0,$Q62-2)))</f>
        <v>0</v>
      </c>
      <c r="AN64" s="257">
        <f ca="1">IF($Q62=2,IF(AND(ACOMPANHAMENTO="PLE",ISNUMBER($E62)),SUMIF((OFFSET(CÁLCULO!$AM$15:$AW$15,$E62,0,OFFSET(ORÇAMENTO!$D$15,CRONO!$E62,0))),"="&amp;CRONO!AN$12,OFFSET(CÁLCULO!$AB$15:$AL$15,$E62,0,OFFSET(ORÇAMENTO!$D$15,CRONO!$E62,0)))+IF(AND($E64&lt;&gt;"",$E64&lt;&gt;0),SUMIF(CÁLCULO!$AM$15:$AW$192,"="&amp;CRONO!AN$12,CÁLCULO!$AB$15:$AL$192)/(ORÇAMENTO!$X$15-CÁLCULO.TotalAdmLocal)*CRONO!$E64,0),AN63*$R62),SUMIF(OFFSET($R64,1,0,$Q62-2),($L62+1)&amp;"$",OFFSET(AN64,1,0,$Q62-2)))</f>
        <v>0</v>
      </c>
      <c r="AO64" s="257">
        <f ca="1">IF($Q62=2,IF(AND(ACOMPANHAMENTO="PLE",ISNUMBER($E62)),SUMIF((OFFSET(CÁLCULO!$AM$15:$AW$15,$E62,0,OFFSET(ORÇAMENTO!$D$15,CRONO!$E62,0))),"="&amp;CRONO!AO$12,OFFSET(CÁLCULO!$AB$15:$AL$15,$E62,0,OFFSET(ORÇAMENTO!$D$15,CRONO!$E62,0)))+IF(AND($E64&lt;&gt;"",$E64&lt;&gt;0),SUMIF(CÁLCULO!$AM$15:$AW$192,"="&amp;CRONO!AO$12,CÁLCULO!$AB$15:$AL$192)/(ORÇAMENTO!$X$15-CÁLCULO.TotalAdmLocal)*CRONO!$E64,0),AO63*$R62),SUMIF(OFFSET($R64,1,0,$Q62-2),($L62+1)&amp;"$",OFFSET(AO64,1,0,$Q62-2)))</f>
        <v>0</v>
      </c>
      <c r="AP64" s="257">
        <f ca="1">IF($Q62=2,IF(AND(ACOMPANHAMENTO="PLE",ISNUMBER($E62)),SUMIF((OFFSET(CÁLCULO!$AM$15:$AW$15,$E62,0,OFFSET(ORÇAMENTO!$D$15,CRONO!$E62,0))),"="&amp;CRONO!AP$12,OFFSET(CÁLCULO!$AB$15:$AL$15,$E62,0,OFFSET(ORÇAMENTO!$D$15,CRONO!$E62,0)))+IF(AND($E64&lt;&gt;"",$E64&lt;&gt;0),SUMIF(CÁLCULO!$AM$15:$AW$192,"="&amp;CRONO!AP$12,CÁLCULO!$AB$15:$AL$192)/(ORÇAMENTO!$X$15-CÁLCULO.TotalAdmLocal)*CRONO!$E64,0),AP63*$R62),SUMIF(OFFSET($R64,1,0,$Q62-2),($L62+1)&amp;"$",OFFSET(AP64,1,0,$Q62-2)))</f>
        <v>0</v>
      </c>
      <c r="AQ64" s="262">
        <f ca="1">IF($Q62=2,IF(AND(ACOMPANHAMENTO="PLE",ISNUMBER($E62)),SUMIF((OFFSET(CÁLCULO!$AM$15:$AW$15,$E62,0,OFFSET(ORÇAMENTO!$D$15,CRONO!$E62,0))),"="&amp;CRONO!AQ$12,OFFSET(CÁLCULO!$AB$15:$AL$15,$E62,0,OFFSET(ORÇAMENTO!$D$15,CRONO!$E62,0)))+IF(AND($E64&lt;&gt;"",$E64&lt;&gt;0),SUMIF(CÁLCULO!$AM$15:$AW$192,"="&amp;CRONO!AQ$12,CÁLCULO!$AB$15:$AL$192)/(ORÇAMENTO!$X$15-CÁLCULO.TotalAdmLocal)*CRONO!$E64,0),AQ63*$R62),SUMIF(OFFSET($R64,1,0,$Q62-2),($L62+1)&amp;"$",OFFSET(AQ64,1,0,$Q62-2)))</f>
        <v>0</v>
      </c>
    </row>
    <row r="65" spans="1:44" x14ac:dyDescent="0.2">
      <c r="A65" s="238">
        <f t="shared" ref="A65" ca="1" si="40">OFFSET(A65,-3,0)+1</f>
        <v>18</v>
      </c>
      <c r="B65" s="238">
        <f ca="1">IF($Q65&lt;&gt;2,0,IF($R65=0,1,IF(E66&gt;0,OFFSET(QCI!$M$13,SUBSTITUTE(E66,".",""),0),OFFSET(ORÇAMENTO!$AA$15,CRONO!$E65,0))/$R65))</f>
        <v>1</v>
      </c>
      <c r="C65" s="238">
        <f ca="1">IF($Q65&lt;&gt;2,0,IF($R65=0,1,IF(E66&gt;0,OFFSET(QCI!$N$13,SUBSTITUTE(E66,".",""),0),OFFSET(ORÇAMENTO!$AB$15,CRONO!$E65,0))/$R65))</f>
        <v>1</v>
      </c>
      <c r="D65" s="241">
        <f ca="1">IF(AND($Q65=2,ACOMPANHAMENTO="BM"),D66,D67/$R65)</f>
        <v>0</v>
      </c>
      <c r="E65" s="238">
        <f ca="1">IF(A65&lt;=ORÇAMENTO.MáximoListaCrono,MATCH(A65,ORÇAMENTO.ListaCrono,0),NA())</f>
        <v>89</v>
      </c>
      <c r="F65" s="238" t="str">
        <f t="shared" ref="F65" ca="1" si="41">IF(AND($E66&lt;&gt;-1,$R65&gt;0),"F","")</f>
        <v/>
      </c>
      <c r="G65" s="242" t="str">
        <f ca="1">IF(OR(R65=0,R65=""),"Linha",IF(AND(OR(ACOMPANHAMENTO="PLE",$Q65&lt;&gt;2),$E66=0),"Linha",1-SUM(T65:AR65)))</f>
        <v>Linha</v>
      </c>
      <c r="H65" s="243" t="str">
        <f ca="1">IF($E66=0,OFFSET(ORÇAMENTO!O$15,$E65,0),IF($E66&lt;&gt;-1,OFFSET(QCI!$D$13,$E66,0),""))</f>
        <v>1.17.</v>
      </c>
      <c r="I65" s="244" t="str">
        <f ca="1">IF($E66=0,OFFSET(ORÇAMENTO!R$15,$E65,0),IF($E66&lt;&gt;-1,OFFSET(QCI!$G$13,$E66,0),""))</f>
        <v xml:space="preserve">PREVENTIVO DE INCENDIO </v>
      </c>
      <c r="J65" s="244"/>
      <c r="K65" s="244"/>
      <c r="L65" s="245">
        <f ca="1">IF($E66=0,OFFSET(ORÇAMENTO!C$15,$E65,0),1)</f>
        <v>2</v>
      </c>
      <c r="M65" s="246">
        <f ca="1">IF($E66=-1,0,IF(M$13&lt;=$L65,IF(ISERROR(MATCH(M$13,OFFSET($L65,1,0,ROW($L$92)-ROW($L65)-1),0)),ROW($L$92)-ROW($L65)-1,MATCH(M$13,OFFSET($L65,1,0,ROW($L$92)-ROW($L65)-1),0)-1),0))</f>
        <v>26</v>
      </c>
      <c r="N65" s="246">
        <f ca="1">IF($E66=-1,0,IF(N$13&lt;=$L65,IF(ISERROR(MATCH(N$13,OFFSET($L65,1,0,ROW($L$92)-ROW($L65)-1),0)),ROW($L$92)-ROW($L65)-1,MATCH(N$13,OFFSET($L65,1,0,ROW($L$92)-ROW($L65)-1),0)-1),0))</f>
        <v>2</v>
      </c>
      <c r="O65" s="246">
        <f ca="1">IF($E66=-1,0,IF(O$13&lt;=$L65,IF(ISERROR(MATCH(O$13,OFFSET($L65,1,0,ROW($L$92)-ROW($L65)-1),0)),ROW($L$92)-ROW($L65)-1,MATCH(O$13,OFFSET($L65,1,0,ROW($L$92)-ROW($L65)-1),0)-1),0))</f>
        <v>0</v>
      </c>
      <c r="P65" s="246">
        <f ca="1">IF($E66=-1,0,IF(P$13&lt;=$L65,IF(ISERROR(MATCH(P$13,OFFSET($L65,1,0,ROW($L$92)-ROW($L65)-1),0)),ROW($L$92)-ROW($L65)-1,MATCH(P$13,OFFSET($L65,1,0,ROW($L$92)-ROW($L65)-1),0)-1),0))</f>
        <v>0</v>
      </c>
      <c r="Q65" s="246">
        <f t="shared" ref="Q65" ca="1" si="42">MIN(OFFSET(L65,0,1,,L65))</f>
        <v>2</v>
      </c>
      <c r="R65" s="247">
        <f ca="1">IF($E66=0,OFFSET(ORÇAMENTO!X$15,$E65,0),IF($E66&lt;&gt;-1,OFFSET(QCI!$O$13,$E66,0),""))</f>
        <v>0</v>
      </c>
      <c r="S65" s="248" t="s">
        <v>270</v>
      </c>
      <c r="T65" s="249">
        <f t="shared" ref="T65:AQ65" ca="1" si="43">IF(AND($Q65=2,ACOMPANHAMENTO="BM"),T66,T67/$R65)</f>
        <v>0</v>
      </c>
      <c r="U65" s="241">
        <f t="shared" ca="1" si="43"/>
        <v>0</v>
      </c>
      <c r="V65" s="241">
        <f t="shared" ca="1" si="43"/>
        <v>0</v>
      </c>
      <c r="W65" s="241">
        <f t="shared" ca="1" si="43"/>
        <v>0</v>
      </c>
      <c r="X65" s="241">
        <f t="shared" ca="1" si="43"/>
        <v>0</v>
      </c>
      <c r="Y65" s="241">
        <f t="shared" ca="1" si="43"/>
        <v>0</v>
      </c>
      <c r="Z65" s="241">
        <f t="shared" ca="1" si="43"/>
        <v>0</v>
      </c>
      <c r="AA65" s="241">
        <f t="shared" ca="1" si="43"/>
        <v>0</v>
      </c>
      <c r="AB65" s="241">
        <f t="shared" ca="1" si="43"/>
        <v>0</v>
      </c>
      <c r="AC65" s="241">
        <f t="shared" ca="1" si="43"/>
        <v>0</v>
      </c>
      <c r="AD65" s="241">
        <f t="shared" ca="1" si="43"/>
        <v>0</v>
      </c>
      <c r="AE65" s="250">
        <f t="shared" ca="1" si="43"/>
        <v>0</v>
      </c>
      <c r="AF65" s="249">
        <f t="shared" ca="1" si="43"/>
        <v>0</v>
      </c>
      <c r="AG65" s="241">
        <f t="shared" ca="1" si="43"/>
        <v>1</v>
      </c>
      <c r="AH65" s="241">
        <f t="shared" ca="1" si="43"/>
        <v>0</v>
      </c>
      <c r="AI65" s="241">
        <f t="shared" ca="1" si="43"/>
        <v>0</v>
      </c>
      <c r="AJ65" s="241">
        <f t="shared" ca="1" si="43"/>
        <v>0</v>
      </c>
      <c r="AK65" s="241">
        <f t="shared" ca="1" si="43"/>
        <v>0</v>
      </c>
      <c r="AL65" s="241">
        <f t="shared" ca="1" si="43"/>
        <v>0</v>
      </c>
      <c r="AM65" s="241">
        <f t="shared" ca="1" si="43"/>
        <v>0</v>
      </c>
      <c r="AN65" s="241">
        <f t="shared" ca="1" si="43"/>
        <v>0</v>
      </c>
      <c r="AO65" s="241">
        <f t="shared" ca="1" si="43"/>
        <v>0</v>
      </c>
      <c r="AP65" s="241">
        <f t="shared" ca="1" si="43"/>
        <v>0</v>
      </c>
      <c r="AQ65" s="250">
        <f t="shared" ca="1" si="43"/>
        <v>0</v>
      </c>
    </row>
    <row r="66" spans="1:44" ht="12.75" customHeight="1" x14ac:dyDescent="0.2">
      <c r="D66" s="657"/>
      <c r="E66" s="238">
        <f ca="1">IF(ISERROR(E65),IF(1+COUNTIF($L$13:OFFSET(L65,-1,0),1)&lt;=MAX(QCI!$D$13:$D$24),1+COUNTIF($L$13:OFFSET(L65,-1,0),1),-1),0)</f>
        <v>0</v>
      </c>
      <c r="F66" s="238" t="str">
        <f t="shared" ref="F66" ca="1" si="44">IF(AND($E66&lt;&gt;-1,$R65&gt;0),"F","")</f>
        <v/>
      </c>
      <c r="G66" s="251" t="str">
        <f ca="1">IF(OR(R65=0,R65=""),"vazia",IF(AND(OR(ACOMPANHAMENTO="PLE",$Q65&lt;&gt;2),$E66=0),"calculada","--&gt;"))</f>
        <v>vazia</v>
      </c>
      <c r="H66" s="252"/>
      <c r="I66" s="253" t="str">
        <f t="shared" ref="I66" ca="1" si="45">IF(AND(G65&lt;&gt;0,ISNUMBER(G65)),"PREENCHA ESTA LINHA --&gt;","")</f>
        <v/>
      </c>
      <c r="J66" s="253"/>
      <c r="K66" s="253"/>
      <c r="L66" s="254"/>
      <c r="M66" s="254"/>
      <c r="N66" s="254"/>
      <c r="O66" s="254"/>
      <c r="P66" s="254"/>
      <c r="Q66" s="254"/>
      <c r="R66" s="255"/>
      <c r="S66" s="256"/>
      <c r="T66" s="658"/>
      <c r="U66" s="657"/>
      <c r="V66" s="657"/>
      <c r="W66" s="657"/>
      <c r="X66" s="657"/>
      <c r="Y66" s="657"/>
      <c r="Z66" s="657"/>
      <c r="AA66" s="657"/>
      <c r="AB66" s="657"/>
      <c r="AC66" s="657"/>
      <c r="AD66" s="657"/>
      <c r="AE66" s="659"/>
      <c r="AF66" s="658"/>
      <c r="AG66" s="657">
        <v>1</v>
      </c>
      <c r="AH66" s="657"/>
      <c r="AI66" s="657"/>
      <c r="AJ66" s="657"/>
      <c r="AK66" s="657"/>
      <c r="AL66" s="657"/>
      <c r="AM66" s="657"/>
      <c r="AN66" s="657"/>
      <c r="AO66" s="657"/>
      <c r="AP66" s="657"/>
      <c r="AQ66" s="659"/>
      <c r="AR66" s="617"/>
    </row>
    <row r="67" spans="1:44" ht="0.2" hidden="1" customHeight="1" x14ac:dyDescent="0.2">
      <c r="D67" s="257">
        <f ca="1">IF($Q65=2,IF(AND(ACOMPANHAMENTO="PLE",ISNUMBER($E65)),SUMIF((OFFSET(CÁLCULO!$AM$15:$AW$15,$E65,0,OFFSET(ORÇAMENTO!$D$15,CRONO!$E65,0))),"="&amp;CRONO!D$12,OFFSET(CÁLCULO!$AB$15:$AL$15,$E65,0,OFFSET(ORÇAMENTO!$D$15,CRONO!$E65,0)))+IF(AND($E67&lt;&gt;"",$E67&lt;&gt;0),SUMIF(CÁLCULO!$AM$15:$AW$192,"="&amp;CRONO!D$12,CÁLCULO!$AB$15:$AL$192)/(ORÇAMENTO!$X$15-CÁLCULO.TotalAdmLocal)*CRONO!$E67,0),D66*$R65),SUMIF(OFFSET($R67,1,0,$Q65-2),($L65+1)&amp;"$",OFFSET(D67,1,0,$Q65-2)))</f>
        <v>0</v>
      </c>
      <c r="E67" s="238" t="str">
        <f ca="1">IF(OR($Q65&lt;&gt;2,AUTOEVENTO&lt;&gt;"manual",$E66&gt;0),"",SUMIF(OFFSET(CÁLCULO!$M$15,CRONO!$E65,0,OFFSET(ORÇAMENTO!$D$15,CRONO!$E65,0)),1,OFFSET(ORÇAMENTO!$X$15,CRONO!$E65,0,OFFSET(ORÇAMENTO!$D$15,CRONO!$E65,0))))</f>
        <v/>
      </c>
      <c r="G67" s="258"/>
      <c r="R67" s="259" t="str">
        <f t="shared" ref="R67" ca="1" si="46">L65&amp;"$"</f>
        <v>2$</v>
      </c>
      <c r="S67" s="260"/>
      <c r="T67" s="261">
        <f ca="1">IF($Q65=2,IF(AND(ACOMPANHAMENTO="PLE",ISNUMBER($E65)),SUMIF((OFFSET(CÁLCULO!$AM$15:$AW$15,$E65,0,OFFSET(ORÇAMENTO!$D$15,CRONO!$E65,0))),"&lt;="&amp;CRONO!T$12,OFFSET(CÁLCULO!$AB$15:$AL$15,$E65,0,OFFSET(ORÇAMENTO!$D$15,CRONO!$E65,0)))+IF(AND($E67&lt;&gt;"",$E67&lt;&gt;0),SUMIF(CÁLCULO!$AM$15:$AW$192,"&lt;="&amp;CRONO!T$12,CÁLCULO!$AB$15:$AL$192)/(ORÇAMENTO!$X$15-CÁLCULO.TotalAdmLocal)*CRONO!$E67,0),T66*$R65),SUMIF(OFFSET($R67,1,0,$Q65-2),($L65+1)&amp;"$",OFFSET(T67,1,0,$Q65-2)))</f>
        <v>0</v>
      </c>
      <c r="U67" s="257">
        <f ca="1">IF($Q65=2,IF(AND(ACOMPANHAMENTO="PLE",ISNUMBER($E65)),SUMIF((OFFSET(CÁLCULO!$AM$15:$AW$15,$E65,0,OFFSET(ORÇAMENTO!$D$15,CRONO!$E65,0))),"="&amp;CRONO!U$12,OFFSET(CÁLCULO!$AB$15:$AL$15,$E65,0,OFFSET(ORÇAMENTO!$D$15,CRONO!$E65,0)))+IF(AND($E67&lt;&gt;"",$E67&lt;&gt;0),SUMIF(CÁLCULO!$AM$15:$AW$192,"="&amp;CRONO!U$12,CÁLCULO!$AB$15:$AL$192)/(ORÇAMENTO!$X$15-CÁLCULO.TotalAdmLocal)*CRONO!$E67,0),U66*$R65),SUMIF(OFFSET($R67,1,0,$Q65-2),($L65+1)&amp;"$",OFFSET(U67,1,0,$Q65-2)))</f>
        <v>0</v>
      </c>
      <c r="V67" s="257">
        <f ca="1">IF($Q65=2,IF(AND(ACOMPANHAMENTO="PLE",ISNUMBER($E65)),SUMIF((OFFSET(CÁLCULO!$AM$15:$AW$15,$E65,0,OFFSET(ORÇAMENTO!$D$15,CRONO!$E65,0))),"="&amp;CRONO!V$12,OFFSET(CÁLCULO!$AB$15:$AL$15,$E65,0,OFFSET(ORÇAMENTO!$D$15,CRONO!$E65,0)))+IF(AND($E67&lt;&gt;"",$E67&lt;&gt;0),SUMIF(CÁLCULO!$AM$15:$AW$192,"="&amp;CRONO!V$12,CÁLCULO!$AB$15:$AL$192)/(ORÇAMENTO!$X$15-CÁLCULO.TotalAdmLocal)*CRONO!$E67,0),V66*$R65),SUMIF(OFFSET($R67,1,0,$Q65-2),($L65+1)&amp;"$",OFFSET(V67,1,0,$Q65-2)))</f>
        <v>0</v>
      </c>
      <c r="W67" s="257">
        <f ca="1">IF($Q65=2,IF(AND(ACOMPANHAMENTO="PLE",ISNUMBER($E65)),SUMIF((OFFSET(CÁLCULO!$AM$15:$AW$15,$E65,0,OFFSET(ORÇAMENTO!$D$15,CRONO!$E65,0))),"="&amp;CRONO!W$12,OFFSET(CÁLCULO!$AB$15:$AL$15,$E65,0,OFFSET(ORÇAMENTO!$D$15,CRONO!$E65,0)))+IF(AND($E67&lt;&gt;"",$E67&lt;&gt;0),SUMIF(CÁLCULO!$AM$15:$AW$192,"="&amp;CRONO!W$12,CÁLCULO!$AB$15:$AL$192)/(ORÇAMENTO!$X$15-CÁLCULO.TotalAdmLocal)*CRONO!$E67,0),W66*$R65),SUMIF(OFFSET($R67,1,0,$Q65-2),($L65+1)&amp;"$",OFFSET(W67,1,0,$Q65-2)))</f>
        <v>0</v>
      </c>
      <c r="X67" s="257">
        <f ca="1">IF($Q65=2,IF(AND(ACOMPANHAMENTO="PLE",ISNUMBER($E65)),SUMIF((OFFSET(CÁLCULO!$AM$15:$AW$15,$E65,0,OFFSET(ORÇAMENTO!$D$15,CRONO!$E65,0))),"="&amp;CRONO!X$12,OFFSET(CÁLCULO!$AB$15:$AL$15,$E65,0,OFFSET(ORÇAMENTO!$D$15,CRONO!$E65,0)))+IF(AND($E67&lt;&gt;"",$E67&lt;&gt;0),SUMIF(CÁLCULO!$AM$15:$AW$192,"="&amp;CRONO!X$12,CÁLCULO!$AB$15:$AL$192)/(ORÇAMENTO!$X$15-CÁLCULO.TotalAdmLocal)*CRONO!$E67,0),X66*$R65),SUMIF(OFFSET($R67,1,0,$Q65-2),($L65+1)&amp;"$",OFFSET(X67,1,0,$Q65-2)))</f>
        <v>0</v>
      </c>
      <c r="Y67" s="257">
        <f ca="1">IF($Q65=2,IF(AND(ACOMPANHAMENTO="PLE",ISNUMBER($E65)),SUMIF((OFFSET(CÁLCULO!$AM$15:$AW$15,$E65,0,OFFSET(ORÇAMENTO!$D$15,CRONO!$E65,0))),"="&amp;CRONO!Y$12,OFFSET(CÁLCULO!$AB$15:$AL$15,$E65,0,OFFSET(ORÇAMENTO!$D$15,CRONO!$E65,0)))+IF(AND($E67&lt;&gt;"",$E67&lt;&gt;0),SUMIF(CÁLCULO!$AM$15:$AW$192,"="&amp;CRONO!Y$12,CÁLCULO!$AB$15:$AL$192)/(ORÇAMENTO!$X$15-CÁLCULO.TotalAdmLocal)*CRONO!$E67,0),Y66*$R65),SUMIF(OFFSET($R67,1,0,$Q65-2),($L65+1)&amp;"$",OFFSET(Y67,1,0,$Q65-2)))</f>
        <v>0</v>
      </c>
      <c r="Z67" s="257">
        <f ca="1">IF($Q65=2,IF(AND(ACOMPANHAMENTO="PLE",ISNUMBER($E65)),SUMIF((OFFSET(CÁLCULO!$AM$15:$AW$15,$E65,0,OFFSET(ORÇAMENTO!$D$15,CRONO!$E65,0))),"="&amp;CRONO!Z$12,OFFSET(CÁLCULO!$AB$15:$AL$15,$E65,0,OFFSET(ORÇAMENTO!$D$15,CRONO!$E65,0)))+IF(AND($E67&lt;&gt;"",$E67&lt;&gt;0),SUMIF(CÁLCULO!$AM$15:$AW$192,"="&amp;CRONO!Z$12,CÁLCULO!$AB$15:$AL$192)/(ORÇAMENTO!$X$15-CÁLCULO.TotalAdmLocal)*CRONO!$E67,0),Z66*$R65),SUMIF(OFFSET($R67,1,0,$Q65-2),($L65+1)&amp;"$",OFFSET(Z67,1,0,$Q65-2)))</f>
        <v>0</v>
      </c>
      <c r="AA67" s="257">
        <f ca="1">IF($Q65=2,IF(AND(ACOMPANHAMENTO="PLE",ISNUMBER($E65)),SUMIF((OFFSET(CÁLCULO!$AM$15:$AW$15,$E65,0,OFFSET(ORÇAMENTO!$D$15,CRONO!$E65,0))),"="&amp;CRONO!AA$12,OFFSET(CÁLCULO!$AB$15:$AL$15,$E65,0,OFFSET(ORÇAMENTO!$D$15,CRONO!$E65,0)))+IF(AND($E67&lt;&gt;"",$E67&lt;&gt;0),SUMIF(CÁLCULO!$AM$15:$AW$192,"="&amp;CRONO!AA$12,CÁLCULO!$AB$15:$AL$192)/(ORÇAMENTO!$X$15-CÁLCULO.TotalAdmLocal)*CRONO!$E67,0),AA66*$R65),SUMIF(OFFSET($R67,1,0,$Q65-2),($L65+1)&amp;"$",OFFSET(AA67,1,0,$Q65-2)))</f>
        <v>0</v>
      </c>
      <c r="AB67" s="257">
        <f ca="1">IF($Q65=2,IF(AND(ACOMPANHAMENTO="PLE",ISNUMBER($E65)),SUMIF((OFFSET(CÁLCULO!$AM$15:$AW$15,$E65,0,OFFSET(ORÇAMENTO!$D$15,CRONO!$E65,0))),"="&amp;CRONO!AB$12,OFFSET(CÁLCULO!$AB$15:$AL$15,$E65,0,OFFSET(ORÇAMENTO!$D$15,CRONO!$E65,0)))+IF(AND($E67&lt;&gt;"",$E67&lt;&gt;0),SUMIF(CÁLCULO!$AM$15:$AW$192,"="&amp;CRONO!AB$12,CÁLCULO!$AB$15:$AL$192)/(ORÇAMENTO!$X$15-CÁLCULO.TotalAdmLocal)*CRONO!$E67,0),AB66*$R65),SUMIF(OFFSET($R67,1,0,$Q65-2),($L65+1)&amp;"$",OFFSET(AB67,1,0,$Q65-2)))</f>
        <v>0</v>
      </c>
      <c r="AC67" s="257">
        <f ca="1">IF($Q65=2,IF(AND(ACOMPANHAMENTO="PLE",ISNUMBER($E65)),SUMIF((OFFSET(CÁLCULO!$AM$15:$AW$15,$E65,0,OFFSET(ORÇAMENTO!$D$15,CRONO!$E65,0))),"="&amp;CRONO!AC$12,OFFSET(CÁLCULO!$AB$15:$AL$15,$E65,0,OFFSET(ORÇAMENTO!$D$15,CRONO!$E65,0)))+IF(AND($E67&lt;&gt;"",$E67&lt;&gt;0),SUMIF(CÁLCULO!$AM$15:$AW$192,"="&amp;CRONO!AC$12,CÁLCULO!$AB$15:$AL$192)/(ORÇAMENTO!$X$15-CÁLCULO.TotalAdmLocal)*CRONO!$E67,0),AC66*$R65),SUMIF(OFFSET($R67,1,0,$Q65-2),($L65+1)&amp;"$",OFFSET(AC67,1,0,$Q65-2)))</f>
        <v>0</v>
      </c>
      <c r="AD67" s="257">
        <f ca="1">IF($Q65=2,IF(AND(ACOMPANHAMENTO="PLE",ISNUMBER($E65)),SUMIF((OFFSET(CÁLCULO!$AM$15:$AW$15,$E65,0,OFFSET(ORÇAMENTO!$D$15,CRONO!$E65,0))),"="&amp;CRONO!AD$12,OFFSET(CÁLCULO!$AB$15:$AL$15,$E65,0,OFFSET(ORÇAMENTO!$D$15,CRONO!$E65,0)))+IF(AND($E67&lt;&gt;"",$E67&lt;&gt;0),SUMIF(CÁLCULO!$AM$15:$AW$192,"="&amp;CRONO!AD$12,CÁLCULO!$AB$15:$AL$192)/(ORÇAMENTO!$X$15-CÁLCULO.TotalAdmLocal)*CRONO!$E67,0),AD66*$R65),SUMIF(OFFSET($R67,1,0,$Q65-2),($L65+1)&amp;"$",OFFSET(AD67,1,0,$Q65-2)))</f>
        <v>0</v>
      </c>
      <c r="AE67" s="262">
        <f ca="1">IF($Q65=2,IF(AND(ACOMPANHAMENTO="PLE",ISNUMBER($E65)),SUMIF((OFFSET(CÁLCULO!$AM$15:$AW$15,$E65,0,OFFSET(ORÇAMENTO!$D$15,CRONO!$E65,0))),"="&amp;CRONO!AE$12,OFFSET(CÁLCULO!$AB$15:$AL$15,$E65,0,OFFSET(ORÇAMENTO!$D$15,CRONO!$E65,0)))+IF(AND($E67&lt;&gt;"",$E67&lt;&gt;0),SUMIF(CÁLCULO!$AM$15:$AW$192,"="&amp;CRONO!AE$12,CÁLCULO!$AB$15:$AL$192)/(ORÇAMENTO!$X$15-CÁLCULO.TotalAdmLocal)*CRONO!$E67,0),AE66*$R65),SUMIF(OFFSET($R67,1,0,$Q65-2),($L65+1)&amp;"$",OFFSET(AE67,1,0,$Q65-2)))</f>
        <v>0</v>
      </c>
      <c r="AF67" s="261">
        <f ca="1">IF($Q65=2,IF(AND(ACOMPANHAMENTO="PLE",ISNUMBER($E65)),SUMIF((OFFSET(CÁLCULO!$AM$15:$AW$15,$E65,0,OFFSET(ORÇAMENTO!$D$15,CRONO!$E65,0))),"="&amp;CRONO!AF$12,OFFSET(CÁLCULO!$AB$15:$AL$15,$E65,0,OFFSET(ORÇAMENTO!$D$15,CRONO!$E65,0)))+IF(AND($E67&lt;&gt;"",$E67&lt;&gt;0),SUMIF(CÁLCULO!$AM$15:$AW$192,"="&amp;CRONO!AF$12,CÁLCULO!$AB$15:$AL$192)/(ORÇAMENTO!$X$15-CÁLCULO.TotalAdmLocal)*CRONO!$E67,0),AF66*$R65),SUMIF(OFFSET($R67,1,0,$Q65-2),($L65+1)&amp;"$",OFFSET(AF67,1,0,$Q65-2)))</f>
        <v>0</v>
      </c>
      <c r="AG67" s="257">
        <f ca="1">IF($Q65=2,IF(AND(ACOMPANHAMENTO="PLE",ISNUMBER($E65)),SUMIF((OFFSET(CÁLCULO!$AM$15:$AW$15,$E65,0,OFFSET(ORÇAMENTO!$D$15,CRONO!$E65,0))),"="&amp;CRONO!AG$12,OFFSET(CÁLCULO!$AB$15:$AL$15,$E65,0,OFFSET(ORÇAMENTO!$D$15,CRONO!$E65,0)))+IF(AND($E67&lt;&gt;"",$E67&lt;&gt;0),SUMIF(CÁLCULO!$AM$15:$AW$192,"="&amp;CRONO!AG$12,CÁLCULO!$AB$15:$AL$192)/(ORÇAMENTO!$X$15-CÁLCULO.TotalAdmLocal)*CRONO!$E67,0),AG66*$R65),SUMIF(OFFSET($R67,1,0,$Q65-2),($L65+1)&amp;"$",OFFSET(AG67,1,0,$Q65-2)))</f>
        <v>0</v>
      </c>
      <c r="AH67" s="257">
        <f ca="1">IF($Q65=2,IF(AND(ACOMPANHAMENTO="PLE",ISNUMBER($E65)),SUMIF((OFFSET(CÁLCULO!$AM$15:$AW$15,$E65,0,OFFSET(ORÇAMENTO!$D$15,CRONO!$E65,0))),"="&amp;CRONO!AH$12,OFFSET(CÁLCULO!$AB$15:$AL$15,$E65,0,OFFSET(ORÇAMENTO!$D$15,CRONO!$E65,0)))+IF(AND($E67&lt;&gt;"",$E67&lt;&gt;0),SUMIF(CÁLCULO!$AM$15:$AW$192,"="&amp;CRONO!AH$12,CÁLCULO!$AB$15:$AL$192)/(ORÇAMENTO!$X$15-CÁLCULO.TotalAdmLocal)*CRONO!$E67,0),AH66*$R65),SUMIF(OFFSET($R67,1,0,$Q65-2),($L65+1)&amp;"$",OFFSET(AH67,1,0,$Q65-2)))</f>
        <v>0</v>
      </c>
      <c r="AI67" s="257">
        <f ca="1">IF($Q65=2,IF(AND(ACOMPANHAMENTO="PLE",ISNUMBER($E65)),SUMIF((OFFSET(CÁLCULO!$AM$15:$AW$15,$E65,0,OFFSET(ORÇAMENTO!$D$15,CRONO!$E65,0))),"="&amp;CRONO!AI$12,OFFSET(CÁLCULO!$AB$15:$AL$15,$E65,0,OFFSET(ORÇAMENTO!$D$15,CRONO!$E65,0)))+IF(AND($E67&lt;&gt;"",$E67&lt;&gt;0),SUMIF(CÁLCULO!$AM$15:$AW$192,"="&amp;CRONO!AI$12,CÁLCULO!$AB$15:$AL$192)/(ORÇAMENTO!$X$15-CÁLCULO.TotalAdmLocal)*CRONO!$E67,0),AI66*$R65),SUMIF(OFFSET($R67,1,0,$Q65-2),($L65+1)&amp;"$",OFFSET(AI67,1,0,$Q65-2)))</f>
        <v>0</v>
      </c>
      <c r="AJ67" s="257">
        <f ca="1">IF($Q65=2,IF(AND(ACOMPANHAMENTO="PLE",ISNUMBER($E65)),SUMIF((OFFSET(CÁLCULO!$AM$15:$AW$15,$E65,0,OFFSET(ORÇAMENTO!$D$15,CRONO!$E65,0))),"="&amp;CRONO!AJ$12,OFFSET(CÁLCULO!$AB$15:$AL$15,$E65,0,OFFSET(ORÇAMENTO!$D$15,CRONO!$E65,0)))+IF(AND($E67&lt;&gt;"",$E67&lt;&gt;0),SUMIF(CÁLCULO!$AM$15:$AW$192,"="&amp;CRONO!AJ$12,CÁLCULO!$AB$15:$AL$192)/(ORÇAMENTO!$X$15-CÁLCULO.TotalAdmLocal)*CRONO!$E67,0),AJ66*$R65),SUMIF(OFFSET($R67,1,0,$Q65-2),($L65+1)&amp;"$",OFFSET(AJ67,1,0,$Q65-2)))</f>
        <v>0</v>
      </c>
      <c r="AK67" s="257">
        <f ca="1">IF($Q65=2,IF(AND(ACOMPANHAMENTO="PLE",ISNUMBER($E65)),SUMIF((OFFSET(CÁLCULO!$AM$15:$AW$15,$E65,0,OFFSET(ORÇAMENTO!$D$15,CRONO!$E65,0))),"="&amp;CRONO!AK$12,OFFSET(CÁLCULO!$AB$15:$AL$15,$E65,0,OFFSET(ORÇAMENTO!$D$15,CRONO!$E65,0)))+IF(AND($E67&lt;&gt;"",$E67&lt;&gt;0),SUMIF(CÁLCULO!$AM$15:$AW$192,"="&amp;CRONO!AK$12,CÁLCULO!$AB$15:$AL$192)/(ORÇAMENTO!$X$15-CÁLCULO.TotalAdmLocal)*CRONO!$E67,0),AK66*$R65),SUMIF(OFFSET($R67,1,0,$Q65-2),($L65+1)&amp;"$",OFFSET(AK67,1,0,$Q65-2)))</f>
        <v>0</v>
      </c>
      <c r="AL67" s="257">
        <f ca="1">IF($Q65=2,IF(AND(ACOMPANHAMENTO="PLE",ISNUMBER($E65)),SUMIF((OFFSET(CÁLCULO!$AM$15:$AW$15,$E65,0,OFFSET(ORÇAMENTO!$D$15,CRONO!$E65,0))),"="&amp;CRONO!AL$12,OFFSET(CÁLCULO!$AB$15:$AL$15,$E65,0,OFFSET(ORÇAMENTO!$D$15,CRONO!$E65,0)))+IF(AND($E67&lt;&gt;"",$E67&lt;&gt;0),SUMIF(CÁLCULO!$AM$15:$AW$192,"="&amp;CRONO!AL$12,CÁLCULO!$AB$15:$AL$192)/(ORÇAMENTO!$X$15-CÁLCULO.TotalAdmLocal)*CRONO!$E67,0),AL66*$R65),SUMIF(OFFSET($R67,1,0,$Q65-2),($L65+1)&amp;"$",OFFSET(AL67,1,0,$Q65-2)))</f>
        <v>0</v>
      </c>
      <c r="AM67" s="257">
        <f ca="1">IF($Q65=2,IF(AND(ACOMPANHAMENTO="PLE",ISNUMBER($E65)),SUMIF((OFFSET(CÁLCULO!$AM$15:$AW$15,$E65,0,OFFSET(ORÇAMENTO!$D$15,CRONO!$E65,0))),"="&amp;CRONO!AM$12,OFFSET(CÁLCULO!$AB$15:$AL$15,$E65,0,OFFSET(ORÇAMENTO!$D$15,CRONO!$E65,0)))+IF(AND($E67&lt;&gt;"",$E67&lt;&gt;0),SUMIF(CÁLCULO!$AM$15:$AW$192,"="&amp;CRONO!AM$12,CÁLCULO!$AB$15:$AL$192)/(ORÇAMENTO!$X$15-CÁLCULO.TotalAdmLocal)*CRONO!$E67,0),AM66*$R65),SUMIF(OFFSET($R67,1,0,$Q65-2),($L65+1)&amp;"$",OFFSET(AM67,1,0,$Q65-2)))</f>
        <v>0</v>
      </c>
      <c r="AN67" s="257">
        <f ca="1">IF($Q65=2,IF(AND(ACOMPANHAMENTO="PLE",ISNUMBER($E65)),SUMIF((OFFSET(CÁLCULO!$AM$15:$AW$15,$E65,0,OFFSET(ORÇAMENTO!$D$15,CRONO!$E65,0))),"="&amp;CRONO!AN$12,OFFSET(CÁLCULO!$AB$15:$AL$15,$E65,0,OFFSET(ORÇAMENTO!$D$15,CRONO!$E65,0)))+IF(AND($E67&lt;&gt;"",$E67&lt;&gt;0),SUMIF(CÁLCULO!$AM$15:$AW$192,"="&amp;CRONO!AN$12,CÁLCULO!$AB$15:$AL$192)/(ORÇAMENTO!$X$15-CÁLCULO.TotalAdmLocal)*CRONO!$E67,0),AN66*$R65),SUMIF(OFFSET($R67,1,0,$Q65-2),($L65+1)&amp;"$",OFFSET(AN67,1,0,$Q65-2)))</f>
        <v>0</v>
      </c>
      <c r="AO67" s="257">
        <f ca="1">IF($Q65=2,IF(AND(ACOMPANHAMENTO="PLE",ISNUMBER($E65)),SUMIF((OFFSET(CÁLCULO!$AM$15:$AW$15,$E65,0,OFFSET(ORÇAMENTO!$D$15,CRONO!$E65,0))),"="&amp;CRONO!AO$12,OFFSET(CÁLCULO!$AB$15:$AL$15,$E65,0,OFFSET(ORÇAMENTO!$D$15,CRONO!$E65,0)))+IF(AND($E67&lt;&gt;"",$E67&lt;&gt;0),SUMIF(CÁLCULO!$AM$15:$AW$192,"="&amp;CRONO!AO$12,CÁLCULO!$AB$15:$AL$192)/(ORÇAMENTO!$X$15-CÁLCULO.TotalAdmLocal)*CRONO!$E67,0),AO66*$R65),SUMIF(OFFSET($R67,1,0,$Q65-2),($L65+1)&amp;"$",OFFSET(AO67,1,0,$Q65-2)))</f>
        <v>0</v>
      </c>
      <c r="AP67" s="257">
        <f ca="1">IF($Q65=2,IF(AND(ACOMPANHAMENTO="PLE",ISNUMBER($E65)),SUMIF((OFFSET(CÁLCULO!$AM$15:$AW$15,$E65,0,OFFSET(ORÇAMENTO!$D$15,CRONO!$E65,0))),"="&amp;CRONO!AP$12,OFFSET(CÁLCULO!$AB$15:$AL$15,$E65,0,OFFSET(ORÇAMENTO!$D$15,CRONO!$E65,0)))+IF(AND($E67&lt;&gt;"",$E67&lt;&gt;0),SUMIF(CÁLCULO!$AM$15:$AW$192,"="&amp;CRONO!AP$12,CÁLCULO!$AB$15:$AL$192)/(ORÇAMENTO!$X$15-CÁLCULO.TotalAdmLocal)*CRONO!$E67,0),AP66*$R65),SUMIF(OFFSET($R67,1,0,$Q65-2),($L65+1)&amp;"$",OFFSET(AP67,1,0,$Q65-2)))</f>
        <v>0</v>
      </c>
      <c r="AQ67" s="262">
        <f ca="1">IF($Q65=2,IF(AND(ACOMPANHAMENTO="PLE",ISNUMBER($E65)),SUMIF((OFFSET(CÁLCULO!$AM$15:$AW$15,$E65,0,OFFSET(ORÇAMENTO!$D$15,CRONO!$E65,0))),"="&amp;CRONO!AQ$12,OFFSET(CÁLCULO!$AB$15:$AL$15,$E65,0,OFFSET(ORÇAMENTO!$D$15,CRONO!$E65,0)))+IF(AND($E67&lt;&gt;"",$E67&lt;&gt;0),SUMIF(CÁLCULO!$AM$15:$AW$192,"="&amp;CRONO!AQ$12,CÁLCULO!$AB$15:$AL$192)/(ORÇAMENTO!$X$15-CÁLCULO.TotalAdmLocal)*CRONO!$E67,0),AQ66*$R65),SUMIF(OFFSET($R67,1,0,$Q65-2),($L65+1)&amp;"$",OFFSET(AQ67,1,0,$Q65-2)))</f>
        <v>0</v>
      </c>
    </row>
    <row r="68" spans="1:44" x14ac:dyDescent="0.2">
      <c r="A68" s="238">
        <f t="shared" ref="A68" ca="1" si="47">OFFSET(A68,-3,0)+1</f>
        <v>19</v>
      </c>
      <c r="B68" s="238">
        <f ca="1">IF($Q68&lt;&gt;2,0,IF($R68=0,1,IF(E69&gt;0,OFFSET(QCI!$M$13,SUBSTITUTE(E69,".",""),0),OFFSET(ORÇAMENTO!$AA$15,CRONO!$E68,0))/$R68))</f>
        <v>1</v>
      </c>
      <c r="C68" s="238">
        <f ca="1">IF($Q68&lt;&gt;2,0,IF($R68=0,1,IF(E69&gt;0,OFFSET(QCI!$N$13,SUBSTITUTE(E69,".",""),0),OFFSET(ORÇAMENTO!$AB$15,CRONO!$E68,0))/$R68))</f>
        <v>1</v>
      </c>
      <c r="D68" s="241">
        <f ca="1">IF(AND($Q68=2,ACOMPANHAMENTO="BM"),D69,D70/$R68)</f>
        <v>0</v>
      </c>
      <c r="E68" s="238">
        <f ca="1">IF(A68&lt;=ORÇAMENTO.MáximoListaCrono,MATCH(A68,ORÇAMENTO.ListaCrono,0),NA())</f>
        <v>93</v>
      </c>
      <c r="F68" s="238" t="str">
        <f t="shared" ref="F68" ca="1" si="48">IF(AND($E69&lt;&gt;-1,$R68&gt;0),"F","")</f>
        <v/>
      </c>
      <c r="G68" s="242" t="str">
        <f ca="1">IF(OR(R68=0,R68=""),"Linha",IF(AND(OR(ACOMPANHAMENTO="PLE",$Q68&lt;&gt;2),$E69=0),"Linha",1-SUM(T68:AR68)))</f>
        <v>Linha</v>
      </c>
      <c r="H68" s="243" t="str">
        <f ca="1">IF($E69=0,OFFSET(ORÇAMENTO!O$15,$E68,0),IF($E69&lt;&gt;-1,OFFSET(QCI!$D$13,$E69,0),""))</f>
        <v>1.18.</v>
      </c>
      <c r="I68" s="244" t="str">
        <f ca="1">IF($E69=0,OFFSET(ORÇAMENTO!R$15,$E68,0),IF($E69&lt;&gt;-1,OFFSET(QCI!$G$13,$E69,0),""))</f>
        <v xml:space="preserve">ELÉTRICA </v>
      </c>
      <c r="J68" s="244"/>
      <c r="K68" s="244"/>
      <c r="L68" s="245">
        <f ca="1">IF($E69=0,OFFSET(ORÇAMENTO!C$15,$E68,0),1)</f>
        <v>2</v>
      </c>
      <c r="M68" s="246">
        <f ca="1">IF($E69=-1,0,IF(M$13&lt;=$L68,IF(ISERROR(MATCH(M$13,OFFSET($L68,1,0,ROW($L$92)-ROW($L68)-1),0)),ROW($L$92)-ROW($L68)-1,MATCH(M$13,OFFSET($L68,1,0,ROW($L$92)-ROW($L68)-1),0)-1),0))</f>
        <v>23</v>
      </c>
      <c r="N68" s="246">
        <f ca="1">IF($E69=-1,0,IF(N$13&lt;=$L68,IF(ISERROR(MATCH(N$13,OFFSET($L68,1,0,ROW($L$92)-ROW($L68)-1),0)),ROW($L$92)-ROW($L68)-1,MATCH(N$13,OFFSET($L68,1,0,ROW($L$92)-ROW($L68)-1),0)-1),0))</f>
        <v>2</v>
      </c>
      <c r="O68" s="246">
        <f ca="1">IF($E69=-1,0,IF(O$13&lt;=$L68,IF(ISERROR(MATCH(O$13,OFFSET($L68,1,0,ROW($L$92)-ROW($L68)-1),0)),ROW($L$92)-ROW($L68)-1,MATCH(O$13,OFFSET($L68,1,0,ROW($L$92)-ROW($L68)-1),0)-1),0))</f>
        <v>0</v>
      </c>
      <c r="P68" s="246">
        <f ca="1">IF($E69=-1,0,IF(P$13&lt;=$L68,IF(ISERROR(MATCH(P$13,OFFSET($L68,1,0,ROW($L$92)-ROW($L68)-1),0)),ROW($L$92)-ROW($L68)-1,MATCH(P$13,OFFSET($L68,1,0,ROW($L$92)-ROW($L68)-1),0)-1),0))</f>
        <v>0</v>
      </c>
      <c r="Q68" s="246">
        <f t="shared" ref="Q68" ca="1" si="49">MIN(OFFSET(L68,0,1,,L68))</f>
        <v>2</v>
      </c>
      <c r="R68" s="247">
        <f ca="1">IF($E69=0,OFFSET(ORÇAMENTO!X$15,$E68,0),IF($E69&lt;&gt;-1,OFFSET(QCI!$O$13,$E69,0),""))</f>
        <v>0</v>
      </c>
      <c r="S68" s="248" t="s">
        <v>270</v>
      </c>
      <c r="T68" s="249">
        <f t="shared" ref="T68:AQ68" ca="1" si="50">IF(AND($Q68=2,ACOMPANHAMENTO="BM"),T69,T70/$R68)</f>
        <v>0</v>
      </c>
      <c r="U68" s="241">
        <f t="shared" ca="1" si="50"/>
        <v>0</v>
      </c>
      <c r="V68" s="241">
        <f t="shared" ca="1" si="50"/>
        <v>0</v>
      </c>
      <c r="W68" s="241">
        <f t="shared" ca="1" si="50"/>
        <v>0</v>
      </c>
      <c r="X68" s="241">
        <f t="shared" ca="1" si="50"/>
        <v>0</v>
      </c>
      <c r="Y68" s="241">
        <f t="shared" ca="1" si="50"/>
        <v>0</v>
      </c>
      <c r="Z68" s="241">
        <f t="shared" ca="1" si="50"/>
        <v>0</v>
      </c>
      <c r="AA68" s="241">
        <f t="shared" ca="1" si="50"/>
        <v>0</v>
      </c>
      <c r="AB68" s="241">
        <f t="shared" ca="1" si="50"/>
        <v>0</v>
      </c>
      <c r="AC68" s="241">
        <f t="shared" ca="1" si="50"/>
        <v>0</v>
      </c>
      <c r="AD68" s="241">
        <f t="shared" ca="1" si="50"/>
        <v>0.5</v>
      </c>
      <c r="AE68" s="250">
        <f t="shared" ca="1" si="50"/>
        <v>0</v>
      </c>
      <c r="AF68" s="249">
        <f t="shared" ca="1" si="50"/>
        <v>0</v>
      </c>
      <c r="AG68" s="241">
        <f t="shared" ca="1" si="50"/>
        <v>0.5</v>
      </c>
      <c r="AH68" s="241">
        <f t="shared" ca="1" si="50"/>
        <v>0</v>
      </c>
      <c r="AI68" s="241">
        <f t="shared" ca="1" si="50"/>
        <v>0</v>
      </c>
      <c r="AJ68" s="241">
        <f t="shared" ca="1" si="50"/>
        <v>0</v>
      </c>
      <c r="AK68" s="241">
        <f t="shared" ca="1" si="50"/>
        <v>0</v>
      </c>
      <c r="AL68" s="241">
        <f t="shared" ca="1" si="50"/>
        <v>0</v>
      </c>
      <c r="AM68" s="241">
        <f t="shared" ca="1" si="50"/>
        <v>0</v>
      </c>
      <c r="AN68" s="241">
        <f t="shared" ca="1" si="50"/>
        <v>0</v>
      </c>
      <c r="AO68" s="241">
        <f t="shared" ca="1" si="50"/>
        <v>0</v>
      </c>
      <c r="AP68" s="241">
        <f t="shared" ca="1" si="50"/>
        <v>0</v>
      </c>
      <c r="AQ68" s="250">
        <f t="shared" ca="1" si="50"/>
        <v>0</v>
      </c>
    </row>
    <row r="69" spans="1:44" ht="12.75" customHeight="1" x14ac:dyDescent="0.2">
      <c r="D69" s="657"/>
      <c r="E69" s="238">
        <f ca="1">IF(ISERROR(E68),IF(1+COUNTIF($L$13:OFFSET(L68,-1,0),1)&lt;=MAX(QCI!$D$13:$D$24),1+COUNTIF($L$13:OFFSET(L68,-1,0),1),-1),0)</f>
        <v>0</v>
      </c>
      <c r="F69" s="238" t="str">
        <f t="shared" ref="F69" ca="1" si="51">IF(AND($E69&lt;&gt;-1,$R68&gt;0),"F","")</f>
        <v/>
      </c>
      <c r="G69" s="251" t="str">
        <f ca="1">IF(OR(R68=0,R68=""),"vazia",IF(AND(OR(ACOMPANHAMENTO="PLE",$Q68&lt;&gt;2),$E69=0),"calculada","--&gt;"))</f>
        <v>vazia</v>
      </c>
      <c r="H69" s="252"/>
      <c r="I69" s="253" t="str">
        <f t="shared" ref="I69" ca="1" si="52">IF(AND(G68&lt;&gt;0,ISNUMBER(G68)),"PREENCHA ESTA LINHA --&gt;","")</f>
        <v/>
      </c>
      <c r="J69" s="253"/>
      <c r="K69" s="253"/>
      <c r="L69" s="254"/>
      <c r="M69" s="254"/>
      <c r="N69" s="254"/>
      <c r="O69" s="254"/>
      <c r="P69" s="254"/>
      <c r="Q69" s="254"/>
      <c r="R69" s="255"/>
      <c r="S69" s="256"/>
      <c r="T69" s="658"/>
      <c r="U69" s="657"/>
      <c r="V69" s="657"/>
      <c r="W69" s="657"/>
      <c r="X69" s="657"/>
      <c r="Y69" s="657"/>
      <c r="Z69" s="657"/>
      <c r="AA69" s="657"/>
      <c r="AB69" s="657"/>
      <c r="AC69" s="657"/>
      <c r="AD69" s="657">
        <v>0.5</v>
      </c>
      <c r="AE69" s="659"/>
      <c r="AF69" s="658"/>
      <c r="AG69" s="657">
        <v>0.5</v>
      </c>
      <c r="AH69" s="657"/>
      <c r="AI69" s="657"/>
      <c r="AJ69" s="657"/>
      <c r="AK69" s="657"/>
      <c r="AL69" s="657"/>
      <c r="AM69" s="657"/>
      <c r="AN69" s="657"/>
      <c r="AO69" s="657"/>
      <c r="AP69" s="657"/>
      <c r="AQ69" s="659"/>
      <c r="AR69" s="617"/>
    </row>
    <row r="70" spans="1:44" ht="0.2" hidden="1" customHeight="1" x14ac:dyDescent="0.2">
      <c r="D70" s="257">
        <f ca="1">IF($Q68=2,IF(AND(ACOMPANHAMENTO="PLE",ISNUMBER($E68)),SUMIF((OFFSET(CÁLCULO!$AM$15:$AW$15,$E68,0,OFFSET(ORÇAMENTO!$D$15,CRONO!$E68,0))),"="&amp;CRONO!D$12,OFFSET(CÁLCULO!$AB$15:$AL$15,$E68,0,OFFSET(ORÇAMENTO!$D$15,CRONO!$E68,0)))+IF(AND($E70&lt;&gt;"",$E70&lt;&gt;0),SUMIF(CÁLCULO!$AM$15:$AW$192,"="&amp;CRONO!D$12,CÁLCULO!$AB$15:$AL$192)/(ORÇAMENTO!$X$15-CÁLCULO.TotalAdmLocal)*CRONO!$E70,0),D69*$R68),SUMIF(OFFSET($R70,1,0,$Q68-2),($L68+1)&amp;"$",OFFSET(D70,1,0,$Q68-2)))</f>
        <v>0</v>
      </c>
      <c r="E70" s="238" t="str">
        <f ca="1">IF(OR($Q68&lt;&gt;2,AUTOEVENTO&lt;&gt;"manual",$E69&gt;0),"",SUMIF(OFFSET(CÁLCULO!$M$15,CRONO!$E68,0,OFFSET(ORÇAMENTO!$D$15,CRONO!$E68,0)),1,OFFSET(ORÇAMENTO!$X$15,CRONO!$E68,0,OFFSET(ORÇAMENTO!$D$15,CRONO!$E68,0))))</f>
        <v/>
      </c>
      <c r="G70" s="258"/>
      <c r="R70" s="259" t="str">
        <f t="shared" ref="R70" ca="1" si="53">L68&amp;"$"</f>
        <v>2$</v>
      </c>
      <c r="S70" s="260"/>
      <c r="T70" s="261">
        <f ca="1">IF($Q68=2,IF(AND(ACOMPANHAMENTO="PLE",ISNUMBER($E68)),SUMIF((OFFSET(CÁLCULO!$AM$15:$AW$15,$E68,0,OFFSET(ORÇAMENTO!$D$15,CRONO!$E68,0))),"&lt;="&amp;CRONO!T$12,OFFSET(CÁLCULO!$AB$15:$AL$15,$E68,0,OFFSET(ORÇAMENTO!$D$15,CRONO!$E68,0)))+IF(AND($E70&lt;&gt;"",$E70&lt;&gt;0),SUMIF(CÁLCULO!$AM$15:$AW$192,"&lt;="&amp;CRONO!T$12,CÁLCULO!$AB$15:$AL$192)/(ORÇAMENTO!$X$15-CÁLCULO.TotalAdmLocal)*CRONO!$E70,0),T69*$R68),SUMIF(OFFSET($R70,1,0,$Q68-2),($L68+1)&amp;"$",OFFSET(T70,1,0,$Q68-2)))</f>
        <v>0</v>
      </c>
      <c r="U70" s="257">
        <f ca="1">IF($Q68=2,IF(AND(ACOMPANHAMENTO="PLE",ISNUMBER($E68)),SUMIF((OFFSET(CÁLCULO!$AM$15:$AW$15,$E68,0,OFFSET(ORÇAMENTO!$D$15,CRONO!$E68,0))),"="&amp;CRONO!U$12,OFFSET(CÁLCULO!$AB$15:$AL$15,$E68,0,OFFSET(ORÇAMENTO!$D$15,CRONO!$E68,0)))+IF(AND($E70&lt;&gt;"",$E70&lt;&gt;0),SUMIF(CÁLCULO!$AM$15:$AW$192,"="&amp;CRONO!U$12,CÁLCULO!$AB$15:$AL$192)/(ORÇAMENTO!$X$15-CÁLCULO.TotalAdmLocal)*CRONO!$E70,0),U69*$R68),SUMIF(OFFSET($R70,1,0,$Q68-2),($L68+1)&amp;"$",OFFSET(U70,1,0,$Q68-2)))</f>
        <v>0</v>
      </c>
      <c r="V70" s="257">
        <f ca="1">IF($Q68=2,IF(AND(ACOMPANHAMENTO="PLE",ISNUMBER($E68)),SUMIF((OFFSET(CÁLCULO!$AM$15:$AW$15,$E68,0,OFFSET(ORÇAMENTO!$D$15,CRONO!$E68,0))),"="&amp;CRONO!V$12,OFFSET(CÁLCULO!$AB$15:$AL$15,$E68,0,OFFSET(ORÇAMENTO!$D$15,CRONO!$E68,0)))+IF(AND($E70&lt;&gt;"",$E70&lt;&gt;0),SUMIF(CÁLCULO!$AM$15:$AW$192,"="&amp;CRONO!V$12,CÁLCULO!$AB$15:$AL$192)/(ORÇAMENTO!$X$15-CÁLCULO.TotalAdmLocal)*CRONO!$E70,0),V69*$R68),SUMIF(OFFSET($R70,1,0,$Q68-2),($L68+1)&amp;"$",OFFSET(V70,1,0,$Q68-2)))</f>
        <v>0</v>
      </c>
      <c r="W70" s="257">
        <f ca="1">IF($Q68=2,IF(AND(ACOMPANHAMENTO="PLE",ISNUMBER($E68)),SUMIF((OFFSET(CÁLCULO!$AM$15:$AW$15,$E68,0,OFFSET(ORÇAMENTO!$D$15,CRONO!$E68,0))),"="&amp;CRONO!W$12,OFFSET(CÁLCULO!$AB$15:$AL$15,$E68,0,OFFSET(ORÇAMENTO!$D$15,CRONO!$E68,0)))+IF(AND($E70&lt;&gt;"",$E70&lt;&gt;0),SUMIF(CÁLCULO!$AM$15:$AW$192,"="&amp;CRONO!W$12,CÁLCULO!$AB$15:$AL$192)/(ORÇAMENTO!$X$15-CÁLCULO.TotalAdmLocal)*CRONO!$E70,0),W69*$R68),SUMIF(OFFSET($R70,1,0,$Q68-2),($L68+1)&amp;"$",OFFSET(W70,1,0,$Q68-2)))</f>
        <v>0</v>
      </c>
      <c r="X70" s="257">
        <f ca="1">IF($Q68=2,IF(AND(ACOMPANHAMENTO="PLE",ISNUMBER($E68)),SUMIF((OFFSET(CÁLCULO!$AM$15:$AW$15,$E68,0,OFFSET(ORÇAMENTO!$D$15,CRONO!$E68,0))),"="&amp;CRONO!X$12,OFFSET(CÁLCULO!$AB$15:$AL$15,$E68,0,OFFSET(ORÇAMENTO!$D$15,CRONO!$E68,0)))+IF(AND($E70&lt;&gt;"",$E70&lt;&gt;0),SUMIF(CÁLCULO!$AM$15:$AW$192,"="&amp;CRONO!X$12,CÁLCULO!$AB$15:$AL$192)/(ORÇAMENTO!$X$15-CÁLCULO.TotalAdmLocal)*CRONO!$E70,0),X69*$R68),SUMIF(OFFSET($R70,1,0,$Q68-2),($L68+1)&amp;"$",OFFSET(X70,1,0,$Q68-2)))</f>
        <v>0</v>
      </c>
      <c r="Y70" s="257">
        <f ca="1">IF($Q68=2,IF(AND(ACOMPANHAMENTO="PLE",ISNUMBER($E68)),SUMIF((OFFSET(CÁLCULO!$AM$15:$AW$15,$E68,0,OFFSET(ORÇAMENTO!$D$15,CRONO!$E68,0))),"="&amp;CRONO!Y$12,OFFSET(CÁLCULO!$AB$15:$AL$15,$E68,0,OFFSET(ORÇAMENTO!$D$15,CRONO!$E68,0)))+IF(AND($E70&lt;&gt;"",$E70&lt;&gt;0),SUMIF(CÁLCULO!$AM$15:$AW$192,"="&amp;CRONO!Y$12,CÁLCULO!$AB$15:$AL$192)/(ORÇAMENTO!$X$15-CÁLCULO.TotalAdmLocal)*CRONO!$E70,0),Y69*$R68),SUMIF(OFFSET($R70,1,0,$Q68-2),($L68+1)&amp;"$",OFFSET(Y70,1,0,$Q68-2)))</f>
        <v>0</v>
      </c>
      <c r="Z70" s="257">
        <f ca="1">IF($Q68=2,IF(AND(ACOMPANHAMENTO="PLE",ISNUMBER($E68)),SUMIF((OFFSET(CÁLCULO!$AM$15:$AW$15,$E68,0,OFFSET(ORÇAMENTO!$D$15,CRONO!$E68,0))),"="&amp;CRONO!Z$12,OFFSET(CÁLCULO!$AB$15:$AL$15,$E68,0,OFFSET(ORÇAMENTO!$D$15,CRONO!$E68,0)))+IF(AND($E70&lt;&gt;"",$E70&lt;&gt;0),SUMIF(CÁLCULO!$AM$15:$AW$192,"="&amp;CRONO!Z$12,CÁLCULO!$AB$15:$AL$192)/(ORÇAMENTO!$X$15-CÁLCULO.TotalAdmLocal)*CRONO!$E70,0),Z69*$R68),SUMIF(OFFSET($R70,1,0,$Q68-2),($L68+1)&amp;"$",OFFSET(Z70,1,0,$Q68-2)))</f>
        <v>0</v>
      </c>
      <c r="AA70" s="257">
        <f ca="1">IF($Q68=2,IF(AND(ACOMPANHAMENTO="PLE",ISNUMBER($E68)),SUMIF((OFFSET(CÁLCULO!$AM$15:$AW$15,$E68,0,OFFSET(ORÇAMENTO!$D$15,CRONO!$E68,0))),"="&amp;CRONO!AA$12,OFFSET(CÁLCULO!$AB$15:$AL$15,$E68,0,OFFSET(ORÇAMENTO!$D$15,CRONO!$E68,0)))+IF(AND($E70&lt;&gt;"",$E70&lt;&gt;0),SUMIF(CÁLCULO!$AM$15:$AW$192,"="&amp;CRONO!AA$12,CÁLCULO!$AB$15:$AL$192)/(ORÇAMENTO!$X$15-CÁLCULO.TotalAdmLocal)*CRONO!$E70,0),AA69*$R68),SUMIF(OFFSET($R70,1,0,$Q68-2),($L68+1)&amp;"$",OFFSET(AA70,1,0,$Q68-2)))</f>
        <v>0</v>
      </c>
      <c r="AB70" s="257">
        <f ca="1">IF($Q68=2,IF(AND(ACOMPANHAMENTO="PLE",ISNUMBER($E68)),SUMIF((OFFSET(CÁLCULO!$AM$15:$AW$15,$E68,0,OFFSET(ORÇAMENTO!$D$15,CRONO!$E68,0))),"="&amp;CRONO!AB$12,OFFSET(CÁLCULO!$AB$15:$AL$15,$E68,0,OFFSET(ORÇAMENTO!$D$15,CRONO!$E68,0)))+IF(AND($E70&lt;&gt;"",$E70&lt;&gt;0),SUMIF(CÁLCULO!$AM$15:$AW$192,"="&amp;CRONO!AB$12,CÁLCULO!$AB$15:$AL$192)/(ORÇAMENTO!$X$15-CÁLCULO.TotalAdmLocal)*CRONO!$E70,0),AB69*$R68),SUMIF(OFFSET($R70,1,0,$Q68-2),($L68+1)&amp;"$",OFFSET(AB70,1,0,$Q68-2)))</f>
        <v>0</v>
      </c>
      <c r="AC70" s="257">
        <f ca="1">IF($Q68=2,IF(AND(ACOMPANHAMENTO="PLE",ISNUMBER($E68)),SUMIF((OFFSET(CÁLCULO!$AM$15:$AW$15,$E68,0,OFFSET(ORÇAMENTO!$D$15,CRONO!$E68,0))),"="&amp;CRONO!AC$12,OFFSET(CÁLCULO!$AB$15:$AL$15,$E68,0,OFFSET(ORÇAMENTO!$D$15,CRONO!$E68,0)))+IF(AND($E70&lt;&gt;"",$E70&lt;&gt;0),SUMIF(CÁLCULO!$AM$15:$AW$192,"="&amp;CRONO!AC$12,CÁLCULO!$AB$15:$AL$192)/(ORÇAMENTO!$X$15-CÁLCULO.TotalAdmLocal)*CRONO!$E70,0),AC69*$R68),SUMIF(OFFSET($R70,1,0,$Q68-2),($L68+1)&amp;"$",OFFSET(AC70,1,0,$Q68-2)))</f>
        <v>0</v>
      </c>
      <c r="AD70" s="257">
        <f ca="1">IF($Q68=2,IF(AND(ACOMPANHAMENTO="PLE",ISNUMBER($E68)),SUMIF((OFFSET(CÁLCULO!$AM$15:$AW$15,$E68,0,OFFSET(ORÇAMENTO!$D$15,CRONO!$E68,0))),"="&amp;CRONO!AD$12,OFFSET(CÁLCULO!$AB$15:$AL$15,$E68,0,OFFSET(ORÇAMENTO!$D$15,CRONO!$E68,0)))+IF(AND($E70&lt;&gt;"",$E70&lt;&gt;0),SUMIF(CÁLCULO!$AM$15:$AW$192,"="&amp;CRONO!AD$12,CÁLCULO!$AB$15:$AL$192)/(ORÇAMENTO!$X$15-CÁLCULO.TotalAdmLocal)*CRONO!$E70,0),AD69*$R68),SUMIF(OFFSET($R70,1,0,$Q68-2),($L68+1)&amp;"$",OFFSET(AD70,1,0,$Q68-2)))</f>
        <v>0</v>
      </c>
      <c r="AE70" s="262">
        <f ca="1">IF($Q68=2,IF(AND(ACOMPANHAMENTO="PLE",ISNUMBER($E68)),SUMIF((OFFSET(CÁLCULO!$AM$15:$AW$15,$E68,0,OFFSET(ORÇAMENTO!$D$15,CRONO!$E68,0))),"="&amp;CRONO!AE$12,OFFSET(CÁLCULO!$AB$15:$AL$15,$E68,0,OFFSET(ORÇAMENTO!$D$15,CRONO!$E68,0)))+IF(AND($E70&lt;&gt;"",$E70&lt;&gt;0),SUMIF(CÁLCULO!$AM$15:$AW$192,"="&amp;CRONO!AE$12,CÁLCULO!$AB$15:$AL$192)/(ORÇAMENTO!$X$15-CÁLCULO.TotalAdmLocal)*CRONO!$E70,0),AE69*$R68),SUMIF(OFFSET($R70,1,0,$Q68-2),($L68+1)&amp;"$",OFFSET(AE70,1,0,$Q68-2)))</f>
        <v>0</v>
      </c>
      <c r="AF70" s="261">
        <f ca="1">IF($Q68=2,IF(AND(ACOMPANHAMENTO="PLE",ISNUMBER($E68)),SUMIF((OFFSET(CÁLCULO!$AM$15:$AW$15,$E68,0,OFFSET(ORÇAMENTO!$D$15,CRONO!$E68,0))),"="&amp;CRONO!AF$12,OFFSET(CÁLCULO!$AB$15:$AL$15,$E68,0,OFFSET(ORÇAMENTO!$D$15,CRONO!$E68,0)))+IF(AND($E70&lt;&gt;"",$E70&lt;&gt;0),SUMIF(CÁLCULO!$AM$15:$AW$192,"="&amp;CRONO!AF$12,CÁLCULO!$AB$15:$AL$192)/(ORÇAMENTO!$X$15-CÁLCULO.TotalAdmLocal)*CRONO!$E70,0),AF69*$R68),SUMIF(OFFSET($R70,1,0,$Q68-2),($L68+1)&amp;"$",OFFSET(AF70,1,0,$Q68-2)))</f>
        <v>0</v>
      </c>
      <c r="AG70" s="257">
        <f ca="1">IF($Q68=2,IF(AND(ACOMPANHAMENTO="PLE",ISNUMBER($E68)),SUMIF((OFFSET(CÁLCULO!$AM$15:$AW$15,$E68,0,OFFSET(ORÇAMENTO!$D$15,CRONO!$E68,0))),"="&amp;CRONO!AG$12,OFFSET(CÁLCULO!$AB$15:$AL$15,$E68,0,OFFSET(ORÇAMENTO!$D$15,CRONO!$E68,0)))+IF(AND($E70&lt;&gt;"",$E70&lt;&gt;0),SUMIF(CÁLCULO!$AM$15:$AW$192,"="&amp;CRONO!AG$12,CÁLCULO!$AB$15:$AL$192)/(ORÇAMENTO!$X$15-CÁLCULO.TotalAdmLocal)*CRONO!$E70,0),AG69*$R68),SUMIF(OFFSET($R70,1,0,$Q68-2),($L68+1)&amp;"$",OFFSET(AG70,1,0,$Q68-2)))</f>
        <v>0</v>
      </c>
      <c r="AH70" s="257">
        <f ca="1">IF($Q68=2,IF(AND(ACOMPANHAMENTO="PLE",ISNUMBER($E68)),SUMIF((OFFSET(CÁLCULO!$AM$15:$AW$15,$E68,0,OFFSET(ORÇAMENTO!$D$15,CRONO!$E68,0))),"="&amp;CRONO!AH$12,OFFSET(CÁLCULO!$AB$15:$AL$15,$E68,0,OFFSET(ORÇAMENTO!$D$15,CRONO!$E68,0)))+IF(AND($E70&lt;&gt;"",$E70&lt;&gt;0),SUMIF(CÁLCULO!$AM$15:$AW$192,"="&amp;CRONO!AH$12,CÁLCULO!$AB$15:$AL$192)/(ORÇAMENTO!$X$15-CÁLCULO.TotalAdmLocal)*CRONO!$E70,0),AH69*$R68),SUMIF(OFFSET($R70,1,0,$Q68-2),($L68+1)&amp;"$",OFFSET(AH70,1,0,$Q68-2)))</f>
        <v>0</v>
      </c>
      <c r="AI70" s="257">
        <f ca="1">IF($Q68=2,IF(AND(ACOMPANHAMENTO="PLE",ISNUMBER($E68)),SUMIF((OFFSET(CÁLCULO!$AM$15:$AW$15,$E68,0,OFFSET(ORÇAMENTO!$D$15,CRONO!$E68,0))),"="&amp;CRONO!AI$12,OFFSET(CÁLCULO!$AB$15:$AL$15,$E68,0,OFFSET(ORÇAMENTO!$D$15,CRONO!$E68,0)))+IF(AND($E70&lt;&gt;"",$E70&lt;&gt;0),SUMIF(CÁLCULO!$AM$15:$AW$192,"="&amp;CRONO!AI$12,CÁLCULO!$AB$15:$AL$192)/(ORÇAMENTO!$X$15-CÁLCULO.TotalAdmLocal)*CRONO!$E70,0),AI69*$R68),SUMIF(OFFSET($R70,1,0,$Q68-2),($L68+1)&amp;"$",OFFSET(AI70,1,0,$Q68-2)))</f>
        <v>0</v>
      </c>
      <c r="AJ70" s="257">
        <f ca="1">IF($Q68=2,IF(AND(ACOMPANHAMENTO="PLE",ISNUMBER($E68)),SUMIF((OFFSET(CÁLCULO!$AM$15:$AW$15,$E68,0,OFFSET(ORÇAMENTO!$D$15,CRONO!$E68,0))),"="&amp;CRONO!AJ$12,OFFSET(CÁLCULO!$AB$15:$AL$15,$E68,0,OFFSET(ORÇAMENTO!$D$15,CRONO!$E68,0)))+IF(AND($E70&lt;&gt;"",$E70&lt;&gt;0),SUMIF(CÁLCULO!$AM$15:$AW$192,"="&amp;CRONO!AJ$12,CÁLCULO!$AB$15:$AL$192)/(ORÇAMENTO!$X$15-CÁLCULO.TotalAdmLocal)*CRONO!$E70,0),AJ69*$R68),SUMIF(OFFSET($R70,1,0,$Q68-2),($L68+1)&amp;"$",OFFSET(AJ70,1,0,$Q68-2)))</f>
        <v>0</v>
      </c>
      <c r="AK70" s="257">
        <f ca="1">IF($Q68=2,IF(AND(ACOMPANHAMENTO="PLE",ISNUMBER($E68)),SUMIF((OFFSET(CÁLCULO!$AM$15:$AW$15,$E68,0,OFFSET(ORÇAMENTO!$D$15,CRONO!$E68,0))),"="&amp;CRONO!AK$12,OFFSET(CÁLCULO!$AB$15:$AL$15,$E68,0,OFFSET(ORÇAMENTO!$D$15,CRONO!$E68,0)))+IF(AND($E70&lt;&gt;"",$E70&lt;&gt;0),SUMIF(CÁLCULO!$AM$15:$AW$192,"="&amp;CRONO!AK$12,CÁLCULO!$AB$15:$AL$192)/(ORÇAMENTO!$X$15-CÁLCULO.TotalAdmLocal)*CRONO!$E70,0),AK69*$R68),SUMIF(OFFSET($R70,1,0,$Q68-2),($L68+1)&amp;"$",OFFSET(AK70,1,0,$Q68-2)))</f>
        <v>0</v>
      </c>
      <c r="AL70" s="257">
        <f ca="1">IF($Q68=2,IF(AND(ACOMPANHAMENTO="PLE",ISNUMBER($E68)),SUMIF((OFFSET(CÁLCULO!$AM$15:$AW$15,$E68,0,OFFSET(ORÇAMENTO!$D$15,CRONO!$E68,0))),"="&amp;CRONO!AL$12,OFFSET(CÁLCULO!$AB$15:$AL$15,$E68,0,OFFSET(ORÇAMENTO!$D$15,CRONO!$E68,0)))+IF(AND($E70&lt;&gt;"",$E70&lt;&gt;0),SUMIF(CÁLCULO!$AM$15:$AW$192,"="&amp;CRONO!AL$12,CÁLCULO!$AB$15:$AL$192)/(ORÇAMENTO!$X$15-CÁLCULO.TotalAdmLocal)*CRONO!$E70,0),AL69*$R68),SUMIF(OFFSET($R70,1,0,$Q68-2),($L68+1)&amp;"$",OFFSET(AL70,1,0,$Q68-2)))</f>
        <v>0</v>
      </c>
      <c r="AM70" s="257">
        <f ca="1">IF($Q68=2,IF(AND(ACOMPANHAMENTO="PLE",ISNUMBER($E68)),SUMIF((OFFSET(CÁLCULO!$AM$15:$AW$15,$E68,0,OFFSET(ORÇAMENTO!$D$15,CRONO!$E68,0))),"="&amp;CRONO!AM$12,OFFSET(CÁLCULO!$AB$15:$AL$15,$E68,0,OFFSET(ORÇAMENTO!$D$15,CRONO!$E68,0)))+IF(AND($E70&lt;&gt;"",$E70&lt;&gt;0),SUMIF(CÁLCULO!$AM$15:$AW$192,"="&amp;CRONO!AM$12,CÁLCULO!$AB$15:$AL$192)/(ORÇAMENTO!$X$15-CÁLCULO.TotalAdmLocal)*CRONO!$E70,0),AM69*$R68),SUMIF(OFFSET($R70,1,0,$Q68-2),($L68+1)&amp;"$",OFFSET(AM70,1,0,$Q68-2)))</f>
        <v>0</v>
      </c>
      <c r="AN70" s="257">
        <f ca="1">IF($Q68=2,IF(AND(ACOMPANHAMENTO="PLE",ISNUMBER($E68)),SUMIF((OFFSET(CÁLCULO!$AM$15:$AW$15,$E68,0,OFFSET(ORÇAMENTO!$D$15,CRONO!$E68,0))),"="&amp;CRONO!AN$12,OFFSET(CÁLCULO!$AB$15:$AL$15,$E68,0,OFFSET(ORÇAMENTO!$D$15,CRONO!$E68,0)))+IF(AND($E70&lt;&gt;"",$E70&lt;&gt;0),SUMIF(CÁLCULO!$AM$15:$AW$192,"="&amp;CRONO!AN$12,CÁLCULO!$AB$15:$AL$192)/(ORÇAMENTO!$X$15-CÁLCULO.TotalAdmLocal)*CRONO!$E70,0),AN69*$R68),SUMIF(OFFSET($R70,1,0,$Q68-2),($L68+1)&amp;"$",OFFSET(AN70,1,0,$Q68-2)))</f>
        <v>0</v>
      </c>
      <c r="AO70" s="257">
        <f ca="1">IF($Q68=2,IF(AND(ACOMPANHAMENTO="PLE",ISNUMBER($E68)),SUMIF((OFFSET(CÁLCULO!$AM$15:$AW$15,$E68,0,OFFSET(ORÇAMENTO!$D$15,CRONO!$E68,0))),"="&amp;CRONO!AO$12,OFFSET(CÁLCULO!$AB$15:$AL$15,$E68,0,OFFSET(ORÇAMENTO!$D$15,CRONO!$E68,0)))+IF(AND($E70&lt;&gt;"",$E70&lt;&gt;0),SUMIF(CÁLCULO!$AM$15:$AW$192,"="&amp;CRONO!AO$12,CÁLCULO!$AB$15:$AL$192)/(ORÇAMENTO!$X$15-CÁLCULO.TotalAdmLocal)*CRONO!$E70,0),AO69*$R68),SUMIF(OFFSET($R70,1,0,$Q68-2),($L68+1)&amp;"$",OFFSET(AO70,1,0,$Q68-2)))</f>
        <v>0</v>
      </c>
      <c r="AP70" s="257">
        <f ca="1">IF($Q68=2,IF(AND(ACOMPANHAMENTO="PLE",ISNUMBER($E68)),SUMIF((OFFSET(CÁLCULO!$AM$15:$AW$15,$E68,0,OFFSET(ORÇAMENTO!$D$15,CRONO!$E68,0))),"="&amp;CRONO!AP$12,OFFSET(CÁLCULO!$AB$15:$AL$15,$E68,0,OFFSET(ORÇAMENTO!$D$15,CRONO!$E68,0)))+IF(AND($E70&lt;&gt;"",$E70&lt;&gt;0),SUMIF(CÁLCULO!$AM$15:$AW$192,"="&amp;CRONO!AP$12,CÁLCULO!$AB$15:$AL$192)/(ORÇAMENTO!$X$15-CÁLCULO.TotalAdmLocal)*CRONO!$E70,0),AP69*$R68),SUMIF(OFFSET($R70,1,0,$Q68-2),($L68+1)&amp;"$",OFFSET(AP70,1,0,$Q68-2)))</f>
        <v>0</v>
      </c>
      <c r="AQ70" s="262">
        <f ca="1">IF($Q68=2,IF(AND(ACOMPANHAMENTO="PLE",ISNUMBER($E68)),SUMIF((OFFSET(CÁLCULO!$AM$15:$AW$15,$E68,0,OFFSET(ORÇAMENTO!$D$15,CRONO!$E68,0))),"="&amp;CRONO!AQ$12,OFFSET(CÁLCULO!$AB$15:$AL$15,$E68,0,OFFSET(ORÇAMENTO!$D$15,CRONO!$E68,0)))+IF(AND($E70&lt;&gt;"",$E70&lt;&gt;0),SUMIF(CÁLCULO!$AM$15:$AW$192,"="&amp;CRONO!AQ$12,CÁLCULO!$AB$15:$AL$192)/(ORÇAMENTO!$X$15-CÁLCULO.TotalAdmLocal)*CRONO!$E70,0),AQ69*$R68),SUMIF(OFFSET($R70,1,0,$Q68-2),($L68+1)&amp;"$",OFFSET(AQ70,1,0,$Q68-2)))</f>
        <v>0</v>
      </c>
    </row>
    <row r="71" spans="1:44" x14ac:dyDescent="0.2">
      <c r="A71" s="238">
        <f t="shared" ref="A71" ca="1" si="54">OFFSET(A71,-3,0)+1</f>
        <v>20</v>
      </c>
      <c r="B71" s="238">
        <f ca="1">IF($Q71&lt;&gt;2,0,IF($R71=0,1,IF(E72&gt;0,OFFSET(QCI!$M$13,SUBSTITUTE(E72,".",""),0),OFFSET(ORÇAMENTO!$AA$15,CRONO!$E71,0))/$R71))</f>
        <v>1</v>
      </c>
      <c r="C71" s="238">
        <f ca="1">IF($Q71&lt;&gt;2,0,IF($R71=0,1,IF(E72&gt;0,OFFSET(QCI!$N$13,SUBSTITUTE(E72,".",""),0),OFFSET(ORÇAMENTO!$AB$15,CRONO!$E71,0))/$R71))</f>
        <v>1</v>
      </c>
      <c r="D71" s="241">
        <f ca="1">IF(AND($Q71=2,ACOMPANHAMENTO="BM"),D72,D73/$R71)</f>
        <v>0</v>
      </c>
      <c r="E71" s="238">
        <f ca="1">IF(A71&lt;=ORÇAMENTO.MáximoListaCrono,MATCH(A71,ORÇAMENTO.ListaCrono,0),NA())</f>
        <v>134</v>
      </c>
      <c r="F71" s="238" t="str">
        <f t="shared" ref="F71" ca="1" si="55">IF(AND($E72&lt;&gt;-1,$R71&gt;0),"F","")</f>
        <v/>
      </c>
      <c r="G71" s="242" t="str">
        <f ca="1">IF(OR(R71=0,R71=""),"Linha",IF(AND(OR(ACOMPANHAMENTO="PLE",$Q71&lt;&gt;2),$E72=0),"Linha",1-SUM(T71:AR71)))</f>
        <v>Linha</v>
      </c>
      <c r="H71" s="243" t="str">
        <f ca="1">IF($E72=0,OFFSET(ORÇAMENTO!O$15,$E71,0),IF($E72&lt;&gt;-1,OFFSET(QCI!$D$13,$E72,0),""))</f>
        <v>1.19.</v>
      </c>
      <c r="I71" s="244" t="str">
        <f ca="1">IF($E72=0,OFFSET(ORÇAMENTO!R$15,$E71,0),IF($E72&lt;&gt;-1,OFFSET(QCI!$G$13,$E72,0),""))</f>
        <v>HIDRAULICO</v>
      </c>
      <c r="J71" s="244"/>
      <c r="K71" s="244"/>
      <c r="L71" s="245">
        <f ca="1">IF($E72=0,OFFSET(ORÇAMENTO!C$15,$E71,0),1)</f>
        <v>2</v>
      </c>
      <c r="M71" s="246">
        <f ca="1">IF($E72=-1,0,IF(M$13&lt;=$L71,IF(ISERROR(MATCH(M$13,OFFSET($L71,1,0,ROW($L$92)-ROW($L71)-1),0)),ROW($L$92)-ROW($L71)-1,MATCH(M$13,OFFSET($L71,1,0,ROW($L$92)-ROW($L71)-1),0)-1),0))</f>
        <v>20</v>
      </c>
      <c r="N71" s="246">
        <f ca="1">IF($E72=-1,0,IF(N$13&lt;=$L71,IF(ISERROR(MATCH(N$13,OFFSET($L71,1,0,ROW($L$92)-ROW($L71)-1),0)),ROW($L$92)-ROW($L71)-1,MATCH(N$13,OFFSET($L71,1,0,ROW($L$92)-ROW($L71)-1),0)-1),0))</f>
        <v>2</v>
      </c>
      <c r="O71" s="246">
        <f ca="1">IF($E72=-1,0,IF(O$13&lt;=$L71,IF(ISERROR(MATCH(O$13,OFFSET($L71,1,0,ROW($L$92)-ROW($L71)-1),0)),ROW($L$92)-ROW($L71)-1,MATCH(O$13,OFFSET($L71,1,0,ROW($L$92)-ROW($L71)-1),0)-1),0))</f>
        <v>0</v>
      </c>
      <c r="P71" s="246">
        <f ca="1">IF($E72=-1,0,IF(P$13&lt;=$L71,IF(ISERROR(MATCH(P$13,OFFSET($L71,1,0,ROW($L$92)-ROW($L71)-1),0)),ROW($L$92)-ROW($L71)-1,MATCH(P$13,OFFSET($L71,1,0,ROW($L$92)-ROW($L71)-1),0)-1),0))</f>
        <v>0</v>
      </c>
      <c r="Q71" s="246">
        <f t="shared" ref="Q71" ca="1" si="56">MIN(OFFSET(L71,0,1,,L71))</f>
        <v>2</v>
      </c>
      <c r="R71" s="247">
        <f ca="1">IF($E72=0,OFFSET(ORÇAMENTO!X$15,$E71,0),IF($E72&lt;&gt;-1,OFFSET(QCI!$O$13,$E72,0),""))</f>
        <v>0</v>
      </c>
      <c r="S71" s="248" t="s">
        <v>270</v>
      </c>
      <c r="T71" s="249">
        <f t="shared" ref="T71:AQ71" ca="1" si="57">IF(AND($Q71=2,ACOMPANHAMENTO="BM"),T72,T73/$R71)</f>
        <v>0</v>
      </c>
      <c r="U71" s="241">
        <f t="shared" ca="1" si="57"/>
        <v>0</v>
      </c>
      <c r="V71" s="241">
        <f t="shared" ca="1" si="57"/>
        <v>0</v>
      </c>
      <c r="W71" s="241">
        <f t="shared" ca="1" si="57"/>
        <v>0</v>
      </c>
      <c r="X71" s="241">
        <f t="shared" ca="1" si="57"/>
        <v>0</v>
      </c>
      <c r="Y71" s="241">
        <f t="shared" ca="1" si="57"/>
        <v>0</v>
      </c>
      <c r="Z71" s="241">
        <f t="shared" ca="1" si="57"/>
        <v>0</v>
      </c>
      <c r="AA71" s="241">
        <f t="shared" ca="1" si="57"/>
        <v>0</v>
      </c>
      <c r="AB71" s="241">
        <f t="shared" ca="1" si="57"/>
        <v>0</v>
      </c>
      <c r="AC71" s="241">
        <f t="shared" ca="1" si="57"/>
        <v>0.5</v>
      </c>
      <c r="AD71" s="241">
        <f t="shared" ca="1" si="57"/>
        <v>0.5</v>
      </c>
      <c r="AE71" s="250">
        <f t="shared" ca="1" si="57"/>
        <v>0</v>
      </c>
      <c r="AF71" s="249">
        <f t="shared" ca="1" si="57"/>
        <v>0</v>
      </c>
      <c r="AG71" s="241">
        <f t="shared" ca="1" si="57"/>
        <v>0</v>
      </c>
      <c r="AH71" s="241">
        <f t="shared" ca="1" si="57"/>
        <v>0</v>
      </c>
      <c r="AI71" s="241">
        <f t="shared" ca="1" si="57"/>
        <v>0</v>
      </c>
      <c r="AJ71" s="241">
        <f t="shared" ca="1" si="57"/>
        <v>0</v>
      </c>
      <c r="AK71" s="241">
        <f t="shared" ca="1" si="57"/>
        <v>0</v>
      </c>
      <c r="AL71" s="241">
        <f t="shared" ca="1" si="57"/>
        <v>0</v>
      </c>
      <c r="AM71" s="241">
        <f t="shared" ca="1" si="57"/>
        <v>0</v>
      </c>
      <c r="AN71" s="241">
        <f t="shared" ca="1" si="57"/>
        <v>0</v>
      </c>
      <c r="AO71" s="241">
        <f t="shared" ca="1" si="57"/>
        <v>0</v>
      </c>
      <c r="AP71" s="241">
        <f t="shared" ca="1" si="57"/>
        <v>0</v>
      </c>
      <c r="AQ71" s="250">
        <f t="shared" ca="1" si="57"/>
        <v>0</v>
      </c>
    </row>
    <row r="72" spans="1:44" ht="12.75" customHeight="1" x14ac:dyDescent="0.2">
      <c r="D72" s="657"/>
      <c r="E72" s="238">
        <f ca="1">IF(ISERROR(E71),IF(1+COUNTIF($L$13:OFFSET(L71,-1,0),1)&lt;=MAX(QCI!$D$13:$D$24),1+COUNTIF($L$13:OFFSET(L71,-1,0),1),-1),0)</f>
        <v>0</v>
      </c>
      <c r="F72" s="238" t="str">
        <f t="shared" ref="F72" ca="1" si="58">IF(AND($E72&lt;&gt;-1,$R71&gt;0),"F","")</f>
        <v/>
      </c>
      <c r="G72" s="251" t="str">
        <f ca="1">IF(OR(R71=0,R71=""),"vazia",IF(AND(OR(ACOMPANHAMENTO="PLE",$Q71&lt;&gt;2),$E72=0),"calculada","--&gt;"))</f>
        <v>vazia</v>
      </c>
      <c r="H72" s="252"/>
      <c r="I72" s="253" t="str">
        <f t="shared" ref="I72" ca="1" si="59">IF(AND(G71&lt;&gt;0,ISNUMBER(G71)),"PREENCHA ESTA LINHA --&gt;","")</f>
        <v/>
      </c>
      <c r="J72" s="253"/>
      <c r="K72" s="253"/>
      <c r="L72" s="254"/>
      <c r="M72" s="254"/>
      <c r="N72" s="254"/>
      <c r="O72" s="254"/>
      <c r="P72" s="254"/>
      <c r="Q72" s="254"/>
      <c r="R72" s="255"/>
      <c r="S72" s="256"/>
      <c r="T72" s="658"/>
      <c r="U72" s="657"/>
      <c r="V72" s="657"/>
      <c r="W72" s="657"/>
      <c r="X72" s="657"/>
      <c r="Y72" s="657"/>
      <c r="Z72" s="657"/>
      <c r="AA72" s="657"/>
      <c r="AB72" s="657"/>
      <c r="AC72" s="657">
        <v>0.5</v>
      </c>
      <c r="AD72" s="657">
        <v>0.5</v>
      </c>
      <c r="AE72" s="659"/>
      <c r="AF72" s="658"/>
      <c r="AG72" s="657"/>
      <c r="AH72" s="657"/>
      <c r="AI72" s="657"/>
      <c r="AJ72" s="657"/>
      <c r="AK72" s="657"/>
      <c r="AL72" s="657"/>
      <c r="AM72" s="657"/>
      <c r="AN72" s="657"/>
      <c r="AO72" s="657"/>
      <c r="AP72" s="657"/>
      <c r="AQ72" s="659"/>
      <c r="AR72" s="617"/>
    </row>
    <row r="73" spans="1:44" ht="0.2" hidden="1" customHeight="1" x14ac:dyDescent="0.2">
      <c r="D73" s="257">
        <f ca="1">IF($Q71=2,IF(AND(ACOMPANHAMENTO="PLE",ISNUMBER($E71)),SUMIF((OFFSET(CÁLCULO!$AM$15:$AW$15,$E71,0,OFFSET(ORÇAMENTO!$D$15,CRONO!$E71,0))),"="&amp;CRONO!D$12,OFFSET(CÁLCULO!$AB$15:$AL$15,$E71,0,OFFSET(ORÇAMENTO!$D$15,CRONO!$E71,0)))+IF(AND($E73&lt;&gt;"",$E73&lt;&gt;0),SUMIF(CÁLCULO!$AM$15:$AW$192,"="&amp;CRONO!D$12,CÁLCULO!$AB$15:$AL$192)/(ORÇAMENTO!$X$15-CÁLCULO.TotalAdmLocal)*CRONO!$E73,0),D72*$R71),SUMIF(OFFSET($R73,1,0,$Q71-2),($L71+1)&amp;"$",OFFSET(D73,1,0,$Q71-2)))</f>
        <v>0</v>
      </c>
      <c r="E73" s="238" t="str">
        <f ca="1">IF(OR($Q71&lt;&gt;2,AUTOEVENTO&lt;&gt;"manual",$E72&gt;0),"",SUMIF(OFFSET(CÁLCULO!$M$15,CRONO!$E71,0,OFFSET(ORÇAMENTO!$D$15,CRONO!$E71,0)),1,OFFSET(ORÇAMENTO!$X$15,CRONO!$E71,0,OFFSET(ORÇAMENTO!$D$15,CRONO!$E71,0))))</f>
        <v/>
      </c>
      <c r="G73" s="258"/>
      <c r="R73" s="259" t="str">
        <f t="shared" ref="R73" ca="1" si="60">L71&amp;"$"</f>
        <v>2$</v>
      </c>
      <c r="S73" s="260"/>
      <c r="T73" s="261">
        <f ca="1">IF($Q71=2,IF(AND(ACOMPANHAMENTO="PLE",ISNUMBER($E71)),SUMIF((OFFSET(CÁLCULO!$AM$15:$AW$15,$E71,0,OFFSET(ORÇAMENTO!$D$15,CRONO!$E71,0))),"&lt;="&amp;CRONO!T$12,OFFSET(CÁLCULO!$AB$15:$AL$15,$E71,0,OFFSET(ORÇAMENTO!$D$15,CRONO!$E71,0)))+IF(AND($E73&lt;&gt;"",$E73&lt;&gt;0),SUMIF(CÁLCULO!$AM$15:$AW$192,"&lt;="&amp;CRONO!T$12,CÁLCULO!$AB$15:$AL$192)/(ORÇAMENTO!$X$15-CÁLCULO.TotalAdmLocal)*CRONO!$E73,0),T72*$R71),SUMIF(OFFSET($R73,1,0,$Q71-2),($L71+1)&amp;"$",OFFSET(T73,1,0,$Q71-2)))</f>
        <v>0</v>
      </c>
      <c r="U73" s="257">
        <f ca="1">IF($Q71=2,IF(AND(ACOMPANHAMENTO="PLE",ISNUMBER($E71)),SUMIF((OFFSET(CÁLCULO!$AM$15:$AW$15,$E71,0,OFFSET(ORÇAMENTO!$D$15,CRONO!$E71,0))),"="&amp;CRONO!U$12,OFFSET(CÁLCULO!$AB$15:$AL$15,$E71,0,OFFSET(ORÇAMENTO!$D$15,CRONO!$E71,0)))+IF(AND($E73&lt;&gt;"",$E73&lt;&gt;0),SUMIF(CÁLCULO!$AM$15:$AW$192,"="&amp;CRONO!U$12,CÁLCULO!$AB$15:$AL$192)/(ORÇAMENTO!$X$15-CÁLCULO.TotalAdmLocal)*CRONO!$E73,0),U72*$R71),SUMIF(OFFSET($R73,1,0,$Q71-2),($L71+1)&amp;"$",OFFSET(U73,1,0,$Q71-2)))</f>
        <v>0</v>
      </c>
      <c r="V73" s="257">
        <f ca="1">IF($Q71=2,IF(AND(ACOMPANHAMENTO="PLE",ISNUMBER($E71)),SUMIF((OFFSET(CÁLCULO!$AM$15:$AW$15,$E71,0,OFFSET(ORÇAMENTO!$D$15,CRONO!$E71,0))),"="&amp;CRONO!V$12,OFFSET(CÁLCULO!$AB$15:$AL$15,$E71,0,OFFSET(ORÇAMENTO!$D$15,CRONO!$E71,0)))+IF(AND($E73&lt;&gt;"",$E73&lt;&gt;0),SUMIF(CÁLCULO!$AM$15:$AW$192,"="&amp;CRONO!V$12,CÁLCULO!$AB$15:$AL$192)/(ORÇAMENTO!$X$15-CÁLCULO.TotalAdmLocal)*CRONO!$E73,0),V72*$R71),SUMIF(OFFSET($R73,1,0,$Q71-2),($L71+1)&amp;"$",OFFSET(V73,1,0,$Q71-2)))</f>
        <v>0</v>
      </c>
      <c r="W73" s="257">
        <f ca="1">IF($Q71=2,IF(AND(ACOMPANHAMENTO="PLE",ISNUMBER($E71)),SUMIF((OFFSET(CÁLCULO!$AM$15:$AW$15,$E71,0,OFFSET(ORÇAMENTO!$D$15,CRONO!$E71,0))),"="&amp;CRONO!W$12,OFFSET(CÁLCULO!$AB$15:$AL$15,$E71,0,OFFSET(ORÇAMENTO!$D$15,CRONO!$E71,0)))+IF(AND($E73&lt;&gt;"",$E73&lt;&gt;0),SUMIF(CÁLCULO!$AM$15:$AW$192,"="&amp;CRONO!W$12,CÁLCULO!$AB$15:$AL$192)/(ORÇAMENTO!$X$15-CÁLCULO.TotalAdmLocal)*CRONO!$E73,0),W72*$R71),SUMIF(OFFSET($R73,1,0,$Q71-2),($L71+1)&amp;"$",OFFSET(W73,1,0,$Q71-2)))</f>
        <v>0</v>
      </c>
      <c r="X73" s="257">
        <f ca="1">IF($Q71=2,IF(AND(ACOMPANHAMENTO="PLE",ISNUMBER($E71)),SUMIF((OFFSET(CÁLCULO!$AM$15:$AW$15,$E71,0,OFFSET(ORÇAMENTO!$D$15,CRONO!$E71,0))),"="&amp;CRONO!X$12,OFFSET(CÁLCULO!$AB$15:$AL$15,$E71,0,OFFSET(ORÇAMENTO!$D$15,CRONO!$E71,0)))+IF(AND($E73&lt;&gt;"",$E73&lt;&gt;0),SUMIF(CÁLCULO!$AM$15:$AW$192,"="&amp;CRONO!X$12,CÁLCULO!$AB$15:$AL$192)/(ORÇAMENTO!$X$15-CÁLCULO.TotalAdmLocal)*CRONO!$E73,0),X72*$R71),SUMIF(OFFSET($R73,1,0,$Q71-2),($L71+1)&amp;"$",OFFSET(X73,1,0,$Q71-2)))</f>
        <v>0</v>
      </c>
      <c r="Y73" s="257">
        <f ca="1">IF($Q71=2,IF(AND(ACOMPANHAMENTO="PLE",ISNUMBER($E71)),SUMIF((OFFSET(CÁLCULO!$AM$15:$AW$15,$E71,0,OFFSET(ORÇAMENTO!$D$15,CRONO!$E71,0))),"="&amp;CRONO!Y$12,OFFSET(CÁLCULO!$AB$15:$AL$15,$E71,0,OFFSET(ORÇAMENTO!$D$15,CRONO!$E71,0)))+IF(AND($E73&lt;&gt;"",$E73&lt;&gt;0),SUMIF(CÁLCULO!$AM$15:$AW$192,"="&amp;CRONO!Y$12,CÁLCULO!$AB$15:$AL$192)/(ORÇAMENTO!$X$15-CÁLCULO.TotalAdmLocal)*CRONO!$E73,0),Y72*$R71),SUMIF(OFFSET($R73,1,0,$Q71-2),($L71+1)&amp;"$",OFFSET(Y73,1,0,$Q71-2)))</f>
        <v>0</v>
      </c>
      <c r="Z73" s="257">
        <f ca="1">IF($Q71=2,IF(AND(ACOMPANHAMENTO="PLE",ISNUMBER($E71)),SUMIF((OFFSET(CÁLCULO!$AM$15:$AW$15,$E71,0,OFFSET(ORÇAMENTO!$D$15,CRONO!$E71,0))),"="&amp;CRONO!Z$12,OFFSET(CÁLCULO!$AB$15:$AL$15,$E71,0,OFFSET(ORÇAMENTO!$D$15,CRONO!$E71,0)))+IF(AND($E73&lt;&gt;"",$E73&lt;&gt;0),SUMIF(CÁLCULO!$AM$15:$AW$192,"="&amp;CRONO!Z$12,CÁLCULO!$AB$15:$AL$192)/(ORÇAMENTO!$X$15-CÁLCULO.TotalAdmLocal)*CRONO!$E73,0),Z72*$R71),SUMIF(OFFSET($R73,1,0,$Q71-2),($L71+1)&amp;"$",OFFSET(Z73,1,0,$Q71-2)))</f>
        <v>0</v>
      </c>
      <c r="AA73" s="257">
        <f ca="1">IF($Q71=2,IF(AND(ACOMPANHAMENTO="PLE",ISNUMBER($E71)),SUMIF((OFFSET(CÁLCULO!$AM$15:$AW$15,$E71,0,OFFSET(ORÇAMENTO!$D$15,CRONO!$E71,0))),"="&amp;CRONO!AA$12,OFFSET(CÁLCULO!$AB$15:$AL$15,$E71,0,OFFSET(ORÇAMENTO!$D$15,CRONO!$E71,0)))+IF(AND($E73&lt;&gt;"",$E73&lt;&gt;0),SUMIF(CÁLCULO!$AM$15:$AW$192,"="&amp;CRONO!AA$12,CÁLCULO!$AB$15:$AL$192)/(ORÇAMENTO!$X$15-CÁLCULO.TotalAdmLocal)*CRONO!$E73,0),AA72*$R71),SUMIF(OFFSET($R73,1,0,$Q71-2),($L71+1)&amp;"$",OFFSET(AA73,1,0,$Q71-2)))</f>
        <v>0</v>
      </c>
      <c r="AB73" s="257">
        <f ca="1">IF($Q71=2,IF(AND(ACOMPANHAMENTO="PLE",ISNUMBER($E71)),SUMIF((OFFSET(CÁLCULO!$AM$15:$AW$15,$E71,0,OFFSET(ORÇAMENTO!$D$15,CRONO!$E71,0))),"="&amp;CRONO!AB$12,OFFSET(CÁLCULO!$AB$15:$AL$15,$E71,0,OFFSET(ORÇAMENTO!$D$15,CRONO!$E71,0)))+IF(AND($E73&lt;&gt;"",$E73&lt;&gt;0),SUMIF(CÁLCULO!$AM$15:$AW$192,"="&amp;CRONO!AB$12,CÁLCULO!$AB$15:$AL$192)/(ORÇAMENTO!$X$15-CÁLCULO.TotalAdmLocal)*CRONO!$E73,0),AB72*$R71),SUMIF(OFFSET($R73,1,0,$Q71-2),($L71+1)&amp;"$",OFFSET(AB73,1,0,$Q71-2)))</f>
        <v>0</v>
      </c>
      <c r="AC73" s="257">
        <f ca="1">IF($Q71=2,IF(AND(ACOMPANHAMENTO="PLE",ISNUMBER($E71)),SUMIF((OFFSET(CÁLCULO!$AM$15:$AW$15,$E71,0,OFFSET(ORÇAMENTO!$D$15,CRONO!$E71,0))),"="&amp;CRONO!AC$12,OFFSET(CÁLCULO!$AB$15:$AL$15,$E71,0,OFFSET(ORÇAMENTO!$D$15,CRONO!$E71,0)))+IF(AND($E73&lt;&gt;"",$E73&lt;&gt;0),SUMIF(CÁLCULO!$AM$15:$AW$192,"="&amp;CRONO!AC$12,CÁLCULO!$AB$15:$AL$192)/(ORÇAMENTO!$X$15-CÁLCULO.TotalAdmLocal)*CRONO!$E73,0),AC72*$R71),SUMIF(OFFSET($R73,1,0,$Q71-2),($L71+1)&amp;"$",OFFSET(AC73,1,0,$Q71-2)))</f>
        <v>0</v>
      </c>
      <c r="AD73" s="257">
        <f ca="1">IF($Q71=2,IF(AND(ACOMPANHAMENTO="PLE",ISNUMBER($E71)),SUMIF((OFFSET(CÁLCULO!$AM$15:$AW$15,$E71,0,OFFSET(ORÇAMENTO!$D$15,CRONO!$E71,0))),"="&amp;CRONO!AD$12,OFFSET(CÁLCULO!$AB$15:$AL$15,$E71,0,OFFSET(ORÇAMENTO!$D$15,CRONO!$E71,0)))+IF(AND($E73&lt;&gt;"",$E73&lt;&gt;0),SUMIF(CÁLCULO!$AM$15:$AW$192,"="&amp;CRONO!AD$12,CÁLCULO!$AB$15:$AL$192)/(ORÇAMENTO!$X$15-CÁLCULO.TotalAdmLocal)*CRONO!$E73,0),AD72*$R71),SUMIF(OFFSET($R73,1,0,$Q71-2),($L71+1)&amp;"$",OFFSET(AD73,1,0,$Q71-2)))</f>
        <v>0</v>
      </c>
      <c r="AE73" s="262">
        <f ca="1">IF($Q71=2,IF(AND(ACOMPANHAMENTO="PLE",ISNUMBER($E71)),SUMIF((OFFSET(CÁLCULO!$AM$15:$AW$15,$E71,0,OFFSET(ORÇAMENTO!$D$15,CRONO!$E71,0))),"="&amp;CRONO!AE$12,OFFSET(CÁLCULO!$AB$15:$AL$15,$E71,0,OFFSET(ORÇAMENTO!$D$15,CRONO!$E71,0)))+IF(AND($E73&lt;&gt;"",$E73&lt;&gt;0),SUMIF(CÁLCULO!$AM$15:$AW$192,"="&amp;CRONO!AE$12,CÁLCULO!$AB$15:$AL$192)/(ORÇAMENTO!$X$15-CÁLCULO.TotalAdmLocal)*CRONO!$E73,0),AE72*$R71),SUMIF(OFFSET($R73,1,0,$Q71-2),($L71+1)&amp;"$",OFFSET(AE73,1,0,$Q71-2)))</f>
        <v>0</v>
      </c>
      <c r="AF73" s="261">
        <f ca="1">IF($Q71=2,IF(AND(ACOMPANHAMENTO="PLE",ISNUMBER($E71)),SUMIF((OFFSET(CÁLCULO!$AM$15:$AW$15,$E71,0,OFFSET(ORÇAMENTO!$D$15,CRONO!$E71,0))),"="&amp;CRONO!AF$12,OFFSET(CÁLCULO!$AB$15:$AL$15,$E71,0,OFFSET(ORÇAMENTO!$D$15,CRONO!$E71,0)))+IF(AND($E73&lt;&gt;"",$E73&lt;&gt;0),SUMIF(CÁLCULO!$AM$15:$AW$192,"="&amp;CRONO!AF$12,CÁLCULO!$AB$15:$AL$192)/(ORÇAMENTO!$X$15-CÁLCULO.TotalAdmLocal)*CRONO!$E73,0),AF72*$R71),SUMIF(OFFSET($R73,1,0,$Q71-2),($L71+1)&amp;"$",OFFSET(AF73,1,0,$Q71-2)))</f>
        <v>0</v>
      </c>
      <c r="AG73" s="257">
        <f ca="1">IF($Q71=2,IF(AND(ACOMPANHAMENTO="PLE",ISNUMBER($E71)),SUMIF((OFFSET(CÁLCULO!$AM$15:$AW$15,$E71,0,OFFSET(ORÇAMENTO!$D$15,CRONO!$E71,0))),"="&amp;CRONO!AG$12,OFFSET(CÁLCULO!$AB$15:$AL$15,$E71,0,OFFSET(ORÇAMENTO!$D$15,CRONO!$E71,0)))+IF(AND($E73&lt;&gt;"",$E73&lt;&gt;0),SUMIF(CÁLCULO!$AM$15:$AW$192,"="&amp;CRONO!AG$12,CÁLCULO!$AB$15:$AL$192)/(ORÇAMENTO!$X$15-CÁLCULO.TotalAdmLocal)*CRONO!$E73,0),AG72*$R71),SUMIF(OFFSET($R73,1,0,$Q71-2),($L71+1)&amp;"$",OFFSET(AG73,1,0,$Q71-2)))</f>
        <v>0</v>
      </c>
      <c r="AH73" s="257">
        <f ca="1">IF($Q71=2,IF(AND(ACOMPANHAMENTO="PLE",ISNUMBER($E71)),SUMIF((OFFSET(CÁLCULO!$AM$15:$AW$15,$E71,0,OFFSET(ORÇAMENTO!$D$15,CRONO!$E71,0))),"="&amp;CRONO!AH$12,OFFSET(CÁLCULO!$AB$15:$AL$15,$E71,0,OFFSET(ORÇAMENTO!$D$15,CRONO!$E71,0)))+IF(AND($E73&lt;&gt;"",$E73&lt;&gt;0),SUMIF(CÁLCULO!$AM$15:$AW$192,"="&amp;CRONO!AH$12,CÁLCULO!$AB$15:$AL$192)/(ORÇAMENTO!$X$15-CÁLCULO.TotalAdmLocal)*CRONO!$E73,0),AH72*$R71),SUMIF(OFFSET($R73,1,0,$Q71-2),($L71+1)&amp;"$",OFFSET(AH73,1,0,$Q71-2)))</f>
        <v>0</v>
      </c>
      <c r="AI73" s="257">
        <f ca="1">IF($Q71=2,IF(AND(ACOMPANHAMENTO="PLE",ISNUMBER($E71)),SUMIF((OFFSET(CÁLCULO!$AM$15:$AW$15,$E71,0,OFFSET(ORÇAMENTO!$D$15,CRONO!$E71,0))),"="&amp;CRONO!AI$12,OFFSET(CÁLCULO!$AB$15:$AL$15,$E71,0,OFFSET(ORÇAMENTO!$D$15,CRONO!$E71,0)))+IF(AND($E73&lt;&gt;"",$E73&lt;&gt;0),SUMIF(CÁLCULO!$AM$15:$AW$192,"="&amp;CRONO!AI$12,CÁLCULO!$AB$15:$AL$192)/(ORÇAMENTO!$X$15-CÁLCULO.TotalAdmLocal)*CRONO!$E73,0),AI72*$R71),SUMIF(OFFSET($R73,1,0,$Q71-2),($L71+1)&amp;"$",OFFSET(AI73,1,0,$Q71-2)))</f>
        <v>0</v>
      </c>
      <c r="AJ73" s="257">
        <f ca="1">IF($Q71=2,IF(AND(ACOMPANHAMENTO="PLE",ISNUMBER($E71)),SUMIF((OFFSET(CÁLCULO!$AM$15:$AW$15,$E71,0,OFFSET(ORÇAMENTO!$D$15,CRONO!$E71,0))),"="&amp;CRONO!AJ$12,OFFSET(CÁLCULO!$AB$15:$AL$15,$E71,0,OFFSET(ORÇAMENTO!$D$15,CRONO!$E71,0)))+IF(AND($E73&lt;&gt;"",$E73&lt;&gt;0),SUMIF(CÁLCULO!$AM$15:$AW$192,"="&amp;CRONO!AJ$12,CÁLCULO!$AB$15:$AL$192)/(ORÇAMENTO!$X$15-CÁLCULO.TotalAdmLocal)*CRONO!$E73,0),AJ72*$R71),SUMIF(OFFSET($R73,1,0,$Q71-2),($L71+1)&amp;"$",OFFSET(AJ73,1,0,$Q71-2)))</f>
        <v>0</v>
      </c>
      <c r="AK73" s="257">
        <f ca="1">IF($Q71=2,IF(AND(ACOMPANHAMENTO="PLE",ISNUMBER($E71)),SUMIF((OFFSET(CÁLCULO!$AM$15:$AW$15,$E71,0,OFFSET(ORÇAMENTO!$D$15,CRONO!$E71,0))),"="&amp;CRONO!AK$12,OFFSET(CÁLCULO!$AB$15:$AL$15,$E71,0,OFFSET(ORÇAMENTO!$D$15,CRONO!$E71,0)))+IF(AND($E73&lt;&gt;"",$E73&lt;&gt;0),SUMIF(CÁLCULO!$AM$15:$AW$192,"="&amp;CRONO!AK$12,CÁLCULO!$AB$15:$AL$192)/(ORÇAMENTO!$X$15-CÁLCULO.TotalAdmLocal)*CRONO!$E73,0),AK72*$R71),SUMIF(OFFSET($R73,1,0,$Q71-2),($L71+1)&amp;"$",OFFSET(AK73,1,0,$Q71-2)))</f>
        <v>0</v>
      </c>
      <c r="AL73" s="257">
        <f ca="1">IF($Q71=2,IF(AND(ACOMPANHAMENTO="PLE",ISNUMBER($E71)),SUMIF((OFFSET(CÁLCULO!$AM$15:$AW$15,$E71,0,OFFSET(ORÇAMENTO!$D$15,CRONO!$E71,0))),"="&amp;CRONO!AL$12,OFFSET(CÁLCULO!$AB$15:$AL$15,$E71,0,OFFSET(ORÇAMENTO!$D$15,CRONO!$E71,0)))+IF(AND($E73&lt;&gt;"",$E73&lt;&gt;0),SUMIF(CÁLCULO!$AM$15:$AW$192,"="&amp;CRONO!AL$12,CÁLCULO!$AB$15:$AL$192)/(ORÇAMENTO!$X$15-CÁLCULO.TotalAdmLocal)*CRONO!$E73,0),AL72*$R71),SUMIF(OFFSET($R73,1,0,$Q71-2),($L71+1)&amp;"$",OFFSET(AL73,1,0,$Q71-2)))</f>
        <v>0</v>
      </c>
      <c r="AM73" s="257">
        <f ca="1">IF($Q71=2,IF(AND(ACOMPANHAMENTO="PLE",ISNUMBER($E71)),SUMIF((OFFSET(CÁLCULO!$AM$15:$AW$15,$E71,0,OFFSET(ORÇAMENTO!$D$15,CRONO!$E71,0))),"="&amp;CRONO!AM$12,OFFSET(CÁLCULO!$AB$15:$AL$15,$E71,0,OFFSET(ORÇAMENTO!$D$15,CRONO!$E71,0)))+IF(AND($E73&lt;&gt;"",$E73&lt;&gt;0),SUMIF(CÁLCULO!$AM$15:$AW$192,"="&amp;CRONO!AM$12,CÁLCULO!$AB$15:$AL$192)/(ORÇAMENTO!$X$15-CÁLCULO.TotalAdmLocal)*CRONO!$E73,0),AM72*$R71),SUMIF(OFFSET($R73,1,0,$Q71-2),($L71+1)&amp;"$",OFFSET(AM73,1,0,$Q71-2)))</f>
        <v>0</v>
      </c>
      <c r="AN73" s="257">
        <f ca="1">IF($Q71=2,IF(AND(ACOMPANHAMENTO="PLE",ISNUMBER($E71)),SUMIF((OFFSET(CÁLCULO!$AM$15:$AW$15,$E71,0,OFFSET(ORÇAMENTO!$D$15,CRONO!$E71,0))),"="&amp;CRONO!AN$12,OFFSET(CÁLCULO!$AB$15:$AL$15,$E71,0,OFFSET(ORÇAMENTO!$D$15,CRONO!$E71,0)))+IF(AND($E73&lt;&gt;"",$E73&lt;&gt;0),SUMIF(CÁLCULO!$AM$15:$AW$192,"="&amp;CRONO!AN$12,CÁLCULO!$AB$15:$AL$192)/(ORÇAMENTO!$X$15-CÁLCULO.TotalAdmLocal)*CRONO!$E73,0),AN72*$R71),SUMIF(OFFSET($R73,1,0,$Q71-2),($L71+1)&amp;"$",OFFSET(AN73,1,0,$Q71-2)))</f>
        <v>0</v>
      </c>
      <c r="AO73" s="257">
        <f ca="1">IF($Q71=2,IF(AND(ACOMPANHAMENTO="PLE",ISNUMBER($E71)),SUMIF((OFFSET(CÁLCULO!$AM$15:$AW$15,$E71,0,OFFSET(ORÇAMENTO!$D$15,CRONO!$E71,0))),"="&amp;CRONO!AO$12,OFFSET(CÁLCULO!$AB$15:$AL$15,$E71,0,OFFSET(ORÇAMENTO!$D$15,CRONO!$E71,0)))+IF(AND($E73&lt;&gt;"",$E73&lt;&gt;0),SUMIF(CÁLCULO!$AM$15:$AW$192,"="&amp;CRONO!AO$12,CÁLCULO!$AB$15:$AL$192)/(ORÇAMENTO!$X$15-CÁLCULO.TotalAdmLocal)*CRONO!$E73,0),AO72*$R71),SUMIF(OFFSET($R73,1,0,$Q71-2),($L71+1)&amp;"$",OFFSET(AO73,1,0,$Q71-2)))</f>
        <v>0</v>
      </c>
      <c r="AP73" s="257">
        <f ca="1">IF($Q71=2,IF(AND(ACOMPANHAMENTO="PLE",ISNUMBER($E71)),SUMIF((OFFSET(CÁLCULO!$AM$15:$AW$15,$E71,0,OFFSET(ORÇAMENTO!$D$15,CRONO!$E71,0))),"="&amp;CRONO!AP$12,OFFSET(CÁLCULO!$AB$15:$AL$15,$E71,0,OFFSET(ORÇAMENTO!$D$15,CRONO!$E71,0)))+IF(AND($E73&lt;&gt;"",$E73&lt;&gt;0),SUMIF(CÁLCULO!$AM$15:$AW$192,"="&amp;CRONO!AP$12,CÁLCULO!$AB$15:$AL$192)/(ORÇAMENTO!$X$15-CÁLCULO.TotalAdmLocal)*CRONO!$E73,0),AP72*$R71),SUMIF(OFFSET($R73,1,0,$Q71-2),($L71+1)&amp;"$",OFFSET(AP73,1,0,$Q71-2)))</f>
        <v>0</v>
      </c>
      <c r="AQ73" s="262">
        <f ca="1">IF($Q71=2,IF(AND(ACOMPANHAMENTO="PLE",ISNUMBER($E71)),SUMIF((OFFSET(CÁLCULO!$AM$15:$AW$15,$E71,0,OFFSET(ORÇAMENTO!$D$15,CRONO!$E71,0))),"="&amp;CRONO!AQ$12,OFFSET(CÁLCULO!$AB$15:$AL$15,$E71,0,OFFSET(ORÇAMENTO!$D$15,CRONO!$E71,0)))+IF(AND($E73&lt;&gt;"",$E73&lt;&gt;0),SUMIF(CÁLCULO!$AM$15:$AW$192,"="&amp;CRONO!AQ$12,CÁLCULO!$AB$15:$AL$192)/(ORÇAMENTO!$X$15-CÁLCULO.TotalAdmLocal)*CRONO!$E73,0),AQ72*$R71),SUMIF(OFFSET($R73,1,0,$Q71-2),($L71+1)&amp;"$",OFFSET(AQ73,1,0,$Q71-2)))</f>
        <v>0</v>
      </c>
    </row>
    <row r="74" spans="1:44" x14ac:dyDescent="0.2">
      <c r="A74" s="238">
        <f t="shared" ref="A74" ca="1" si="61">OFFSET(A74,-3,0)+1</f>
        <v>21</v>
      </c>
      <c r="B74" s="238">
        <f ca="1">IF($Q74&lt;&gt;2,0,IF($R74=0,1,IF(E75&gt;0,OFFSET(QCI!$M$13,SUBSTITUTE(E75,".",""),0),OFFSET(ORÇAMENTO!$AA$15,CRONO!$E74,0))/$R74))</f>
        <v>1</v>
      </c>
      <c r="C74" s="238">
        <f ca="1">IF($Q74&lt;&gt;2,0,IF($R74=0,1,IF(E75&gt;0,OFFSET(QCI!$N$13,SUBSTITUTE(E75,".",""),0),OFFSET(ORÇAMENTO!$AB$15,CRONO!$E74,0))/$R74))</f>
        <v>1</v>
      </c>
      <c r="D74" s="241">
        <f ca="1">IF(AND($Q74=2,ACOMPANHAMENTO="BM"),D75,D76/$R74)</f>
        <v>0</v>
      </c>
      <c r="E74" s="238">
        <f ca="1">IF(A74&lt;=ORÇAMENTO.MáximoListaCrono,MATCH(A74,ORÇAMENTO.ListaCrono,0),NA())</f>
        <v>144</v>
      </c>
      <c r="F74" s="238" t="str">
        <f t="shared" ref="F74" ca="1" si="62">IF(AND($E75&lt;&gt;-1,$R74&gt;0),"F","")</f>
        <v/>
      </c>
      <c r="G74" s="242" t="str">
        <f ca="1">IF(OR(R74=0,R74=""),"Linha",IF(AND(OR(ACOMPANHAMENTO="PLE",$Q74&lt;&gt;2),$E75=0),"Linha",1-SUM(T74:AR74)))</f>
        <v>Linha</v>
      </c>
      <c r="H74" s="243" t="str">
        <f ca="1">IF($E75=0,OFFSET(ORÇAMENTO!O$15,$E74,0),IF($E75&lt;&gt;-1,OFFSET(QCI!$D$13,$E75,0),""))</f>
        <v>1.20.</v>
      </c>
      <c r="I74" s="244" t="str">
        <f ca="1">IF($E75=0,OFFSET(ORÇAMENTO!R$15,$E74,0),IF($E75&lt;&gt;-1,OFFSET(QCI!$G$13,$E75,0),""))</f>
        <v>SANITÁRIO</v>
      </c>
      <c r="J74" s="244"/>
      <c r="K74" s="244"/>
      <c r="L74" s="245">
        <f ca="1">IF($E75=0,OFFSET(ORÇAMENTO!C$15,$E74,0),1)</f>
        <v>2</v>
      </c>
      <c r="M74" s="246">
        <f ca="1">IF($E75=-1,0,IF(M$13&lt;=$L74,IF(ISERROR(MATCH(M$13,OFFSET($L74,1,0,ROW($L$92)-ROW($L74)-1),0)),ROW($L$92)-ROW($L74)-1,MATCH(M$13,OFFSET($L74,1,0,ROW($L$92)-ROW($L74)-1),0)-1),0))</f>
        <v>17</v>
      </c>
      <c r="N74" s="246">
        <f ca="1">IF($E75=-1,0,IF(N$13&lt;=$L74,IF(ISERROR(MATCH(N$13,OFFSET($L74,1,0,ROW($L$92)-ROW($L74)-1),0)),ROW($L$92)-ROW($L74)-1,MATCH(N$13,OFFSET($L74,1,0,ROW($L$92)-ROW($L74)-1),0)-1),0))</f>
        <v>2</v>
      </c>
      <c r="O74" s="246">
        <f ca="1">IF($E75=-1,0,IF(O$13&lt;=$L74,IF(ISERROR(MATCH(O$13,OFFSET($L74,1,0,ROW($L$92)-ROW($L74)-1),0)),ROW($L$92)-ROW($L74)-1,MATCH(O$13,OFFSET($L74,1,0,ROW($L$92)-ROW($L74)-1),0)-1),0))</f>
        <v>0</v>
      </c>
      <c r="P74" s="246">
        <f ca="1">IF($E75=-1,0,IF(P$13&lt;=$L74,IF(ISERROR(MATCH(P$13,OFFSET($L74,1,0,ROW($L$92)-ROW($L74)-1),0)),ROW($L$92)-ROW($L74)-1,MATCH(P$13,OFFSET($L74,1,0,ROW($L$92)-ROW($L74)-1),0)-1),0))</f>
        <v>0</v>
      </c>
      <c r="Q74" s="246">
        <f t="shared" ref="Q74" ca="1" si="63">MIN(OFFSET(L74,0,1,,L74))</f>
        <v>2</v>
      </c>
      <c r="R74" s="247">
        <f ca="1">IF($E75=0,OFFSET(ORÇAMENTO!X$15,$E74,0),IF($E75&lt;&gt;-1,OFFSET(QCI!$O$13,$E75,0),""))</f>
        <v>0</v>
      </c>
      <c r="S74" s="248" t="s">
        <v>270</v>
      </c>
      <c r="T74" s="249">
        <f t="shared" ref="T74:AQ74" ca="1" si="64">IF(AND($Q74=2,ACOMPANHAMENTO="BM"),T75,T76/$R74)</f>
        <v>0</v>
      </c>
      <c r="U74" s="241">
        <f t="shared" ca="1" si="64"/>
        <v>0</v>
      </c>
      <c r="V74" s="241">
        <f t="shared" ca="1" si="64"/>
        <v>0</v>
      </c>
      <c r="W74" s="241">
        <f t="shared" ca="1" si="64"/>
        <v>0</v>
      </c>
      <c r="X74" s="241">
        <f t="shared" ca="1" si="64"/>
        <v>0</v>
      </c>
      <c r="Y74" s="241">
        <f t="shared" ca="1" si="64"/>
        <v>0</v>
      </c>
      <c r="Z74" s="241">
        <f t="shared" ca="1" si="64"/>
        <v>0</v>
      </c>
      <c r="AA74" s="241">
        <f t="shared" ca="1" si="64"/>
        <v>0</v>
      </c>
      <c r="AB74" s="241">
        <f t="shared" ca="1" si="64"/>
        <v>0</v>
      </c>
      <c r="AC74" s="241">
        <f t="shared" ca="1" si="64"/>
        <v>0</v>
      </c>
      <c r="AD74" s="241">
        <f t="shared" ca="1" si="64"/>
        <v>0.5</v>
      </c>
      <c r="AE74" s="250">
        <f t="shared" ca="1" si="64"/>
        <v>0.5</v>
      </c>
      <c r="AF74" s="249">
        <f t="shared" ca="1" si="64"/>
        <v>0</v>
      </c>
      <c r="AG74" s="241">
        <f t="shared" ca="1" si="64"/>
        <v>0</v>
      </c>
      <c r="AH74" s="241">
        <f t="shared" ca="1" si="64"/>
        <v>0</v>
      </c>
      <c r="AI74" s="241">
        <f t="shared" ca="1" si="64"/>
        <v>0</v>
      </c>
      <c r="AJ74" s="241">
        <f t="shared" ca="1" si="64"/>
        <v>0</v>
      </c>
      <c r="AK74" s="241">
        <f t="shared" ca="1" si="64"/>
        <v>0</v>
      </c>
      <c r="AL74" s="241">
        <f t="shared" ca="1" si="64"/>
        <v>0</v>
      </c>
      <c r="AM74" s="241">
        <f t="shared" ca="1" si="64"/>
        <v>0</v>
      </c>
      <c r="AN74" s="241">
        <f t="shared" ca="1" si="64"/>
        <v>0</v>
      </c>
      <c r="AO74" s="241">
        <f t="shared" ca="1" si="64"/>
        <v>0</v>
      </c>
      <c r="AP74" s="241">
        <f t="shared" ca="1" si="64"/>
        <v>0</v>
      </c>
      <c r="AQ74" s="250">
        <f t="shared" ca="1" si="64"/>
        <v>0</v>
      </c>
    </row>
    <row r="75" spans="1:44" ht="12.75" customHeight="1" x14ac:dyDescent="0.2">
      <c r="D75" s="657"/>
      <c r="E75" s="238">
        <f ca="1">IF(ISERROR(E74),IF(1+COUNTIF($L$13:OFFSET(L74,-1,0),1)&lt;=MAX(QCI!$D$13:$D$24),1+COUNTIF($L$13:OFFSET(L74,-1,0),1),-1),0)</f>
        <v>0</v>
      </c>
      <c r="F75" s="238" t="str">
        <f t="shared" ref="F75" ca="1" si="65">IF(AND($E75&lt;&gt;-1,$R74&gt;0),"F","")</f>
        <v/>
      </c>
      <c r="G75" s="251" t="str">
        <f ca="1">IF(OR(R74=0,R74=""),"vazia",IF(AND(OR(ACOMPANHAMENTO="PLE",$Q74&lt;&gt;2),$E75=0),"calculada","--&gt;"))</f>
        <v>vazia</v>
      </c>
      <c r="H75" s="252"/>
      <c r="I75" s="253" t="str">
        <f t="shared" ref="I75" ca="1" si="66">IF(AND(G74&lt;&gt;0,ISNUMBER(G74)),"PREENCHA ESTA LINHA --&gt;","")</f>
        <v/>
      </c>
      <c r="J75" s="253"/>
      <c r="K75" s="253"/>
      <c r="L75" s="254"/>
      <c r="M75" s="254"/>
      <c r="N75" s="254"/>
      <c r="O75" s="254"/>
      <c r="P75" s="254"/>
      <c r="Q75" s="254"/>
      <c r="R75" s="255"/>
      <c r="S75" s="256"/>
      <c r="T75" s="658"/>
      <c r="U75" s="657"/>
      <c r="V75" s="657"/>
      <c r="W75" s="657"/>
      <c r="X75" s="657"/>
      <c r="Y75" s="657"/>
      <c r="Z75" s="657"/>
      <c r="AA75" s="657"/>
      <c r="AB75" s="657"/>
      <c r="AC75" s="657"/>
      <c r="AD75" s="657">
        <v>0.5</v>
      </c>
      <c r="AE75" s="659">
        <v>0.5</v>
      </c>
      <c r="AF75" s="658"/>
      <c r="AG75" s="657"/>
      <c r="AH75" s="657"/>
      <c r="AI75" s="657"/>
      <c r="AJ75" s="657"/>
      <c r="AK75" s="657"/>
      <c r="AL75" s="657"/>
      <c r="AM75" s="657"/>
      <c r="AN75" s="657"/>
      <c r="AO75" s="657"/>
      <c r="AP75" s="657"/>
      <c r="AQ75" s="659"/>
      <c r="AR75" s="617"/>
    </row>
    <row r="76" spans="1:44" ht="0.2" hidden="1" customHeight="1" x14ac:dyDescent="0.2">
      <c r="D76" s="257">
        <f ca="1">IF($Q74=2,IF(AND(ACOMPANHAMENTO="PLE",ISNUMBER($E74)),SUMIF((OFFSET(CÁLCULO!$AM$15:$AW$15,$E74,0,OFFSET(ORÇAMENTO!$D$15,CRONO!$E74,0))),"="&amp;CRONO!D$12,OFFSET(CÁLCULO!$AB$15:$AL$15,$E74,0,OFFSET(ORÇAMENTO!$D$15,CRONO!$E74,0)))+IF(AND($E76&lt;&gt;"",$E76&lt;&gt;0),SUMIF(CÁLCULO!$AM$15:$AW$192,"="&amp;CRONO!D$12,CÁLCULO!$AB$15:$AL$192)/(ORÇAMENTO!$X$15-CÁLCULO.TotalAdmLocal)*CRONO!$E76,0),D75*$R74),SUMIF(OFFSET($R76,1,0,$Q74-2),($L74+1)&amp;"$",OFFSET(D76,1,0,$Q74-2)))</f>
        <v>0</v>
      </c>
      <c r="E76" s="238" t="str">
        <f ca="1">IF(OR($Q74&lt;&gt;2,AUTOEVENTO&lt;&gt;"manual",$E75&gt;0),"",SUMIF(OFFSET(CÁLCULO!$M$15,CRONO!$E74,0,OFFSET(ORÇAMENTO!$D$15,CRONO!$E74,0)),1,OFFSET(ORÇAMENTO!$X$15,CRONO!$E74,0,OFFSET(ORÇAMENTO!$D$15,CRONO!$E74,0))))</f>
        <v/>
      </c>
      <c r="G76" s="258"/>
      <c r="R76" s="259" t="str">
        <f t="shared" ref="R76" ca="1" si="67">L74&amp;"$"</f>
        <v>2$</v>
      </c>
      <c r="S76" s="260"/>
      <c r="T76" s="261">
        <f ca="1">IF($Q74=2,IF(AND(ACOMPANHAMENTO="PLE",ISNUMBER($E74)),SUMIF((OFFSET(CÁLCULO!$AM$15:$AW$15,$E74,0,OFFSET(ORÇAMENTO!$D$15,CRONO!$E74,0))),"&lt;="&amp;CRONO!T$12,OFFSET(CÁLCULO!$AB$15:$AL$15,$E74,0,OFFSET(ORÇAMENTO!$D$15,CRONO!$E74,0)))+IF(AND($E76&lt;&gt;"",$E76&lt;&gt;0),SUMIF(CÁLCULO!$AM$15:$AW$192,"&lt;="&amp;CRONO!T$12,CÁLCULO!$AB$15:$AL$192)/(ORÇAMENTO!$X$15-CÁLCULO.TotalAdmLocal)*CRONO!$E76,0),T75*$R74),SUMIF(OFFSET($R76,1,0,$Q74-2),($L74+1)&amp;"$",OFFSET(T76,1,0,$Q74-2)))</f>
        <v>0</v>
      </c>
      <c r="U76" s="257">
        <f ca="1">IF($Q74=2,IF(AND(ACOMPANHAMENTO="PLE",ISNUMBER($E74)),SUMIF((OFFSET(CÁLCULO!$AM$15:$AW$15,$E74,0,OFFSET(ORÇAMENTO!$D$15,CRONO!$E74,0))),"="&amp;CRONO!U$12,OFFSET(CÁLCULO!$AB$15:$AL$15,$E74,0,OFFSET(ORÇAMENTO!$D$15,CRONO!$E74,0)))+IF(AND($E76&lt;&gt;"",$E76&lt;&gt;0),SUMIF(CÁLCULO!$AM$15:$AW$192,"="&amp;CRONO!U$12,CÁLCULO!$AB$15:$AL$192)/(ORÇAMENTO!$X$15-CÁLCULO.TotalAdmLocal)*CRONO!$E76,0),U75*$R74),SUMIF(OFFSET($R76,1,0,$Q74-2),($L74+1)&amp;"$",OFFSET(U76,1,0,$Q74-2)))</f>
        <v>0</v>
      </c>
      <c r="V76" s="257">
        <f ca="1">IF($Q74=2,IF(AND(ACOMPANHAMENTO="PLE",ISNUMBER($E74)),SUMIF((OFFSET(CÁLCULO!$AM$15:$AW$15,$E74,0,OFFSET(ORÇAMENTO!$D$15,CRONO!$E74,0))),"="&amp;CRONO!V$12,OFFSET(CÁLCULO!$AB$15:$AL$15,$E74,0,OFFSET(ORÇAMENTO!$D$15,CRONO!$E74,0)))+IF(AND($E76&lt;&gt;"",$E76&lt;&gt;0),SUMIF(CÁLCULO!$AM$15:$AW$192,"="&amp;CRONO!V$12,CÁLCULO!$AB$15:$AL$192)/(ORÇAMENTO!$X$15-CÁLCULO.TotalAdmLocal)*CRONO!$E76,0),V75*$R74),SUMIF(OFFSET($R76,1,0,$Q74-2),($L74+1)&amp;"$",OFFSET(V76,1,0,$Q74-2)))</f>
        <v>0</v>
      </c>
      <c r="W76" s="257">
        <f ca="1">IF($Q74=2,IF(AND(ACOMPANHAMENTO="PLE",ISNUMBER($E74)),SUMIF((OFFSET(CÁLCULO!$AM$15:$AW$15,$E74,0,OFFSET(ORÇAMENTO!$D$15,CRONO!$E74,0))),"="&amp;CRONO!W$12,OFFSET(CÁLCULO!$AB$15:$AL$15,$E74,0,OFFSET(ORÇAMENTO!$D$15,CRONO!$E74,0)))+IF(AND($E76&lt;&gt;"",$E76&lt;&gt;0),SUMIF(CÁLCULO!$AM$15:$AW$192,"="&amp;CRONO!W$12,CÁLCULO!$AB$15:$AL$192)/(ORÇAMENTO!$X$15-CÁLCULO.TotalAdmLocal)*CRONO!$E76,0),W75*$R74),SUMIF(OFFSET($R76,1,0,$Q74-2),($L74+1)&amp;"$",OFFSET(W76,1,0,$Q74-2)))</f>
        <v>0</v>
      </c>
      <c r="X76" s="257">
        <f ca="1">IF($Q74=2,IF(AND(ACOMPANHAMENTO="PLE",ISNUMBER($E74)),SUMIF((OFFSET(CÁLCULO!$AM$15:$AW$15,$E74,0,OFFSET(ORÇAMENTO!$D$15,CRONO!$E74,0))),"="&amp;CRONO!X$12,OFFSET(CÁLCULO!$AB$15:$AL$15,$E74,0,OFFSET(ORÇAMENTO!$D$15,CRONO!$E74,0)))+IF(AND($E76&lt;&gt;"",$E76&lt;&gt;0),SUMIF(CÁLCULO!$AM$15:$AW$192,"="&amp;CRONO!X$12,CÁLCULO!$AB$15:$AL$192)/(ORÇAMENTO!$X$15-CÁLCULO.TotalAdmLocal)*CRONO!$E76,0),X75*$R74),SUMIF(OFFSET($R76,1,0,$Q74-2),($L74+1)&amp;"$",OFFSET(X76,1,0,$Q74-2)))</f>
        <v>0</v>
      </c>
      <c r="Y76" s="257">
        <f ca="1">IF($Q74=2,IF(AND(ACOMPANHAMENTO="PLE",ISNUMBER($E74)),SUMIF((OFFSET(CÁLCULO!$AM$15:$AW$15,$E74,0,OFFSET(ORÇAMENTO!$D$15,CRONO!$E74,0))),"="&amp;CRONO!Y$12,OFFSET(CÁLCULO!$AB$15:$AL$15,$E74,0,OFFSET(ORÇAMENTO!$D$15,CRONO!$E74,0)))+IF(AND($E76&lt;&gt;"",$E76&lt;&gt;0),SUMIF(CÁLCULO!$AM$15:$AW$192,"="&amp;CRONO!Y$12,CÁLCULO!$AB$15:$AL$192)/(ORÇAMENTO!$X$15-CÁLCULO.TotalAdmLocal)*CRONO!$E76,0),Y75*$R74),SUMIF(OFFSET($R76,1,0,$Q74-2),($L74+1)&amp;"$",OFFSET(Y76,1,0,$Q74-2)))</f>
        <v>0</v>
      </c>
      <c r="Z76" s="257">
        <f ca="1">IF($Q74=2,IF(AND(ACOMPANHAMENTO="PLE",ISNUMBER($E74)),SUMIF((OFFSET(CÁLCULO!$AM$15:$AW$15,$E74,0,OFFSET(ORÇAMENTO!$D$15,CRONO!$E74,0))),"="&amp;CRONO!Z$12,OFFSET(CÁLCULO!$AB$15:$AL$15,$E74,0,OFFSET(ORÇAMENTO!$D$15,CRONO!$E74,0)))+IF(AND($E76&lt;&gt;"",$E76&lt;&gt;0),SUMIF(CÁLCULO!$AM$15:$AW$192,"="&amp;CRONO!Z$12,CÁLCULO!$AB$15:$AL$192)/(ORÇAMENTO!$X$15-CÁLCULO.TotalAdmLocal)*CRONO!$E76,0),Z75*$R74),SUMIF(OFFSET($R76,1,0,$Q74-2),($L74+1)&amp;"$",OFFSET(Z76,1,0,$Q74-2)))</f>
        <v>0</v>
      </c>
      <c r="AA76" s="257">
        <f ca="1">IF($Q74=2,IF(AND(ACOMPANHAMENTO="PLE",ISNUMBER($E74)),SUMIF((OFFSET(CÁLCULO!$AM$15:$AW$15,$E74,0,OFFSET(ORÇAMENTO!$D$15,CRONO!$E74,0))),"="&amp;CRONO!AA$12,OFFSET(CÁLCULO!$AB$15:$AL$15,$E74,0,OFFSET(ORÇAMENTO!$D$15,CRONO!$E74,0)))+IF(AND($E76&lt;&gt;"",$E76&lt;&gt;0),SUMIF(CÁLCULO!$AM$15:$AW$192,"="&amp;CRONO!AA$12,CÁLCULO!$AB$15:$AL$192)/(ORÇAMENTO!$X$15-CÁLCULO.TotalAdmLocal)*CRONO!$E76,0),AA75*$R74),SUMIF(OFFSET($R76,1,0,$Q74-2),($L74+1)&amp;"$",OFFSET(AA76,1,0,$Q74-2)))</f>
        <v>0</v>
      </c>
      <c r="AB76" s="257">
        <f ca="1">IF($Q74=2,IF(AND(ACOMPANHAMENTO="PLE",ISNUMBER($E74)),SUMIF((OFFSET(CÁLCULO!$AM$15:$AW$15,$E74,0,OFFSET(ORÇAMENTO!$D$15,CRONO!$E74,0))),"="&amp;CRONO!AB$12,OFFSET(CÁLCULO!$AB$15:$AL$15,$E74,0,OFFSET(ORÇAMENTO!$D$15,CRONO!$E74,0)))+IF(AND($E76&lt;&gt;"",$E76&lt;&gt;0),SUMIF(CÁLCULO!$AM$15:$AW$192,"="&amp;CRONO!AB$12,CÁLCULO!$AB$15:$AL$192)/(ORÇAMENTO!$X$15-CÁLCULO.TotalAdmLocal)*CRONO!$E76,0),AB75*$R74),SUMIF(OFFSET($R76,1,0,$Q74-2),($L74+1)&amp;"$",OFFSET(AB76,1,0,$Q74-2)))</f>
        <v>0</v>
      </c>
      <c r="AC76" s="257">
        <f ca="1">IF($Q74=2,IF(AND(ACOMPANHAMENTO="PLE",ISNUMBER($E74)),SUMIF((OFFSET(CÁLCULO!$AM$15:$AW$15,$E74,0,OFFSET(ORÇAMENTO!$D$15,CRONO!$E74,0))),"="&amp;CRONO!AC$12,OFFSET(CÁLCULO!$AB$15:$AL$15,$E74,0,OFFSET(ORÇAMENTO!$D$15,CRONO!$E74,0)))+IF(AND($E76&lt;&gt;"",$E76&lt;&gt;0),SUMIF(CÁLCULO!$AM$15:$AW$192,"="&amp;CRONO!AC$12,CÁLCULO!$AB$15:$AL$192)/(ORÇAMENTO!$X$15-CÁLCULO.TotalAdmLocal)*CRONO!$E76,0),AC75*$R74),SUMIF(OFFSET($R76,1,0,$Q74-2),($L74+1)&amp;"$",OFFSET(AC76,1,0,$Q74-2)))</f>
        <v>0</v>
      </c>
      <c r="AD76" s="257">
        <f ca="1">IF($Q74=2,IF(AND(ACOMPANHAMENTO="PLE",ISNUMBER($E74)),SUMIF((OFFSET(CÁLCULO!$AM$15:$AW$15,$E74,0,OFFSET(ORÇAMENTO!$D$15,CRONO!$E74,0))),"="&amp;CRONO!AD$12,OFFSET(CÁLCULO!$AB$15:$AL$15,$E74,0,OFFSET(ORÇAMENTO!$D$15,CRONO!$E74,0)))+IF(AND($E76&lt;&gt;"",$E76&lt;&gt;0),SUMIF(CÁLCULO!$AM$15:$AW$192,"="&amp;CRONO!AD$12,CÁLCULO!$AB$15:$AL$192)/(ORÇAMENTO!$X$15-CÁLCULO.TotalAdmLocal)*CRONO!$E76,0),AD75*$R74),SUMIF(OFFSET($R76,1,0,$Q74-2),($L74+1)&amp;"$",OFFSET(AD76,1,0,$Q74-2)))</f>
        <v>0</v>
      </c>
      <c r="AE76" s="262">
        <f ca="1">IF($Q74=2,IF(AND(ACOMPANHAMENTO="PLE",ISNUMBER($E74)),SUMIF((OFFSET(CÁLCULO!$AM$15:$AW$15,$E74,0,OFFSET(ORÇAMENTO!$D$15,CRONO!$E74,0))),"="&amp;CRONO!AE$12,OFFSET(CÁLCULO!$AB$15:$AL$15,$E74,0,OFFSET(ORÇAMENTO!$D$15,CRONO!$E74,0)))+IF(AND($E76&lt;&gt;"",$E76&lt;&gt;0),SUMIF(CÁLCULO!$AM$15:$AW$192,"="&amp;CRONO!AE$12,CÁLCULO!$AB$15:$AL$192)/(ORÇAMENTO!$X$15-CÁLCULO.TotalAdmLocal)*CRONO!$E76,0),AE75*$R74),SUMIF(OFFSET($R76,1,0,$Q74-2),($L74+1)&amp;"$",OFFSET(AE76,1,0,$Q74-2)))</f>
        <v>0</v>
      </c>
      <c r="AF76" s="261">
        <f ca="1">IF($Q74=2,IF(AND(ACOMPANHAMENTO="PLE",ISNUMBER($E74)),SUMIF((OFFSET(CÁLCULO!$AM$15:$AW$15,$E74,0,OFFSET(ORÇAMENTO!$D$15,CRONO!$E74,0))),"="&amp;CRONO!AF$12,OFFSET(CÁLCULO!$AB$15:$AL$15,$E74,0,OFFSET(ORÇAMENTO!$D$15,CRONO!$E74,0)))+IF(AND($E76&lt;&gt;"",$E76&lt;&gt;0),SUMIF(CÁLCULO!$AM$15:$AW$192,"="&amp;CRONO!AF$12,CÁLCULO!$AB$15:$AL$192)/(ORÇAMENTO!$X$15-CÁLCULO.TotalAdmLocal)*CRONO!$E76,0),AF75*$R74),SUMIF(OFFSET($R76,1,0,$Q74-2),($L74+1)&amp;"$",OFFSET(AF76,1,0,$Q74-2)))</f>
        <v>0</v>
      </c>
      <c r="AG76" s="257">
        <f ca="1">IF($Q74=2,IF(AND(ACOMPANHAMENTO="PLE",ISNUMBER($E74)),SUMIF((OFFSET(CÁLCULO!$AM$15:$AW$15,$E74,0,OFFSET(ORÇAMENTO!$D$15,CRONO!$E74,0))),"="&amp;CRONO!AG$12,OFFSET(CÁLCULO!$AB$15:$AL$15,$E74,0,OFFSET(ORÇAMENTO!$D$15,CRONO!$E74,0)))+IF(AND($E76&lt;&gt;"",$E76&lt;&gt;0),SUMIF(CÁLCULO!$AM$15:$AW$192,"="&amp;CRONO!AG$12,CÁLCULO!$AB$15:$AL$192)/(ORÇAMENTO!$X$15-CÁLCULO.TotalAdmLocal)*CRONO!$E76,0),AG75*$R74),SUMIF(OFFSET($R76,1,0,$Q74-2),($L74+1)&amp;"$",OFFSET(AG76,1,0,$Q74-2)))</f>
        <v>0</v>
      </c>
      <c r="AH76" s="257">
        <f ca="1">IF($Q74=2,IF(AND(ACOMPANHAMENTO="PLE",ISNUMBER($E74)),SUMIF((OFFSET(CÁLCULO!$AM$15:$AW$15,$E74,0,OFFSET(ORÇAMENTO!$D$15,CRONO!$E74,0))),"="&amp;CRONO!AH$12,OFFSET(CÁLCULO!$AB$15:$AL$15,$E74,0,OFFSET(ORÇAMENTO!$D$15,CRONO!$E74,0)))+IF(AND($E76&lt;&gt;"",$E76&lt;&gt;0),SUMIF(CÁLCULO!$AM$15:$AW$192,"="&amp;CRONO!AH$12,CÁLCULO!$AB$15:$AL$192)/(ORÇAMENTO!$X$15-CÁLCULO.TotalAdmLocal)*CRONO!$E76,0),AH75*$R74),SUMIF(OFFSET($R76,1,0,$Q74-2),($L74+1)&amp;"$",OFFSET(AH76,1,0,$Q74-2)))</f>
        <v>0</v>
      </c>
      <c r="AI76" s="257">
        <f ca="1">IF($Q74=2,IF(AND(ACOMPANHAMENTO="PLE",ISNUMBER($E74)),SUMIF((OFFSET(CÁLCULO!$AM$15:$AW$15,$E74,0,OFFSET(ORÇAMENTO!$D$15,CRONO!$E74,0))),"="&amp;CRONO!AI$12,OFFSET(CÁLCULO!$AB$15:$AL$15,$E74,0,OFFSET(ORÇAMENTO!$D$15,CRONO!$E74,0)))+IF(AND($E76&lt;&gt;"",$E76&lt;&gt;0),SUMIF(CÁLCULO!$AM$15:$AW$192,"="&amp;CRONO!AI$12,CÁLCULO!$AB$15:$AL$192)/(ORÇAMENTO!$X$15-CÁLCULO.TotalAdmLocal)*CRONO!$E76,0),AI75*$R74),SUMIF(OFFSET($R76,1,0,$Q74-2),($L74+1)&amp;"$",OFFSET(AI76,1,0,$Q74-2)))</f>
        <v>0</v>
      </c>
      <c r="AJ76" s="257">
        <f ca="1">IF($Q74=2,IF(AND(ACOMPANHAMENTO="PLE",ISNUMBER($E74)),SUMIF((OFFSET(CÁLCULO!$AM$15:$AW$15,$E74,0,OFFSET(ORÇAMENTO!$D$15,CRONO!$E74,0))),"="&amp;CRONO!AJ$12,OFFSET(CÁLCULO!$AB$15:$AL$15,$E74,0,OFFSET(ORÇAMENTO!$D$15,CRONO!$E74,0)))+IF(AND($E76&lt;&gt;"",$E76&lt;&gt;0),SUMIF(CÁLCULO!$AM$15:$AW$192,"="&amp;CRONO!AJ$12,CÁLCULO!$AB$15:$AL$192)/(ORÇAMENTO!$X$15-CÁLCULO.TotalAdmLocal)*CRONO!$E76,0),AJ75*$R74),SUMIF(OFFSET($R76,1,0,$Q74-2),($L74+1)&amp;"$",OFFSET(AJ76,1,0,$Q74-2)))</f>
        <v>0</v>
      </c>
      <c r="AK76" s="257">
        <f ca="1">IF($Q74=2,IF(AND(ACOMPANHAMENTO="PLE",ISNUMBER($E74)),SUMIF((OFFSET(CÁLCULO!$AM$15:$AW$15,$E74,0,OFFSET(ORÇAMENTO!$D$15,CRONO!$E74,0))),"="&amp;CRONO!AK$12,OFFSET(CÁLCULO!$AB$15:$AL$15,$E74,0,OFFSET(ORÇAMENTO!$D$15,CRONO!$E74,0)))+IF(AND($E76&lt;&gt;"",$E76&lt;&gt;0),SUMIF(CÁLCULO!$AM$15:$AW$192,"="&amp;CRONO!AK$12,CÁLCULO!$AB$15:$AL$192)/(ORÇAMENTO!$X$15-CÁLCULO.TotalAdmLocal)*CRONO!$E76,0),AK75*$R74),SUMIF(OFFSET($R76,1,0,$Q74-2),($L74+1)&amp;"$",OFFSET(AK76,1,0,$Q74-2)))</f>
        <v>0</v>
      </c>
      <c r="AL76" s="257">
        <f ca="1">IF($Q74=2,IF(AND(ACOMPANHAMENTO="PLE",ISNUMBER($E74)),SUMIF((OFFSET(CÁLCULO!$AM$15:$AW$15,$E74,0,OFFSET(ORÇAMENTO!$D$15,CRONO!$E74,0))),"="&amp;CRONO!AL$12,OFFSET(CÁLCULO!$AB$15:$AL$15,$E74,0,OFFSET(ORÇAMENTO!$D$15,CRONO!$E74,0)))+IF(AND($E76&lt;&gt;"",$E76&lt;&gt;0),SUMIF(CÁLCULO!$AM$15:$AW$192,"="&amp;CRONO!AL$12,CÁLCULO!$AB$15:$AL$192)/(ORÇAMENTO!$X$15-CÁLCULO.TotalAdmLocal)*CRONO!$E76,0),AL75*$R74),SUMIF(OFFSET($R76,1,0,$Q74-2),($L74+1)&amp;"$",OFFSET(AL76,1,0,$Q74-2)))</f>
        <v>0</v>
      </c>
      <c r="AM76" s="257">
        <f ca="1">IF($Q74=2,IF(AND(ACOMPANHAMENTO="PLE",ISNUMBER($E74)),SUMIF((OFFSET(CÁLCULO!$AM$15:$AW$15,$E74,0,OFFSET(ORÇAMENTO!$D$15,CRONO!$E74,0))),"="&amp;CRONO!AM$12,OFFSET(CÁLCULO!$AB$15:$AL$15,$E74,0,OFFSET(ORÇAMENTO!$D$15,CRONO!$E74,0)))+IF(AND($E76&lt;&gt;"",$E76&lt;&gt;0),SUMIF(CÁLCULO!$AM$15:$AW$192,"="&amp;CRONO!AM$12,CÁLCULO!$AB$15:$AL$192)/(ORÇAMENTO!$X$15-CÁLCULO.TotalAdmLocal)*CRONO!$E76,0),AM75*$R74),SUMIF(OFFSET($R76,1,0,$Q74-2),($L74+1)&amp;"$",OFFSET(AM76,1,0,$Q74-2)))</f>
        <v>0</v>
      </c>
      <c r="AN76" s="257">
        <f ca="1">IF($Q74=2,IF(AND(ACOMPANHAMENTO="PLE",ISNUMBER($E74)),SUMIF((OFFSET(CÁLCULO!$AM$15:$AW$15,$E74,0,OFFSET(ORÇAMENTO!$D$15,CRONO!$E74,0))),"="&amp;CRONO!AN$12,OFFSET(CÁLCULO!$AB$15:$AL$15,$E74,0,OFFSET(ORÇAMENTO!$D$15,CRONO!$E74,0)))+IF(AND($E76&lt;&gt;"",$E76&lt;&gt;0),SUMIF(CÁLCULO!$AM$15:$AW$192,"="&amp;CRONO!AN$12,CÁLCULO!$AB$15:$AL$192)/(ORÇAMENTO!$X$15-CÁLCULO.TotalAdmLocal)*CRONO!$E76,0),AN75*$R74),SUMIF(OFFSET($R76,1,0,$Q74-2),($L74+1)&amp;"$",OFFSET(AN76,1,0,$Q74-2)))</f>
        <v>0</v>
      </c>
      <c r="AO76" s="257">
        <f ca="1">IF($Q74=2,IF(AND(ACOMPANHAMENTO="PLE",ISNUMBER($E74)),SUMIF((OFFSET(CÁLCULO!$AM$15:$AW$15,$E74,0,OFFSET(ORÇAMENTO!$D$15,CRONO!$E74,0))),"="&amp;CRONO!AO$12,OFFSET(CÁLCULO!$AB$15:$AL$15,$E74,0,OFFSET(ORÇAMENTO!$D$15,CRONO!$E74,0)))+IF(AND($E76&lt;&gt;"",$E76&lt;&gt;0),SUMIF(CÁLCULO!$AM$15:$AW$192,"="&amp;CRONO!AO$12,CÁLCULO!$AB$15:$AL$192)/(ORÇAMENTO!$X$15-CÁLCULO.TotalAdmLocal)*CRONO!$E76,0),AO75*$R74),SUMIF(OFFSET($R76,1,0,$Q74-2),($L74+1)&amp;"$",OFFSET(AO76,1,0,$Q74-2)))</f>
        <v>0</v>
      </c>
      <c r="AP76" s="257">
        <f ca="1">IF($Q74=2,IF(AND(ACOMPANHAMENTO="PLE",ISNUMBER($E74)),SUMIF((OFFSET(CÁLCULO!$AM$15:$AW$15,$E74,0,OFFSET(ORÇAMENTO!$D$15,CRONO!$E74,0))),"="&amp;CRONO!AP$12,OFFSET(CÁLCULO!$AB$15:$AL$15,$E74,0,OFFSET(ORÇAMENTO!$D$15,CRONO!$E74,0)))+IF(AND($E76&lt;&gt;"",$E76&lt;&gt;0),SUMIF(CÁLCULO!$AM$15:$AW$192,"="&amp;CRONO!AP$12,CÁLCULO!$AB$15:$AL$192)/(ORÇAMENTO!$X$15-CÁLCULO.TotalAdmLocal)*CRONO!$E76,0),AP75*$R74),SUMIF(OFFSET($R76,1,0,$Q74-2),($L74+1)&amp;"$",OFFSET(AP76,1,0,$Q74-2)))</f>
        <v>0</v>
      </c>
      <c r="AQ76" s="262">
        <f ca="1">IF($Q74=2,IF(AND(ACOMPANHAMENTO="PLE",ISNUMBER($E74)),SUMIF((OFFSET(CÁLCULO!$AM$15:$AW$15,$E74,0,OFFSET(ORÇAMENTO!$D$15,CRONO!$E74,0))),"="&amp;CRONO!AQ$12,OFFSET(CÁLCULO!$AB$15:$AL$15,$E74,0,OFFSET(ORÇAMENTO!$D$15,CRONO!$E74,0)))+IF(AND($E76&lt;&gt;"",$E76&lt;&gt;0),SUMIF(CÁLCULO!$AM$15:$AW$192,"="&amp;CRONO!AQ$12,CÁLCULO!$AB$15:$AL$192)/(ORÇAMENTO!$X$15-CÁLCULO.TotalAdmLocal)*CRONO!$E76,0),AQ75*$R74),SUMIF(OFFSET($R76,1,0,$Q74-2),($L74+1)&amp;"$",OFFSET(AQ76,1,0,$Q74-2)))</f>
        <v>0</v>
      </c>
    </row>
    <row r="77" spans="1:44" x14ac:dyDescent="0.2">
      <c r="A77" s="238">
        <f t="shared" ref="A77" ca="1" si="68">OFFSET(A77,-3,0)+1</f>
        <v>22</v>
      </c>
      <c r="B77" s="238">
        <f ca="1">IF($Q77&lt;&gt;2,0,IF($R77=0,1,IF(E78&gt;0,OFFSET(QCI!$M$13,SUBSTITUTE(E78,".",""),0),OFFSET(ORÇAMENTO!$AA$15,CRONO!$E77,0))/$R77))</f>
        <v>1</v>
      </c>
      <c r="C77" s="238">
        <f ca="1">IF($Q77&lt;&gt;2,0,IF($R77=0,1,IF(E78&gt;0,OFFSET(QCI!$N$13,SUBSTITUTE(E78,".",""),0),OFFSET(ORÇAMENTO!$AB$15,CRONO!$E77,0))/$R77))</f>
        <v>1</v>
      </c>
      <c r="D77" s="241">
        <f ca="1">IF(AND($Q77=2,ACOMPANHAMENTO="BM"),D78,D79/$R77)</f>
        <v>0</v>
      </c>
      <c r="E77" s="238">
        <f ca="1">IF(A77&lt;=ORÇAMENTO.MáximoListaCrono,MATCH(A77,ORÇAMENTO.ListaCrono,0),NA())</f>
        <v>156</v>
      </c>
      <c r="F77" s="238" t="str">
        <f t="shared" ref="F77" ca="1" si="69">IF(AND($E78&lt;&gt;-1,$R77&gt;0),"F","")</f>
        <v/>
      </c>
      <c r="G77" s="242" t="str">
        <f ca="1">IF(OR(R77=0,R77=""),"Linha",IF(AND(OR(ACOMPANHAMENTO="PLE",$Q77&lt;&gt;2),$E78=0),"Linha",1-SUM(T77:AR77)))</f>
        <v>Linha</v>
      </c>
      <c r="H77" s="243" t="str">
        <f ca="1">IF($E78=0,OFFSET(ORÇAMENTO!O$15,$E77,0),IF($E78&lt;&gt;-1,OFFSET(QCI!$D$13,$E78,0),""))</f>
        <v>1.21.</v>
      </c>
      <c r="I77" s="244" t="str">
        <f ca="1">IF($E78=0,OFFSET(ORÇAMENTO!R$15,$E77,0),IF($E78&lt;&gt;-1,OFFSET(QCI!$G$13,$E78,0),""))</f>
        <v>ACESSORIOS</v>
      </c>
      <c r="J77" s="244"/>
      <c r="K77" s="244"/>
      <c r="L77" s="245">
        <f ca="1">IF($E78=0,OFFSET(ORÇAMENTO!C$15,$E77,0),1)</f>
        <v>2</v>
      </c>
      <c r="M77" s="246">
        <f ca="1">IF($E78=-1,0,IF(M$13&lt;=$L77,IF(ISERROR(MATCH(M$13,OFFSET($L77,1,0,ROW($L$92)-ROW($L77)-1),0)),ROW($L$92)-ROW($L77)-1,MATCH(M$13,OFFSET($L77,1,0,ROW($L$92)-ROW($L77)-1),0)-1),0))</f>
        <v>14</v>
      </c>
      <c r="N77" s="246">
        <f ca="1">IF($E78=-1,0,IF(N$13&lt;=$L77,IF(ISERROR(MATCH(N$13,OFFSET($L77,1,0,ROW($L$92)-ROW($L77)-1),0)),ROW($L$92)-ROW($L77)-1,MATCH(N$13,OFFSET($L77,1,0,ROW($L$92)-ROW($L77)-1),0)-1),0))</f>
        <v>2</v>
      </c>
      <c r="O77" s="246">
        <f ca="1">IF($E78=-1,0,IF(O$13&lt;=$L77,IF(ISERROR(MATCH(O$13,OFFSET($L77,1,0,ROW($L$92)-ROW($L77)-1),0)),ROW($L$92)-ROW($L77)-1,MATCH(O$13,OFFSET($L77,1,0,ROW($L$92)-ROW($L77)-1),0)-1),0))</f>
        <v>0</v>
      </c>
      <c r="P77" s="246">
        <f ca="1">IF($E78=-1,0,IF(P$13&lt;=$L77,IF(ISERROR(MATCH(P$13,OFFSET($L77,1,0,ROW($L$92)-ROW($L77)-1),0)),ROW($L$92)-ROW($L77)-1,MATCH(P$13,OFFSET($L77,1,0,ROW($L$92)-ROW($L77)-1),0)-1),0))</f>
        <v>0</v>
      </c>
      <c r="Q77" s="246">
        <f t="shared" ref="Q77" ca="1" si="70">MIN(OFFSET(L77,0,1,,L77))</f>
        <v>2</v>
      </c>
      <c r="R77" s="247">
        <f ca="1">IF($E78=0,OFFSET(ORÇAMENTO!X$15,$E77,0),IF($E78&lt;&gt;-1,OFFSET(QCI!$O$13,$E78,0),""))</f>
        <v>0</v>
      </c>
      <c r="S77" s="248" t="s">
        <v>270</v>
      </c>
      <c r="T77" s="249">
        <f t="shared" ref="T77:AQ77" ca="1" si="71">IF(AND($Q77=2,ACOMPANHAMENTO="BM"),T78,T79/$R77)</f>
        <v>0</v>
      </c>
      <c r="U77" s="241">
        <f t="shared" ca="1" si="71"/>
        <v>0.5</v>
      </c>
      <c r="V77" s="241">
        <f t="shared" ca="1" si="71"/>
        <v>0</v>
      </c>
      <c r="W77" s="241">
        <f t="shared" ca="1" si="71"/>
        <v>0</v>
      </c>
      <c r="X77" s="241">
        <f t="shared" ca="1" si="71"/>
        <v>0</v>
      </c>
      <c r="Y77" s="241">
        <f t="shared" ca="1" si="71"/>
        <v>0</v>
      </c>
      <c r="Z77" s="241">
        <f t="shared" ca="1" si="71"/>
        <v>0</v>
      </c>
      <c r="AA77" s="241">
        <f t="shared" ca="1" si="71"/>
        <v>0</v>
      </c>
      <c r="AB77" s="241">
        <f t="shared" ca="1" si="71"/>
        <v>0</v>
      </c>
      <c r="AC77" s="241">
        <f t="shared" ca="1" si="71"/>
        <v>0</v>
      </c>
      <c r="AD77" s="241">
        <f t="shared" ca="1" si="71"/>
        <v>0</v>
      </c>
      <c r="AE77" s="250">
        <f t="shared" ca="1" si="71"/>
        <v>0</v>
      </c>
      <c r="AF77" s="249">
        <f t="shared" ca="1" si="71"/>
        <v>0</v>
      </c>
      <c r="AG77" s="241">
        <f t="shared" ca="1" si="71"/>
        <v>0.5</v>
      </c>
      <c r="AH77" s="241">
        <f t="shared" ca="1" si="71"/>
        <v>0</v>
      </c>
      <c r="AI77" s="241">
        <f t="shared" ca="1" si="71"/>
        <v>0</v>
      </c>
      <c r="AJ77" s="241">
        <f t="shared" ca="1" si="71"/>
        <v>0</v>
      </c>
      <c r="AK77" s="241">
        <f t="shared" ca="1" si="71"/>
        <v>0</v>
      </c>
      <c r="AL77" s="241">
        <f t="shared" ca="1" si="71"/>
        <v>0</v>
      </c>
      <c r="AM77" s="241">
        <f t="shared" ca="1" si="71"/>
        <v>0</v>
      </c>
      <c r="AN77" s="241">
        <f t="shared" ca="1" si="71"/>
        <v>0</v>
      </c>
      <c r="AO77" s="241">
        <f t="shared" ca="1" si="71"/>
        <v>0</v>
      </c>
      <c r="AP77" s="241">
        <f t="shared" ca="1" si="71"/>
        <v>0</v>
      </c>
      <c r="AQ77" s="250">
        <f t="shared" ca="1" si="71"/>
        <v>0</v>
      </c>
    </row>
    <row r="78" spans="1:44" ht="12.75" customHeight="1" x14ac:dyDescent="0.2">
      <c r="D78" s="657"/>
      <c r="E78" s="238">
        <f ca="1">IF(ISERROR(E77),IF(1+COUNTIF($L$13:OFFSET(L77,-1,0),1)&lt;=MAX(QCI!$D$13:$D$24),1+COUNTIF($L$13:OFFSET(L77,-1,0),1),-1),0)</f>
        <v>0</v>
      </c>
      <c r="F78" s="238" t="str">
        <f t="shared" ref="F78" ca="1" si="72">IF(AND($E78&lt;&gt;-1,$R77&gt;0),"F","")</f>
        <v/>
      </c>
      <c r="G78" s="251" t="str">
        <f ca="1">IF(OR(R77=0,R77=""),"vazia",IF(AND(OR(ACOMPANHAMENTO="PLE",$Q77&lt;&gt;2),$E78=0),"calculada","--&gt;"))</f>
        <v>vazia</v>
      </c>
      <c r="H78" s="252"/>
      <c r="I78" s="253" t="str">
        <f t="shared" ref="I78" ca="1" si="73">IF(AND(G77&lt;&gt;0,ISNUMBER(G77)),"PREENCHA ESTA LINHA --&gt;","")</f>
        <v/>
      </c>
      <c r="J78" s="253"/>
      <c r="K78" s="253"/>
      <c r="L78" s="254"/>
      <c r="M78" s="254"/>
      <c r="N78" s="254"/>
      <c r="O78" s="254"/>
      <c r="P78" s="254"/>
      <c r="Q78" s="254"/>
      <c r="R78" s="255"/>
      <c r="S78" s="256"/>
      <c r="T78" s="658"/>
      <c r="U78" s="657">
        <v>0.5</v>
      </c>
      <c r="V78" s="657"/>
      <c r="W78" s="657"/>
      <c r="X78" s="657"/>
      <c r="Y78" s="657"/>
      <c r="Z78" s="657"/>
      <c r="AA78" s="657"/>
      <c r="AB78" s="657"/>
      <c r="AC78" s="657"/>
      <c r="AD78" s="657"/>
      <c r="AE78" s="659"/>
      <c r="AF78" s="658"/>
      <c r="AG78" s="657">
        <v>0.5</v>
      </c>
      <c r="AH78" s="657"/>
      <c r="AI78" s="657"/>
      <c r="AJ78" s="657"/>
      <c r="AK78" s="657"/>
      <c r="AL78" s="657"/>
      <c r="AM78" s="657"/>
      <c r="AN78" s="657"/>
      <c r="AO78" s="657"/>
      <c r="AP78" s="657"/>
      <c r="AQ78" s="659"/>
      <c r="AR78" s="617"/>
    </row>
    <row r="79" spans="1:44" ht="0.2" hidden="1" customHeight="1" x14ac:dyDescent="0.2">
      <c r="D79" s="257">
        <f ca="1">IF($Q77=2,IF(AND(ACOMPANHAMENTO="PLE",ISNUMBER($E77)),SUMIF((OFFSET(CÁLCULO!$AM$15:$AW$15,$E77,0,OFFSET(ORÇAMENTO!$D$15,CRONO!$E77,0))),"="&amp;CRONO!D$12,OFFSET(CÁLCULO!$AB$15:$AL$15,$E77,0,OFFSET(ORÇAMENTO!$D$15,CRONO!$E77,0)))+IF(AND($E79&lt;&gt;"",$E79&lt;&gt;0),SUMIF(CÁLCULO!$AM$15:$AW$192,"="&amp;CRONO!D$12,CÁLCULO!$AB$15:$AL$192)/(ORÇAMENTO!$X$15-CÁLCULO.TotalAdmLocal)*CRONO!$E79,0),D78*$R77),SUMIF(OFFSET($R79,1,0,$Q77-2),($L77+1)&amp;"$",OFFSET(D79,1,0,$Q77-2)))</f>
        <v>0</v>
      </c>
      <c r="E79" s="238" t="str">
        <f ca="1">IF(OR($Q77&lt;&gt;2,AUTOEVENTO&lt;&gt;"manual",$E78&gt;0),"",SUMIF(OFFSET(CÁLCULO!$M$15,CRONO!$E77,0,OFFSET(ORÇAMENTO!$D$15,CRONO!$E77,0)),1,OFFSET(ORÇAMENTO!$X$15,CRONO!$E77,0,OFFSET(ORÇAMENTO!$D$15,CRONO!$E77,0))))</f>
        <v/>
      </c>
      <c r="G79" s="258"/>
      <c r="R79" s="259" t="str">
        <f t="shared" ref="R79" ca="1" si="74">L77&amp;"$"</f>
        <v>2$</v>
      </c>
      <c r="S79" s="260"/>
      <c r="T79" s="261">
        <f ca="1">IF($Q77=2,IF(AND(ACOMPANHAMENTO="PLE",ISNUMBER($E77)),SUMIF((OFFSET(CÁLCULO!$AM$15:$AW$15,$E77,0,OFFSET(ORÇAMENTO!$D$15,CRONO!$E77,0))),"&lt;="&amp;CRONO!T$12,OFFSET(CÁLCULO!$AB$15:$AL$15,$E77,0,OFFSET(ORÇAMENTO!$D$15,CRONO!$E77,0)))+IF(AND($E79&lt;&gt;"",$E79&lt;&gt;0),SUMIF(CÁLCULO!$AM$15:$AW$192,"&lt;="&amp;CRONO!T$12,CÁLCULO!$AB$15:$AL$192)/(ORÇAMENTO!$X$15-CÁLCULO.TotalAdmLocal)*CRONO!$E79,0),T78*$R77),SUMIF(OFFSET($R79,1,0,$Q77-2),($L77+1)&amp;"$",OFFSET(T79,1,0,$Q77-2)))</f>
        <v>0</v>
      </c>
      <c r="U79" s="257">
        <f ca="1">IF($Q77=2,IF(AND(ACOMPANHAMENTO="PLE",ISNUMBER($E77)),SUMIF((OFFSET(CÁLCULO!$AM$15:$AW$15,$E77,0,OFFSET(ORÇAMENTO!$D$15,CRONO!$E77,0))),"="&amp;CRONO!U$12,OFFSET(CÁLCULO!$AB$15:$AL$15,$E77,0,OFFSET(ORÇAMENTO!$D$15,CRONO!$E77,0)))+IF(AND($E79&lt;&gt;"",$E79&lt;&gt;0),SUMIF(CÁLCULO!$AM$15:$AW$192,"="&amp;CRONO!U$12,CÁLCULO!$AB$15:$AL$192)/(ORÇAMENTO!$X$15-CÁLCULO.TotalAdmLocal)*CRONO!$E79,0),U78*$R77),SUMIF(OFFSET($R79,1,0,$Q77-2),($L77+1)&amp;"$",OFFSET(U79,1,0,$Q77-2)))</f>
        <v>0</v>
      </c>
      <c r="V79" s="257">
        <f ca="1">IF($Q77=2,IF(AND(ACOMPANHAMENTO="PLE",ISNUMBER($E77)),SUMIF((OFFSET(CÁLCULO!$AM$15:$AW$15,$E77,0,OFFSET(ORÇAMENTO!$D$15,CRONO!$E77,0))),"="&amp;CRONO!V$12,OFFSET(CÁLCULO!$AB$15:$AL$15,$E77,0,OFFSET(ORÇAMENTO!$D$15,CRONO!$E77,0)))+IF(AND($E79&lt;&gt;"",$E79&lt;&gt;0),SUMIF(CÁLCULO!$AM$15:$AW$192,"="&amp;CRONO!V$12,CÁLCULO!$AB$15:$AL$192)/(ORÇAMENTO!$X$15-CÁLCULO.TotalAdmLocal)*CRONO!$E79,0),V78*$R77),SUMIF(OFFSET($R79,1,0,$Q77-2),($L77+1)&amp;"$",OFFSET(V79,1,0,$Q77-2)))</f>
        <v>0</v>
      </c>
      <c r="W79" s="257">
        <f ca="1">IF($Q77=2,IF(AND(ACOMPANHAMENTO="PLE",ISNUMBER($E77)),SUMIF((OFFSET(CÁLCULO!$AM$15:$AW$15,$E77,0,OFFSET(ORÇAMENTO!$D$15,CRONO!$E77,0))),"="&amp;CRONO!W$12,OFFSET(CÁLCULO!$AB$15:$AL$15,$E77,0,OFFSET(ORÇAMENTO!$D$15,CRONO!$E77,0)))+IF(AND($E79&lt;&gt;"",$E79&lt;&gt;0),SUMIF(CÁLCULO!$AM$15:$AW$192,"="&amp;CRONO!W$12,CÁLCULO!$AB$15:$AL$192)/(ORÇAMENTO!$X$15-CÁLCULO.TotalAdmLocal)*CRONO!$E79,0),W78*$R77),SUMIF(OFFSET($R79,1,0,$Q77-2),($L77+1)&amp;"$",OFFSET(W79,1,0,$Q77-2)))</f>
        <v>0</v>
      </c>
      <c r="X79" s="257">
        <f ca="1">IF($Q77=2,IF(AND(ACOMPANHAMENTO="PLE",ISNUMBER($E77)),SUMIF((OFFSET(CÁLCULO!$AM$15:$AW$15,$E77,0,OFFSET(ORÇAMENTO!$D$15,CRONO!$E77,0))),"="&amp;CRONO!X$12,OFFSET(CÁLCULO!$AB$15:$AL$15,$E77,0,OFFSET(ORÇAMENTO!$D$15,CRONO!$E77,0)))+IF(AND($E79&lt;&gt;"",$E79&lt;&gt;0),SUMIF(CÁLCULO!$AM$15:$AW$192,"="&amp;CRONO!X$12,CÁLCULO!$AB$15:$AL$192)/(ORÇAMENTO!$X$15-CÁLCULO.TotalAdmLocal)*CRONO!$E79,0),X78*$R77),SUMIF(OFFSET($R79,1,0,$Q77-2),($L77+1)&amp;"$",OFFSET(X79,1,0,$Q77-2)))</f>
        <v>0</v>
      </c>
      <c r="Y79" s="257">
        <f ca="1">IF($Q77=2,IF(AND(ACOMPANHAMENTO="PLE",ISNUMBER($E77)),SUMIF((OFFSET(CÁLCULO!$AM$15:$AW$15,$E77,0,OFFSET(ORÇAMENTO!$D$15,CRONO!$E77,0))),"="&amp;CRONO!Y$12,OFFSET(CÁLCULO!$AB$15:$AL$15,$E77,0,OFFSET(ORÇAMENTO!$D$15,CRONO!$E77,0)))+IF(AND($E79&lt;&gt;"",$E79&lt;&gt;0),SUMIF(CÁLCULO!$AM$15:$AW$192,"="&amp;CRONO!Y$12,CÁLCULO!$AB$15:$AL$192)/(ORÇAMENTO!$X$15-CÁLCULO.TotalAdmLocal)*CRONO!$E79,0),Y78*$R77),SUMIF(OFFSET($R79,1,0,$Q77-2),($L77+1)&amp;"$",OFFSET(Y79,1,0,$Q77-2)))</f>
        <v>0</v>
      </c>
      <c r="Z79" s="257">
        <f ca="1">IF($Q77=2,IF(AND(ACOMPANHAMENTO="PLE",ISNUMBER($E77)),SUMIF((OFFSET(CÁLCULO!$AM$15:$AW$15,$E77,0,OFFSET(ORÇAMENTO!$D$15,CRONO!$E77,0))),"="&amp;CRONO!Z$12,OFFSET(CÁLCULO!$AB$15:$AL$15,$E77,0,OFFSET(ORÇAMENTO!$D$15,CRONO!$E77,0)))+IF(AND($E79&lt;&gt;"",$E79&lt;&gt;0),SUMIF(CÁLCULO!$AM$15:$AW$192,"="&amp;CRONO!Z$12,CÁLCULO!$AB$15:$AL$192)/(ORÇAMENTO!$X$15-CÁLCULO.TotalAdmLocal)*CRONO!$E79,0),Z78*$R77),SUMIF(OFFSET($R79,1,0,$Q77-2),($L77+1)&amp;"$",OFFSET(Z79,1,0,$Q77-2)))</f>
        <v>0</v>
      </c>
      <c r="AA79" s="257">
        <f ca="1">IF($Q77=2,IF(AND(ACOMPANHAMENTO="PLE",ISNUMBER($E77)),SUMIF((OFFSET(CÁLCULO!$AM$15:$AW$15,$E77,0,OFFSET(ORÇAMENTO!$D$15,CRONO!$E77,0))),"="&amp;CRONO!AA$12,OFFSET(CÁLCULO!$AB$15:$AL$15,$E77,0,OFFSET(ORÇAMENTO!$D$15,CRONO!$E77,0)))+IF(AND($E79&lt;&gt;"",$E79&lt;&gt;0),SUMIF(CÁLCULO!$AM$15:$AW$192,"="&amp;CRONO!AA$12,CÁLCULO!$AB$15:$AL$192)/(ORÇAMENTO!$X$15-CÁLCULO.TotalAdmLocal)*CRONO!$E79,0),AA78*$R77),SUMIF(OFFSET($R79,1,0,$Q77-2),($L77+1)&amp;"$",OFFSET(AA79,1,0,$Q77-2)))</f>
        <v>0</v>
      </c>
      <c r="AB79" s="257">
        <f ca="1">IF($Q77=2,IF(AND(ACOMPANHAMENTO="PLE",ISNUMBER($E77)),SUMIF((OFFSET(CÁLCULO!$AM$15:$AW$15,$E77,0,OFFSET(ORÇAMENTO!$D$15,CRONO!$E77,0))),"="&amp;CRONO!AB$12,OFFSET(CÁLCULO!$AB$15:$AL$15,$E77,0,OFFSET(ORÇAMENTO!$D$15,CRONO!$E77,0)))+IF(AND($E79&lt;&gt;"",$E79&lt;&gt;0),SUMIF(CÁLCULO!$AM$15:$AW$192,"="&amp;CRONO!AB$12,CÁLCULO!$AB$15:$AL$192)/(ORÇAMENTO!$X$15-CÁLCULO.TotalAdmLocal)*CRONO!$E79,0),AB78*$R77),SUMIF(OFFSET($R79,1,0,$Q77-2),($L77+1)&amp;"$",OFFSET(AB79,1,0,$Q77-2)))</f>
        <v>0</v>
      </c>
      <c r="AC79" s="257">
        <f ca="1">IF($Q77=2,IF(AND(ACOMPANHAMENTO="PLE",ISNUMBER($E77)),SUMIF((OFFSET(CÁLCULO!$AM$15:$AW$15,$E77,0,OFFSET(ORÇAMENTO!$D$15,CRONO!$E77,0))),"="&amp;CRONO!AC$12,OFFSET(CÁLCULO!$AB$15:$AL$15,$E77,0,OFFSET(ORÇAMENTO!$D$15,CRONO!$E77,0)))+IF(AND($E79&lt;&gt;"",$E79&lt;&gt;0),SUMIF(CÁLCULO!$AM$15:$AW$192,"="&amp;CRONO!AC$12,CÁLCULO!$AB$15:$AL$192)/(ORÇAMENTO!$X$15-CÁLCULO.TotalAdmLocal)*CRONO!$E79,0),AC78*$R77),SUMIF(OFFSET($R79,1,0,$Q77-2),($L77+1)&amp;"$",OFFSET(AC79,1,0,$Q77-2)))</f>
        <v>0</v>
      </c>
      <c r="AD79" s="257">
        <f ca="1">IF($Q77=2,IF(AND(ACOMPANHAMENTO="PLE",ISNUMBER($E77)),SUMIF((OFFSET(CÁLCULO!$AM$15:$AW$15,$E77,0,OFFSET(ORÇAMENTO!$D$15,CRONO!$E77,0))),"="&amp;CRONO!AD$12,OFFSET(CÁLCULO!$AB$15:$AL$15,$E77,0,OFFSET(ORÇAMENTO!$D$15,CRONO!$E77,0)))+IF(AND($E79&lt;&gt;"",$E79&lt;&gt;0),SUMIF(CÁLCULO!$AM$15:$AW$192,"="&amp;CRONO!AD$12,CÁLCULO!$AB$15:$AL$192)/(ORÇAMENTO!$X$15-CÁLCULO.TotalAdmLocal)*CRONO!$E79,0),AD78*$R77),SUMIF(OFFSET($R79,1,0,$Q77-2),($L77+1)&amp;"$",OFFSET(AD79,1,0,$Q77-2)))</f>
        <v>0</v>
      </c>
      <c r="AE79" s="262">
        <f ca="1">IF($Q77=2,IF(AND(ACOMPANHAMENTO="PLE",ISNUMBER($E77)),SUMIF((OFFSET(CÁLCULO!$AM$15:$AW$15,$E77,0,OFFSET(ORÇAMENTO!$D$15,CRONO!$E77,0))),"="&amp;CRONO!AE$12,OFFSET(CÁLCULO!$AB$15:$AL$15,$E77,0,OFFSET(ORÇAMENTO!$D$15,CRONO!$E77,0)))+IF(AND($E79&lt;&gt;"",$E79&lt;&gt;0),SUMIF(CÁLCULO!$AM$15:$AW$192,"="&amp;CRONO!AE$12,CÁLCULO!$AB$15:$AL$192)/(ORÇAMENTO!$X$15-CÁLCULO.TotalAdmLocal)*CRONO!$E79,0),AE78*$R77),SUMIF(OFFSET($R79,1,0,$Q77-2),($L77+1)&amp;"$",OFFSET(AE79,1,0,$Q77-2)))</f>
        <v>0</v>
      </c>
      <c r="AF79" s="261">
        <f ca="1">IF($Q77=2,IF(AND(ACOMPANHAMENTO="PLE",ISNUMBER($E77)),SUMIF((OFFSET(CÁLCULO!$AM$15:$AW$15,$E77,0,OFFSET(ORÇAMENTO!$D$15,CRONO!$E77,0))),"="&amp;CRONO!AF$12,OFFSET(CÁLCULO!$AB$15:$AL$15,$E77,0,OFFSET(ORÇAMENTO!$D$15,CRONO!$E77,0)))+IF(AND($E79&lt;&gt;"",$E79&lt;&gt;0),SUMIF(CÁLCULO!$AM$15:$AW$192,"="&amp;CRONO!AF$12,CÁLCULO!$AB$15:$AL$192)/(ORÇAMENTO!$X$15-CÁLCULO.TotalAdmLocal)*CRONO!$E79,0),AF78*$R77),SUMIF(OFFSET($R79,1,0,$Q77-2),($L77+1)&amp;"$",OFFSET(AF79,1,0,$Q77-2)))</f>
        <v>0</v>
      </c>
      <c r="AG79" s="257">
        <f ca="1">IF($Q77=2,IF(AND(ACOMPANHAMENTO="PLE",ISNUMBER($E77)),SUMIF((OFFSET(CÁLCULO!$AM$15:$AW$15,$E77,0,OFFSET(ORÇAMENTO!$D$15,CRONO!$E77,0))),"="&amp;CRONO!AG$12,OFFSET(CÁLCULO!$AB$15:$AL$15,$E77,0,OFFSET(ORÇAMENTO!$D$15,CRONO!$E77,0)))+IF(AND($E79&lt;&gt;"",$E79&lt;&gt;0),SUMIF(CÁLCULO!$AM$15:$AW$192,"="&amp;CRONO!AG$12,CÁLCULO!$AB$15:$AL$192)/(ORÇAMENTO!$X$15-CÁLCULO.TotalAdmLocal)*CRONO!$E79,0),AG78*$R77),SUMIF(OFFSET($R79,1,0,$Q77-2),($L77+1)&amp;"$",OFFSET(AG79,1,0,$Q77-2)))</f>
        <v>0</v>
      </c>
      <c r="AH79" s="257">
        <f ca="1">IF($Q77=2,IF(AND(ACOMPANHAMENTO="PLE",ISNUMBER($E77)),SUMIF((OFFSET(CÁLCULO!$AM$15:$AW$15,$E77,0,OFFSET(ORÇAMENTO!$D$15,CRONO!$E77,0))),"="&amp;CRONO!AH$12,OFFSET(CÁLCULO!$AB$15:$AL$15,$E77,0,OFFSET(ORÇAMENTO!$D$15,CRONO!$E77,0)))+IF(AND($E79&lt;&gt;"",$E79&lt;&gt;0),SUMIF(CÁLCULO!$AM$15:$AW$192,"="&amp;CRONO!AH$12,CÁLCULO!$AB$15:$AL$192)/(ORÇAMENTO!$X$15-CÁLCULO.TotalAdmLocal)*CRONO!$E79,0),AH78*$R77),SUMIF(OFFSET($R79,1,0,$Q77-2),($L77+1)&amp;"$",OFFSET(AH79,1,0,$Q77-2)))</f>
        <v>0</v>
      </c>
      <c r="AI79" s="257">
        <f ca="1">IF($Q77=2,IF(AND(ACOMPANHAMENTO="PLE",ISNUMBER($E77)),SUMIF((OFFSET(CÁLCULO!$AM$15:$AW$15,$E77,0,OFFSET(ORÇAMENTO!$D$15,CRONO!$E77,0))),"="&amp;CRONO!AI$12,OFFSET(CÁLCULO!$AB$15:$AL$15,$E77,0,OFFSET(ORÇAMENTO!$D$15,CRONO!$E77,0)))+IF(AND($E79&lt;&gt;"",$E79&lt;&gt;0),SUMIF(CÁLCULO!$AM$15:$AW$192,"="&amp;CRONO!AI$12,CÁLCULO!$AB$15:$AL$192)/(ORÇAMENTO!$X$15-CÁLCULO.TotalAdmLocal)*CRONO!$E79,0),AI78*$R77),SUMIF(OFFSET($R79,1,0,$Q77-2),($L77+1)&amp;"$",OFFSET(AI79,1,0,$Q77-2)))</f>
        <v>0</v>
      </c>
      <c r="AJ79" s="257">
        <f ca="1">IF($Q77=2,IF(AND(ACOMPANHAMENTO="PLE",ISNUMBER($E77)),SUMIF((OFFSET(CÁLCULO!$AM$15:$AW$15,$E77,0,OFFSET(ORÇAMENTO!$D$15,CRONO!$E77,0))),"="&amp;CRONO!AJ$12,OFFSET(CÁLCULO!$AB$15:$AL$15,$E77,0,OFFSET(ORÇAMENTO!$D$15,CRONO!$E77,0)))+IF(AND($E79&lt;&gt;"",$E79&lt;&gt;0),SUMIF(CÁLCULO!$AM$15:$AW$192,"="&amp;CRONO!AJ$12,CÁLCULO!$AB$15:$AL$192)/(ORÇAMENTO!$X$15-CÁLCULO.TotalAdmLocal)*CRONO!$E79,0),AJ78*$R77),SUMIF(OFFSET($R79,1,0,$Q77-2),($L77+1)&amp;"$",OFFSET(AJ79,1,0,$Q77-2)))</f>
        <v>0</v>
      </c>
      <c r="AK79" s="257">
        <f ca="1">IF($Q77=2,IF(AND(ACOMPANHAMENTO="PLE",ISNUMBER($E77)),SUMIF((OFFSET(CÁLCULO!$AM$15:$AW$15,$E77,0,OFFSET(ORÇAMENTO!$D$15,CRONO!$E77,0))),"="&amp;CRONO!AK$12,OFFSET(CÁLCULO!$AB$15:$AL$15,$E77,0,OFFSET(ORÇAMENTO!$D$15,CRONO!$E77,0)))+IF(AND($E79&lt;&gt;"",$E79&lt;&gt;0),SUMIF(CÁLCULO!$AM$15:$AW$192,"="&amp;CRONO!AK$12,CÁLCULO!$AB$15:$AL$192)/(ORÇAMENTO!$X$15-CÁLCULO.TotalAdmLocal)*CRONO!$E79,0),AK78*$R77),SUMIF(OFFSET($R79,1,0,$Q77-2),($L77+1)&amp;"$",OFFSET(AK79,1,0,$Q77-2)))</f>
        <v>0</v>
      </c>
      <c r="AL79" s="257">
        <f ca="1">IF($Q77=2,IF(AND(ACOMPANHAMENTO="PLE",ISNUMBER($E77)),SUMIF((OFFSET(CÁLCULO!$AM$15:$AW$15,$E77,0,OFFSET(ORÇAMENTO!$D$15,CRONO!$E77,0))),"="&amp;CRONO!AL$12,OFFSET(CÁLCULO!$AB$15:$AL$15,$E77,0,OFFSET(ORÇAMENTO!$D$15,CRONO!$E77,0)))+IF(AND($E79&lt;&gt;"",$E79&lt;&gt;0),SUMIF(CÁLCULO!$AM$15:$AW$192,"="&amp;CRONO!AL$12,CÁLCULO!$AB$15:$AL$192)/(ORÇAMENTO!$X$15-CÁLCULO.TotalAdmLocal)*CRONO!$E79,0),AL78*$R77),SUMIF(OFFSET($R79,1,0,$Q77-2),($L77+1)&amp;"$",OFFSET(AL79,1,0,$Q77-2)))</f>
        <v>0</v>
      </c>
      <c r="AM79" s="257">
        <f ca="1">IF($Q77=2,IF(AND(ACOMPANHAMENTO="PLE",ISNUMBER($E77)),SUMIF((OFFSET(CÁLCULO!$AM$15:$AW$15,$E77,0,OFFSET(ORÇAMENTO!$D$15,CRONO!$E77,0))),"="&amp;CRONO!AM$12,OFFSET(CÁLCULO!$AB$15:$AL$15,$E77,0,OFFSET(ORÇAMENTO!$D$15,CRONO!$E77,0)))+IF(AND($E79&lt;&gt;"",$E79&lt;&gt;0),SUMIF(CÁLCULO!$AM$15:$AW$192,"="&amp;CRONO!AM$12,CÁLCULO!$AB$15:$AL$192)/(ORÇAMENTO!$X$15-CÁLCULO.TotalAdmLocal)*CRONO!$E79,0),AM78*$R77),SUMIF(OFFSET($R79,1,0,$Q77-2),($L77+1)&amp;"$",OFFSET(AM79,1,0,$Q77-2)))</f>
        <v>0</v>
      </c>
      <c r="AN79" s="257">
        <f ca="1">IF($Q77=2,IF(AND(ACOMPANHAMENTO="PLE",ISNUMBER($E77)),SUMIF((OFFSET(CÁLCULO!$AM$15:$AW$15,$E77,0,OFFSET(ORÇAMENTO!$D$15,CRONO!$E77,0))),"="&amp;CRONO!AN$12,OFFSET(CÁLCULO!$AB$15:$AL$15,$E77,0,OFFSET(ORÇAMENTO!$D$15,CRONO!$E77,0)))+IF(AND($E79&lt;&gt;"",$E79&lt;&gt;0),SUMIF(CÁLCULO!$AM$15:$AW$192,"="&amp;CRONO!AN$12,CÁLCULO!$AB$15:$AL$192)/(ORÇAMENTO!$X$15-CÁLCULO.TotalAdmLocal)*CRONO!$E79,0),AN78*$R77),SUMIF(OFFSET($R79,1,0,$Q77-2),($L77+1)&amp;"$",OFFSET(AN79,1,0,$Q77-2)))</f>
        <v>0</v>
      </c>
      <c r="AO79" s="257">
        <f ca="1">IF($Q77=2,IF(AND(ACOMPANHAMENTO="PLE",ISNUMBER($E77)),SUMIF((OFFSET(CÁLCULO!$AM$15:$AW$15,$E77,0,OFFSET(ORÇAMENTO!$D$15,CRONO!$E77,0))),"="&amp;CRONO!AO$12,OFFSET(CÁLCULO!$AB$15:$AL$15,$E77,0,OFFSET(ORÇAMENTO!$D$15,CRONO!$E77,0)))+IF(AND($E79&lt;&gt;"",$E79&lt;&gt;0),SUMIF(CÁLCULO!$AM$15:$AW$192,"="&amp;CRONO!AO$12,CÁLCULO!$AB$15:$AL$192)/(ORÇAMENTO!$X$15-CÁLCULO.TotalAdmLocal)*CRONO!$E79,0),AO78*$R77),SUMIF(OFFSET($R79,1,0,$Q77-2),($L77+1)&amp;"$",OFFSET(AO79,1,0,$Q77-2)))</f>
        <v>0</v>
      </c>
      <c r="AP79" s="257">
        <f ca="1">IF($Q77=2,IF(AND(ACOMPANHAMENTO="PLE",ISNUMBER($E77)),SUMIF((OFFSET(CÁLCULO!$AM$15:$AW$15,$E77,0,OFFSET(ORÇAMENTO!$D$15,CRONO!$E77,0))),"="&amp;CRONO!AP$12,OFFSET(CÁLCULO!$AB$15:$AL$15,$E77,0,OFFSET(ORÇAMENTO!$D$15,CRONO!$E77,0)))+IF(AND($E79&lt;&gt;"",$E79&lt;&gt;0),SUMIF(CÁLCULO!$AM$15:$AW$192,"="&amp;CRONO!AP$12,CÁLCULO!$AB$15:$AL$192)/(ORÇAMENTO!$X$15-CÁLCULO.TotalAdmLocal)*CRONO!$E79,0),AP78*$R77),SUMIF(OFFSET($R79,1,0,$Q77-2),($L77+1)&amp;"$",OFFSET(AP79,1,0,$Q77-2)))</f>
        <v>0</v>
      </c>
      <c r="AQ79" s="262">
        <f ca="1">IF($Q77=2,IF(AND(ACOMPANHAMENTO="PLE",ISNUMBER($E77)),SUMIF((OFFSET(CÁLCULO!$AM$15:$AW$15,$E77,0,OFFSET(ORÇAMENTO!$D$15,CRONO!$E77,0))),"="&amp;CRONO!AQ$12,OFFSET(CÁLCULO!$AB$15:$AL$15,$E77,0,OFFSET(ORÇAMENTO!$D$15,CRONO!$E77,0)))+IF(AND($E79&lt;&gt;"",$E79&lt;&gt;0),SUMIF(CÁLCULO!$AM$15:$AW$192,"="&amp;CRONO!AQ$12,CÁLCULO!$AB$15:$AL$192)/(ORÇAMENTO!$X$15-CÁLCULO.TotalAdmLocal)*CRONO!$E79,0),AQ78*$R77),SUMIF(OFFSET($R79,1,0,$Q77-2),($L77+1)&amp;"$",OFFSET(AQ79,1,0,$Q77-2)))</f>
        <v>0</v>
      </c>
    </row>
    <row r="80" spans="1:44" x14ac:dyDescent="0.2">
      <c r="A80" s="238">
        <f t="shared" ref="A80" ca="1" si="75">OFFSET(A80,-3,0)+1</f>
        <v>23</v>
      </c>
      <c r="B80" s="238">
        <f ca="1">IF($Q80&lt;&gt;2,0,IF($R80=0,1,IF(E81&gt;0,OFFSET(QCI!$M$13,SUBSTITUTE(E81,".",""),0),OFFSET(ORÇAMENTO!$AA$15,CRONO!$E80,0))/$R80))</f>
        <v>1</v>
      </c>
      <c r="C80" s="238">
        <f ca="1">IF($Q80&lt;&gt;2,0,IF($R80=0,1,IF(E81&gt;0,OFFSET(QCI!$N$13,SUBSTITUTE(E81,".",""),0),OFFSET(ORÇAMENTO!$AB$15,CRONO!$E80,0))/$R80))</f>
        <v>1</v>
      </c>
      <c r="D80" s="241">
        <f ca="1">IF(AND($Q80=2,ACOMPANHAMENTO="BM"),D81,D82/$R80)</f>
        <v>0</v>
      </c>
      <c r="E80" s="238">
        <f ca="1">IF(A80&lt;=ORÇAMENTO.MáximoListaCrono,MATCH(A80,ORÇAMENTO.ListaCrono,0),NA())</f>
        <v>160</v>
      </c>
      <c r="F80" s="238" t="str">
        <f t="shared" ref="F80" ca="1" si="76">IF(AND($E81&lt;&gt;-1,$R80&gt;0),"F","")</f>
        <v/>
      </c>
      <c r="G80" s="242" t="str">
        <f ca="1">IF(OR(R80=0,R80=""),"Linha",IF(AND(OR(ACOMPANHAMENTO="PLE",$Q80&lt;&gt;2),$E81=0),"Linha",1-SUM(T80:AR80)))</f>
        <v>Linha</v>
      </c>
      <c r="H80" s="243" t="str">
        <f ca="1">IF($E81=0,OFFSET(ORÇAMENTO!O$15,$E80,0),IF($E81&lt;&gt;-1,OFFSET(QCI!$D$13,$E81,0),""))</f>
        <v>1.22.</v>
      </c>
      <c r="I80" s="244" t="str">
        <f ca="1">IF($E81=0,OFFSET(ORÇAMENTO!R$15,$E80,0),IF($E81&lt;&gt;-1,OFFSET(QCI!$G$13,$E81,0),""))</f>
        <v>CLIMATIZADORES</v>
      </c>
      <c r="J80" s="244"/>
      <c r="K80" s="244"/>
      <c r="L80" s="245">
        <f ca="1">IF($E81=0,OFFSET(ORÇAMENTO!C$15,$E80,0),1)</f>
        <v>2</v>
      </c>
      <c r="M80" s="246">
        <f ca="1">IF($E81=-1,0,IF(M$13&lt;=$L80,IF(ISERROR(MATCH(M$13,OFFSET($L80,1,0,ROW($L$92)-ROW($L80)-1),0)),ROW($L$92)-ROW($L80)-1,MATCH(M$13,OFFSET($L80,1,0,ROW($L$92)-ROW($L80)-1),0)-1),0))</f>
        <v>11</v>
      </c>
      <c r="N80" s="246">
        <f ca="1">IF($E81=-1,0,IF(N$13&lt;=$L80,IF(ISERROR(MATCH(N$13,OFFSET($L80,1,0,ROW($L$92)-ROW($L80)-1),0)),ROW($L$92)-ROW($L80)-1,MATCH(N$13,OFFSET($L80,1,0,ROW($L$92)-ROW($L80)-1),0)-1),0))</f>
        <v>2</v>
      </c>
      <c r="O80" s="246">
        <f ca="1">IF($E81=-1,0,IF(O$13&lt;=$L80,IF(ISERROR(MATCH(O$13,OFFSET($L80,1,0,ROW($L$92)-ROW($L80)-1),0)),ROW($L$92)-ROW($L80)-1,MATCH(O$13,OFFSET($L80,1,0,ROW($L$92)-ROW($L80)-1),0)-1),0))</f>
        <v>0</v>
      </c>
      <c r="P80" s="246">
        <f ca="1">IF($E81=-1,0,IF(P$13&lt;=$L80,IF(ISERROR(MATCH(P$13,OFFSET($L80,1,0,ROW($L$92)-ROW($L80)-1),0)),ROW($L$92)-ROW($L80)-1,MATCH(P$13,OFFSET($L80,1,0,ROW($L$92)-ROW($L80)-1),0)-1),0))</f>
        <v>0</v>
      </c>
      <c r="Q80" s="246">
        <f t="shared" ref="Q80" ca="1" si="77">MIN(OFFSET(L80,0,1,,L80))</f>
        <v>2</v>
      </c>
      <c r="R80" s="247">
        <f ca="1">IF($E81=0,OFFSET(ORÇAMENTO!X$15,$E80,0),IF($E81&lt;&gt;-1,OFFSET(QCI!$O$13,$E81,0),""))</f>
        <v>0</v>
      </c>
      <c r="S80" s="248" t="s">
        <v>270</v>
      </c>
      <c r="T80" s="249">
        <f t="shared" ref="T80:AQ80" ca="1" si="78">IF(AND($Q80=2,ACOMPANHAMENTO="BM"),T81,T82/$R80)</f>
        <v>0</v>
      </c>
      <c r="U80" s="241">
        <f t="shared" ca="1" si="78"/>
        <v>0</v>
      </c>
      <c r="V80" s="241">
        <f t="shared" ca="1" si="78"/>
        <v>0</v>
      </c>
      <c r="W80" s="241">
        <f t="shared" ca="1" si="78"/>
        <v>0</v>
      </c>
      <c r="X80" s="241">
        <f t="shared" ca="1" si="78"/>
        <v>0</v>
      </c>
      <c r="Y80" s="241">
        <f t="shared" ca="1" si="78"/>
        <v>0</v>
      </c>
      <c r="Z80" s="241">
        <f t="shared" ca="1" si="78"/>
        <v>0</v>
      </c>
      <c r="AA80" s="241">
        <f t="shared" ca="1" si="78"/>
        <v>0</v>
      </c>
      <c r="AB80" s="241">
        <f t="shared" ca="1" si="78"/>
        <v>0</v>
      </c>
      <c r="AC80" s="241">
        <f t="shared" ca="1" si="78"/>
        <v>0</v>
      </c>
      <c r="AD80" s="241">
        <f t="shared" ca="1" si="78"/>
        <v>0</v>
      </c>
      <c r="AE80" s="250">
        <f t="shared" ca="1" si="78"/>
        <v>0</v>
      </c>
      <c r="AF80" s="249">
        <f t="shared" ca="1" si="78"/>
        <v>0</v>
      </c>
      <c r="AG80" s="241">
        <f t="shared" ca="1" si="78"/>
        <v>1</v>
      </c>
      <c r="AH80" s="241">
        <f t="shared" ca="1" si="78"/>
        <v>0</v>
      </c>
      <c r="AI80" s="241">
        <f t="shared" ca="1" si="78"/>
        <v>0</v>
      </c>
      <c r="AJ80" s="241">
        <f t="shared" ca="1" si="78"/>
        <v>0</v>
      </c>
      <c r="AK80" s="241">
        <f t="shared" ca="1" si="78"/>
        <v>0</v>
      </c>
      <c r="AL80" s="241">
        <f t="shared" ca="1" si="78"/>
        <v>0</v>
      </c>
      <c r="AM80" s="241">
        <f t="shared" ca="1" si="78"/>
        <v>0</v>
      </c>
      <c r="AN80" s="241">
        <f t="shared" ca="1" si="78"/>
        <v>0</v>
      </c>
      <c r="AO80" s="241">
        <f t="shared" ca="1" si="78"/>
        <v>0</v>
      </c>
      <c r="AP80" s="241">
        <f t="shared" ca="1" si="78"/>
        <v>0</v>
      </c>
      <c r="AQ80" s="250">
        <f t="shared" ca="1" si="78"/>
        <v>0</v>
      </c>
    </row>
    <row r="81" spans="1:44" ht="12.75" customHeight="1" x14ac:dyDescent="0.2">
      <c r="D81" s="657"/>
      <c r="E81" s="238">
        <f ca="1">IF(ISERROR(E80),IF(1+COUNTIF($L$13:OFFSET(L80,-1,0),1)&lt;=MAX(QCI!$D$13:$D$24),1+COUNTIF($L$13:OFFSET(L80,-1,0),1),-1),0)</f>
        <v>0</v>
      </c>
      <c r="F81" s="238" t="str">
        <f t="shared" ref="F81" ca="1" si="79">IF(AND($E81&lt;&gt;-1,$R80&gt;0),"F","")</f>
        <v/>
      </c>
      <c r="G81" s="251" t="str">
        <f ca="1">IF(OR(R80=0,R80=""),"vazia",IF(AND(OR(ACOMPANHAMENTO="PLE",$Q80&lt;&gt;2),$E81=0),"calculada","--&gt;"))</f>
        <v>vazia</v>
      </c>
      <c r="H81" s="252"/>
      <c r="I81" s="253" t="str">
        <f t="shared" ref="I81" ca="1" si="80">IF(AND(G80&lt;&gt;0,ISNUMBER(G80)),"PREENCHA ESTA LINHA --&gt;","")</f>
        <v/>
      </c>
      <c r="J81" s="253"/>
      <c r="K81" s="253"/>
      <c r="L81" s="254"/>
      <c r="M81" s="254"/>
      <c r="N81" s="254"/>
      <c r="O81" s="254"/>
      <c r="P81" s="254"/>
      <c r="Q81" s="254"/>
      <c r="R81" s="255"/>
      <c r="S81" s="256"/>
      <c r="T81" s="658"/>
      <c r="U81" s="657"/>
      <c r="V81" s="657"/>
      <c r="W81" s="657"/>
      <c r="X81" s="657"/>
      <c r="Y81" s="657"/>
      <c r="Z81" s="657"/>
      <c r="AA81" s="657"/>
      <c r="AB81" s="657"/>
      <c r="AC81" s="657"/>
      <c r="AD81" s="657"/>
      <c r="AE81" s="659"/>
      <c r="AF81" s="658"/>
      <c r="AG81" s="657">
        <v>1</v>
      </c>
      <c r="AH81" s="657"/>
      <c r="AI81" s="657"/>
      <c r="AJ81" s="657"/>
      <c r="AK81" s="657"/>
      <c r="AL81" s="657"/>
      <c r="AM81" s="657"/>
      <c r="AN81" s="657"/>
      <c r="AO81" s="657"/>
      <c r="AP81" s="657"/>
      <c r="AQ81" s="659"/>
      <c r="AR81" s="617"/>
    </row>
    <row r="82" spans="1:44" ht="0.2" hidden="1" customHeight="1" x14ac:dyDescent="0.2">
      <c r="D82" s="257">
        <f ca="1">IF($Q80=2,IF(AND(ACOMPANHAMENTO="PLE",ISNUMBER($E80)),SUMIF((OFFSET(CÁLCULO!$AM$15:$AW$15,$E80,0,OFFSET(ORÇAMENTO!$D$15,CRONO!$E80,0))),"="&amp;CRONO!D$12,OFFSET(CÁLCULO!$AB$15:$AL$15,$E80,0,OFFSET(ORÇAMENTO!$D$15,CRONO!$E80,0)))+IF(AND($E82&lt;&gt;"",$E82&lt;&gt;0),SUMIF(CÁLCULO!$AM$15:$AW$192,"="&amp;CRONO!D$12,CÁLCULO!$AB$15:$AL$192)/(ORÇAMENTO!$X$15-CÁLCULO.TotalAdmLocal)*CRONO!$E82,0),D81*$R80),SUMIF(OFFSET($R82,1,0,$Q80-2),($L80+1)&amp;"$",OFFSET(D82,1,0,$Q80-2)))</f>
        <v>0</v>
      </c>
      <c r="E82" s="238" t="str">
        <f ca="1">IF(OR($Q80&lt;&gt;2,AUTOEVENTO&lt;&gt;"manual",$E81&gt;0),"",SUMIF(OFFSET(CÁLCULO!$M$15,CRONO!$E80,0,OFFSET(ORÇAMENTO!$D$15,CRONO!$E80,0)),1,OFFSET(ORÇAMENTO!$X$15,CRONO!$E80,0,OFFSET(ORÇAMENTO!$D$15,CRONO!$E80,0))))</f>
        <v/>
      </c>
      <c r="G82" s="258"/>
      <c r="R82" s="259" t="str">
        <f t="shared" ref="R82" ca="1" si="81">L80&amp;"$"</f>
        <v>2$</v>
      </c>
      <c r="S82" s="260"/>
      <c r="T82" s="261">
        <f ca="1">IF($Q80=2,IF(AND(ACOMPANHAMENTO="PLE",ISNUMBER($E80)),SUMIF((OFFSET(CÁLCULO!$AM$15:$AW$15,$E80,0,OFFSET(ORÇAMENTO!$D$15,CRONO!$E80,0))),"&lt;="&amp;CRONO!T$12,OFFSET(CÁLCULO!$AB$15:$AL$15,$E80,0,OFFSET(ORÇAMENTO!$D$15,CRONO!$E80,0)))+IF(AND($E82&lt;&gt;"",$E82&lt;&gt;0),SUMIF(CÁLCULO!$AM$15:$AW$192,"&lt;="&amp;CRONO!T$12,CÁLCULO!$AB$15:$AL$192)/(ORÇAMENTO!$X$15-CÁLCULO.TotalAdmLocal)*CRONO!$E82,0),T81*$R80),SUMIF(OFFSET($R82,1,0,$Q80-2),($L80+1)&amp;"$",OFFSET(T82,1,0,$Q80-2)))</f>
        <v>0</v>
      </c>
      <c r="U82" s="257">
        <f ca="1">IF($Q80=2,IF(AND(ACOMPANHAMENTO="PLE",ISNUMBER($E80)),SUMIF((OFFSET(CÁLCULO!$AM$15:$AW$15,$E80,0,OFFSET(ORÇAMENTO!$D$15,CRONO!$E80,0))),"="&amp;CRONO!U$12,OFFSET(CÁLCULO!$AB$15:$AL$15,$E80,0,OFFSET(ORÇAMENTO!$D$15,CRONO!$E80,0)))+IF(AND($E82&lt;&gt;"",$E82&lt;&gt;0),SUMIF(CÁLCULO!$AM$15:$AW$192,"="&amp;CRONO!U$12,CÁLCULO!$AB$15:$AL$192)/(ORÇAMENTO!$X$15-CÁLCULO.TotalAdmLocal)*CRONO!$E82,0),U81*$R80),SUMIF(OFFSET($R82,1,0,$Q80-2),($L80+1)&amp;"$",OFFSET(U82,1,0,$Q80-2)))</f>
        <v>0</v>
      </c>
      <c r="V82" s="257">
        <f ca="1">IF($Q80=2,IF(AND(ACOMPANHAMENTO="PLE",ISNUMBER($E80)),SUMIF((OFFSET(CÁLCULO!$AM$15:$AW$15,$E80,0,OFFSET(ORÇAMENTO!$D$15,CRONO!$E80,0))),"="&amp;CRONO!V$12,OFFSET(CÁLCULO!$AB$15:$AL$15,$E80,0,OFFSET(ORÇAMENTO!$D$15,CRONO!$E80,0)))+IF(AND($E82&lt;&gt;"",$E82&lt;&gt;0),SUMIF(CÁLCULO!$AM$15:$AW$192,"="&amp;CRONO!V$12,CÁLCULO!$AB$15:$AL$192)/(ORÇAMENTO!$X$15-CÁLCULO.TotalAdmLocal)*CRONO!$E82,0),V81*$R80),SUMIF(OFFSET($R82,1,0,$Q80-2),($L80+1)&amp;"$",OFFSET(V82,1,0,$Q80-2)))</f>
        <v>0</v>
      </c>
      <c r="W82" s="257">
        <f ca="1">IF($Q80=2,IF(AND(ACOMPANHAMENTO="PLE",ISNUMBER($E80)),SUMIF((OFFSET(CÁLCULO!$AM$15:$AW$15,$E80,0,OFFSET(ORÇAMENTO!$D$15,CRONO!$E80,0))),"="&amp;CRONO!W$12,OFFSET(CÁLCULO!$AB$15:$AL$15,$E80,0,OFFSET(ORÇAMENTO!$D$15,CRONO!$E80,0)))+IF(AND($E82&lt;&gt;"",$E82&lt;&gt;0),SUMIF(CÁLCULO!$AM$15:$AW$192,"="&amp;CRONO!W$12,CÁLCULO!$AB$15:$AL$192)/(ORÇAMENTO!$X$15-CÁLCULO.TotalAdmLocal)*CRONO!$E82,0),W81*$R80),SUMIF(OFFSET($R82,1,0,$Q80-2),($L80+1)&amp;"$",OFFSET(W82,1,0,$Q80-2)))</f>
        <v>0</v>
      </c>
      <c r="X82" s="257">
        <f ca="1">IF($Q80=2,IF(AND(ACOMPANHAMENTO="PLE",ISNUMBER($E80)),SUMIF((OFFSET(CÁLCULO!$AM$15:$AW$15,$E80,0,OFFSET(ORÇAMENTO!$D$15,CRONO!$E80,0))),"="&amp;CRONO!X$12,OFFSET(CÁLCULO!$AB$15:$AL$15,$E80,0,OFFSET(ORÇAMENTO!$D$15,CRONO!$E80,0)))+IF(AND($E82&lt;&gt;"",$E82&lt;&gt;0),SUMIF(CÁLCULO!$AM$15:$AW$192,"="&amp;CRONO!X$12,CÁLCULO!$AB$15:$AL$192)/(ORÇAMENTO!$X$15-CÁLCULO.TotalAdmLocal)*CRONO!$E82,0),X81*$R80),SUMIF(OFFSET($R82,1,0,$Q80-2),($L80+1)&amp;"$",OFFSET(X82,1,0,$Q80-2)))</f>
        <v>0</v>
      </c>
      <c r="Y82" s="257">
        <f ca="1">IF($Q80=2,IF(AND(ACOMPANHAMENTO="PLE",ISNUMBER($E80)),SUMIF((OFFSET(CÁLCULO!$AM$15:$AW$15,$E80,0,OFFSET(ORÇAMENTO!$D$15,CRONO!$E80,0))),"="&amp;CRONO!Y$12,OFFSET(CÁLCULO!$AB$15:$AL$15,$E80,0,OFFSET(ORÇAMENTO!$D$15,CRONO!$E80,0)))+IF(AND($E82&lt;&gt;"",$E82&lt;&gt;0),SUMIF(CÁLCULO!$AM$15:$AW$192,"="&amp;CRONO!Y$12,CÁLCULO!$AB$15:$AL$192)/(ORÇAMENTO!$X$15-CÁLCULO.TotalAdmLocal)*CRONO!$E82,0),Y81*$R80),SUMIF(OFFSET($R82,1,0,$Q80-2),($L80+1)&amp;"$",OFFSET(Y82,1,0,$Q80-2)))</f>
        <v>0</v>
      </c>
      <c r="Z82" s="257">
        <f ca="1">IF($Q80=2,IF(AND(ACOMPANHAMENTO="PLE",ISNUMBER($E80)),SUMIF((OFFSET(CÁLCULO!$AM$15:$AW$15,$E80,0,OFFSET(ORÇAMENTO!$D$15,CRONO!$E80,0))),"="&amp;CRONO!Z$12,OFFSET(CÁLCULO!$AB$15:$AL$15,$E80,0,OFFSET(ORÇAMENTO!$D$15,CRONO!$E80,0)))+IF(AND($E82&lt;&gt;"",$E82&lt;&gt;0),SUMIF(CÁLCULO!$AM$15:$AW$192,"="&amp;CRONO!Z$12,CÁLCULO!$AB$15:$AL$192)/(ORÇAMENTO!$X$15-CÁLCULO.TotalAdmLocal)*CRONO!$E82,0),Z81*$R80),SUMIF(OFFSET($R82,1,0,$Q80-2),($L80+1)&amp;"$",OFFSET(Z82,1,0,$Q80-2)))</f>
        <v>0</v>
      </c>
      <c r="AA82" s="257">
        <f ca="1">IF($Q80=2,IF(AND(ACOMPANHAMENTO="PLE",ISNUMBER($E80)),SUMIF((OFFSET(CÁLCULO!$AM$15:$AW$15,$E80,0,OFFSET(ORÇAMENTO!$D$15,CRONO!$E80,0))),"="&amp;CRONO!AA$12,OFFSET(CÁLCULO!$AB$15:$AL$15,$E80,0,OFFSET(ORÇAMENTO!$D$15,CRONO!$E80,0)))+IF(AND($E82&lt;&gt;"",$E82&lt;&gt;0),SUMIF(CÁLCULO!$AM$15:$AW$192,"="&amp;CRONO!AA$12,CÁLCULO!$AB$15:$AL$192)/(ORÇAMENTO!$X$15-CÁLCULO.TotalAdmLocal)*CRONO!$E82,0),AA81*$R80),SUMIF(OFFSET($R82,1,0,$Q80-2),($L80+1)&amp;"$",OFFSET(AA82,1,0,$Q80-2)))</f>
        <v>0</v>
      </c>
      <c r="AB82" s="257">
        <f ca="1">IF($Q80=2,IF(AND(ACOMPANHAMENTO="PLE",ISNUMBER($E80)),SUMIF((OFFSET(CÁLCULO!$AM$15:$AW$15,$E80,0,OFFSET(ORÇAMENTO!$D$15,CRONO!$E80,0))),"="&amp;CRONO!AB$12,OFFSET(CÁLCULO!$AB$15:$AL$15,$E80,0,OFFSET(ORÇAMENTO!$D$15,CRONO!$E80,0)))+IF(AND($E82&lt;&gt;"",$E82&lt;&gt;0),SUMIF(CÁLCULO!$AM$15:$AW$192,"="&amp;CRONO!AB$12,CÁLCULO!$AB$15:$AL$192)/(ORÇAMENTO!$X$15-CÁLCULO.TotalAdmLocal)*CRONO!$E82,0),AB81*$R80),SUMIF(OFFSET($R82,1,0,$Q80-2),($L80+1)&amp;"$",OFFSET(AB82,1,0,$Q80-2)))</f>
        <v>0</v>
      </c>
      <c r="AC82" s="257">
        <f ca="1">IF($Q80=2,IF(AND(ACOMPANHAMENTO="PLE",ISNUMBER($E80)),SUMIF((OFFSET(CÁLCULO!$AM$15:$AW$15,$E80,0,OFFSET(ORÇAMENTO!$D$15,CRONO!$E80,0))),"="&amp;CRONO!AC$12,OFFSET(CÁLCULO!$AB$15:$AL$15,$E80,0,OFFSET(ORÇAMENTO!$D$15,CRONO!$E80,0)))+IF(AND($E82&lt;&gt;"",$E82&lt;&gt;0),SUMIF(CÁLCULO!$AM$15:$AW$192,"="&amp;CRONO!AC$12,CÁLCULO!$AB$15:$AL$192)/(ORÇAMENTO!$X$15-CÁLCULO.TotalAdmLocal)*CRONO!$E82,0),AC81*$R80),SUMIF(OFFSET($R82,1,0,$Q80-2),($L80+1)&amp;"$",OFFSET(AC82,1,0,$Q80-2)))</f>
        <v>0</v>
      </c>
      <c r="AD82" s="257">
        <f ca="1">IF($Q80=2,IF(AND(ACOMPANHAMENTO="PLE",ISNUMBER($E80)),SUMIF((OFFSET(CÁLCULO!$AM$15:$AW$15,$E80,0,OFFSET(ORÇAMENTO!$D$15,CRONO!$E80,0))),"="&amp;CRONO!AD$12,OFFSET(CÁLCULO!$AB$15:$AL$15,$E80,0,OFFSET(ORÇAMENTO!$D$15,CRONO!$E80,0)))+IF(AND($E82&lt;&gt;"",$E82&lt;&gt;0),SUMIF(CÁLCULO!$AM$15:$AW$192,"="&amp;CRONO!AD$12,CÁLCULO!$AB$15:$AL$192)/(ORÇAMENTO!$X$15-CÁLCULO.TotalAdmLocal)*CRONO!$E82,0),AD81*$R80),SUMIF(OFFSET($R82,1,0,$Q80-2),($L80+1)&amp;"$",OFFSET(AD82,1,0,$Q80-2)))</f>
        <v>0</v>
      </c>
      <c r="AE82" s="262">
        <f ca="1">IF($Q80=2,IF(AND(ACOMPANHAMENTO="PLE",ISNUMBER($E80)),SUMIF((OFFSET(CÁLCULO!$AM$15:$AW$15,$E80,0,OFFSET(ORÇAMENTO!$D$15,CRONO!$E80,0))),"="&amp;CRONO!AE$12,OFFSET(CÁLCULO!$AB$15:$AL$15,$E80,0,OFFSET(ORÇAMENTO!$D$15,CRONO!$E80,0)))+IF(AND($E82&lt;&gt;"",$E82&lt;&gt;0),SUMIF(CÁLCULO!$AM$15:$AW$192,"="&amp;CRONO!AE$12,CÁLCULO!$AB$15:$AL$192)/(ORÇAMENTO!$X$15-CÁLCULO.TotalAdmLocal)*CRONO!$E82,0),AE81*$R80),SUMIF(OFFSET($R82,1,0,$Q80-2),($L80+1)&amp;"$",OFFSET(AE82,1,0,$Q80-2)))</f>
        <v>0</v>
      </c>
      <c r="AF82" s="261">
        <f ca="1">IF($Q80=2,IF(AND(ACOMPANHAMENTO="PLE",ISNUMBER($E80)),SUMIF((OFFSET(CÁLCULO!$AM$15:$AW$15,$E80,0,OFFSET(ORÇAMENTO!$D$15,CRONO!$E80,0))),"="&amp;CRONO!AF$12,OFFSET(CÁLCULO!$AB$15:$AL$15,$E80,0,OFFSET(ORÇAMENTO!$D$15,CRONO!$E80,0)))+IF(AND($E82&lt;&gt;"",$E82&lt;&gt;0),SUMIF(CÁLCULO!$AM$15:$AW$192,"="&amp;CRONO!AF$12,CÁLCULO!$AB$15:$AL$192)/(ORÇAMENTO!$X$15-CÁLCULO.TotalAdmLocal)*CRONO!$E82,0),AF81*$R80),SUMIF(OFFSET($R82,1,0,$Q80-2),($L80+1)&amp;"$",OFFSET(AF82,1,0,$Q80-2)))</f>
        <v>0</v>
      </c>
      <c r="AG82" s="257">
        <f ca="1">IF($Q80=2,IF(AND(ACOMPANHAMENTO="PLE",ISNUMBER($E80)),SUMIF((OFFSET(CÁLCULO!$AM$15:$AW$15,$E80,0,OFFSET(ORÇAMENTO!$D$15,CRONO!$E80,0))),"="&amp;CRONO!AG$12,OFFSET(CÁLCULO!$AB$15:$AL$15,$E80,0,OFFSET(ORÇAMENTO!$D$15,CRONO!$E80,0)))+IF(AND($E82&lt;&gt;"",$E82&lt;&gt;0),SUMIF(CÁLCULO!$AM$15:$AW$192,"="&amp;CRONO!AG$12,CÁLCULO!$AB$15:$AL$192)/(ORÇAMENTO!$X$15-CÁLCULO.TotalAdmLocal)*CRONO!$E82,0),AG81*$R80),SUMIF(OFFSET($R82,1,0,$Q80-2),($L80+1)&amp;"$",OFFSET(AG82,1,0,$Q80-2)))</f>
        <v>0</v>
      </c>
      <c r="AH82" s="257">
        <f ca="1">IF($Q80=2,IF(AND(ACOMPANHAMENTO="PLE",ISNUMBER($E80)),SUMIF((OFFSET(CÁLCULO!$AM$15:$AW$15,$E80,0,OFFSET(ORÇAMENTO!$D$15,CRONO!$E80,0))),"="&amp;CRONO!AH$12,OFFSET(CÁLCULO!$AB$15:$AL$15,$E80,0,OFFSET(ORÇAMENTO!$D$15,CRONO!$E80,0)))+IF(AND($E82&lt;&gt;"",$E82&lt;&gt;0),SUMIF(CÁLCULO!$AM$15:$AW$192,"="&amp;CRONO!AH$12,CÁLCULO!$AB$15:$AL$192)/(ORÇAMENTO!$X$15-CÁLCULO.TotalAdmLocal)*CRONO!$E82,0),AH81*$R80),SUMIF(OFFSET($R82,1,0,$Q80-2),($L80+1)&amp;"$",OFFSET(AH82,1,0,$Q80-2)))</f>
        <v>0</v>
      </c>
      <c r="AI82" s="257">
        <f ca="1">IF($Q80=2,IF(AND(ACOMPANHAMENTO="PLE",ISNUMBER($E80)),SUMIF((OFFSET(CÁLCULO!$AM$15:$AW$15,$E80,0,OFFSET(ORÇAMENTO!$D$15,CRONO!$E80,0))),"="&amp;CRONO!AI$12,OFFSET(CÁLCULO!$AB$15:$AL$15,$E80,0,OFFSET(ORÇAMENTO!$D$15,CRONO!$E80,0)))+IF(AND($E82&lt;&gt;"",$E82&lt;&gt;0),SUMIF(CÁLCULO!$AM$15:$AW$192,"="&amp;CRONO!AI$12,CÁLCULO!$AB$15:$AL$192)/(ORÇAMENTO!$X$15-CÁLCULO.TotalAdmLocal)*CRONO!$E82,0),AI81*$R80),SUMIF(OFFSET($R82,1,0,$Q80-2),($L80+1)&amp;"$",OFFSET(AI82,1,0,$Q80-2)))</f>
        <v>0</v>
      </c>
      <c r="AJ82" s="257">
        <f ca="1">IF($Q80=2,IF(AND(ACOMPANHAMENTO="PLE",ISNUMBER($E80)),SUMIF((OFFSET(CÁLCULO!$AM$15:$AW$15,$E80,0,OFFSET(ORÇAMENTO!$D$15,CRONO!$E80,0))),"="&amp;CRONO!AJ$12,OFFSET(CÁLCULO!$AB$15:$AL$15,$E80,0,OFFSET(ORÇAMENTO!$D$15,CRONO!$E80,0)))+IF(AND($E82&lt;&gt;"",$E82&lt;&gt;0),SUMIF(CÁLCULO!$AM$15:$AW$192,"="&amp;CRONO!AJ$12,CÁLCULO!$AB$15:$AL$192)/(ORÇAMENTO!$X$15-CÁLCULO.TotalAdmLocal)*CRONO!$E82,0),AJ81*$R80),SUMIF(OFFSET($R82,1,0,$Q80-2),($L80+1)&amp;"$",OFFSET(AJ82,1,0,$Q80-2)))</f>
        <v>0</v>
      </c>
      <c r="AK82" s="257">
        <f ca="1">IF($Q80=2,IF(AND(ACOMPANHAMENTO="PLE",ISNUMBER($E80)),SUMIF((OFFSET(CÁLCULO!$AM$15:$AW$15,$E80,0,OFFSET(ORÇAMENTO!$D$15,CRONO!$E80,0))),"="&amp;CRONO!AK$12,OFFSET(CÁLCULO!$AB$15:$AL$15,$E80,0,OFFSET(ORÇAMENTO!$D$15,CRONO!$E80,0)))+IF(AND($E82&lt;&gt;"",$E82&lt;&gt;0),SUMIF(CÁLCULO!$AM$15:$AW$192,"="&amp;CRONO!AK$12,CÁLCULO!$AB$15:$AL$192)/(ORÇAMENTO!$X$15-CÁLCULO.TotalAdmLocal)*CRONO!$E82,0),AK81*$R80),SUMIF(OFFSET($R82,1,0,$Q80-2),($L80+1)&amp;"$",OFFSET(AK82,1,0,$Q80-2)))</f>
        <v>0</v>
      </c>
      <c r="AL82" s="257">
        <f ca="1">IF($Q80=2,IF(AND(ACOMPANHAMENTO="PLE",ISNUMBER($E80)),SUMIF((OFFSET(CÁLCULO!$AM$15:$AW$15,$E80,0,OFFSET(ORÇAMENTO!$D$15,CRONO!$E80,0))),"="&amp;CRONO!AL$12,OFFSET(CÁLCULO!$AB$15:$AL$15,$E80,0,OFFSET(ORÇAMENTO!$D$15,CRONO!$E80,0)))+IF(AND($E82&lt;&gt;"",$E82&lt;&gt;0),SUMIF(CÁLCULO!$AM$15:$AW$192,"="&amp;CRONO!AL$12,CÁLCULO!$AB$15:$AL$192)/(ORÇAMENTO!$X$15-CÁLCULO.TotalAdmLocal)*CRONO!$E82,0),AL81*$R80),SUMIF(OFFSET($R82,1,0,$Q80-2),($L80+1)&amp;"$",OFFSET(AL82,1,0,$Q80-2)))</f>
        <v>0</v>
      </c>
      <c r="AM82" s="257">
        <f ca="1">IF($Q80=2,IF(AND(ACOMPANHAMENTO="PLE",ISNUMBER($E80)),SUMIF((OFFSET(CÁLCULO!$AM$15:$AW$15,$E80,0,OFFSET(ORÇAMENTO!$D$15,CRONO!$E80,0))),"="&amp;CRONO!AM$12,OFFSET(CÁLCULO!$AB$15:$AL$15,$E80,0,OFFSET(ORÇAMENTO!$D$15,CRONO!$E80,0)))+IF(AND($E82&lt;&gt;"",$E82&lt;&gt;0),SUMIF(CÁLCULO!$AM$15:$AW$192,"="&amp;CRONO!AM$12,CÁLCULO!$AB$15:$AL$192)/(ORÇAMENTO!$X$15-CÁLCULO.TotalAdmLocal)*CRONO!$E82,0),AM81*$R80),SUMIF(OFFSET($R82,1,0,$Q80-2),($L80+1)&amp;"$",OFFSET(AM82,1,0,$Q80-2)))</f>
        <v>0</v>
      </c>
      <c r="AN82" s="257">
        <f ca="1">IF($Q80=2,IF(AND(ACOMPANHAMENTO="PLE",ISNUMBER($E80)),SUMIF((OFFSET(CÁLCULO!$AM$15:$AW$15,$E80,0,OFFSET(ORÇAMENTO!$D$15,CRONO!$E80,0))),"="&amp;CRONO!AN$12,OFFSET(CÁLCULO!$AB$15:$AL$15,$E80,0,OFFSET(ORÇAMENTO!$D$15,CRONO!$E80,0)))+IF(AND($E82&lt;&gt;"",$E82&lt;&gt;0),SUMIF(CÁLCULO!$AM$15:$AW$192,"="&amp;CRONO!AN$12,CÁLCULO!$AB$15:$AL$192)/(ORÇAMENTO!$X$15-CÁLCULO.TotalAdmLocal)*CRONO!$E82,0),AN81*$R80),SUMIF(OFFSET($R82,1,0,$Q80-2),($L80+1)&amp;"$",OFFSET(AN82,1,0,$Q80-2)))</f>
        <v>0</v>
      </c>
      <c r="AO82" s="257">
        <f ca="1">IF($Q80=2,IF(AND(ACOMPANHAMENTO="PLE",ISNUMBER($E80)),SUMIF((OFFSET(CÁLCULO!$AM$15:$AW$15,$E80,0,OFFSET(ORÇAMENTO!$D$15,CRONO!$E80,0))),"="&amp;CRONO!AO$12,OFFSET(CÁLCULO!$AB$15:$AL$15,$E80,0,OFFSET(ORÇAMENTO!$D$15,CRONO!$E80,0)))+IF(AND($E82&lt;&gt;"",$E82&lt;&gt;0),SUMIF(CÁLCULO!$AM$15:$AW$192,"="&amp;CRONO!AO$12,CÁLCULO!$AB$15:$AL$192)/(ORÇAMENTO!$X$15-CÁLCULO.TotalAdmLocal)*CRONO!$E82,0),AO81*$R80),SUMIF(OFFSET($R82,1,0,$Q80-2),($L80+1)&amp;"$",OFFSET(AO82,1,0,$Q80-2)))</f>
        <v>0</v>
      </c>
      <c r="AP82" s="257">
        <f ca="1">IF($Q80=2,IF(AND(ACOMPANHAMENTO="PLE",ISNUMBER($E80)),SUMIF((OFFSET(CÁLCULO!$AM$15:$AW$15,$E80,0,OFFSET(ORÇAMENTO!$D$15,CRONO!$E80,0))),"="&amp;CRONO!AP$12,OFFSET(CÁLCULO!$AB$15:$AL$15,$E80,0,OFFSET(ORÇAMENTO!$D$15,CRONO!$E80,0)))+IF(AND($E82&lt;&gt;"",$E82&lt;&gt;0),SUMIF(CÁLCULO!$AM$15:$AW$192,"="&amp;CRONO!AP$12,CÁLCULO!$AB$15:$AL$192)/(ORÇAMENTO!$X$15-CÁLCULO.TotalAdmLocal)*CRONO!$E82,0),AP81*$R80),SUMIF(OFFSET($R82,1,0,$Q80-2),($L80+1)&amp;"$",OFFSET(AP82,1,0,$Q80-2)))</f>
        <v>0</v>
      </c>
      <c r="AQ82" s="262">
        <f ca="1">IF($Q80=2,IF(AND(ACOMPANHAMENTO="PLE",ISNUMBER($E80)),SUMIF((OFFSET(CÁLCULO!$AM$15:$AW$15,$E80,0,OFFSET(ORÇAMENTO!$D$15,CRONO!$E80,0))),"="&amp;CRONO!AQ$12,OFFSET(CÁLCULO!$AB$15:$AL$15,$E80,0,OFFSET(ORÇAMENTO!$D$15,CRONO!$E80,0)))+IF(AND($E82&lt;&gt;"",$E82&lt;&gt;0),SUMIF(CÁLCULO!$AM$15:$AW$192,"="&amp;CRONO!AQ$12,CÁLCULO!$AB$15:$AL$192)/(ORÇAMENTO!$X$15-CÁLCULO.TotalAdmLocal)*CRONO!$E82,0),AQ81*$R80),SUMIF(OFFSET($R82,1,0,$Q80-2),($L80+1)&amp;"$",OFFSET(AQ82,1,0,$Q80-2)))</f>
        <v>0</v>
      </c>
    </row>
    <row r="83" spans="1:44" x14ac:dyDescent="0.2">
      <c r="A83" s="238">
        <f t="shared" ref="A83" ca="1" si="82">OFFSET(A83,-3,0)+1</f>
        <v>24</v>
      </c>
      <c r="B83" s="238">
        <f ca="1">IF($Q83&lt;&gt;2,0,IF($R83=0,1,IF(E84&gt;0,OFFSET(QCI!$M$13,SUBSTITUTE(E84,".",""),0),OFFSET(ORÇAMENTO!$AA$15,CRONO!$E83,0))/$R83))</f>
        <v>1</v>
      </c>
      <c r="C83" s="238">
        <f ca="1">IF($Q83&lt;&gt;2,0,IF($R83=0,1,IF(E84&gt;0,OFFSET(QCI!$N$13,SUBSTITUTE(E84,".",""),0),OFFSET(ORÇAMENTO!$AB$15,CRONO!$E83,0))/$R83))</f>
        <v>1</v>
      </c>
      <c r="D83" s="241">
        <f ca="1">IF(AND($Q83=2,ACOMPANHAMENTO="BM"),D84,D85/$R83)</f>
        <v>0</v>
      </c>
      <c r="E83" s="238">
        <f ca="1">IF(A83&lt;=ORÇAMENTO.MáximoListaCrono,MATCH(A83,ORÇAMENTO.ListaCrono,0),NA())</f>
        <v>164</v>
      </c>
      <c r="F83" s="238" t="str">
        <f t="shared" ref="F83" ca="1" si="83">IF(AND($E84&lt;&gt;-1,$R83&gt;0),"F","")</f>
        <v/>
      </c>
      <c r="G83" s="242" t="str">
        <f ca="1">IF(OR(R83=0,R83=""),"Linha",IF(AND(OR(ACOMPANHAMENTO="PLE",$Q83&lt;&gt;2),$E84=0),"Linha",1-SUM(T83:AR83)))</f>
        <v>Linha</v>
      </c>
      <c r="H83" s="243" t="str">
        <f ca="1">IF($E84=0,OFFSET(ORÇAMENTO!O$15,$E83,0),IF($E84&lt;&gt;-1,OFFSET(QCI!$D$13,$E84,0),""))</f>
        <v>1.23.</v>
      </c>
      <c r="I83" s="244" t="str">
        <f ca="1">IF($E84=0,OFFSET(ORÇAMENTO!R$15,$E83,0),IF($E84&lt;&gt;-1,OFFSET(QCI!$G$13,$E84,0),""))</f>
        <v>ACESSIBILIDADE</v>
      </c>
      <c r="J83" s="244"/>
      <c r="K83" s="244"/>
      <c r="L83" s="245">
        <f ca="1">IF($E84=0,OFFSET(ORÇAMENTO!C$15,$E83,0),1)</f>
        <v>2</v>
      </c>
      <c r="M83" s="246">
        <f ca="1">IF($E84=-1,0,IF(M$13&lt;=$L83,IF(ISERROR(MATCH(M$13,OFFSET($L83,1,0,ROW($L$92)-ROW($L83)-1),0)),ROW($L$92)-ROW($L83)-1,MATCH(M$13,OFFSET($L83,1,0,ROW($L$92)-ROW($L83)-1),0)-1),0))</f>
        <v>8</v>
      </c>
      <c r="N83" s="246">
        <f ca="1">IF($E84=-1,0,IF(N$13&lt;=$L83,IF(ISERROR(MATCH(N$13,OFFSET($L83,1,0,ROW($L$92)-ROW($L83)-1),0)),ROW($L$92)-ROW($L83)-1,MATCH(N$13,OFFSET($L83,1,0,ROW($L$92)-ROW($L83)-1),0)-1),0))</f>
        <v>2</v>
      </c>
      <c r="O83" s="246">
        <f ca="1">IF($E84=-1,0,IF(O$13&lt;=$L83,IF(ISERROR(MATCH(O$13,OFFSET($L83,1,0,ROW($L$92)-ROW($L83)-1),0)),ROW($L$92)-ROW($L83)-1,MATCH(O$13,OFFSET($L83,1,0,ROW($L$92)-ROW($L83)-1),0)-1),0))</f>
        <v>0</v>
      </c>
      <c r="P83" s="246">
        <f ca="1">IF($E84=-1,0,IF(P$13&lt;=$L83,IF(ISERROR(MATCH(P$13,OFFSET($L83,1,0,ROW($L$92)-ROW($L83)-1),0)),ROW($L$92)-ROW($L83)-1,MATCH(P$13,OFFSET($L83,1,0,ROW($L$92)-ROW($L83)-1),0)-1),0))</f>
        <v>0</v>
      </c>
      <c r="Q83" s="246">
        <f t="shared" ref="Q83" ca="1" si="84">MIN(OFFSET(L83,0,1,,L83))</f>
        <v>2</v>
      </c>
      <c r="R83" s="247">
        <f ca="1">IF($E84=0,OFFSET(ORÇAMENTO!X$15,$E83,0),IF($E84&lt;&gt;-1,OFFSET(QCI!$O$13,$E84,0),""))</f>
        <v>0</v>
      </c>
      <c r="S83" s="248" t="s">
        <v>270</v>
      </c>
      <c r="T83" s="249">
        <f t="shared" ref="T83:AQ83" ca="1" si="85">IF(AND($Q83=2,ACOMPANHAMENTO="BM"),T84,T85/$R83)</f>
        <v>0</v>
      </c>
      <c r="U83" s="241">
        <f t="shared" ca="1" si="85"/>
        <v>0</v>
      </c>
      <c r="V83" s="241">
        <f t="shared" ca="1" si="85"/>
        <v>0</v>
      </c>
      <c r="W83" s="241">
        <f t="shared" ca="1" si="85"/>
        <v>0</v>
      </c>
      <c r="X83" s="241">
        <f t="shared" ca="1" si="85"/>
        <v>0</v>
      </c>
      <c r="Y83" s="241">
        <f t="shared" ca="1" si="85"/>
        <v>0</v>
      </c>
      <c r="Z83" s="241">
        <f t="shared" ca="1" si="85"/>
        <v>0</v>
      </c>
      <c r="AA83" s="241">
        <f t="shared" ca="1" si="85"/>
        <v>0</v>
      </c>
      <c r="AB83" s="241">
        <f t="shared" ca="1" si="85"/>
        <v>0</v>
      </c>
      <c r="AC83" s="241">
        <f t="shared" ca="1" si="85"/>
        <v>0</v>
      </c>
      <c r="AD83" s="241">
        <f t="shared" ca="1" si="85"/>
        <v>0</v>
      </c>
      <c r="AE83" s="250">
        <f t="shared" ca="1" si="85"/>
        <v>0</v>
      </c>
      <c r="AF83" s="249">
        <f t="shared" ca="1" si="85"/>
        <v>0</v>
      </c>
      <c r="AG83" s="241">
        <f t="shared" ca="1" si="85"/>
        <v>0</v>
      </c>
      <c r="AH83" s="241">
        <f t="shared" ca="1" si="85"/>
        <v>1</v>
      </c>
      <c r="AI83" s="241">
        <f t="shared" ca="1" si="85"/>
        <v>0</v>
      </c>
      <c r="AJ83" s="241">
        <f t="shared" ca="1" si="85"/>
        <v>0</v>
      </c>
      <c r="AK83" s="241">
        <f t="shared" ca="1" si="85"/>
        <v>0</v>
      </c>
      <c r="AL83" s="241">
        <f t="shared" ca="1" si="85"/>
        <v>0</v>
      </c>
      <c r="AM83" s="241">
        <f t="shared" ca="1" si="85"/>
        <v>0</v>
      </c>
      <c r="AN83" s="241">
        <f t="shared" ca="1" si="85"/>
        <v>0</v>
      </c>
      <c r="AO83" s="241">
        <f t="shared" ca="1" si="85"/>
        <v>0</v>
      </c>
      <c r="AP83" s="241">
        <f t="shared" ca="1" si="85"/>
        <v>0</v>
      </c>
      <c r="AQ83" s="250">
        <f t="shared" ca="1" si="85"/>
        <v>0</v>
      </c>
    </row>
    <row r="84" spans="1:44" ht="12.75" customHeight="1" x14ac:dyDescent="0.2">
      <c r="D84" s="657"/>
      <c r="E84" s="238">
        <f ca="1">IF(ISERROR(E83),IF(1+COUNTIF($L$13:OFFSET(L83,-1,0),1)&lt;=MAX(QCI!$D$13:$D$24),1+COUNTIF($L$13:OFFSET(L83,-1,0),1),-1),0)</f>
        <v>0</v>
      </c>
      <c r="F84" s="238" t="str">
        <f t="shared" ref="F84" ca="1" si="86">IF(AND($E84&lt;&gt;-1,$R83&gt;0),"F","")</f>
        <v/>
      </c>
      <c r="G84" s="251" t="str">
        <f ca="1">IF(OR(R83=0,R83=""),"vazia",IF(AND(OR(ACOMPANHAMENTO="PLE",$Q83&lt;&gt;2),$E84=0),"calculada","--&gt;"))</f>
        <v>vazia</v>
      </c>
      <c r="H84" s="252"/>
      <c r="I84" s="253" t="str">
        <f t="shared" ref="I84" ca="1" si="87">IF(AND(G83&lt;&gt;0,ISNUMBER(G83)),"PREENCHA ESTA LINHA --&gt;","")</f>
        <v/>
      </c>
      <c r="J84" s="253"/>
      <c r="K84" s="253"/>
      <c r="L84" s="254"/>
      <c r="M84" s="254"/>
      <c r="N84" s="254"/>
      <c r="O84" s="254"/>
      <c r="P84" s="254"/>
      <c r="Q84" s="254"/>
      <c r="R84" s="255"/>
      <c r="S84" s="256"/>
      <c r="T84" s="658"/>
      <c r="U84" s="657"/>
      <c r="V84" s="657"/>
      <c r="W84" s="657"/>
      <c r="X84" s="657"/>
      <c r="Y84" s="657"/>
      <c r="Z84" s="657"/>
      <c r="AA84" s="657"/>
      <c r="AB84" s="657"/>
      <c r="AC84" s="657"/>
      <c r="AD84" s="657"/>
      <c r="AE84" s="659"/>
      <c r="AF84" s="658"/>
      <c r="AG84" s="657"/>
      <c r="AH84" s="657">
        <v>1</v>
      </c>
      <c r="AI84" s="657"/>
      <c r="AJ84" s="657"/>
      <c r="AK84" s="657"/>
      <c r="AL84" s="657"/>
      <c r="AM84" s="657"/>
      <c r="AN84" s="657"/>
      <c r="AO84" s="657"/>
      <c r="AP84" s="657"/>
      <c r="AQ84" s="659"/>
      <c r="AR84" s="617"/>
    </row>
    <row r="85" spans="1:44" ht="0.2" hidden="1" customHeight="1" x14ac:dyDescent="0.2">
      <c r="D85" s="257">
        <f ca="1">IF($Q83=2,IF(AND(ACOMPANHAMENTO="PLE",ISNUMBER($E83)),SUMIF((OFFSET(CÁLCULO!$AM$15:$AW$15,$E83,0,OFFSET(ORÇAMENTO!$D$15,CRONO!$E83,0))),"="&amp;CRONO!D$12,OFFSET(CÁLCULO!$AB$15:$AL$15,$E83,0,OFFSET(ORÇAMENTO!$D$15,CRONO!$E83,0)))+IF(AND($E85&lt;&gt;"",$E85&lt;&gt;0),SUMIF(CÁLCULO!$AM$15:$AW$192,"="&amp;CRONO!D$12,CÁLCULO!$AB$15:$AL$192)/(ORÇAMENTO!$X$15-CÁLCULO.TotalAdmLocal)*CRONO!$E85,0),D84*$R83),SUMIF(OFFSET($R85,1,0,$Q83-2),($L83+1)&amp;"$",OFFSET(D85,1,0,$Q83-2)))</f>
        <v>0</v>
      </c>
      <c r="E85" s="238" t="str">
        <f ca="1">IF(OR($Q83&lt;&gt;2,AUTOEVENTO&lt;&gt;"manual",$E84&gt;0),"",SUMIF(OFFSET(CÁLCULO!$M$15,CRONO!$E83,0,OFFSET(ORÇAMENTO!$D$15,CRONO!$E83,0)),1,OFFSET(ORÇAMENTO!$X$15,CRONO!$E83,0,OFFSET(ORÇAMENTO!$D$15,CRONO!$E83,0))))</f>
        <v/>
      </c>
      <c r="G85" s="258"/>
      <c r="R85" s="259" t="str">
        <f t="shared" ref="R85" ca="1" si="88">L83&amp;"$"</f>
        <v>2$</v>
      </c>
      <c r="S85" s="260"/>
      <c r="T85" s="261">
        <f ca="1">IF($Q83=2,IF(AND(ACOMPANHAMENTO="PLE",ISNUMBER($E83)),SUMIF((OFFSET(CÁLCULO!$AM$15:$AW$15,$E83,0,OFFSET(ORÇAMENTO!$D$15,CRONO!$E83,0))),"&lt;="&amp;CRONO!T$12,OFFSET(CÁLCULO!$AB$15:$AL$15,$E83,0,OFFSET(ORÇAMENTO!$D$15,CRONO!$E83,0)))+IF(AND($E85&lt;&gt;"",$E85&lt;&gt;0),SUMIF(CÁLCULO!$AM$15:$AW$192,"&lt;="&amp;CRONO!T$12,CÁLCULO!$AB$15:$AL$192)/(ORÇAMENTO!$X$15-CÁLCULO.TotalAdmLocal)*CRONO!$E85,0),T84*$R83),SUMIF(OFFSET($R85,1,0,$Q83-2),($L83+1)&amp;"$",OFFSET(T85,1,0,$Q83-2)))</f>
        <v>0</v>
      </c>
      <c r="U85" s="257">
        <f ca="1">IF($Q83=2,IF(AND(ACOMPANHAMENTO="PLE",ISNUMBER($E83)),SUMIF((OFFSET(CÁLCULO!$AM$15:$AW$15,$E83,0,OFFSET(ORÇAMENTO!$D$15,CRONO!$E83,0))),"="&amp;CRONO!U$12,OFFSET(CÁLCULO!$AB$15:$AL$15,$E83,0,OFFSET(ORÇAMENTO!$D$15,CRONO!$E83,0)))+IF(AND($E85&lt;&gt;"",$E85&lt;&gt;0),SUMIF(CÁLCULO!$AM$15:$AW$192,"="&amp;CRONO!U$12,CÁLCULO!$AB$15:$AL$192)/(ORÇAMENTO!$X$15-CÁLCULO.TotalAdmLocal)*CRONO!$E85,0),U84*$R83),SUMIF(OFFSET($R85,1,0,$Q83-2),($L83+1)&amp;"$",OFFSET(U85,1,0,$Q83-2)))</f>
        <v>0</v>
      </c>
      <c r="V85" s="257">
        <f ca="1">IF($Q83=2,IF(AND(ACOMPANHAMENTO="PLE",ISNUMBER($E83)),SUMIF((OFFSET(CÁLCULO!$AM$15:$AW$15,$E83,0,OFFSET(ORÇAMENTO!$D$15,CRONO!$E83,0))),"="&amp;CRONO!V$12,OFFSET(CÁLCULO!$AB$15:$AL$15,$E83,0,OFFSET(ORÇAMENTO!$D$15,CRONO!$E83,0)))+IF(AND($E85&lt;&gt;"",$E85&lt;&gt;0),SUMIF(CÁLCULO!$AM$15:$AW$192,"="&amp;CRONO!V$12,CÁLCULO!$AB$15:$AL$192)/(ORÇAMENTO!$X$15-CÁLCULO.TotalAdmLocal)*CRONO!$E85,0),V84*$R83),SUMIF(OFFSET($R85,1,0,$Q83-2),($L83+1)&amp;"$",OFFSET(V85,1,0,$Q83-2)))</f>
        <v>0</v>
      </c>
      <c r="W85" s="257">
        <f ca="1">IF($Q83=2,IF(AND(ACOMPANHAMENTO="PLE",ISNUMBER($E83)),SUMIF((OFFSET(CÁLCULO!$AM$15:$AW$15,$E83,0,OFFSET(ORÇAMENTO!$D$15,CRONO!$E83,0))),"="&amp;CRONO!W$12,OFFSET(CÁLCULO!$AB$15:$AL$15,$E83,0,OFFSET(ORÇAMENTO!$D$15,CRONO!$E83,0)))+IF(AND($E85&lt;&gt;"",$E85&lt;&gt;0),SUMIF(CÁLCULO!$AM$15:$AW$192,"="&amp;CRONO!W$12,CÁLCULO!$AB$15:$AL$192)/(ORÇAMENTO!$X$15-CÁLCULO.TotalAdmLocal)*CRONO!$E85,0),W84*$R83),SUMIF(OFFSET($R85,1,0,$Q83-2),($L83+1)&amp;"$",OFFSET(W85,1,0,$Q83-2)))</f>
        <v>0</v>
      </c>
      <c r="X85" s="257">
        <f ca="1">IF($Q83=2,IF(AND(ACOMPANHAMENTO="PLE",ISNUMBER($E83)),SUMIF((OFFSET(CÁLCULO!$AM$15:$AW$15,$E83,0,OFFSET(ORÇAMENTO!$D$15,CRONO!$E83,0))),"="&amp;CRONO!X$12,OFFSET(CÁLCULO!$AB$15:$AL$15,$E83,0,OFFSET(ORÇAMENTO!$D$15,CRONO!$E83,0)))+IF(AND($E85&lt;&gt;"",$E85&lt;&gt;0),SUMIF(CÁLCULO!$AM$15:$AW$192,"="&amp;CRONO!X$12,CÁLCULO!$AB$15:$AL$192)/(ORÇAMENTO!$X$15-CÁLCULO.TotalAdmLocal)*CRONO!$E85,0),X84*$R83),SUMIF(OFFSET($R85,1,0,$Q83-2),($L83+1)&amp;"$",OFFSET(X85,1,0,$Q83-2)))</f>
        <v>0</v>
      </c>
      <c r="Y85" s="257">
        <f ca="1">IF($Q83=2,IF(AND(ACOMPANHAMENTO="PLE",ISNUMBER($E83)),SUMIF((OFFSET(CÁLCULO!$AM$15:$AW$15,$E83,0,OFFSET(ORÇAMENTO!$D$15,CRONO!$E83,0))),"="&amp;CRONO!Y$12,OFFSET(CÁLCULO!$AB$15:$AL$15,$E83,0,OFFSET(ORÇAMENTO!$D$15,CRONO!$E83,0)))+IF(AND($E85&lt;&gt;"",$E85&lt;&gt;0),SUMIF(CÁLCULO!$AM$15:$AW$192,"="&amp;CRONO!Y$12,CÁLCULO!$AB$15:$AL$192)/(ORÇAMENTO!$X$15-CÁLCULO.TotalAdmLocal)*CRONO!$E85,0),Y84*$R83),SUMIF(OFFSET($R85,1,0,$Q83-2),($L83+1)&amp;"$",OFFSET(Y85,1,0,$Q83-2)))</f>
        <v>0</v>
      </c>
      <c r="Z85" s="257">
        <f ca="1">IF($Q83=2,IF(AND(ACOMPANHAMENTO="PLE",ISNUMBER($E83)),SUMIF((OFFSET(CÁLCULO!$AM$15:$AW$15,$E83,0,OFFSET(ORÇAMENTO!$D$15,CRONO!$E83,0))),"="&amp;CRONO!Z$12,OFFSET(CÁLCULO!$AB$15:$AL$15,$E83,0,OFFSET(ORÇAMENTO!$D$15,CRONO!$E83,0)))+IF(AND($E85&lt;&gt;"",$E85&lt;&gt;0),SUMIF(CÁLCULO!$AM$15:$AW$192,"="&amp;CRONO!Z$12,CÁLCULO!$AB$15:$AL$192)/(ORÇAMENTO!$X$15-CÁLCULO.TotalAdmLocal)*CRONO!$E85,0),Z84*$R83),SUMIF(OFFSET($R85,1,0,$Q83-2),($L83+1)&amp;"$",OFFSET(Z85,1,0,$Q83-2)))</f>
        <v>0</v>
      </c>
      <c r="AA85" s="257">
        <f ca="1">IF($Q83=2,IF(AND(ACOMPANHAMENTO="PLE",ISNUMBER($E83)),SUMIF((OFFSET(CÁLCULO!$AM$15:$AW$15,$E83,0,OFFSET(ORÇAMENTO!$D$15,CRONO!$E83,0))),"="&amp;CRONO!AA$12,OFFSET(CÁLCULO!$AB$15:$AL$15,$E83,0,OFFSET(ORÇAMENTO!$D$15,CRONO!$E83,0)))+IF(AND($E85&lt;&gt;"",$E85&lt;&gt;0),SUMIF(CÁLCULO!$AM$15:$AW$192,"="&amp;CRONO!AA$12,CÁLCULO!$AB$15:$AL$192)/(ORÇAMENTO!$X$15-CÁLCULO.TotalAdmLocal)*CRONO!$E85,0),AA84*$R83),SUMIF(OFFSET($R85,1,0,$Q83-2),($L83+1)&amp;"$",OFFSET(AA85,1,0,$Q83-2)))</f>
        <v>0</v>
      </c>
      <c r="AB85" s="257">
        <f ca="1">IF($Q83=2,IF(AND(ACOMPANHAMENTO="PLE",ISNUMBER($E83)),SUMIF((OFFSET(CÁLCULO!$AM$15:$AW$15,$E83,0,OFFSET(ORÇAMENTO!$D$15,CRONO!$E83,0))),"="&amp;CRONO!AB$12,OFFSET(CÁLCULO!$AB$15:$AL$15,$E83,0,OFFSET(ORÇAMENTO!$D$15,CRONO!$E83,0)))+IF(AND($E85&lt;&gt;"",$E85&lt;&gt;0),SUMIF(CÁLCULO!$AM$15:$AW$192,"="&amp;CRONO!AB$12,CÁLCULO!$AB$15:$AL$192)/(ORÇAMENTO!$X$15-CÁLCULO.TotalAdmLocal)*CRONO!$E85,0),AB84*$R83),SUMIF(OFFSET($R85,1,0,$Q83-2),($L83+1)&amp;"$",OFFSET(AB85,1,0,$Q83-2)))</f>
        <v>0</v>
      </c>
      <c r="AC85" s="257">
        <f ca="1">IF($Q83=2,IF(AND(ACOMPANHAMENTO="PLE",ISNUMBER($E83)),SUMIF((OFFSET(CÁLCULO!$AM$15:$AW$15,$E83,0,OFFSET(ORÇAMENTO!$D$15,CRONO!$E83,0))),"="&amp;CRONO!AC$12,OFFSET(CÁLCULO!$AB$15:$AL$15,$E83,0,OFFSET(ORÇAMENTO!$D$15,CRONO!$E83,0)))+IF(AND($E85&lt;&gt;"",$E85&lt;&gt;0),SUMIF(CÁLCULO!$AM$15:$AW$192,"="&amp;CRONO!AC$12,CÁLCULO!$AB$15:$AL$192)/(ORÇAMENTO!$X$15-CÁLCULO.TotalAdmLocal)*CRONO!$E85,0),AC84*$R83),SUMIF(OFFSET($R85,1,0,$Q83-2),($L83+1)&amp;"$",OFFSET(AC85,1,0,$Q83-2)))</f>
        <v>0</v>
      </c>
      <c r="AD85" s="257">
        <f ca="1">IF($Q83=2,IF(AND(ACOMPANHAMENTO="PLE",ISNUMBER($E83)),SUMIF((OFFSET(CÁLCULO!$AM$15:$AW$15,$E83,0,OFFSET(ORÇAMENTO!$D$15,CRONO!$E83,0))),"="&amp;CRONO!AD$12,OFFSET(CÁLCULO!$AB$15:$AL$15,$E83,0,OFFSET(ORÇAMENTO!$D$15,CRONO!$E83,0)))+IF(AND($E85&lt;&gt;"",$E85&lt;&gt;0),SUMIF(CÁLCULO!$AM$15:$AW$192,"="&amp;CRONO!AD$12,CÁLCULO!$AB$15:$AL$192)/(ORÇAMENTO!$X$15-CÁLCULO.TotalAdmLocal)*CRONO!$E85,0),AD84*$R83),SUMIF(OFFSET($R85,1,0,$Q83-2),($L83+1)&amp;"$",OFFSET(AD85,1,0,$Q83-2)))</f>
        <v>0</v>
      </c>
      <c r="AE85" s="262">
        <f ca="1">IF($Q83=2,IF(AND(ACOMPANHAMENTO="PLE",ISNUMBER($E83)),SUMIF((OFFSET(CÁLCULO!$AM$15:$AW$15,$E83,0,OFFSET(ORÇAMENTO!$D$15,CRONO!$E83,0))),"="&amp;CRONO!AE$12,OFFSET(CÁLCULO!$AB$15:$AL$15,$E83,0,OFFSET(ORÇAMENTO!$D$15,CRONO!$E83,0)))+IF(AND($E85&lt;&gt;"",$E85&lt;&gt;0),SUMIF(CÁLCULO!$AM$15:$AW$192,"="&amp;CRONO!AE$12,CÁLCULO!$AB$15:$AL$192)/(ORÇAMENTO!$X$15-CÁLCULO.TotalAdmLocal)*CRONO!$E85,0),AE84*$R83),SUMIF(OFFSET($R85,1,0,$Q83-2),($L83+1)&amp;"$",OFFSET(AE85,1,0,$Q83-2)))</f>
        <v>0</v>
      </c>
      <c r="AF85" s="261">
        <f ca="1">IF($Q83=2,IF(AND(ACOMPANHAMENTO="PLE",ISNUMBER($E83)),SUMIF((OFFSET(CÁLCULO!$AM$15:$AW$15,$E83,0,OFFSET(ORÇAMENTO!$D$15,CRONO!$E83,0))),"="&amp;CRONO!AF$12,OFFSET(CÁLCULO!$AB$15:$AL$15,$E83,0,OFFSET(ORÇAMENTO!$D$15,CRONO!$E83,0)))+IF(AND($E85&lt;&gt;"",$E85&lt;&gt;0),SUMIF(CÁLCULO!$AM$15:$AW$192,"="&amp;CRONO!AF$12,CÁLCULO!$AB$15:$AL$192)/(ORÇAMENTO!$X$15-CÁLCULO.TotalAdmLocal)*CRONO!$E85,0),AF84*$R83),SUMIF(OFFSET($R85,1,0,$Q83-2),($L83+1)&amp;"$",OFFSET(AF85,1,0,$Q83-2)))</f>
        <v>0</v>
      </c>
      <c r="AG85" s="257">
        <f ca="1">IF($Q83=2,IF(AND(ACOMPANHAMENTO="PLE",ISNUMBER($E83)),SUMIF((OFFSET(CÁLCULO!$AM$15:$AW$15,$E83,0,OFFSET(ORÇAMENTO!$D$15,CRONO!$E83,0))),"="&amp;CRONO!AG$12,OFFSET(CÁLCULO!$AB$15:$AL$15,$E83,0,OFFSET(ORÇAMENTO!$D$15,CRONO!$E83,0)))+IF(AND($E85&lt;&gt;"",$E85&lt;&gt;0),SUMIF(CÁLCULO!$AM$15:$AW$192,"="&amp;CRONO!AG$12,CÁLCULO!$AB$15:$AL$192)/(ORÇAMENTO!$X$15-CÁLCULO.TotalAdmLocal)*CRONO!$E85,0),AG84*$R83),SUMIF(OFFSET($R85,1,0,$Q83-2),($L83+1)&amp;"$",OFFSET(AG85,1,0,$Q83-2)))</f>
        <v>0</v>
      </c>
      <c r="AH85" s="257">
        <f ca="1">IF($Q83=2,IF(AND(ACOMPANHAMENTO="PLE",ISNUMBER($E83)),SUMIF((OFFSET(CÁLCULO!$AM$15:$AW$15,$E83,0,OFFSET(ORÇAMENTO!$D$15,CRONO!$E83,0))),"="&amp;CRONO!AH$12,OFFSET(CÁLCULO!$AB$15:$AL$15,$E83,0,OFFSET(ORÇAMENTO!$D$15,CRONO!$E83,0)))+IF(AND($E85&lt;&gt;"",$E85&lt;&gt;0),SUMIF(CÁLCULO!$AM$15:$AW$192,"="&amp;CRONO!AH$12,CÁLCULO!$AB$15:$AL$192)/(ORÇAMENTO!$X$15-CÁLCULO.TotalAdmLocal)*CRONO!$E85,0),AH84*$R83),SUMIF(OFFSET($R85,1,0,$Q83-2),($L83+1)&amp;"$",OFFSET(AH85,1,0,$Q83-2)))</f>
        <v>0</v>
      </c>
      <c r="AI85" s="257">
        <f ca="1">IF($Q83=2,IF(AND(ACOMPANHAMENTO="PLE",ISNUMBER($E83)),SUMIF((OFFSET(CÁLCULO!$AM$15:$AW$15,$E83,0,OFFSET(ORÇAMENTO!$D$15,CRONO!$E83,0))),"="&amp;CRONO!AI$12,OFFSET(CÁLCULO!$AB$15:$AL$15,$E83,0,OFFSET(ORÇAMENTO!$D$15,CRONO!$E83,0)))+IF(AND($E85&lt;&gt;"",$E85&lt;&gt;0),SUMIF(CÁLCULO!$AM$15:$AW$192,"="&amp;CRONO!AI$12,CÁLCULO!$AB$15:$AL$192)/(ORÇAMENTO!$X$15-CÁLCULO.TotalAdmLocal)*CRONO!$E85,0),AI84*$R83),SUMIF(OFFSET($R85,1,0,$Q83-2),($L83+1)&amp;"$",OFFSET(AI85,1,0,$Q83-2)))</f>
        <v>0</v>
      </c>
      <c r="AJ85" s="257">
        <f ca="1">IF($Q83=2,IF(AND(ACOMPANHAMENTO="PLE",ISNUMBER($E83)),SUMIF((OFFSET(CÁLCULO!$AM$15:$AW$15,$E83,0,OFFSET(ORÇAMENTO!$D$15,CRONO!$E83,0))),"="&amp;CRONO!AJ$12,OFFSET(CÁLCULO!$AB$15:$AL$15,$E83,0,OFFSET(ORÇAMENTO!$D$15,CRONO!$E83,0)))+IF(AND($E85&lt;&gt;"",$E85&lt;&gt;0),SUMIF(CÁLCULO!$AM$15:$AW$192,"="&amp;CRONO!AJ$12,CÁLCULO!$AB$15:$AL$192)/(ORÇAMENTO!$X$15-CÁLCULO.TotalAdmLocal)*CRONO!$E85,0),AJ84*$R83),SUMIF(OFFSET($R85,1,0,$Q83-2),($L83+1)&amp;"$",OFFSET(AJ85,1,0,$Q83-2)))</f>
        <v>0</v>
      </c>
      <c r="AK85" s="257">
        <f ca="1">IF($Q83=2,IF(AND(ACOMPANHAMENTO="PLE",ISNUMBER($E83)),SUMIF((OFFSET(CÁLCULO!$AM$15:$AW$15,$E83,0,OFFSET(ORÇAMENTO!$D$15,CRONO!$E83,0))),"="&amp;CRONO!AK$12,OFFSET(CÁLCULO!$AB$15:$AL$15,$E83,0,OFFSET(ORÇAMENTO!$D$15,CRONO!$E83,0)))+IF(AND($E85&lt;&gt;"",$E85&lt;&gt;0),SUMIF(CÁLCULO!$AM$15:$AW$192,"="&amp;CRONO!AK$12,CÁLCULO!$AB$15:$AL$192)/(ORÇAMENTO!$X$15-CÁLCULO.TotalAdmLocal)*CRONO!$E85,0),AK84*$R83),SUMIF(OFFSET($R85,1,0,$Q83-2),($L83+1)&amp;"$",OFFSET(AK85,1,0,$Q83-2)))</f>
        <v>0</v>
      </c>
      <c r="AL85" s="257">
        <f ca="1">IF($Q83=2,IF(AND(ACOMPANHAMENTO="PLE",ISNUMBER($E83)),SUMIF((OFFSET(CÁLCULO!$AM$15:$AW$15,$E83,0,OFFSET(ORÇAMENTO!$D$15,CRONO!$E83,0))),"="&amp;CRONO!AL$12,OFFSET(CÁLCULO!$AB$15:$AL$15,$E83,0,OFFSET(ORÇAMENTO!$D$15,CRONO!$E83,0)))+IF(AND($E85&lt;&gt;"",$E85&lt;&gt;0),SUMIF(CÁLCULO!$AM$15:$AW$192,"="&amp;CRONO!AL$12,CÁLCULO!$AB$15:$AL$192)/(ORÇAMENTO!$X$15-CÁLCULO.TotalAdmLocal)*CRONO!$E85,0),AL84*$R83),SUMIF(OFFSET($R85,1,0,$Q83-2),($L83+1)&amp;"$",OFFSET(AL85,1,0,$Q83-2)))</f>
        <v>0</v>
      </c>
      <c r="AM85" s="257">
        <f ca="1">IF($Q83=2,IF(AND(ACOMPANHAMENTO="PLE",ISNUMBER($E83)),SUMIF((OFFSET(CÁLCULO!$AM$15:$AW$15,$E83,0,OFFSET(ORÇAMENTO!$D$15,CRONO!$E83,0))),"="&amp;CRONO!AM$12,OFFSET(CÁLCULO!$AB$15:$AL$15,$E83,0,OFFSET(ORÇAMENTO!$D$15,CRONO!$E83,0)))+IF(AND($E85&lt;&gt;"",$E85&lt;&gt;0),SUMIF(CÁLCULO!$AM$15:$AW$192,"="&amp;CRONO!AM$12,CÁLCULO!$AB$15:$AL$192)/(ORÇAMENTO!$X$15-CÁLCULO.TotalAdmLocal)*CRONO!$E85,0),AM84*$R83),SUMIF(OFFSET($R85,1,0,$Q83-2),($L83+1)&amp;"$",OFFSET(AM85,1,0,$Q83-2)))</f>
        <v>0</v>
      </c>
      <c r="AN85" s="257">
        <f ca="1">IF($Q83=2,IF(AND(ACOMPANHAMENTO="PLE",ISNUMBER($E83)),SUMIF((OFFSET(CÁLCULO!$AM$15:$AW$15,$E83,0,OFFSET(ORÇAMENTO!$D$15,CRONO!$E83,0))),"="&amp;CRONO!AN$12,OFFSET(CÁLCULO!$AB$15:$AL$15,$E83,0,OFFSET(ORÇAMENTO!$D$15,CRONO!$E83,0)))+IF(AND($E85&lt;&gt;"",$E85&lt;&gt;0),SUMIF(CÁLCULO!$AM$15:$AW$192,"="&amp;CRONO!AN$12,CÁLCULO!$AB$15:$AL$192)/(ORÇAMENTO!$X$15-CÁLCULO.TotalAdmLocal)*CRONO!$E85,0),AN84*$R83),SUMIF(OFFSET($R85,1,0,$Q83-2),($L83+1)&amp;"$",OFFSET(AN85,1,0,$Q83-2)))</f>
        <v>0</v>
      </c>
      <c r="AO85" s="257">
        <f ca="1">IF($Q83=2,IF(AND(ACOMPANHAMENTO="PLE",ISNUMBER($E83)),SUMIF((OFFSET(CÁLCULO!$AM$15:$AW$15,$E83,0,OFFSET(ORÇAMENTO!$D$15,CRONO!$E83,0))),"="&amp;CRONO!AO$12,OFFSET(CÁLCULO!$AB$15:$AL$15,$E83,0,OFFSET(ORÇAMENTO!$D$15,CRONO!$E83,0)))+IF(AND($E85&lt;&gt;"",$E85&lt;&gt;0),SUMIF(CÁLCULO!$AM$15:$AW$192,"="&amp;CRONO!AO$12,CÁLCULO!$AB$15:$AL$192)/(ORÇAMENTO!$X$15-CÁLCULO.TotalAdmLocal)*CRONO!$E85,0),AO84*$R83),SUMIF(OFFSET($R85,1,0,$Q83-2),($L83+1)&amp;"$",OFFSET(AO85,1,0,$Q83-2)))</f>
        <v>0</v>
      </c>
      <c r="AP85" s="257">
        <f ca="1">IF($Q83=2,IF(AND(ACOMPANHAMENTO="PLE",ISNUMBER($E83)),SUMIF((OFFSET(CÁLCULO!$AM$15:$AW$15,$E83,0,OFFSET(ORÇAMENTO!$D$15,CRONO!$E83,0))),"="&amp;CRONO!AP$12,OFFSET(CÁLCULO!$AB$15:$AL$15,$E83,0,OFFSET(ORÇAMENTO!$D$15,CRONO!$E83,0)))+IF(AND($E85&lt;&gt;"",$E85&lt;&gt;0),SUMIF(CÁLCULO!$AM$15:$AW$192,"="&amp;CRONO!AP$12,CÁLCULO!$AB$15:$AL$192)/(ORÇAMENTO!$X$15-CÁLCULO.TotalAdmLocal)*CRONO!$E85,0),AP84*$R83),SUMIF(OFFSET($R85,1,0,$Q83-2),($L83+1)&amp;"$",OFFSET(AP85,1,0,$Q83-2)))</f>
        <v>0</v>
      </c>
      <c r="AQ85" s="262">
        <f ca="1">IF($Q83=2,IF(AND(ACOMPANHAMENTO="PLE",ISNUMBER($E83)),SUMIF((OFFSET(CÁLCULO!$AM$15:$AW$15,$E83,0,OFFSET(ORÇAMENTO!$D$15,CRONO!$E83,0))),"="&amp;CRONO!AQ$12,OFFSET(CÁLCULO!$AB$15:$AL$15,$E83,0,OFFSET(ORÇAMENTO!$D$15,CRONO!$E83,0)))+IF(AND($E85&lt;&gt;"",$E85&lt;&gt;0),SUMIF(CÁLCULO!$AM$15:$AW$192,"="&amp;CRONO!AQ$12,CÁLCULO!$AB$15:$AL$192)/(ORÇAMENTO!$X$15-CÁLCULO.TotalAdmLocal)*CRONO!$E85,0),AQ84*$R83),SUMIF(OFFSET($R85,1,0,$Q83-2),($L83+1)&amp;"$",OFFSET(AQ85,1,0,$Q83-2)))</f>
        <v>0</v>
      </c>
    </row>
    <row r="86" spans="1:44" x14ac:dyDescent="0.2">
      <c r="A86" s="238">
        <f ca="1">OFFSET(A86,-3,0)+1</f>
        <v>25</v>
      </c>
      <c r="B86" s="238">
        <f ca="1">IF($Q86&lt;&gt;2,0,IF($R86=0,1,IF(E87&gt;0,OFFSET(QCI!$M$13,SUBSTITUTE(E87,".",""),0),OFFSET(ORÇAMENTO!$AA$15,CRONO!$E86,0))/$R86))</f>
        <v>1</v>
      </c>
      <c r="C86" s="238">
        <f ca="1">IF($Q86&lt;&gt;2,0,IF($R86=0,1,IF(E87&gt;0,OFFSET(QCI!$N$13,SUBSTITUTE(E87,".",""),0),OFFSET(ORÇAMENTO!$AB$15,CRONO!$E86,0))/$R86))</f>
        <v>1</v>
      </c>
      <c r="D86" s="241">
        <f ca="1">IF(AND($Q86=2,ACOMPANHAMENTO="BM"),D87,D88/$R86)</f>
        <v>0</v>
      </c>
      <c r="E86" s="238">
        <f ca="1">IF(A86&lt;=ORÇAMENTO.MáximoListaCrono,MATCH(A86,ORÇAMENTO.ListaCrono,0),NA())</f>
        <v>169</v>
      </c>
      <c r="F86" s="238" t="str">
        <f ca="1">IF(AND($E87&lt;&gt;-1,$R86&gt;0),"F","")</f>
        <v/>
      </c>
      <c r="G86" s="242" t="str">
        <f ca="1">IF(OR(R86=0,R86=""),"Linha",IF(AND(OR(ACOMPANHAMENTO="PLE",$Q86&lt;&gt;2),$E87=0),"Linha",1-SUM(T86:AR86)))</f>
        <v>Linha</v>
      </c>
      <c r="H86" s="243" t="str">
        <f ca="1">IF($E87=0,OFFSET(ORÇAMENTO!O$15,$E86,0),IF($E87&lt;&gt;-1,OFFSET(QCI!$D$13,$E87,0),""))</f>
        <v>1.24.</v>
      </c>
      <c r="I86" s="244" t="str">
        <f ca="1">IF($E87=0,OFFSET(ORÇAMENTO!R$15,$E86,0),IF($E87&lt;&gt;-1,OFFSET(QCI!$G$13,$E87,0),""))</f>
        <v xml:space="preserve">CALÇADA EXTERNA </v>
      </c>
      <c r="J86" s="244"/>
      <c r="K86" s="244"/>
      <c r="L86" s="245">
        <f ca="1">IF($E87=0,OFFSET(ORÇAMENTO!C$15,$E86,0),1)</f>
        <v>2</v>
      </c>
      <c r="M86" s="246">
        <f ca="1">IF($E87=-1,0,IF(M$13&lt;=$L86,IF(ISERROR(MATCH(M$13,OFFSET($L86,1,0,ROW($L$92)-ROW($L86)-1),0)),ROW($L$92)-ROW($L86)-1,MATCH(M$13,OFFSET($L86,1,0,ROW($L$92)-ROW($L86)-1),0)-1),0))</f>
        <v>5</v>
      </c>
      <c r="N86" s="246">
        <f ca="1">IF($E87=-1,0,IF(N$13&lt;=$L86,IF(ISERROR(MATCH(N$13,OFFSET($L86,1,0,ROW($L$92)-ROW($L86)-1),0)),ROW($L$92)-ROW($L86)-1,MATCH(N$13,OFFSET($L86,1,0,ROW($L$92)-ROW($L86)-1),0)-1),0))</f>
        <v>2</v>
      </c>
      <c r="O86" s="246">
        <f ca="1">IF($E87=-1,0,IF(O$13&lt;=$L86,IF(ISERROR(MATCH(O$13,OFFSET($L86,1,0,ROW($L$92)-ROW($L86)-1),0)),ROW($L$92)-ROW($L86)-1,MATCH(O$13,OFFSET($L86,1,0,ROW($L$92)-ROW($L86)-1),0)-1),0))</f>
        <v>0</v>
      </c>
      <c r="P86" s="246">
        <f ca="1">IF($E87=-1,0,IF(P$13&lt;=$L86,IF(ISERROR(MATCH(P$13,OFFSET($L86,1,0,ROW($L$92)-ROW($L86)-1),0)),ROW($L$92)-ROW($L86)-1,MATCH(P$13,OFFSET($L86,1,0,ROW($L$92)-ROW($L86)-1),0)-1),0))</f>
        <v>0</v>
      </c>
      <c r="Q86" s="246">
        <f ca="1">MIN(OFFSET(L86,0,1,,L86))</f>
        <v>2</v>
      </c>
      <c r="R86" s="247">
        <f ca="1">IF($E87=0,OFFSET(ORÇAMENTO!X$15,$E86,0),IF($E87&lt;&gt;-1,OFFSET(QCI!$O$13,$E87,0),""))</f>
        <v>0</v>
      </c>
      <c r="S86" s="248" t="s">
        <v>270</v>
      </c>
      <c r="T86" s="249">
        <f t="shared" ref="T86:AQ86" ca="1" si="89">IF(AND($Q86=2,ACOMPANHAMENTO="BM"),T87,T88/$R86)</f>
        <v>0</v>
      </c>
      <c r="U86" s="241">
        <f t="shared" ca="1" si="89"/>
        <v>0</v>
      </c>
      <c r="V86" s="241">
        <f t="shared" ca="1" si="89"/>
        <v>0</v>
      </c>
      <c r="W86" s="241">
        <f t="shared" ca="1" si="89"/>
        <v>0</v>
      </c>
      <c r="X86" s="241">
        <f t="shared" ca="1" si="89"/>
        <v>0</v>
      </c>
      <c r="Y86" s="241">
        <f t="shared" ca="1" si="89"/>
        <v>0</v>
      </c>
      <c r="Z86" s="241">
        <f t="shared" ca="1" si="89"/>
        <v>0</v>
      </c>
      <c r="AA86" s="241">
        <f t="shared" ca="1" si="89"/>
        <v>0</v>
      </c>
      <c r="AB86" s="241">
        <f t="shared" ca="1" si="89"/>
        <v>0</v>
      </c>
      <c r="AC86" s="241">
        <f t="shared" ca="1" si="89"/>
        <v>0</v>
      </c>
      <c r="AD86" s="241">
        <f t="shared" ca="1" si="89"/>
        <v>0</v>
      </c>
      <c r="AE86" s="250">
        <f t="shared" ca="1" si="89"/>
        <v>0</v>
      </c>
      <c r="AF86" s="249">
        <f t="shared" ca="1" si="89"/>
        <v>0</v>
      </c>
      <c r="AG86" s="241">
        <f t="shared" ca="1" si="89"/>
        <v>0</v>
      </c>
      <c r="AH86" s="241">
        <f t="shared" ca="1" si="89"/>
        <v>1</v>
      </c>
      <c r="AI86" s="241">
        <f t="shared" ca="1" si="89"/>
        <v>0</v>
      </c>
      <c r="AJ86" s="241">
        <f t="shared" ca="1" si="89"/>
        <v>0</v>
      </c>
      <c r="AK86" s="241">
        <f t="shared" ca="1" si="89"/>
        <v>0</v>
      </c>
      <c r="AL86" s="241">
        <f t="shared" ca="1" si="89"/>
        <v>0</v>
      </c>
      <c r="AM86" s="241">
        <f t="shared" ca="1" si="89"/>
        <v>0</v>
      </c>
      <c r="AN86" s="241">
        <f t="shared" ca="1" si="89"/>
        <v>0</v>
      </c>
      <c r="AO86" s="241">
        <f t="shared" ca="1" si="89"/>
        <v>0</v>
      </c>
      <c r="AP86" s="241">
        <f t="shared" ca="1" si="89"/>
        <v>0</v>
      </c>
      <c r="AQ86" s="250">
        <f t="shared" ca="1" si="89"/>
        <v>0</v>
      </c>
    </row>
    <row r="87" spans="1:44" ht="12.75" customHeight="1" x14ac:dyDescent="0.2">
      <c r="D87" s="657"/>
      <c r="E87" s="238">
        <f ca="1">IF(ISERROR(E86),IF(1+COUNTIF($L$13:OFFSET(L86,-1,0),1)&lt;=MAX(QCI!$D$13:$D$24),1+COUNTIF($L$13:OFFSET(L86,-1,0),1),-1),0)</f>
        <v>0</v>
      </c>
      <c r="F87" s="238" t="str">
        <f ca="1">IF(AND($E87&lt;&gt;-1,$R86&gt;0),"F","")</f>
        <v/>
      </c>
      <c r="G87" s="251" t="str">
        <f ca="1">IF(OR(R86=0,R86=""),"vazia",IF(AND(OR(ACOMPANHAMENTO="PLE",$Q86&lt;&gt;2),$E87=0),"calculada","--&gt;"))</f>
        <v>vazia</v>
      </c>
      <c r="H87" s="252"/>
      <c r="I87" s="253" t="str">
        <f ca="1">IF(AND(G86&lt;&gt;0,ISNUMBER(G86)),"PREENCHA ESTA LINHA --&gt;","")</f>
        <v/>
      </c>
      <c r="J87" s="253"/>
      <c r="K87" s="253"/>
      <c r="L87" s="254"/>
      <c r="M87" s="254"/>
      <c r="N87" s="254"/>
      <c r="O87" s="254"/>
      <c r="P87" s="254"/>
      <c r="Q87" s="254"/>
      <c r="R87" s="255"/>
      <c r="S87" s="256"/>
      <c r="T87" s="658"/>
      <c r="U87" s="657"/>
      <c r="V87" s="657"/>
      <c r="W87" s="657"/>
      <c r="X87" s="657"/>
      <c r="Y87" s="657"/>
      <c r="Z87" s="657"/>
      <c r="AA87" s="657"/>
      <c r="AB87" s="657"/>
      <c r="AC87" s="657"/>
      <c r="AD87" s="657"/>
      <c r="AE87" s="659"/>
      <c r="AF87" s="658"/>
      <c r="AG87" s="657"/>
      <c r="AH87" s="657">
        <v>1</v>
      </c>
      <c r="AI87" s="657"/>
      <c r="AJ87" s="657"/>
      <c r="AK87" s="657"/>
      <c r="AL87" s="657"/>
      <c r="AM87" s="657"/>
      <c r="AN87" s="657"/>
      <c r="AO87" s="657"/>
      <c r="AP87" s="657"/>
      <c r="AQ87" s="659"/>
      <c r="AR87" s="617"/>
    </row>
    <row r="88" spans="1:44" ht="0.2" hidden="1" customHeight="1" x14ac:dyDescent="0.2">
      <c r="D88" s="257">
        <f ca="1">IF($Q86=2,IF(AND(ACOMPANHAMENTO="PLE",ISNUMBER($E86)),SUMIF((OFFSET(CÁLCULO!$AM$15:$AW$15,$E86,0,OFFSET(ORÇAMENTO!$D$15,CRONO!$E86,0))),"="&amp;CRONO!D$12,OFFSET(CÁLCULO!$AB$15:$AL$15,$E86,0,OFFSET(ORÇAMENTO!$D$15,CRONO!$E86,0)))+IF(AND($E88&lt;&gt;"",$E88&lt;&gt;0),SUMIF(CÁLCULO!$AM$15:$AW$192,"="&amp;CRONO!D$12,CÁLCULO!$AB$15:$AL$192)/(ORÇAMENTO!$X$15-CÁLCULO.TotalAdmLocal)*CRONO!$E88,0),D87*$R86),SUMIF(OFFSET($R88,1,0,$Q86-2),($L86+1)&amp;"$",OFFSET(D88,1,0,$Q86-2)))</f>
        <v>0</v>
      </c>
      <c r="E88" s="238" t="str">
        <f ca="1">IF(OR($Q86&lt;&gt;2,AUTOEVENTO&lt;&gt;"manual",$E87&gt;0),"",SUMIF(OFFSET(CÁLCULO!$M$15,CRONO!$E86,0,OFFSET(ORÇAMENTO!$D$15,CRONO!$E86,0)),1,OFFSET(ORÇAMENTO!$X$15,CRONO!$E86,0,OFFSET(ORÇAMENTO!$D$15,CRONO!$E86,0))))</f>
        <v/>
      </c>
      <c r="G88" s="258"/>
      <c r="R88" s="259" t="str">
        <f ca="1">L86&amp;"$"</f>
        <v>2$</v>
      </c>
      <c r="S88" s="260"/>
      <c r="T88" s="261">
        <f ca="1">IF($Q86=2,IF(AND(ACOMPANHAMENTO="PLE",ISNUMBER($E86)),SUMIF((OFFSET(CÁLCULO!$AM$15:$AW$15,$E86,0,OFFSET(ORÇAMENTO!$D$15,CRONO!$E86,0))),"&lt;="&amp;CRONO!T$12,OFFSET(CÁLCULO!$AB$15:$AL$15,$E86,0,OFFSET(ORÇAMENTO!$D$15,CRONO!$E86,0)))+IF(AND($E88&lt;&gt;"",$E88&lt;&gt;0),SUMIF(CÁLCULO!$AM$15:$AW$192,"&lt;="&amp;CRONO!T$12,CÁLCULO!$AB$15:$AL$192)/(ORÇAMENTO!$X$15-CÁLCULO.TotalAdmLocal)*CRONO!$E88,0),T87*$R86),SUMIF(OFFSET($R88,1,0,$Q86-2),($L86+1)&amp;"$",OFFSET(T88,1,0,$Q86-2)))</f>
        <v>0</v>
      </c>
      <c r="U88" s="257">
        <f ca="1">IF($Q86=2,IF(AND(ACOMPANHAMENTO="PLE",ISNUMBER($E86)),SUMIF((OFFSET(CÁLCULO!$AM$15:$AW$15,$E86,0,OFFSET(ORÇAMENTO!$D$15,CRONO!$E86,0))),"="&amp;CRONO!U$12,OFFSET(CÁLCULO!$AB$15:$AL$15,$E86,0,OFFSET(ORÇAMENTO!$D$15,CRONO!$E86,0)))+IF(AND($E88&lt;&gt;"",$E88&lt;&gt;0),SUMIF(CÁLCULO!$AM$15:$AW$192,"="&amp;CRONO!U$12,CÁLCULO!$AB$15:$AL$192)/(ORÇAMENTO!$X$15-CÁLCULO.TotalAdmLocal)*CRONO!$E88,0),U87*$R86),SUMIF(OFFSET($R88,1,0,$Q86-2),($L86+1)&amp;"$",OFFSET(U88,1,0,$Q86-2)))</f>
        <v>0</v>
      </c>
      <c r="V88" s="257">
        <f ca="1">IF($Q86=2,IF(AND(ACOMPANHAMENTO="PLE",ISNUMBER($E86)),SUMIF((OFFSET(CÁLCULO!$AM$15:$AW$15,$E86,0,OFFSET(ORÇAMENTO!$D$15,CRONO!$E86,0))),"="&amp;CRONO!V$12,OFFSET(CÁLCULO!$AB$15:$AL$15,$E86,0,OFFSET(ORÇAMENTO!$D$15,CRONO!$E86,0)))+IF(AND($E88&lt;&gt;"",$E88&lt;&gt;0),SUMIF(CÁLCULO!$AM$15:$AW$192,"="&amp;CRONO!V$12,CÁLCULO!$AB$15:$AL$192)/(ORÇAMENTO!$X$15-CÁLCULO.TotalAdmLocal)*CRONO!$E88,0),V87*$R86),SUMIF(OFFSET($R88,1,0,$Q86-2),($L86+1)&amp;"$",OFFSET(V88,1,0,$Q86-2)))</f>
        <v>0</v>
      </c>
      <c r="W88" s="257">
        <f ca="1">IF($Q86=2,IF(AND(ACOMPANHAMENTO="PLE",ISNUMBER($E86)),SUMIF((OFFSET(CÁLCULO!$AM$15:$AW$15,$E86,0,OFFSET(ORÇAMENTO!$D$15,CRONO!$E86,0))),"="&amp;CRONO!W$12,OFFSET(CÁLCULO!$AB$15:$AL$15,$E86,0,OFFSET(ORÇAMENTO!$D$15,CRONO!$E86,0)))+IF(AND($E88&lt;&gt;"",$E88&lt;&gt;0),SUMIF(CÁLCULO!$AM$15:$AW$192,"="&amp;CRONO!W$12,CÁLCULO!$AB$15:$AL$192)/(ORÇAMENTO!$X$15-CÁLCULO.TotalAdmLocal)*CRONO!$E88,0),W87*$R86),SUMIF(OFFSET($R88,1,0,$Q86-2),($L86+1)&amp;"$",OFFSET(W88,1,0,$Q86-2)))</f>
        <v>0</v>
      </c>
      <c r="X88" s="257">
        <f ca="1">IF($Q86=2,IF(AND(ACOMPANHAMENTO="PLE",ISNUMBER($E86)),SUMIF((OFFSET(CÁLCULO!$AM$15:$AW$15,$E86,0,OFFSET(ORÇAMENTO!$D$15,CRONO!$E86,0))),"="&amp;CRONO!X$12,OFFSET(CÁLCULO!$AB$15:$AL$15,$E86,0,OFFSET(ORÇAMENTO!$D$15,CRONO!$E86,0)))+IF(AND($E88&lt;&gt;"",$E88&lt;&gt;0),SUMIF(CÁLCULO!$AM$15:$AW$192,"="&amp;CRONO!X$12,CÁLCULO!$AB$15:$AL$192)/(ORÇAMENTO!$X$15-CÁLCULO.TotalAdmLocal)*CRONO!$E88,0),X87*$R86),SUMIF(OFFSET($R88,1,0,$Q86-2),($L86+1)&amp;"$",OFFSET(X88,1,0,$Q86-2)))</f>
        <v>0</v>
      </c>
      <c r="Y88" s="257">
        <f ca="1">IF($Q86=2,IF(AND(ACOMPANHAMENTO="PLE",ISNUMBER($E86)),SUMIF((OFFSET(CÁLCULO!$AM$15:$AW$15,$E86,0,OFFSET(ORÇAMENTO!$D$15,CRONO!$E86,0))),"="&amp;CRONO!Y$12,OFFSET(CÁLCULO!$AB$15:$AL$15,$E86,0,OFFSET(ORÇAMENTO!$D$15,CRONO!$E86,0)))+IF(AND($E88&lt;&gt;"",$E88&lt;&gt;0),SUMIF(CÁLCULO!$AM$15:$AW$192,"="&amp;CRONO!Y$12,CÁLCULO!$AB$15:$AL$192)/(ORÇAMENTO!$X$15-CÁLCULO.TotalAdmLocal)*CRONO!$E88,0),Y87*$R86),SUMIF(OFFSET($R88,1,0,$Q86-2),($L86+1)&amp;"$",OFFSET(Y88,1,0,$Q86-2)))</f>
        <v>0</v>
      </c>
      <c r="Z88" s="257">
        <f ca="1">IF($Q86=2,IF(AND(ACOMPANHAMENTO="PLE",ISNUMBER($E86)),SUMIF((OFFSET(CÁLCULO!$AM$15:$AW$15,$E86,0,OFFSET(ORÇAMENTO!$D$15,CRONO!$E86,0))),"="&amp;CRONO!Z$12,OFFSET(CÁLCULO!$AB$15:$AL$15,$E86,0,OFFSET(ORÇAMENTO!$D$15,CRONO!$E86,0)))+IF(AND($E88&lt;&gt;"",$E88&lt;&gt;0),SUMIF(CÁLCULO!$AM$15:$AW$192,"="&amp;CRONO!Z$12,CÁLCULO!$AB$15:$AL$192)/(ORÇAMENTO!$X$15-CÁLCULO.TotalAdmLocal)*CRONO!$E88,0),Z87*$R86),SUMIF(OFFSET($R88,1,0,$Q86-2),($L86+1)&amp;"$",OFFSET(Z88,1,0,$Q86-2)))</f>
        <v>0</v>
      </c>
      <c r="AA88" s="257">
        <f ca="1">IF($Q86=2,IF(AND(ACOMPANHAMENTO="PLE",ISNUMBER($E86)),SUMIF((OFFSET(CÁLCULO!$AM$15:$AW$15,$E86,0,OFFSET(ORÇAMENTO!$D$15,CRONO!$E86,0))),"="&amp;CRONO!AA$12,OFFSET(CÁLCULO!$AB$15:$AL$15,$E86,0,OFFSET(ORÇAMENTO!$D$15,CRONO!$E86,0)))+IF(AND($E88&lt;&gt;"",$E88&lt;&gt;0),SUMIF(CÁLCULO!$AM$15:$AW$192,"="&amp;CRONO!AA$12,CÁLCULO!$AB$15:$AL$192)/(ORÇAMENTO!$X$15-CÁLCULO.TotalAdmLocal)*CRONO!$E88,0),AA87*$R86),SUMIF(OFFSET($R88,1,0,$Q86-2),($L86+1)&amp;"$",OFFSET(AA88,1,0,$Q86-2)))</f>
        <v>0</v>
      </c>
      <c r="AB88" s="257">
        <f ca="1">IF($Q86=2,IF(AND(ACOMPANHAMENTO="PLE",ISNUMBER($E86)),SUMIF((OFFSET(CÁLCULO!$AM$15:$AW$15,$E86,0,OFFSET(ORÇAMENTO!$D$15,CRONO!$E86,0))),"="&amp;CRONO!AB$12,OFFSET(CÁLCULO!$AB$15:$AL$15,$E86,0,OFFSET(ORÇAMENTO!$D$15,CRONO!$E86,0)))+IF(AND($E88&lt;&gt;"",$E88&lt;&gt;0),SUMIF(CÁLCULO!$AM$15:$AW$192,"="&amp;CRONO!AB$12,CÁLCULO!$AB$15:$AL$192)/(ORÇAMENTO!$X$15-CÁLCULO.TotalAdmLocal)*CRONO!$E88,0),AB87*$R86),SUMIF(OFFSET($R88,1,0,$Q86-2),($L86+1)&amp;"$",OFFSET(AB88,1,0,$Q86-2)))</f>
        <v>0</v>
      </c>
      <c r="AC88" s="257">
        <f ca="1">IF($Q86=2,IF(AND(ACOMPANHAMENTO="PLE",ISNUMBER($E86)),SUMIF((OFFSET(CÁLCULO!$AM$15:$AW$15,$E86,0,OFFSET(ORÇAMENTO!$D$15,CRONO!$E86,0))),"="&amp;CRONO!AC$12,OFFSET(CÁLCULO!$AB$15:$AL$15,$E86,0,OFFSET(ORÇAMENTO!$D$15,CRONO!$E86,0)))+IF(AND($E88&lt;&gt;"",$E88&lt;&gt;0),SUMIF(CÁLCULO!$AM$15:$AW$192,"="&amp;CRONO!AC$12,CÁLCULO!$AB$15:$AL$192)/(ORÇAMENTO!$X$15-CÁLCULO.TotalAdmLocal)*CRONO!$E88,0),AC87*$R86),SUMIF(OFFSET($R88,1,0,$Q86-2),($L86+1)&amp;"$",OFFSET(AC88,1,0,$Q86-2)))</f>
        <v>0</v>
      </c>
      <c r="AD88" s="257">
        <f ca="1">IF($Q86=2,IF(AND(ACOMPANHAMENTO="PLE",ISNUMBER($E86)),SUMIF((OFFSET(CÁLCULO!$AM$15:$AW$15,$E86,0,OFFSET(ORÇAMENTO!$D$15,CRONO!$E86,0))),"="&amp;CRONO!AD$12,OFFSET(CÁLCULO!$AB$15:$AL$15,$E86,0,OFFSET(ORÇAMENTO!$D$15,CRONO!$E86,0)))+IF(AND($E88&lt;&gt;"",$E88&lt;&gt;0),SUMIF(CÁLCULO!$AM$15:$AW$192,"="&amp;CRONO!AD$12,CÁLCULO!$AB$15:$AL$192)/(ORÇAMENTO!$X$15-CÁLCULO.TotalAdmLocal)*CRONO!$E88,0),AD87*$R86),SUMIF(OFFSET($R88,1,0,$Q86-2),($L86+1)&amp;"$",OFFSET(AD88,1,0,$Q86-2)))</f>
        <v>0</v>
      </c>
      <c r="AE88" s="262">
        <f ca="1">IF($Q86=2,IF(AND(ACOMPANHAMENTO="PLE",ISNUMBER($E86)),SUMIF((OFFSET(CÁLCULO!$AM$15:$AW$15,$E86,0,OFFSET(ORÇAMENTO!$D$15,CRONO!$E86,0))),"="&amp;CRONO!AE$12,OFFSET(CÁLCULO!$AB$15:$AL$15,$E86,0,OFFSET(ORÇAMENTO!$D$15,CRONO!$E86,0)))+IF(AND($E88&lt;&gt;"",$E88&lt;&gt;0),SUMIF(CÁLCULO!$AM$15:$AW$192,"="&amp;CRONO!AE$12,CÁLCULO!$AB$15:$AL$192)/(ORÇAMENTO!$X$15-CÁLCULO.TotalAdmLocal)*CRONO!$E88,0),AE87*$R86),SUMIF(OFFSET($R88,1,0,$Q86-2),($L86+1)&amp;"$",OFFSET(AE88,1,0,$Q86-2)))</f>
        <v>0</v>
      </c>
      <c r="AF88" s="261">
        <f ca="1">IF($Q86=2,IF(AND(ACOMPANHAMENTO="PLE",ISNUMBER($E86)),SUMIF((OFFSET(CÁLCULO!$AM$15:$AW$15,$E86,0,OFFSET(ORÇAMENTO!$D$15,CRONO!$E86,0))),"&lt;="&amp;CRONO!AF$12,OFFSET(CÁLCULO!$AB$15:$AL$15,$E86,0,OFFSET(ORÇAMENTO!$D$15,CRONO!$E86,0)))+IF(AND($E88&lt;&gt;"",$E88&lt;&gt;0),SUMIF(CÁLCULO!$AM$15:$AW$192,"&lt;="&amp;CRONO!AF$12,CÁLCULO!$AB$15:$AL$192)/(ORÇAMENTO!$X$15-CÁLCULO.TotalAdmLocal)*CRONO!$E88,0),AF87*$R86),SUMIF(OFFSET($R88,1,0,$Q86-2),($L86+1)&amp;"$",OFFSET(AF88,1,0,$Q86-2)))</f>
        <v>0</v>
      </c>
      <c r="AG88" s="257">
        <f ca="1">IF($Q86=2,IF(AND(ACOMPANHAMENTO="PLE",ISNUMBER($E86)),SUMIF((OFFSET(CÁLCULO!$AM$15:$AW$15,$E86,0,OFFSET(ORÇAMENTO!$D$15,CRONO!$E86,0))),"="&amp;CRONO!AG$12,OFFSET(CÁLCULO!$AB$15:$AL$15,$E86,0,OFFSET(ORÇAMENTO!$D$15,CRONO!$E86,0)))+IF(AND($E88&lt;&gt;"",$E88&lt;&gt;0),SUMIF(CÁLCULO!$AM$15:$AW$192,"="&amp;CRONO!AG$12,CÁLCULO!$AB$15:$AL$192)/(ORÇAMENTO!$X$15-CÁLCULO.TotalAdmLocal)*CRONO!$E88,0),AG87*$R86),SUMIF(OFFSET($R88,1,0,$Q86-2),($L86+1)&amp;"$",OFFSET(AG88,1,0,$Q86-2)))</f>
        <v>0</v>
      </c>
      <c r="AH88" s="257">
        <f ca="1">IF($Q86=2,IF(AND(ACOMPANHAMENTO="PLE",ISNUMBER($E86)),SUMIF((OFFSET(CÁLCULO!$AM$15:$AW$15,$E86,0,OFFSET(ORÇAMENTO!$D$15,CRONO!$E86,0))),"="&amp;CRONO!AH$12,OFFSET(CÁLCULO!$AB$15:$AL$15,$E86,0,OFFSET(ORÇAMENTO!$D$15,CRONO!$E86,0)))+IF(AND($E88&lt;&gt;"",$E88&lt;&gt;0),SUMIF(CÁLCULO!$AM$15:$AW$192,"="&amp;CRONO!AH$12,CÁLCULO!$AB$15:$AL$192)/(ORÇAMENTO!$X$15-CÁLCULO.TotalAdmLocal)*CRONO!$E88,0),AH87*$R86),SUMIF(OFFSET($R88,1,0,$Q86-2),($L86+1)&amp;"$",OFFSET(AH88,1,0,$Q86-2)))</f>
        <v>0</v>
      </c>
      <c r="AI88" s="257">
        <f ca="1">IF($Q86=2,IF(AND(ACOMPANHAMENTO="PLE",ISNUMBER($E86)),SUMIF((OFFSET(CÁLCULO!$AM$15:$AW$15,$E86,0,OFFSET(ORÇAMENTO!$D$15,CRONO!$E86,0))),"="&amp;CRONO!AI$12,OFFSET(CÁLCULO!$AB$15:$AL$15,$E86,0,OFFSET(ORÇAMENTO!$D$15,CRONO!$E86,0)))+IF(AND($E88&lt;&gt;"",$E88&lt;&gt;0),SUMIF(CÁLCULO!$AM$15:$AW$192,"="&amp;CRONO!AI$12,CÁLCULO!$AB$15:$AL$192)/(ORÇAMENTO!$X$15-CÁLCULO.TotalAdmLocal)*CRONO!$E88,0),AI87*$R86),SUMIF(OFFSET($R88,1,0,$Q86-2),($L86+1)&amp;"$",OFFSET(AI88,1,0,$Q86-2)))</f>
        <v>0</v>
      </c>
      <c r="AJ88" s="257">
        <f ca="1">IF($Q86=2,IF(AND(ACOMPANHAMENTO="PLE",ISNUMBER($E86)),SUMIF((OFFSET(CÁLCULO!$AM$15:$AW$15,$E86,0,OFFSET(ORÇAMENTO!$D$15,CRONO!$E86,0))),"="&amp;CRONO!AJ$12,OFFSET(CÁLCULO!$AB$15:$AL$15,$E86,0,OFFSET(ORÇAMENTO!$D$15,CRONO!$E86,0)))+IF(AND($E88&lt;&gt;"",$E88&lt;&gt;0),SUMIF(CÁLCULO!$AM$15:$AW$192,"="&amp;CRONO!AJ$12,CÁLCULO!$AB$15:$AL$192)/(ORÇAMENTO!$X$15-CÁLCULO.TotalAdmLocal)*CRONO!$E88,0),AJ87*$R86),SUMIF(OFFSET($R88,1,0,$Q86-2),($L86+1)&amp;"$",OFFSET(AJ88,1,0,$Q86-2)))</f>
        <v>0</v>
      </c>
      <c r="AK88" s="257">
        <f ca="1">IF($Q86=2,IF(AND(ACOMPANHAMENTO="PLE",ISNUMBER($E86)),SUMIF((OFFSET(CÁLCULO!$AM$15:$AW$15,$E86,0,OFFSET(ORÇAMENTO!$D$15,CRONO!$E86,0))),"="&amp;CRONO!AK$12,OFFSET(CÁLCULO!$AB$15:$AL$15,$E86,0,OFFSET(ORÇAMENTO!$D$15,CRONO!$E86,0)))+IF(AND($E88&lt;&gt;"",$E88&lt;&gt;0),SUMIF(CÁLCULO!$AM$15:$AW$192,"="&amp;CRONO!AK$12,CÁLCULO!$AB$15:$AL$192)/(ORÇAMENTO!$X$15-CÁLCULO.TotalAdmLocal)*CRONO!$E88,0),AK87*$R86),SUMIF(OFFSET($R88,1,0,$Q86-2),($L86+1)&amp;"$",OFFSET(AK88,1,0,$Q86-2)))</f>
        <v>0</v>
      </c>
      <c r="AL88" s="257">
        <f ca="1">IF($Q86=2,IF(AND(ACOMPANHAMENTO="PLE",ISNUMBER($E86)),SUMIF((OFFSET(CÁLCULO!$AM$15:$AW$15,$E86,0,OFFSET(ORÇAMENTO!$D$15,CRONO!$E86,0))),"="&amp;CRONO!AL$12,OFFSET(CÁLCULO!$AB$15:$AL$15,$E86,0,OFFSET(ORÇAMENTO!$D$15,CRONO!$E86,0)))+IF(AND($E88&lt;&gt;"",$E88&lt;&gt;0),SUMIF(CÁLCULO!$AM$15:$AW$192,"="&amp;CRONO!AL$12,CÁLCULO!$AB$15:$AL$192)/(ORÇAMENTO!$X$15-CÁLCULO.TotalAdmLocal)*CRONO!$E88,0),AL87*$R86),SUMIF(OFFSET($R88,1,0,$Q86-2),($L86+1)&amp;"$",OFFSET(AL88,1,0,$Q86-2)))</f>
        <v>0</v>
      </c>
      <c r="AM88" s="257">
        <f ca="1">IF($Q86=2,IF(AND(ACOMPANHAMENTO="PLE",ISNUMBER($E86)),SUMIF((OFFSET(CÁLCULO!$AM$15:$AW$15,$E86,0,OFFSET(ORÇAMENTO!$D$15,CRONO!$E86,0))),"="&amp;CRONO!AM$12,OFFSET(CÁLCULO!$AB$15:$AL$15,$E86,0,OFFSET(ORÇAMENTO!$D$15,CRONO!$E86,0)))+IF(AND($E88&lt;&gt;"",$E88&lt;&gt;0),SUMIF(CÁLCULO!$AM$15:$AW$192,"="&amp;CRONO!AM$12,CÁLCULO!$AB$15:$AL$192)/(ORÇAMENTO!$X$15-CÁLCULO.TotalAdmLocal)*CRONO!$E88,0),AM87*$R86),SUMIF(OFFSET($R88,1,0,$Q86-2),($L86+1)&amp;"$",OFFSET(AM88,1,0,$Q86-2)))</f>
        <v>0</v>
      </c>
      <c r="AN88" s="257">
        <f ca="1">IF($Q86=2,IF(AND(ACOMPANHAMENTO="PLE",ISNUMBER($E86)),SUMIF((OFFSET(CÁLCULO!$AM$15:$AW$15,$E86,0,OFFSET(ORÇAMENTO!$D$15,CRONO!$E86,0))),"="&amp;CRONO!AN$12,OFFSET(CÁLCULO!$AB$15:$AL$15,$E86,0,OFFSET(ORÇAMENTO!$D$15,CRONO!$E86,0)))+IF(AND($E88&lt;&gt;"",$E88&lt;&gt;0),SUMIF(CÁLCULO!$AM$15:$AW$192,"="&amp;CRONO!AN$12,CÁLCULO!$AB$15:$AL$192)/(ORÇAMENTO!$X$15-CÁLCULO.TotalAdmLocal)*CRONO!$E88,0),AN87*$R86),SUMIF(OFFSET($R88,1,0,$Q86-2),($L86+1)&amp;"$",OFFSET(AN88,1,0,$Q86-2)))</f>
        <v>0</v>
      </c>
      <c r="AO88" s="257">
        <f ca="1">IF($Q86=2,IF(AND(ACOMPANHAMENTO="PLE",ISNUMBER($E86)),SUMIF((OFFSET(CÁLCULO!$AM$15:$AW$15,$E86,0,OFFSET(ORÇAMENTO!$D$15,CRONO!$E86,0))),"="&amp;CRONO!AO$12,OFFSET(CÁLCULO!$AB$15:$AL$15,$E86,0,OFFSET(ORÇAMENTO!$D$15,CRONO!$E86,0)))+IF(AND($E88&lt;&gt;"",$E88&lt;&gt;0),SUMIF(CÁLCULO!$AM$15:$AW$192,"="&amp;CRONO!AO$12,CÁLCULO!$AB$15:$AL$192)/(ORÇAMENTO!$X$15-CÁLCULO.TotalAdmLocal)*CRONO!$E88,0),AO87*$R86),SUMIF(OFFSET($R88,1,0,$Q86-2),($L86+1)&amp;"$",OFFSET(AO88,1,0,$Q86-2)))</f>
        <v>0</v>
      </c>
      <c r="AP88" s="257">
        <f ca="1">IF($Q86=2,IF(AND(ACOMPANHAMENTO="PLE",ISNUMBER($E86)),SUMIF((OFFSET(CÁLCULO!$AM$15:$AW$15,$E86,0,OFFSET(ORÇAMENTO!$D$15,CRONO!$E86,0))),"="&amp;CRONO!AP$12,OFFSET(CÁLCULO!$AB$15:$AL$15,$E86,0,OFFSET(ORÇAMENTO!$D$15,CRONO!$E86,0)))+IF(AND($E88&lt;&gt;"",$E88&lt;&gt;0),SUMIF(CÁLCULO!$AM$15:$AW$192,"="&amp;CRONO!AP$12,CÁLCULO!$AB$15:$AL$192)/(ORÇAMENTO!$X$15-CÁLCULO.TotalAdmLocal)*CRONO!$E88,0),AP87*$R86),SUMIF(OFFSET($R88,1,0,$Q86-2),($L86+1)&amp;"$",OFFSET(AP88,1,0,$Q86-2)))</f>
        <v>0</v>
      </c>
      <c r="AQ88" s="262">
        <f ca="1">IF($Q86=2,IF(AND(ACOMPANHAMENTO="PLE",ISNUMBER($E86)),SUMIF((OFFSET(CÁLCULO!$AM$15:$AW$15,$E86,0,OFFSET(ORÇAMENTO!$D$15,CRONO!$E86,0))),"="&amp;CRONO!AQ$12,OFFSET(CÁLCULO!$AB$15:$AL$15,$E86,0,OFFSET(ORÇAMENTO!$D$15,CRONO!$E86,0)))+IF(AND($E88&lt;&gt;"",$E88&lt;&gt;0),SUMIF(CÁLCULO!$AM$15:$AW$192,"="&amp;CRONO!AQ$12,CÁLCULO!$AB$15:$AL$192)/(ORÇAMENTO!$X$15-CÁLCULO.TotalAdmLocal)*CRONO!$E88,0),AQ87*$R86),SUMIF(OFFSET($R88,1,0,$Q86-2),($L86+1)&amp;"$",OFFSET(AQ88,1,0,$Q86-2)))</f>
        <v>0</v>
      </c>
    </row>
    <row r="89" spans="1:44" x14ac:dyDescent="0.2">
      <c r="A89" s="238">
        <f ca="1">OFFSET(A89,-3,0)+1</f>
        <v>26</v>
      </c>
      <c r="B89" s="238">
        <f ca="1">IF($Q89&lt;&gt;2,0,IF($R89=0,1,IF(E90&gt;0,OFFSET(QCI!$M$13,SUBSTITUTE(E90,".",""),0),OFFSET(ORÇAMENTO!$AA$15,CRONO!$E89,0))/$R89))</f>
        <v>1</v>
      </c>
      <c r="C89" s="238">
        <f ca="1">IF($Q89&lt;&gt;2,0,IF($R89=0,1,IF(E90&gt;0,OFFSET(QCI!$N$13,SUBSTITUTE(E90,".",""),0),OFFSET(ORÇAMENTO!$AB$15,CRONO!$E89,0))/$R89))</f>
        <v>1</v>
      </c>
      <c r="D89" s="241">
        <f ca="1">IF(AND($Q89=2,ACOMPANHAMENTO="BM"),D90,D91/$R89)</f>
        <v>0</v>
      </c>
      <c r="E89" s="238">
        <f ca="1">IF(A89&lt;=ORÇAMENTO.MáximoListaCrono,MATCH(A89,ORÇAMENTO.ListaCrono,0),NA())</f>
        <v>173</v>
      </c>
      <c r="F89" s="238" t="str">
        <f ca="1">IF(AND($E90&lt;&gt;-1,$R89&gt;0),"F","")</f>
        <v/>
      </c>
      <c r="G89" s="242" t="str">
        <f ca="1">IF(OR(R89=0,R89=""),"Linha",IF(AND(OR(ACOMPANHAMENTO="PLE",$Q89&lt;&gt;2),$E90=0),"Linha",1-SUM(T89:AR89)))</f>
        <v>Linha</v>
      </c>
      <c r="H89" s="243" t="str">
        <f ca="1">IF($E90=0,OFFSET(ORÇAMENTO!O$15,$E89,0),IF($E90&lt;&gt;-1,OFFSET(QCI!$D$13,$E90,0),""))</f>
        <v>1.25.</v>
      </c>
      <c r="I89" s="244" t="str">
        <f ca="1">IF($E90=0,OFFSET(ORÇAMENTO!R$15,$E89,0),IF($E90&lt;&gt;-1,OFFSET(QCI!$G$13,$E90,0),""))</f>
        <v>COMPLEMENTARES</v>
      </c>
      <c r="J89" s="244"/>
      <c r="K89" s="244"/>
      <c r="L89" s="245">
        <f ca="1">IF($E90=0,OFFSET(ORÇAMENTO!C$15,$E89,0),1)</f>
        <v>2</v>
      </c>
      <c r="M89" s="246">
        <f ca="1">IF($E90=-1,0,IF(M$13&lt;=$L89,IF(ISERROR(MATCH(M$13,OFFSET($L89,1,0,ROW($L$92)-ROW($L89)-1),0)),ROW($L$92)-ROW($L89)-1,MATCH(M$13,OFFSET($L89,1,0,ROW($L$92)-ROW($L89)-1),0)-1),0))</f>
        <v>2</v>
      </c>
      <c r="N89" s="246">
        <f ca="1">IF($E90=-1,0,IF(N$13&lt;=$L89,IF(ISERROR(MATCH(N$13,OFFSET($L89,1,0,ROW($L$92)-ROW($L89)-1),0)),ROW($L$92)-ROW($L89)-1,MATCH(N$13,OFFSET($L89,1,0,ROW($L$92)-ROW($L89)-1),0)-1),0))</f>
        <v>2</v>
      </c>
      <c r="O89" s="246">
        <f ca="1">IF($E90=-1,0,IF(O$13&lt;=$L89,IF(ISERROR(MATCH(O$13,OFFSET($L89,1,0,ROW($L$92)-ROW($L89)-1),0)),ROW($L$92)-ROW($L89)-1,MATCH(O$13,OFFSET($L89,1,0,ROW($L$92)-ROW($L89)-1),0)-1),0))</f>
        <v>0</v>
      </c>
      <c r="P89" s="246">
        <f ca="1">IF($E90=-1,0,IF(P$13&lt;=$L89,IF(ISERROR(MATCH(P$13,OFFSET($L89,1,0,ROW($L$92)-ROW($L89)-1),0)),ROW($L$92)-ROW($L89)-1,MATCH(P$13,OFFSET($L89,1,0,ROW($L$92)-ROW($L89)-1),0)-1),0))</f>
        <v>0</v>
      </c>
      <c r="Q89" s="246">
        <f ca="1">MIN(OFFSET(L89,0,1,,L89))</f>
        <v>2</v>
      </c>
      <c r="R89" s="247">
        <f ca="1">IF($E90=0,OFFSET(ORÇAMENTO!X$15,$E89,0),IF($E90&lt;&gt;-1,OFFSET(QCI!$O$13,$E90,0),""))</f>
        <v>0</v>
      </c>
      <c r="S89" s="248" t="s">
        <v>270</v>
      </c>
      <c r="T89" s="249">
        <f t="shared" ref="T89:AQ89" ca="1" si="90">IF(AND($Q89=2,ACOMPANHAMENTO="BM"),T90,T91/$R89)</f>
        <v>0</v>
      </c>
      <c r="U89" s="241">
        <f t="shared" ca="1" si="90"/>
        <v>0</v>
      </c>
      <c r="V89" s="241">
        <f t="shared" ca="1" si="90"/>
        <v>0</v>
      </c>
      <c r="W89" s="241">
        <f t="shared" ca="1" si="90"/>
        <v>0</v>
      </c>
      <c r="X89" s="241">
        <f t="shared" ca="1" si="90"/>
        <v>0</v>
      </c>
      <c r="Y89" s="241">
        <f t="shared" ca="1" si="90"/>
        <v>0</v>
      </c>
      <c r="Z89" s="241">
        <f t="shared" ca="1" si="90"/>
        <v>0</v>
      </c>
      <c r="AA89" s="241">
        <f t="shared" ca="1" si="90"/>
        <v>0</v>
      </c>
      <c r="AB89" s="241">
        <f t="shared" ca="1" si="90"/>
        <v>0</v>
      </c>
      <c r="AC89" s="241">
        <f t="shared" ca="1" si="90"/>
        <v>0</v>
      </c>
      <c r="AD89" s="241">
        <f t="shared" ca="1" si="90"/>
        <v>0</v>
      </c>
      <c r="AE89" s="250">
        <f t="shared" ca="1" si="90"/>
        <v>0</v>
      </c>
      <c r="AF89" s="249">
        <f t="shared" ca="1" si="90"/>
        <v>0</v>
      </c>
      <c r="AG89" s="241">
        <f t="shared" ca="1" si="90"/>
        <v>0</v>
      </c>
      <c r="AH89" s="241">
        <f t="shared" ca="1" si="90"/>
        <v>1</v>
      </c>
      <c r="AI89" s="241">
        <f t="shared" ca="1" si="90"/>
        <v>0</v>
      </c>
      <c r="AJ89" s="241">
        <f t="shared" ca="1" si="90"/>
        <v>0</v>
      </c>
      <c r="AK89" s="241">
        <f t="shared" ca="1" si="90"/>
        <v>0</v>
      </c>
      <c r="AL89" s="241">
        <f t="shared" ca="1" si="90"/>
        <v>0</v>
      </c>
      <c r="AM89" s="241">
        <f t="shared" ca="1" si="90"/>
        <v>0</v>
      </c>
      <c r="AN89" s="241">
        <f t="shared" ca="1" si="90"/>
        <v>0</v>
      </c>
      <c r="AO89" s="241">
        <f t="shared" ca="1" si="90"/>
        <v>0</v>
      </c>
      <c r="AP89" s="241">
        <f t="shared" ca="1" si="90"/>
        <v>0</v>
      </c>
      <c r="AQ89" s="250">
        <f t="shared" ca="1" si="90"/>
        <v>0</v>
      </c>
    </row>
    <row r="90" spans="1:44" ht="12.75" customHeight="1" x14ac:dyDescent="0.2">
      <c r="D90" s="657"/>
      <c r="E90" s="238">
        <f ca="1">IF(ISERROR(E89),IF(1+COUNTIF($L$13:OFFSET(L89,-1,0),1)&lt;=MAX(QCI!$D$13:$D$24),1+COUNTIF($L$13:OFFSET(L89,-1,0),1),-1),0)</f>
        <v>0</v>
      </c>
      <c r="F90" s="238" t="str">
        <f ca="1">IF(AND($E90&lt;&gt;-1,$R89&gt;0),"F","")</f>
        <v/>
      </c>
      <c r="G90" s="251" t="str">
        <f ca="1">IF(OR(R89=0,R89=""),"vazia",IF(AND(OR(ACOMPANHAMENTO="PLE",$Q89&lt;&gt;2),$E90=0),"calculada","--&gt;"))</f>
        <v>vazia</v>
      </c>
      <c r="H90" s="252"/>
      <c r="I90" s="253" t="str">
        <f ca="1">IF(AND(G89&lt;&gt;0,ISNUMBER(G89)),"PREENCHA ESTA LINHA --&gt;","")</f>
        <v/>
      </c>
      <c r="J90" s="253"/>
      <c r="K90" s="253"/>
      <c r="L90" s="254"/>
      <c r="M90" s="254"/>
      <c r="N90" s="254"/>
      <c r="O90" s="254"/>
      <c r="P90" s="254"/>
      <c r="Q90" s="254"/>
      <c r="R90" s="255"/>
      <c r="S90" s="256"/>
      <c r="T90" s="658"/>
      <c r="U90" s="657"/>
      <c r="V90" s="657"/>
      <c r="W90" s="657"/>
      <c r="X90" s="657"/>
      <c r="Y90" s="657"/>
      <c r="Z90" s="657"/>
      <c r="AA90" s="657"/>
      <c r="AB90" s="657"/>
      <c r="AC90" s="657"/>
      <c r="AD90" s="657"/>
      <c r="AE90" s="659"/>
      <c r="AF90" s="658"/>
      <c r="AG90" s="657"/>
      <c r="AH90" s="657">
        <v>1</v>
      </c>
      <c r="AI90" s="657"/>
      <c r="AJ90" s="657"/>
      <c r="AK90" s="657"/>
      <c r="AL90" s="657"/>
      <c r="AM90" s="657"/>
      <c r="AN90" s="657"/>
      <c r="AO90" s="657"/>
      <c r="AP90" s="657"/>
      <c r="AQ90" s="659"/>
      <c r="AR90" s="617"/>
    </row>
    <row r="91" spans="1:44" ht="0.2" hidden="1" customHeight="1" x14ac:dyDescent="0.2">
      <c r="D91" s="257">
        <f ca="1">IF($Q89=2,IF(AND(ACOMPANHAMENTO="PLE",ISNUMBER($E89)),SUMIF((OFFSET(CÁLCULO!$AM$15:$AW$15,$E89,0,OFFSET(ORÇAMENTO!$D$15,CRONO!$E89,0))),"="&amp;CRONO!D$12,OFFSET(CÁLCULO!$AB$15:$AL$15,$E89,0,OFFSET(ORÇAMENTO!$D$15,CRONO!$E89,0)))+IF(AND($E91&lt;&gt;"",$E91&lt;&gt;0),SUMIF(CÁLCULO!$AM$15:$AW$192,"="&amp;CRONO!D$12,CÁLCULO!$AB$15:$AL$192)/(ORÇAMENTO!$X$15-CÁLCULO.TotalAdmLocal)*CRONO!$E91,0),D90*$R89),SUMIF(OFFSET($R91,1,0,$Q89-2),($L89+1)&amp;"$",OFFSET(D91,1,0,$Q89-2)))</f>
        <v>0</v>
      </c>
      <c r="E91" s="238" t="str">
        <f ca="1">IF(OR($Q89&lt;&gt;2,AUTOEVENTO&lt;&gt;"manual",$E90&gt;0),"",SUMIF(OFFSET(CÁLCULO!$M$15,CRONO!$E89,0,OFFSET(ORÇAMENTO!$D$15,CRONO!$E89,0)),1,OFFSET(ORÇAMENTO!$X$15,CRONO!$E89,0,OFFSET(ORÇAMENTO!$D$15,CRONO!$E89,0))))</f>
        <v/>
      </c>
      <c r="G91" s="258"/>
      <c r="R91" s="259" t="str">
        <f ca="1">L89&amp;"$"</f>
        <v>2$</v>
      </c>
      <c r="S91" s="260"/>
      <c r="T91" s="261">
        <f ca="1">IF($Q89=2,IF(AND(ACOMPANHAMENTO="PLE",ISNUMBER($E89)),SUMIF((OFFSET(CÁLCULO!$AM$15:$AW$15,$E89,0,OFFSET(ORÇAMENTO!$D$15,CRONO!$E89,0))),"&lt;="&amp;CRONO!T$12,OFFSET(CÁLCULO!$AB$15:$AL$15,$E89,0,OFFSET(ORÇAMENTO!$D$15,CRONO!$E89,0)))+IF(AND($E91&lt;&gt;"",$E91&lt;&gt;0),SUMIF(CÁLCULO!$AM$15:$AW$192,"&lt;="&amp;CRONO!T$12,CÁLCULO!$AB$15:$AL$192)/(ORÇAMENTO!$X$15-CÁLCULO.TotalAdmLocal)*CRONO!$E91,0),T90*$R89),SUMIF(OFFSET($R91,1,0,$Q89-2),($L89+1)&amp;"$",OFFSET(T91,1,0,$Q89-2)))</f>
        <v>0</v>
      </c>
      <c r="U91" s="257">
        <f ca="1">IF($Q89=2,IF(AND(ACOMPANHAMENTO="PLE",ISNUMBER($E89)),SUMIF((OFFSET(CÁLCULO!$AM$15:$AW$15,$E89,0,OFFSET(ORÇAMENTO!$D$15,CRONO!$E89,0))),"="&amp;CRONO!U$12,OFFSET(CÁLCULO!$AB$15:$AL$15,$E89,0,OFFSET(ORÇAMENTO!$D$15,CRONO!$E89,0)))+IF(AND($E91&lt;&gt;"",$E91&lt;&gt;0),SUMIF(CÁLCULO!$AM$15:$AW$192,"="&amp;CRONO!U$12,CÁLCULO!$AB$15:$AL$192)/(ORÇAMENTO!$X$15-CÁLCULO.TotalAdmLocal)*CRONO!$E91,0),U90*$R89),SUMIF(OFFSET($R91,1,0,$Q89-2),($L89+1)&amp;"$",OFFSET(U91,1,0,$Q89-2)))</f>
        <v>0</v>
      </c>
      <c r="V91" s="257">
        <f ca="1">IF($Q89=2,IF(AND(ACOMPANHAMENTO="PLE",ISNUMBER($E89)),SUMIF((OFFSET(CÁLCULO!$AM$15:$AW$15,$E89,0,OFFSET(ORÇAMENTO!$D$15,CRONO!$E89,0))),"="&amp;CRONO!V$12,OFFSET(CÁLCULO!$AB$15:$AL$15,$E89,0,OFFSET(ORÇAMENTO!$D$15,CRONO!$E89,0)))+IF(AND($E91&lt;&gt;"",$E91&lt;&gt;0),SUMIF(CÁLCULO!$AM$15:$AW$192,"="&amp;CRONO!V$12,CÁLCULO!$AB$15:$AL$192)/(ORÇAMENTO!$X$15-CÁLCULO.TotalAdmLocal)*CRONO!$E91,0),V90*$R89),SUMIF(OFFSET($R91,1,0,$Q89-2),($L89+1)&amp;"$",OFFSET(V91,1,0,$Q89-2)))</f>
        <v>0</v>
      </c>
      <c r="W91" s="257">
        <f ca="1">IF($Q89=2,IF(AND(ACOMPANHAMENTO="PLE",ISNUMBER($E89)),SUMIF((OFFSET(CÁLCULO!$AM$15:$AW$15,$E89,0,OFFSET(ORÇAMENTO!$D$15,CRONO!$E89,0))),"="&amp;CRONO!W$12,OFFSET(CÁLCULO!$AB$15:$AL$15,$E89,0,OFFSET(ORÇAMENTO!$D$15,CRONO!$E89,0)))+IF(AND($E91&lt;&gt;"",$E91&lt;&gt;0),SUMIF(CÁLCULO!$AM$15:$AW$192,"="&amp;CRONO!W$12,CÁLCULO!$AB$15:$AL$192)/(ORÇAMENTO!$X$15-CÁLCULO.TotalAdmLocal)*CRONO!$E91,0),W90*$R89),SUMIF(OFFSET($R91,1,0,$Q89-2),($L89+1)&amp;"$",OFFSET(W91,1,0,$Q89-2)))</f>
        <v>0</v>
      </c>
      <c r="X91" s="257">
        <f ca="1">IF($Q89=2,IF(AND(ACOMPANHAMENTO="PLE",ISNUMBER($E89)),SUMIF((OFFSET(CÁLCULO!$AM$15:$AW$15,$E89,0,OFFSET(ORÇAMENTO!$D$15,CRONO!$E89,0))),"="&amp;CRONO!X$12,OFFSET(CÁLCULO!$AB$15:$AL$15,$E89,0,OFFSET(ORÇAMENTO!$D$15,CRONO!$E89,0)))+IF(AND($E91&lt;&gt;"",$E91&lt;&gt;0),SUMIF(CÁLCULO!$AM$15:$AW$192,"="&amp;CRONO!X$12,CÁLCULO!$AB$15:$AL$192)/(ORÇAMENTO!$X$15-CÁLCULO.TotalAdmLocal)*CRONO!$E91,0),X90*$R89),SUMIF(OFFSET($R91,1,0,$Q89-2),($L89+1)&amp;"$",OFFSET(X91,1,0,$Q89-2)))</f>
        <v>0</v>
      </c>
      <c r="Y91" s="257">
        <f ca="1">IF($Q89=2,IF(AND(ACOMPANHAMENTO="PLE",ISNUMBER($E89)),SUMIF((OFFSET(CÁLCULO!$AM$15:$AW$15,$E89,0,OFFSET(ORÇAMENTO!$D$15,CRONO!$E89,0))),"="&amp;CRONO!Y$12,OFFSET(CÁLCULO!$AB$15:$AL$15,$E89,0,OFFSET(ORÇAMENTO!$D$15,CRONO!$E89,0)))+IF(AND($E91&lt;&gt;"",$E91&lt;&gt;0),SUMIF(CÁLCULO!$AM$15:$AW$192,"="&amp;CRONO!Y$12,CÁLCULO!$AB$15:$AL$192)/(ORÇAMENTO!$X$15-CÁLCULO.TotalAdmLocal)*CRONO!$E91,0),Y90*$R89),SUMIF(OFFSET($R91,1,0,$Q89-2),($L89+1)&amp;"$",OFFSET(Y91,1,0,$Q89-2)))</f>
        <v>0</v>
      </c>
      <c r="Z91" s="257">
        <f ca="1">IF($Q89=2,IF(AND(ACOMPANHAMENTO="PLE",ISNUMBER($E89)),SUMIF((OFFSET(CÁLCULO!$AM$15:$AW$15,$E89,0,OFFSET(ORÇAMENTO!$D$15,CRONO!$E89,0))),"="&amp;CRONO!Z$12,OFFSET(CÁLCULO!$AB$15:$AL$15,$E89,0,OFFSET(ORÇAMENTO!$D$15,CRONO!$E89,0)))+IF(AND($E91&lt;&gt;"",$E91&lt;&gt;0),SUMIF(CÁLCULO!$AM$15:$AW$192,"="&amp;CRONO!Z$12,CÁLCULO!$AB$15:$AL$192)/(ORÇAMENTO!$X$15-CÁLCULO.TotalAdmLocal)*CRONO!$E91,0),Z90*$R89),SUMIF(OFFSET($R91,1,0,$Q89-2),($L89+1)&amp;"$",OFFSET(Z91,1,0,$Q89-2)))</f>
        <v>0</v>
      </c>
      <c r="AA91" s="257">
        <f ca="1">IF($Q89=2,IF(AND(ACOMPANHAMENTO="PLE",ISNUMBER($E89)),SUMIF((OFFSET(CÁLCULO!$AM$15:$AW$15,$E89,0,OFFSET(ORÇAMENTO!$D$15,CRONO!$E89,0))),"="&amp;CRONO!AA$12,OFFSET(CÁLCULO!$AB$15:$AL$15,$E89,0,OFFSET(ORÇAMENTO!$D$15,CRONO!$E89,0)))+IF(AND($E91&lt;&gt;"",$E91&lt;&gt;0),SUMIF(CÁLCULO!$AM$15:$AW$192,"="&amp;CRONO!AA$12,CÁLCULO!$AB$15:$AL$192)/(ORÇAMENTO!$X$15-CÁLCULO.TotalAdmLocal)*CRONO!$E91,0),AA90*$R89),SUMIF(OFFSET($R91,1,0,$Q89-2),($L89+1)&amp;"$",OFFSET(AA91,1,0,$Q89-2)))</f>
        <v>0</v>
      </c>
      <c r="AB91" s="257">
        <f ca="1">IF($Q89=2,IF(AND(ACOMPANHAMENTO="PLE",ISNUMBER($E89)),SUMIF((OFFSET(CÁLCULO!$AM$15:$AW$15,$E89,0,OFFSET(ORÇAMENTO!$D$15,CRONO!$E89,0))),"="&amp;CRONO!AB$12,OFFSET(CÁLCULO!$AB$15:$AL$15,$E89,0,OFFSET(ORÇAMENTO!$D$15,CRONO!$E89,0)))+IF(AND($E91&lt;&gt;"",$E91&lt;&gt;0),SUMIF(CÁLCULO!$AM$15:$AW$192,"="&amp;CRONO!AB$12,CÁLCULO!$AB$15:$AL$192)/(ORÇAMENTO!$X$15-CÁLCULO.TotalAdmLocal)*CRONO!$E91,0),AB90*$R89),SUMIF(OFFSET($R91,1,0,$Q89-2),($L89+1)&amp;"$",OFFSET(AB91,1,0,$Q89-2)))</f>
        <v>0</v>
      </c>
      <c r="AC91" s="257">
        <f ca="1">IF($Q89=2,IF(AND(ACOMPANHAMENTO="PLE",ISNUMBER($E89)),SUMIF((OFFSET(CÁLCULO!$AM$15:$AW$15,$E89,0,OFFSET(ORÇAMENTO!$D$15,CRONO!$E89,0))),"="&amp;CRONO!AC$12,OFFSET(CÁLCULO!$AB$15:$AL$15,$E89,0,OFFSET(ORÇAMENTO!$D$15,CRONO!$E89,0)))+IF(AND($E91&lt;&gt;"",$E91&lt;&gt;0),SUMIF(CÁLCULO!$AM$15:$AW$192,"="&amp;CRONO!AC$12,CÁLCULO!$AB$15:$AL$192)/(ORÇAMENTO!$X$15-CÁLCULO.TotalAdmLocal)*CRONO!$E91,0),AC90*$R89),SUMIF(OFFSET($R91,1,0,$Q89-2),($L89+1)&amp;"$",OFFSET(AC91,1,0,$Q89-2)))</f>
        <v>0</v>
      </c>
      <c r="AD91" s="257">
        <f ca="1">IF($Q89=2,IF(AND(ACOMPANHAMENTO="PLE",ISNUMBER($E89)),SUMIF((OFFSET(CÁLCULO!$AM$15:$AW$15,$E89,0,OFFSET(ORÇAMENTO!$D$15,CRONO!$E89,0))),"="&amp;CRONO!AD$12,OFFSET(CÁLCULO!$AB$15:$AL$15,$E89,0,OFFSET(ORÇAMENTO!$D$15,CRONO!$E89,0)))+IF(AND($E91&lt;&gt;"",$E91&lt;&gt;0),SUMIF(CÁLCULO!$AM$15:$AW$192,"="&amp;CRONO!AD$12,CÁLCULO!$AB$15:$AL$192)/(ORÇAMENTO!$X$15-CÁLCULO.TotalAdmLocal)*CRONO!$E91,0),AD90*$R89),SUMIF(OFFSET($R91,1,0,$Q89-2),($L89+1)&amp;"$",OFFSET(AD91,1,0,$Q89-2)))</f>
        <v>0</v>
      </c>
      <c r="AE91" s="262">
        <f ca="1">IF($Q89=2,IF(AND(ACOMPANHAMENTO="PLE",ISNUMBER($E89)),SUMIF((OFFSET(CÁLCULO!$AM$15:$AW$15,$E89,0,OFFSET(ORÇAMENTO!$D$15,CRONO!$E89,0))),"="&amp;CRONO!AE$12,OFFSET(CÁLCULO!$AB$15:$AL$15,$E89,0,OFFSET(ORÇAMENTO!$D$15,CRONO!$E89,0)))+IF(AND($E91&lt;&gt;"",$E91&lt;&gt;0),SUMIF(CÁLCULO!$AM$15:$AW$192,"="&amp;CRONO!AE$12,CÁLCULO!$AB$15:$AL$192)/(ORÇAMENTO!$X$15-CÁLCULO.TotalAdmLocal)*CRONO!$E91,0),AE90*$R89),SUMIF(OFFSET($R91,1,0,$Q89-2),($L89+1)&amp;"$",OFFSET(AE91,1,0,$Q89-2)))</f>
        <v>0</v>
      </c>
      <c r="AF91" s="261">
        <f ca="1">IF($Q89=2,IF(AND(ACOMPANHAMENTO="PLE",ISNUMBER($E89)),SUMIF((OFFSET(CÁLCULO!$AM$15:$AW$15,$E89,0,OFFSET(ORÇAMENTO!$D$15,CRONO!$E89,0))),"&lt;="&amp;CRONO!AF$12,OFFSET(CÁLCULO!$AB$15:$AL$15,$E89,0,OFFSET(ORÇAMENTO!$D$15,CRONO!$E89,0)))+IF(AND($E91&lt;&gt;"",$E91&lt;&gt;0),SUMIF(CÁLCULO!$AM$15:$AW$192,"&lt;="&amp;CRONO!AF$12,CÁLCULO!$AB$15:$AL$192)/(ORÇAMENTO!$X$15-CÁLCULO.TotalAdmLocal)*CRONO!$E91,0),AF90*$R89),SUMIF(OFFSET($R91,1,0,$Q89-2),($L89+1)&amp;"$",OFFSET(AF91,1,0,$Q89-2)))</f>
        <v>0</v>
      </c>
      <c r="AG91" s="257">
        <f ca="1">IF($Q89=2,IF(AND(ACOMPANHAMENTO="PLE",ISNUMBER($E89)),SUMIF((OFFSET(CÁLCULO!$AM$15:$AW$15,$E89,0,OFFSET(ORÇAMENTO!$D$15,CRONO!$E89,0))),"="&amp;CRONO!AG$12,OFFSET(CÁLCULO!$AB$15:$AL$15,$E89,0,OFFSET(ORÇAMENTO!$D$15,CRONO!$E89,0)))+IF(AND($E91&lt;&gt;"",$E91&lt;&gt;0),SUMIF(CÁLCULO!$AM$15:$AW$192,"="&amp;CRONO!AG$12,CÁLCULO!$AB$15:$AL$192)/(ORÇAMENTO!$X$15-CÁLCULO.TotalAdmLocal)*CRONO!$E91,0),AG90*$R89),SUMIF(OFFSET($R91,1,0,$Q89-2),($L89+1)&amp;"$",OFFSET(AG91,1,0,$Q89-2)))</f>
        <v>0</v>
      </c>
      <c r="AH91" s="257">
        <f ca="1">IF($Q89=2,IF(AND(ACOMPANHAMENTO="PLE",ISNUMBER($E89)),SUMIF((OFFSET(CÁLCULO!$AM$15:$AW$15,$E89,0,OFFSET(ORÇAMENTO!$D$15,CRONO!$E89,0))),"="&amp;CRONO!AH$12,OFFSET(CÁLCULO!$AB$15:$AL$15,$E89,0,OFFSET(ORÇAMENTO!$D$15,CRONO!$E89,0)))+IF(AND($E91&lt;&gt;"",$E91&lt;&gt;0),SUMIF(CÁLCULO!$AM$15:$AW$192,"="&amp;CRONO!AH$12,CÁLCULO!$AB$15:$AL$192)/(ORÇAMENTO!$X$15-CÁLCULO.TotalAdmLocal)*CRONO!$E91,0),AH90*$R89),SUMIF(OFFSET($R91,1,0,$Q89-2),($L89+1)&amp;"$",OFFSET(AH91,1,0,$Q89-2)))</f>
        <v>0</v>
      </c>
      <c r="AI91" s="257">
        <f ca="1">IF($Q89=2,IF(AND(ACOMPANHAMENTO="PLE",ISNUMBER($E89)),SUMIF((OFFSET(CÁLCULO!$AM$15:$AW$15,$E89,0,OFFSET(ORÇAMENTO!$D$15,CRONO!$E89,0))),"="&amp;CRONO!AI$12,OFFSET(CÁLCULO!$AB$15:$AL$15,$E89,0,OFFSET(ORÇAMENTO!$D$15,CRONO!$E89,0)))+IF(AND($E91&lt;&gt;"",$E91&lt;&gt;0),SUMIF(CÁLCULO!$AM$15:$AW$192,"="&amp;CRONO!AI$12,CÁLCULO!$AB$15:$AL$192)/(ORÇAMENTO!$X$15-CÁLCULO.TotalAdmLocal)*CRONO!$E91,0),AI90*$R89),SUMIF(OFFSET($R91,1,0,$Q89-2),($L89+1)&amp;"$",OFFSET(AI91,1,0,$Q89-2)))</f>
        <v>0</v>
      </c>
      <c r="AJ91" s="257">
        <f ca="1">IF($Q89=2,IF(AND(ACOMPANHAMENTO="PLE",ISNUMBER($E89)),SUMIF((OFFSET(CÁLCULO!$AM$15:$AW$15,$E89,0,OFFSET(ORÇAMENTO!$D$15,CRONO!$E89,0))),"="&amp;CRONO!AJ$12,OFFSET(CÁLCULO!$AB$15:$AL$15,$E89,0,OFFSET(ORÇAMENTO!$D$15,CRONO!$E89,0)))+IF(AND($E91&lt;&gt;"",$E91&lt;&gt;0),SUMIF(CÁLCULO!$AM$15:$AW$192,"="&amp;CRONO!AJ$12,CÁLCULO!$AB$15:$AL$192)/(ORÇAMENTO!$X$15-CÁLCULO.TotalAdmLocal)*CRONO!$E91,0),AJ90*$R89),SUMIF(OFFSET($R91,1,0,$Q89-2),($L89+1)&amp;"$",OFFSET(AJ91,1,0,$Q89-2)))</f>
        <v>0</v>
      </c>
      <c r="AK91" s="257">
        <f ca="1">IF($Q89=2,IF(AND(ACOMPANHAMENTO="PLE",ISNUMBER($E89)),SUMIF((OFFSET(CÁLCULO!$AM$15:$AW$15,$E89,0,OFFSET(ORÇAMENTO!$D$15,CRONO!$E89,0))),"="&amp;CRONO!AK$12,OFFSET(CÁLCULO!$AB$15:$AL$15,$E89,0,OFFSET(ORÇAMENTO!$D$15,CRONO!$E89,0)))+IF(AND($E91&lt;&gt;"",$E91&lt;&gt;0),SUMIF(CÁLCULO!$AM$15:$AW$192,"="&amp;CRONO!AK$12,CÁLCULO!$AB$15:$AL$192)/(ORÇAMENTO!$X$15-CÁLCULO.TotalAdmLocal)*CRONO!$E91,0),AK90*$R89),SUMIF(OFFSET($R91,1,0,$Q89-2),($L89+1)&amp;"$",OFFSET(AK91,1,0,$Q89-2)))</f>
        <v>0</v>
      </c>
      <c r="AL91" s="257">
        <f ca="1">IF($Q89=2,IF(AND(ACOMPANHAMENTO="PLE",ISNUMBER($E89)),SUMIF((OFFSET(CÁLCULO!$AM$15:$AW$15,$E89,0,OFFSET(ORÇAMENTO!$D$15,CRONO!$E89,0))),"="&amp;CRONO!AL$12,OFFSET(CÁLCULO!$AB$15:$AL$15,$E89,0,OFFSET(ORÇAMENTO!$D$15,CRONO!$E89,0)))+IF(AND($E91&lt;&gt;"",$E91&lt;&gt;0),SUMIF(CÁLCULO!$AM$15:$AW$192,"="&amp;CRONO!AL$12,CÁLCULO!$AB$15:$AL$192)/(ORÇAMENTO!$X$15-CÁLCULO.TotalAdmLocal)*CRONO!$E91,0),AL90*$R89),SUMIF(OFFSET($R91,1,0,$Q89-2),($L89+1)&amp;"$",OFFSET(AL91,1,0,$Q89-2)))</f>
        <v>0</v>
      </c>
      <c r="AM91" s="257">
        <f ca="1">IF($Q89=2,IF(AND(ACOMPANHAMENTO="PLE",ISNUMBER($E89)),SUMIF((OFFSET(CÁLCULO!$AM$15:$AW$15,$E89,0,OFFSET(ORÇAMENTO!$D$15,CRONO!$E89,0))),"="&amp;CRONO!AM$12,OFFSET(CÁLCULO!$AB$15:$AL$15,$E89,0,OFFSET(ORÇAMENTO!$D$15,CRONO!$E89,0)))+IF(AND($E91&lt;&gt;"",$E91&lt;&gt;0),SUMIF(CÁLCULO!$AM$15:$AW$192,"="&amp;CRONO!AM$12,CÁLCULO!$AB$15:$AL$192)/(ORÇAMENTO!$X$15-CÁLCULO.TotalAdmLocal)*CRONO!$E91,0),AM90*$R89),SUMIF(OFFSET($R91,1,0,$Q89-2),($L89+1)&amp;"$",OFFSET(AM91,1,0,$Q89-2)))</f>
        <v>0</v>
      </c>
      <c r="AN91" s="257">
        <f ca="1">IF($Q89=2,IF(AND(ACOMPANHAMENTO="PLE",ISNUMBER($E89)),SUMIF((OFFSET(CÁLCULO!$AM$15:$AW$15,$E89,0,OFFSET(ORÇAMENTO!$D$15,CRONO!$E89,0))),"="&amp;CRONO!AN$12,OFFSET(CÁLCULO!$AB$15:$AL$15,$E89,0,OFFSET(ORÇAMENTO!$D$15,CRONO!$E89,0)))+IF(AND($E91&lt;&gt;"",$E91&lt;&gt;0),SUMIF(CÁLCULO!$AM$15:$AW$192,"="&amp;CRONO!AN$12,CÁLCULO!$AB$15:$AL$192)/(ORÇAMENTO!$X$15-CÁLCULO.TotalAdmLocal)*CRONO!$E91,0),AN90*$R89),SUMIF(OFFSET($R91,1,0,$Q89-2),($L89+1)&amp;"$",OFFSET(AN91,1,0,$Q89-2)))</f>
        <v>0</v>
      </c>
      <c r="AO91" s="257">
        <f ca="1">IF($Q89=2,IF(AND(ACOMPANHAMENTO="PLE",ISNUMBER($E89)),SUMIF((OFFSET(CÁLCULO!$AM$15:$AW$15,$E89,0,OFFSET(ORÇAMENTO!$D$15,CRONO!$E89,0))),"="&amp;CRONO!AO$12,OFFSET(CÁLCULO!$AB$15:$AL$15,$E89,0,OFFSET(ORÇAMENTO!$D$15,CRONO!$E89,0)))+IF(AND($E91&lt;&gt;"",$E91&lt;&gt;0),SUMIF(CÁLCULO!$AM$15:$AW$192,"="&amp;CRONO!AO$12,CÁLCULO!$AB$15:$AL$192)/(ORÇAMENTO!$X$15-CÁLCULO.TotalAdmLocal)*CRONO!$E91,0),AO90*$R89),SUMIF(OFFSET($R91,1,0,$Q89-2),($L89+1)&amp;"$",OFFSET(AO91,1,0,$Q89-2)))</f>
        <v>0</v>
      </c>
      <c r="AP91" s="257">
        <f ca="1">IF($Q89=2,IF(AND(ACOMPANHAMENTO="PLE",ISNUMBER($E89)),SUMIF((OFFSET(CÁLCULO!$AM$15:$AW$15,$E89,0,OFFSET(ORÇAMENTO!$D$15,CRONO!$E89,0))),"="&amp;CRONO!AP$12,OFFSET(CÁLCULO!$AB$15:$AL$15,$E89,0,OFFSET(ORÇAMENTO!$D$15,CRONO!$E89,0)))+IF(AND($E91&lt;&gt;"",$E91&lt;&gt;0),SUMIF(CÁLCULO!$AM$15:$AW$192,"="&amp;CRONO!AP$12,CÁLCULO!$AB$15:$AL$192)/(ORÇAMENTO!$X$15-CÁLCULO.TotalAdmLocal)*CRONO!$E91,0),AP90*$R89),SUMIF(OFFSET($R91,1,0,$Q89-2),($L89+1)&amp;"$",OFFSET(AP91,1,0,$Q89-2)))</f>
        <v>0</v>
      </c>
      <c r="AQ91" s="262">
        <f ca="1">IF($Q89=2,IF(AND(ACOMPANHAMENTO="PLE",ISNUMBER($E89)),SUMIF((OFFSET(CÁLCULO!$AM$15:$AW$15,$E89,0,OFFSET(ORÇAMENTO!$D$15,CRONO!$E89,0))),"="&amp;CRONO!AQ$12,OFFSET(CÁLCULO!$AB$15:$AL$15,$E89,0,OFFSET(ORÇAMENTO!$D$15,CRONO!$E89,0)))+IF(AND($E91&lt;&gt;"",$E91&lt;&gt;0),SUMIF(CÁLCULO!$AM$15:$AW$192,"="&amp;CRONO!AQ$12,CÁLCULO!$AB$15:$AL$192)/(ORÇAMENTO!$X$15-CÁLCULO.TotalAdmLocal)*CRONO!$E91,0),AQ90*$R89),SUMIF(OFFSET($R91,1,0,$Q89-2),($L89+1)&amp;"$",OFFSET(AQ91,1,0,$Q89-2)))</f>
        <v>0</v>
      </c>
    </row>
    <row r="92" spans="1:44" ht="5.0999999999999996" customHeight="1" x14ac:dyDescent="0.2">
      <c r="D92" s="582"/>
      <c r="F92" s="238" t="s">
        <v>246</v>
      </c>
      <c r="G92" s="584"/>
      <c r="H92" s="585"/>
      <c r="I92" s="586"/>
      <c r="J92" s="586"/>
      <c r="K92" s="586"/>
      <c r="L92" s="587" t="s">
        <v>281</v>
      </c>
      <c r="M92" s="587"/>
      <c r="N92" s="587"/>
      <c r="O92" s="587"/>
      <c r="P92" s="587"/>
      <c r="Q92" s="587"/>
      <c r="R92" s="588"/>
      <c r="S92" s="588"/>
      <c r="T92" s="586"/>
      <c r="U92" s="586"/>
      <c r="V92" s="586"/>
      <c r="W92" s="586"/>
      <c r="X92" s="586"/>
      <c r="Y92" s="586"/>
      <c r="Z92" s="586"/>
      <c r="AA92" s="586"/>
      <c r="AB92" s="586"/>
      <c r="AC92" s="586"/>
      <c r="AD92" s="586"/>
      <c r="AE92" s="589"/>
      <c r="AF92" s="586"/>
      <c r="AG92" s="586"/>
      <c r="AH92" s="586"/>
      <c r="AI92" s="586"/>
      <c r="AJ92" s="586"/>
      <c r="AK92" s="586"/>
      <c r="AL92" s="586"/>
      <c r="AM92" s="586"/>
      <c r="AN92" s="586"/>
      <c r="AO92" s="586"/>
      <c r="AP92" s="586"/>
      <c r="AQ92" s="589"/>
      <c r="AR92" s="583"/>
    </row>
    <row r="93" spans="1:44" ht="12.75" customHeight="1" x14ac:dyDescent="0.2">
      <c r="D93" s="289" t="e">
        <f ca="1">D97/$Q$93</f>
        <v>#DIV/0!</v>
      </c>
      <c r="F93" s="238" t="s">
        <v>246</v>
      </c>
      <c r="H93" s="756" t="str">
        <f ca="1">"Total:    R$ "&amp;TEXT(Q93,"#.##0,00")</f>
        <v>Total:    R$ 0,00</v>
      </c>
      <c r="I93" s="756"/>
      <c r="J93" s="756"/>
      <c r="K93" s="290"/>
      <c r="Q93" s="291">
        <f ca="1">SUMIF(L12:L92,1,R12:R92)</f>
        <v>0</v>
      </c>
      <c r="R93" s="292"/>
      <c r="S93" s="293" t="s">
        <v>282</v>
      </c>
      <c r="T93" s="294" t="e">
        <f t="shared" ref="T93:AE93" ca="1" si="91">ROUND(T97,2)/$Q$93</f>
        <v>#DIV/0!</v>
      </c>
      <c r="U93" s="295" t="e">
        <f t="shared" ca="1" si="91"/>
        <v>#DIV/0!</v>
      </c>
      <c r="V93" s="295" t="e">
        <f t="shared" ca="1" si="91"/>
        <v>#DIV/0!</v>
      </c>
      <c r="W93" s="295" t="e">
        <f t="shared" ca="1" si="91"/>
        <v>#DIV/0!</v>
      </c>
      <c r="X93" s="295" t="e">
        <f t="shared" ca="1" si="91"/>
        <v>#DIV/0!</v>
      </c>
      <c r="Y93" s="295" t="e">
        <f t="shared" ca="1" si="91"/>
        <v>#DIV/0!</v>
      </c>
      <c r="Z93" s="295" t="e">
        <f t="shared" ca="1" si="91"/>
        <v>#DIV/0!</v>
      </c>
      <c r="AA93" s="295" t="e">
        <f t="shared" ca="1" si="91"/>
        <v>#DIV/0!</v>
      </c>
      <c r="AB93" s="295" t="e">
        <f t="shared" ca="1" si="91"/>
        <v>#DIV/0!</v>
      </c>
      <c r="AC93" s="295" t="e">
        <f t="shared" ca="1" si="91"/>
        <v>#DIV/0!</v>
      </c>
      <c r="AD93" s="295" t="e">
        <f t="shared" ca="1" si="91"/>
        <v>#DIV/0!</v>
      </c>
      <c r="AE93" s="296" t="e">
        <f t="shared" ca="1" si="91"/>
        <v>#DIV/0!</v>
      </c>
      <c r="AF93" s="294" t="e">
        <f t="shared" ref="AF93:AQ93" ca="1" si="92">AF97/$Q$93</f>
        <v>#DIV/0!</v>
      </c>
      <c r="AG93" s="295" t="e">
        <f t="shared" ca="1" si="92"/>
        <v>#DIV/0!</v>
      </c>
      <c r="AH93" s="295" t="e">
        <f t="shared" ca="1" si="92"/>
        <v>#DIV/0!</v>
      </c>
      <c r="AI93" s="295" t="e">
        <f t="shared" ca="1" si="92"/>
        <v>#DIV/0!</v>
      </c>
      <c r="AJ93" s="295" t="e">
        <f t="shared" ca="1" si="92"/>
        <v>#DIV/0!</v>
      </c>
      <c r="AK93" s="295" t="e">
        <f t="shared" ca="1" si="92"/>
        <v>#DIV/0!</v>
      </c>
      <c r="AL93" s="295" t="e">
        <f t="shared" ca="1" si="92"/>
        <v>#DIV/0!</v>
      </c>
      <c r="AM93" s="295" t="e">
        <f t="shared" ca="1" si="92"/>
        <v>#DIV/0!</v>
      </c>
      <c r="AN93" s="295" t="e">
        <f t="shared" ca="1" si="92"/>
        <v>#DIV/0!</v>
      </c>
      <c r="AO93" s="295" t="e">
        <f t="shared" ca="1" si="92"/>
        <v>#DIV/0!</v>
      </c>
      <c r="AP93" s="295" t="e">
        <f t="shared" ca="1" si="92"/>
        <v>#DIV/0!</v>
      </c>
      <c r="AQ93" s="296" t="e">
        <f t="shared" ca="1" si="92"/>
        <v>#DIV/0!</v>
      </c>
    </row>
    <row r="94" spans="1:44" ht="15" customHeight="1" x14ac:dyDescent="0.2">
      <c r="D94" s="297">
        <f ca="1">ROUND(D99,2)-ROUND(C99,2)</f>
        <v>0</v>
      </c>
      <c r="F94" s="238" t="s">
        <v>246</v>
      </c>
      <c r="H94" s="756"/>
      <c r="I94" s="756"/>
      <c r="J94" s="756"/>
      <c r="K94" s="298"/>
      <c r="Q94" s="291"/>
      <c r="R94" s="299"/>
      <c r="S94" s="300" t="str">
        <f>IF(import.recurso="FGTS","Financiamento:","Repasse:")</f>
        <v>Repasse:</v>
      </c>
      <c r="T94" s="301">
        <f ca="1">ROUND(T99,2)</f>
        <v>0</v>
      </c>
      <c r="U94" s="297">
        <f t="shared" ref="U94:AQ94" ca="1" si="93">ROUND(U99,2)-ROUND(T99,2)</f>
        <v>0</v>
      </c>
      <c r="V94" s="297">
        <f t="shared" ca="1" si="93"/>
        <v>0</v>
      </c>
      <c r="W94" s="297">
        <f t="shared" ca="1" si="93"/>
        <v>0</v>
      </c>
      <c r="X94" s="297">
        <f t="shared" ca="1" si="93"/>
        <v>0</v>
      </c>
      <c r="Y94" s="297">
        <f t="shared" ca="1" si="93"/>
        <v>0</v>
      </c>
      <c r="Z94" s="297">
        <f t="shared" ca="1" si="93"/>
        <v>0</v>
      </c>
      <c r="AA94" s="297">
        <f t="shared" ca="1" si="93"/>
        <v>0</v>
      </c>
      <c r="AB94" s="297">
        <f t="shared" ca="1" si="93"/>
        <v>0</v>
      </c>
      <c r="AC94" s="297">
        <f t="shared" ca="1" si="93"/>
        <v>0</v>
      </c>
      <c r="AD94" s="297">
        <f t="shared" ca="1" si="93"/>
        <v>0</v>
      </c>
      <c r="AE94" s="302">
        <f t="shared" ca="1" si="93"/>
        <v>0</v>
      </c>
      <c r="AF94" s="301">
        <f t="shared" ca="1" si="93"/>
        <v>0</v>
      </c>
      <c r="AG94" s="297">
        <f t="shared" ca="1" si="93"/>
        <v>0</v>
      </c>
      <c r="AH94" s="297">
        <f t="shared" ca="1" si="93"/>
        <v>0</v>
      </c>
      <c r="AI94" s="297">
        <f t="shared" ca="1" si="93"/>
        <v>0</v>
      </c>
      <c r="AJ94" s="297">
        <f t="shared" ca="1" si="93"/>
        <v>0</v>
      </c>
      <c r="AK94" s="297">
        <f t="shared" ca="1" si="93"/>
        <v>0</v>
      </c>
      <c r="AL94" s="297">
        <f t="shared" ca="1" si="93"/>
        <v>0</v>
      </c>
      <c r="AM94" s="297">
        <f t="shared" ca="1" si="93"/>
        <v>0</v>
      </c>
      <c r="AN94" s="297">
        <f t="shared" ca="1" si="93"/>
        <v>0</v>
      </c>
      <c r="AO94" s="297">
        <f t="shared" ca="1" si="93"/>
        <v>0</v>
      </c>
      <c r="AP94" s="297">
        <f t="shared" ca="1" si="93"/>
        <v>0</v>
      </c>
      <c r="AQ94" s="302">
        <f t="shared" ca="1" si="93"/>
        <v>0</v>
      </c>
    </row>
    <row r="95" spans="1:44" ht="12.75" customHeight="1" x14ac:dyDescent="0.2">
      <c r="D95" s="297">
        <f ca="1">ROUND(D100,2)-ROUND(C100,2)</f>
        <v>0</v>
      </c>
      <c r="F95" s="238" t="s">
        <v>246</v>
      </c>
      <c r="H95" s="303"/>
      <c r="K95" s="304" t="s">
        <v>283</v>
      </c>
      <c r="Q95" s="291"/>
      <c r="R95" s="305"/>
      <c r="S95" s="306" t="s">
        <v>284</v>
      </c>
      <c r="T95" s="307">
        <f ca="1">ROUND(T100,2)</f>
        <v>0</v>
      </c>
      <c r="U95" s="308">
        <f t="shared" ref="U95:AQ95" ca="1" si="94">ROUND(U100,2)-ROUND(T100,2)</f>
        <v>0</v>
      </c>
      <c r="V95" s="308">
        <f t="shared" ca="1" si="94"/>
        <v>0</v>
      </c>
      <c r="W95" s="308">
        <f t="shared" ca="1" si="94"/>
        <v>0</v>
      </c>
      <c r="X95" s="308">
        <f t="shared" ca="1" si="94"/>
        <v>0</v>
      </c>
      <c r="Y95" s="308">
        <f t="shared" ca="1" si="94"/>
        <v>0</v>
      </c>
      <c r="Z95" s="308">
        <f t="shared" ca="1" si="94"/>
        <v>0</v>
      </c>
      <c r="AA95" s="308">
        <f t="shared" ca="1" si="94"/>
        <v>0</v>
      </c>
      <c r="AB95" s="308">
        <f t="shared" ca="1" si="94"/>
        <v>0</v>
      </c>
      <c r="AC95" s="308">
        <f t="shared" ca="1" si="94"/>
        <v>0</v>
      </c>
      <c r="AD95" s="308">
        <f t="shared" ca="1" si="94"/>
        <v>0</v>
      </c>
      <c r="AE95" s="309">
        <f t="shared" ca="1" si="94"/>
        <v>0</v>
      </c>
      <c r="AF95" s="307">
        <f t="shared" ca="1" si="94"/>
        <v>0</v>
      </c>
      <c r="AG95" s="308">
        <f t="shared" ca="1" si="94"/>
        <v>0</v>
      </c>
      <c r="AH95" s="308">
        <f t="shared" ca="1" si="94"/>
        <v>0</v>
      </c>
      <c r="AI95" s="308">
        <f t="shared" ca="1" si="94"/>
        <v>0</v>
      </c>
      <c r="AJ95" s="308">
        <f t="shared" ca="1" si="94"/>
        <v>0</v>
      </c>
      <c r="AK95" s="308">
        <f t="shared" ca="1" si="94"/>
        <v>0</v>
      </c>
      <c r="AL95" s="308">
        <f t="shared" ca="1" si="94"/>
        <v>0</v>
      </c>
      <c r="AM95" s="308">
        <f t="shared" ca="1" si="94"/>
        <v>0</v>
      </c>
      <c r="AN95" s="308">
        <f t="shared" ca="1" si="94"/>
        <v>0</v>
      </c>
      <c r="AO95" s="308">
        <f t="shared" ca="1" si="94"/>
        <v>0</v>
      </c>
      <c r="AP95" s="308">
        <f t="shared" ca="1" si="94"/>
        <v>0</v>
      </c>
      <c r="AQ95" s="309">
        <f t="shared" ca="1" si="94"/>
        <v>0</v>
      </c>
    </row>
    <row r="96" spans="1:44" x14ac:dyDescent="0.2">
      <c r="D96" s="310">
        <f ca="1">ROUND(D101,2)-ROUND(C101,2)</f>
        <v>0</v>
      </c>
      <c r="F96" s="238" t="s">
        <v>246</v>
      </c>
      <c r="H96" s="303"/>
      <c r="K96" s="304"/>
      <c r="Q96" s="291"/>
      <c r="R96" s="311"/>
      <c r="S96" s="312" t="s">
        <v>285</v>
      </c>
      <c r="T96" s="313">
        <f ca="1">ROUND(T101,2)</f>
        <v>0</v>
      </c>
      <c r="U96" s="310">
        <f t="shared" ref="U96:AQ96" ca="1" si="95">ROUND(U101,2)-ROUND(T101,2)</f>
        <v>0</v>
      </c>
      <c r="V96" s="310">
        <f t="shared" ca="1" si="95"/>
        <v>0</v>
      </c>
      <c r="W96" s="310">
        <f t="shared" ca="1" si="95"/>
        <v>0</v>
      </c>
      <c r="X96" s="310">
        <f t="shared" ca="1" si="95"/>
        <v>0</v>
      </c>
      <c r="Y96" s="310">
        <f t="shared" ca="1" si="95"/>
        <v>0</v>
      </c>
      <c r="Z96" s="310">
        <f t="shared" ca="1" si="95"/>
        <v>0</v>
      </c>
      <c r="AA96" s="310">
        <f t="shared" ca="1" si="95"/>
        <v>0</v>
      </c>
      <c r="AB96" s="310">
        <f t="shared" ca="1" si="95"/>
        <v>0</v>
      </c>
      <c r="AC96" s="310">
        <f t="shared" ca="1" si="95"/>
        <v>0</v>
      </c>
      <c r="AD96" s="310">
        <f t="shared" ca="1" si="95"/>
        <v>0</v>
      </c>
      <c r="AE96" s="314">
        <f t="shared" ca="1" si="95"/>
        <v>0</v>
      </c>
      <c r="AF96" s="313">
        <f t="shared" ca="1" si="95"/>
        <v>0</v>
      </c>
      <c r="AG96" s="310">
        <f t="shared" ca="1" si="95"/>
        <v>0</v>
      </c>
      <c r="AH96" s="310">
        <f t="shared" ca="1" si="95"/>
        <v>0</v>
      </c>
      <c r="AI96" s="310">
        <f t="shared" ca="1" si="95"/>
        <v>0</v>
      </c>
      <c r="AJ96" s="310">
        <f t="shared" ca="1" si="95"/>
        <v>0</v>
      </c>
      <c r="AK96" s="310">
        <f t="shared" ca="1" si="95"/>
        <v>0</v>
      </c>
      <c r="AL96" s="310">
        <f t="shared" ca="1" si="95"/>
        <v>0</v>
      </c>
      <c r="AM96" s="310">
        <f t="shared" ca="1" si="95"/>
        <v>0</v>
      </c>
      <c r="AN96" s="310">
        <f t="shared" ca="1" si="95"/>
        <v>0</v>
      </c>
      <c r="AO96" s="310">
        <f t="shared" ca="1" si="95"/>
        <v>0</v>
      </c>
      <c r="AP96" s="310">
        <f t="shared" ca="1" si="95"/>
        <v>0</v>
      </c>
      <c r="AQ96" s="314">
        <f t="shared" ca="1" si="95"/>
        <v>0</v>
      </c>
    </row>
    <row r="97" spans="4:44" x14ac:dyDescent="0.2">
      <c r="D97" s="315">
        <f ca="1">ROUND(D102,2)-ROUND(C102,2)</f>
        <v>0</v>
      </c>
      <c r="F97" s="238" t="s">
        <v>246</v>
      </c>
      <c r="K97" s="316"/>
      <c r="R97" s="317"/>
      <c r="S97" s="318" t="s">
        <v>286</v>
      </c>
      <c r="T97" s="319">
        <f ca="1">ROUND(T102,2)</f>
        <v>0</v>
      </c>
      <c r="U97" s="320">
        <f t="shared" ref="U97:AQ97" ca="1" si="96">ROUND(U102,2)-ROUND(T102,2)</f>
        <v>0</v>
      </c>
      <c r="V97" s="320">
        <f t="shared" ca="1" si="96"/>
        <v>0</v>
      </c>
      <c r="W97" s="320">
        <f t="shared" ca="1" si="96"/>
        <v>0</v>
      </c>
      <c r="X97" s="320">
        <f t="shared" ca="1" si="96"/>
        <v>0</v>
      </c>
      <c r="Y97" s="320">
        <f t="shared" ca="1" si="96"/>
        <v>0</v>
      </c>
      <c r="Z97" s="320">
        <f t="shared" ca="1" si="96"/>
        <v>0</v>
      </c>
      <c r="AA97" s="320">
        <f t="shared" ca="1" si="96"/>
        <v>0</v>
      </c>
      <c r="AB97" s="320">
        <f t="shared" ca="1" si="96"/>
        <v>0</v>
      </c>
      <c r="AC97" s="320">
        <f t="shared" ca="1" si="96"/>
        <v>0</v>
      </c>
      <c r="AD97" s="320">
        <f t="shared" ca="1" si="96"/>
        <v>0</v>
      </c>
      <c r="AE97" s="321">
        <f t="shared" ca="1" si="96"/>
        <v>0</v>
      </c>
      <c r="AF97" s="319">
        <f t="shared" ca="1" si="96"/>
        <v>0</v>
      </c>
      <c r="AG97" s="320">
        <f t="shared" ca="1" si="96"/>
        <v>0</v>
      </c>
      <c r="AH97" s="320">
        <f t="shared" ca="1" si="96"/>
        <v>0</v>
      </c>
      <c r="AI97" s="320">
        <f t="shared" ca="1" si="96"/>
        <v>0</v>
      </c>
      <c r="AJ97" s="320">
        <f t="shared" ca="1" si="96"/>
        <v>0</v>
      </c>
      <c r="AK97" s="320">
        <f t="shared" ca="1" si="96"/>
        <v>0</v>
      </c>
      <c r="AL97" s="320">
        <f t="shared" ca="1" si="96"/>
        <v>0</v>
      </c>
      <c r="AM97" s="320">
        <f t="shared" ca="1" si="96"/>
        <v>0</v>
      </c>
      <c r="AN97" s="320">
        <f t="shared" ca="1" si="96"/>
        <v>0</v>
      </c>
      <c r="AO97" s="320">
        <f t="shared" ca="1" si="96"/>
        <v>0</v>
      </c>
      <c r="AP97" s="320">
        <f t="shared" ca="1" si="96"/>
        <v>0</v>
      </c>
      <c r="AQ97" s="321">
        <f t="shared" ca="1" si="96"/>
        <v>0</v>
      </c>
    </row>
    <row r="98" spans="4:44" x14ac:dyDescent="0.2">
      <c r="D98" s="289" t="e">
        <f ca="1">D102/$Q$93</f>
        <v>#DIV/0!</v>
      </c>
      <c r="F98" s="238" t="s">
        <v>246</v>
      </c>
      <c r="K98" s="290"/>
      <c r="R98" s="292"/>
      <c r="S98" s="293" t="s">
        <v>282</v>
      </c>
      <c r="T98" s="294" t="e">
        <f ca="1">ROUND(T102,2)/$Q$93</f>
        <v>#DIV/0!</v>
      </c>
      <c r="U98" s="295" t="e">
        <f t="shared" ref="U98:AE98" ca="1" si="97">ROUND(U102,2)/$Q$93</f>
        <v>#DIV/0!</v>
      </c>
      <c r="V98" s="295" t="e">
        <f t="shared" ca="1" si="97"/>
        <v>#DIV/0!</v>
      </c>
      <c r="W98" s="295" t="e">
        <f t="shared" ca="1" si="97"/>
        <v>#DIV/0!</v>
      </c>
      <c r="X98" s="295" t="e">
        <f t="shared" ca="1" si="97"/>
        <v>#DIV/0!</v>
      </c>
      <c r="Y98" s="295" t="e">
        <f t="shared" ca="1" si="97"/>
        <v>#DIV/0!</v>
      </c>
      <c r="Z98" s="295" t="e">
        <f t="shared" ca="1" si="97"/>
        <v>#DIV/0!</v>
      </c>
      <c r="AA98" s="295" t="e">
        <f t="shared" ca="1" si="97"/>
        <v>#DIV/0!</v>
      </c>
      <c r="AB98" s="295" t="e">
        <f t="shared" ca="1" si="97"/>
        <v>#DIV/0!</v>
      </c>
      <c r="AC98" s="295" t="e">
        <f t="shared" ca="1" si="97"/>
        <v>#DIV/0!</v>
      </c>
      <c r="AD98" s="295" t="e">
        <f t="shared" ca="1" si="97"/>
        <v>#DIV/0!</v>
      </c>
      <c r="AE98" s="296" t="e">
        <f t="shared" ca="1" si="97"/>
        <v>#DIV/0!</v>
      </c>
      <c r="AF98" s="294" t="e">
        <f t="shared" ref="AF98:AQ98" ca="1" si="98">AF102/$Q$93</f>
        <v>#DIV/0!</v>
      </c>
      <c r="AG98" s="295" t="e">
        <f t="shared" ca="1" si="98"/>
        <v>#DIV/0!</v>
      </c>
      <c r="AH98" s="295" t="e">
        <f t="shared" ca="1" si="98"/>
        <v>#DIV/0!</v>
      </c>
      <c r="AI98" s="295" t="e">
        <f t="shared" ca="1" si="98"/>
        <v>#DIV/0!</v>
      </c>
      <c r="AJ98" s="295" t="e">
        <f t="shared" ca="1" si="98"/>
        <v>#DIV/0!</v>
      </c>
      <c r="AK98" s="295" t="e">
        <f t="shared" ca="1" si="98"/>
        <v>#DIV/0!</v>
      </c>
      <c r="AL98" s="295" t="e">
        <f t="shared" ca="1" si="98"/>
        <v>#DIV/0!</v>
      </c>
      <c r="AM98" s="295" t="e">
        <f t="shared" ca="1" si="98"/>
        <v>#DIV/0!</v>
      </c>
      <c r="AN98" s="295" t="e">
        <f t="shared" ca="1" si="98"/>
        <v>#DIV/0!</v>
      </c>
      <c r="AO98" s="295" t="e">
        <f t="shared" ca="1" si="98"/>
        <v>#DIV/0!</v>
      </c>
      <c r="AP98" s="295" t="e">
        <f t="shared" ca="1" si="98"/>
        <v>#DIV/0!</v>
      </c>
      <c r="AQ98" s="296" t="e">
        <f t="shared" ca="1" si="98"/>
        <v>#DIV/0!</v>
      </c>
    </row>
    <row r="99" spans="4:44" x14ac:dyDescent="0.2">
      <c r="D99" s="297">
        <f ca="1">ROUND(D102-D101-D100,2)</f>
        <v>0</v>
      </c>
      <c r="F99" s="238" t="s">
        <v>246</v>
      </c>
      <c r="K99" s="298"/>
      <c r="R99" s="299"/>
      <c r="S99" s="300" t="str">
        <f>IF(import.recurso="FGTS","Financiamento:","Repasse:")</f>
        <v>Repasse:</v>
      </c>
      <c r="T99" s="301">
        <f ca="1">ROUND(T102-T101-T100,2)</f>
        <v>0</v>
      </c>
      <c r="U99" s="297">
        <f t="shared" ref="U99:AQ99" ca="1" si="99">ROUND(U102-U101-U100,2)</f>
        <v>0</v>
      </c>
      <c r="V99" s="297">
        <f t="shared" ca="1" si="99"/>
        <v>0</v>
      </c>
      <c r="W99" s="297">
        <f t="shared" ca="1" si="99"/>
        <v>0</v>
      </c>
      <c r="X99" s="297">
        <f t="shared" ca="1" si="99"/>
        <v>0</v>
      </c>
      <c r="Y99" s="297">
        <f t="shared" ca="1" si="99"/>
        <v>0</v>
      </c>
      <c r="Z99" s="297">
        <f t="shared" ca="1" si="99"/>
        <v>0</v>
      </c>
      <c r="AA99" s="297">
        <f t="shared" ca="1" si="99"/>
        <v>0</v>
      </c>
      <c r="AB99" s="297">
        <f t="shared" ca="1" si="99"/>
        <v>0</v>
      </c>
      <c r="AC99" s="297">
        <f t="shared" ca="1" si="99"/>
        <v>0</v>
      </c>
      <c r="AD99" s="297">
        <f t="shared" ca="1" si="99"/>
        <v>0</v>
      </c>
      <c r="AE99" s="302">
        <f t="shared" ca="1" si="99"/>
        <v>0</v>
      </c>
      <c r="AF99" s="301">
        <f t="shared" ca="1" si="99"/>
        <v>0</v>
      </c>
      <c r="AG99" s="297">
        <f t="shared" ca="1" si="99"/>
        <v>0</v>
      </c>
      <c r="AH99" s="297">
        <f t="shared" ca="1" si="99"/>
        <v>0</v>
      </c>
      <c r="AI99" s="297">
        <f t="shared" ca="1" si="99"/>
        <v>0</v>
      </c>
      <c r="AJ99" s="297">
        <f t="shared" ca="1" si="99"/>
        <v>0</v>
      </c>
      <c r="AK99" s="297">
        <f t="shared" ca="1" si="99"/>
        <v>0</v>
      </c>
      <c r="AL99" s="297">
        <f t="shared" ca="1" si="99"/>
        <v>0</v>
      </c>
      <c r="AM99" s="297">
        <f t="shared" ca="1" si="99"/>
        <v>0</v>
      </c>
      <c r="AN99" s="297">
        <f t="shared" ca="1" si="99"/>
        <v>0</v>
      </c>
      <c r="AO99" s="297">
        <f t="shared" ca="1" si="99"/>
        <v>0</v>
      </c>
      <c r="AP99" s="297">
        <f t="shared" ca="1" si="99"/>
        <v>0</v>
      </c>
      <c r="AQ99" s="302">
        <f t="shared" ca="1" si="99"/>
        <v>0</v>
      </c>
      <c r="AR99" s="239">
        <f ca="1">AE99+SUMPRODUCT((OFFSET($B$13,1,0):OFFSET($B$92,-3,0))*IF(ISNUMBER(OFFSET(AR$11,5,0):OFFSET(AR$92,-1,0)),OFFSET(AR$11,5,0):OFFSET(AR$92,-1,0),0))</f>
        <v>0</v>
      </c>
    </row>
    <row r="100" spans="4:44" x14ac:dyDescent="0.2">
      <c r="D100" s="297">
        <f t="array" aca="1" ref="D100" ca="1">C100+SUM((OFFSET($B$13,1,0):OFFSET($B$92,-3,0))*IF(ISNUMBER(OFFSET(D$11,5,0):OFFSET(D$92,-1,0)),OFFSET(D$11,5,0):OFFSET(D$92,-1,0),0))</f>
        <v>0</v>
      </c>
      <c r="F100" s="238" t="s">
        <v>246</v>
      </c>
      <c r="K100" s="304" t="s">
        <v>287</v>
      </c>
      <c r="R100" s="305"/>
      <c r="S100" s="306" t="s">
        <v>284</v>
      </c>
      <c r="T100" s="307">
        <f t="array" aca="1" ref="T100" ca="1">SUM((OFFSET($B$13,1,0):OFFSET($B$92,-3,0))*IF(ISNUMBER(OFFSET(T$11,5,0):OFFSET(T$92,-1,0)),OFFSET(T$11,5,0):OFFSET(T$92,-1,0),0))</f>
        <v>0</v>
      </c>
      <c r="U100" s="308">
        <f t="array" aca="1" ref="U100" ca="1">T100+SUM((OFFSET($B$13,1,0):OFFSET($B$92,-3,0))*IF(ISNUMBER(OFFSET(U$11,5,0):OFFSET(U$92,-1,0)),OFFSET(U$11,5,0):OFFSET(U$92,-1,0),0))</f>
        <v>0</v>
      </c>
      <c r="V100" s="308">
        <f t="array" aca="1" ref="V100" ca="1">U100+SUM((OFFSET($B$13,1,0):OFFSET($B$92,-3,0))*IF(ISNUMBER(OFFSET(V$11,5,0):OFFSET(V$92,-1,0)),OFFSET(V$11,5,0):OFFSET(V$92,-1,0),0))</f>
        <v>0</v>
      </c>
      <c r="W100" s="308">
        <f t="array" aca="1" ref="W100" ca="1">V100+SUM((OFFSET($B$13,1,0):OFFSET($B$92,-3,0))*IF(ISNUMBER(OFFSET(W$11,5,0):OFFSET(W$92,-1,0)),OFFSET(W$11,5,0):OFFSET(W$92,-1,0),0))</f>
        <v>0</v>
      </c>
      <c r="X100" s="308">
        <f t="array" aca="1" ref="X100" ca="1">W100+SUM((OFFSET($B$13,1,0):OFFSET($B$92,-3,0))*IF(ISNUMBER(OFFSET(X$11,5,0):OFFSET(X$92,-1,0)),OFFSET(X$11,5,0):OFFSET(X$92,-1,0),0))</f>
        <v>0</v>
      </c>
      <c r="Y100" s="308">
        <f t="array" aca="1" ref="Y100" ca="1">X100+SUM((OFFSET($B$13,1,0):OFFSET($B$92,-3,0))*IF(ISNUMBER(OFFSET(Y$11,5,0):OFFSET(Y$92,-1,0)),OFFSET(Y$11,5,0):OFFSET(Y$92,-1,0),0))</f>
        <v>0</v>
      </c>
      <c r="Z100" s="308">
        <f t="array" aca="1" ref="Z100" ca="1">Y100+SUM((OFFSET($B$13,1,0):OFFSET($B$92,-3,0))*IF(ISNUMBER(OFFSET(Z$11,5,0):OFFSET(Z$92,-1,0)),OFFSET(Z$11,5,0):OFFSET(Z$92,-1,0),0))</f>
        <v>0</v>
      </c>
      <c r="AA100" s="308">
        <f t="array" aca="1" ref="AA100" ca="1">Z100+SUM((OFFSET($B$13,1,0):OFFSET($B$92,-3,0))*IF(ISNUMBER(OFFSET(AA$11,5,0):OFFSET(AA$92,-1,0)),OFFSET(AA$11,5,0):OFFSET(AA$92,-1,0),0))</f>
        <v>0</v>
      </c>
      <c r="AB100" s="308">
        <f t="array" aca="1" ref="AB100" ca="1">AA100+SUM((OFFSET($B$13,1,0):OFFSET($B$92,-3,0))*IF(ISNUMBER(OFFSET(AB$11,5,0):OFFSET(AB$92,-1,0)),OFFSET(AB$11,5,0):OFFSET(AB$92,-1,0),0))</f>
        <v>0</v>
      </c>
      <c r="AC100" s="308">
        <f t="array" aca="1" ref="AC100" ca="1">AB100+SUM((OFFSET($B$13,1,0):OFFSET($B$92,-3,0))*IF(ISNUMBER(OFFSET(AC$11,5,0):OFFSET(AC$92,-1,0)),OFFSET(AC$11,5,0):OFFSET(AC$92,-1,0),0))</f>
        <v>0</v>
      </c>
      <c r="AD100" s="308">
        <f t="array" aca="1" ref="AD100" ca="1">AC100+SUM((OFFSET($B$13,1,0):OFFSET($B$92,-3,0))*IF(ISNUMBER(OFFSET(AD$11,5,0):OFFSET(AD$92,-1,0)),OFFSET(AD$11,5,0):OFFSET(AD$92,-1,0),0))</f>
        <v>0</v>
      </c>
      <c r="AE100" s="309">
        <f t="array" aca="1" ref="AE100" ca="1">AD100+SUM((OFFSET($B$13,1,0):OFFSET($B$92,-3,0))*IF(ISNUMBER(OFFSET(AE$11,5,0):OFFSET(AE$92,-1,0)),OFFSET(AE$11,5,0):OFFSET(AE$92,-1,0),0))</f>
        <v>0</v>
      </c>
      <c r="AF100" s="307">
        <f t="array" aca="1" ref="AF100" ca="1">AE100+SUM((OFFSET($B$13,1,0):OFFSET($B$92,-3,0))*IF(ISNUMBER(OFFSET(AF$11,5,0):OFFSET(AF$92,-1,0)),OFFSET(AF$11,5,0):OFFSET(AF$92,-1,0),0))</f>
        <v>0</v>
      </c>
      <c r="AG100" s="308">
        <f t="array" aca="1" ref="AG100" ca="1">AF100+SUM((OFFSET($B$13,1,0):OFFSET($B$92,-3,0))*IF(ISNUMBER(OFFSET(AG$11,5,0):OFFSET(AG$92,-1,0)),OFFSET(AG$11,5,0):OFFSET(AG$92,-1,0),0))</f>
        <v>0</v>
      </c>
      <c r="AH100" s="308">
        <f t="array" aca="1" ref="AH100" ca="1">AG100+SUM((OFFSET($B$13,1,0):OFFSET($B$92,-3,0))*IF(ISNUMBER(OFFSET(AH$11,5,0):OFFSET(AH$92,-1,0)),OFFSET(AH$11,5,0):OFFSET(AH$92,-1,0),0))</f>
        <v>0</v>
      </c>
      <c r="AI100" s="308">
        <f t="array" aca="1" ref="AI100" ca="1">AH100+SUM((OFFSET($B$13,1,0):OFFSET($B$92,-3,0))*IF(ISNUMBER(OFFSET(AI$11,5,0):OFFSET(AI$92,-1,0)),OFFSET(AI$11,5,0):OFFSET(AI$92,-1,0),0))</f>
        <v>0</v>
      </c>
      <c r="AJ100" s="308">
        <f t="array" aca="1" ref="AJ100" ca="1">AI100+SUM((OFFSET($B$13,1,0):OFFSET($B$92,-3,0))*IF(ISNUMBER(OFFSET(AJ$11,5,0):OFFSET(AJ$92,-1,0)),OFFSET(AJ$11,5,0):OFFSET(AJ$92,-1,0),0))</f>
        <v>0</v>
      </c>
      <c r="AK100" s="308">
        <f t="array" aca="1" ref="AK100" ca="1">AJ100+SUM((OFFSET($B$13,1,0):OFFSET($B$92,-3,0))*IF(ISNUMBER(OFFSET(AK$11,5,0):OFFSET(AK$92,-1,0)),OFFSET(AK$11,5,0):OFFSET(AK$92,-1,0),0))</f>
        <v>0</v>
      </c>
      <c r="AL100" s="308">
        <f t="array" aca="1" ref="AL100" ca="1">AK100+SUM((OFFSET($B$13,1,0):OFFSET($B$92,-3,0))*IF(ISNUMBER(OFFSET(AL$11,5,0):OFFSET(AL$92,-1,0)),OFFSET(AL$11,5,0):OFFSET(AL$92,-1,0),0))</f>
        <v>0</v>
      </c>
      <c r="AM100" s="308">
        <f t="array" aca="1" ref="AM100" ca="1">AL100+SUM((OFFSET($B$13,1,0):OFFSET($B$92,-3,0))*IF(ISNUMBER(OFFSET(AM$11,5,0):OFFSET(AM$92,-1,0)),OFFSET(AM$11,5,0):OFFSET(AM$92,-1,0),0))</f>
        <v>0</v>
      </c>
      <c r="AN100" s="308">
        <f t="array" aca="1" ref="AN100" ca="1">AM100+SUM((OFFSET($B$13,1,0):OFFSET($B$92,-3,0))*IF(ISNUMBER(OFFSET(AN$11,5,0):OFFSET(AN$92,-1,0)),OFFSET(AN$11,5,0):OFFSET(AN$92,-1,0),0))</f>
        <v>0</v>
      </c>
      <c r="AO100" s="308">
        <f t="array" aca="1" ref="AO100" ca="1">AN100+SUM((OFFSET($B$13,1,0):OFFSET($B$92,-3,0))*IF(ISNUMBER(OFFSET(AO$11,5,0):OFFSET(AO$92,-1,0)),OFFSET(AO$11,5,0):OFFSET(AO$92,-1,0),0))</f>
        <v>0</v>
      </c>
      <c r="AP100" s="308">
        <f t="array" aca="1" ref="AP100" ca="1">AO100+SUM((OFFSET($B$13,1,0):OFFSET($B$92,-3,0))*IF(ISNUMBER(OFFSET(AP$11,5,0):OFFSET(AP$92,-1,0)),OFFSET(AP$11,5,0):OFFSET(AP$92,-1,0),0))</f>
        <v>0</v>
      </c>
      <c r="AQ100" s="309">
        <f t="array" aca="1" ref="AQ100" ca="1">AP100+SUM((OFFSET($B$13,1,0):OFFSET($B$92,-3,0))*IF(ISNUMBER(OFFSET(AQ$11,5,0):OFFSET(AQ$92,-1,0)),OFFSET(AQ$11,5,0):OFFSET(AQ$92,-1,0),0))</f>
        <v>0</v>
      </c>
      <c r="AR100" s="239">
        <f ca="1">AE100+SUMPRODUCT((OFFSET($C$13,1,0):OFFSET($C$92,-3,0))*IF(ISNUMBER(OFFSET(AR$11,5,0):OFFSET(AR$92,-1,0)),OFFSET(AR$11,5,0):OFFSET(AR$92,-1,0),0))</f>
        <v>0</v>
      </c>
    </row>
    <row r="101" spans="4:44" x14ac:dyDescent="0.2">
      <c r="D101" s="310">
        <f t="array" aca="1" ref="D101" ca="1">C101+SUM((OFFSET($C$13,1,0):OFFSET($C$92,-3,0))*IF(ISNUMBER(OFFSET(D$11,5,0):OFFSET(D$92,-1,0)),OFFSET(D$11,5,0):OFFSET(D$92,-1,0),0))</f>
        <v>0</v>
      </c>
      <c r="F101" s="238" t="s">
        <v>246</v>
      </c>
      <c r="K101" s="304"/>
      <c r="R101" s="311"/>
      <c r="S101" s="312" t="s">
        <v>285</v>
      </c>
      <c r="T101" s="313">
        <f t="array" aca="1" ref="T101" ca="1">SUM((OFFSET($C$13,1,0):OFFSET($C$92,-3,0))*IF(ISNUMBER(OFFSET(T$11,5,0):OFFSET(T$92,-1,0)),OFFSET(T$11,5,0):OFFSET(T$92,-1,0),0))</f>
        <v>0</v>
      </c>
      <c r="U101" s="310">
        <f t="array" aca="1" ref="U101" ca="1">T101+SUM((OFFSET($C$13,1,0):OFFSET($C$92,-3,0))*IF(ISNUMBER(OFFSET(U$11,5,0):OFFSET(U$92,-1,0)),OFFSET(U$11,5,0):OFFSET(U$92,-1,0),0))</f>
        <v>0</v>
      </c>
      <c r="V101" s="310">
        <f t="array" aca="1" ref="V101" ca="1">U101+SUM((OFFSET($C$13,1,0):OFFSET($C$92,-3,0))*IF(ISNUMBER(OFFSET(V$11,5,0):OFFSET(V$92,-1,0)),OFFSET(V$11,5,0):OFFSET(V$92,-1,0),0))</f>
        <v>0</v>
      </c>
      <c r="W101" s="310">
        <f t="array" aca="1" ref="W101" ca="1">V101+SUM((OFFSET($C$13,1,0):OFFSET($C$92,-3,0))*IF(ISNUMBER(OFFSET(W$11,5,0):OFFSET(W$92,-1,0)),OFFSET(W$11,5,0):OFFSET(W$92,-1,0),0))</f>
        <v>0</v>
      </c>
      <c r="X101" s="310">
        <f t="array" aca="1" ref="X101" ca="1">W101+SUM((OFFSET($C$13,1,0):OFFSET($C$92,-3,0))*IF(ISNUMBER(OFFSET(X$11,5,0):OFFSET(X$92,-1,0)),OFFSET(X$11,5,0):OFFSET(X$92,-1,0),0))</f>
        <v>0</v>
      </c>
      <c r="Y101" s="310">
        <f t="array" aca="1" ref="Y101" ca="1">X101+SUM((OFFSET($C$13,1,0):OFFSET($C$92,-3,0))*IF(ISNUMBER(OFFSET(Y$11,5,0):OFFSET(Y$92,-1,0)),OFFSET(Y$11,5,0):OFFSET(Y$92,-1,0),0))</f>
        <v>0</v>
      </c>
      <c r="Z101" s="310">
        <f t="array" aca="1" ref="Z101" ca="1">Y101+SUM((OFFSET($C$13,1,0):OFFSET($C$92,-3,0))*IF(ISNUMBER(OFFSET(Z$11,5,0):OFFSET(Z$92,-1,0)),OFFSET(Z$11,5,0):OFFSET(Z$92,-1,0),0))</f>
        <v>0</v>
      </c>
      <c r="AA101" s="310">
        <f t="array" aca="1" ref="AA101" ca="1">Z101+SUM((OFFSET($C$13,1,0):OFFSET($C$92,-3,0))*IF(ISNUMBER(OFFSET(AA$11,5,0):OFFSET(AA$92,-1,0)),OFFSET(AA$11,5,0):OFFSET(AA$92,-1,0),0))</f>
        <v>0</v>
      </c>
      <c r="AB101" s="310">
        <f t="array" aca="1" ref="AB101" ca="1">AA101+SUM((OFFSET($C$13,1,0):OFFSET($C$92,-3,0))*IF(ISNUMBER(OFFSET(AB$11,5,0):OFFSET(AB$92,-1,0)),OFFSET(AB$11,5,0):OFFSET(AB$92,-1,0),0))</f>
        <v>0</v>
      </c>
      <c r="AC101" s="310">
        <f t="array" aca="1" ref="AC101" ca="1">AB101+SUM((OFFSET($C$13,1,0):OFFSET($C$92,-3,0))*IF(ISNUMBER(OFFSET(AC$11,5,0):OFFSET(AC$92,-1,0)),OFFSET(AC$11,5,0):OFFSET(AC$92,-1,0),0))</f>
        <v>0</v>
      </c>
      <c r="AD101" s="310">
        <f t="array" aca="1" ref="AD101" ca="1">AC101+SUM((OFFSET($C$13,1,0):OFFSET($C$92,-3,0))*IF(ISNUMBER(OFFSET(AD$11,5,0):OFFSET(AD$92,-1,0)),OFFSET(AD$11,5,0):OFFSET(AD$92,-1,0),0))</f>
        <v>0</v>
      </c>
      <c r="AE101" s="314">
        <f t="array" aca="1" ref="AE101" ca="1">AD101+SUM((OFFSET($C$13,1,0):OFFSET($C$92,-3,0))*IF(ISNUMBER(OFFSET(AE$11,5,0):OFFSET(AE$92,-1,0)),OFFSET(AE$11,5,0):OFFSET(AE$92,-1,0),0))</f>
        <v>0</v>
      </c>
      <c r="AF101" s="313">
        <f t="array" aca="1" ref="AF101" ca="1">AE101+SUM((OFFSET($C$13,1,0):OFFSET($C$92,-3,0))*IF(ISNUMBER(OFFSET(AF$11,5,0):OFFSET(AF$92,-1,0)),OFFSET(AF$11,5,0):OFFSET(AF$92,-1,0),0))</f>
        <v>0</v>
      </c>
      <c r="AG101" s="310">
        <f t="array" aca="1" ref="AG101" ca="1">AF101+SUM((OFFSET($C$13,1,0):OFFSET($C$92,-3,0))*IF(ISNUMBER(OFFSET(AG$11,5,0):OFFSET(AG$92,-1,0)),OFFSET(AG$11,5,0):OFFSET(AG$92,-1,0),0))</f>
        <v>0</v>
      </c>
      <c r="AH101" s="310">
        <f t="array" aca="1" ref="AH101" ca="1">AG101+SUM((OFFSET($C$13,1,0):OFFSET($C$92,-3,0))*IF(ISNUMBER(OFFSET(AH$11,5,0):OFFSET(AH$92,-1,0)),OFFSET(AH$11,5,0):OFFSET(AH$92,-1,0),0))</f>
        <v>0</v>
      </c>
      <c r="AI101" s="310">
        <f t="array" aca="1" ref="AI101" ca="1">AH101+SUM((OFFSET($C$13,1,0):OFFSET($C$92,-3,0))*IF(ISNUMBER(OFFSET(AI$11,5,0):OFFSET(AI$92,-1,0)),OFFSET(AI$11,5,0):OFFSET(AI$92,-1,0),0))</f>
        <v>0</v>
      </c>
      <c r="AJ101" s="310">
        <f t="array" aca="1" ref="AJ101" ca="1">AI101+SUM((OFFSET($C$13,1,0):OFFSET($C$92,-3,0))*IF(ISNUMBER(OFFSET(AJ$11,5,0):OFFSET(AJ$92,-1,0)),OFFSET(AJ$11,5,0):OFFSET(AJ$92,-1,0),0))</f>
        <v>0</v>
      </c>
      <c r="AK101" s="310">
        <f t="array" aca="1" ref="AK101" ca="1">AJ101+SUM((OFFSET($C$13,1,0):OFFSET($C$92,-3,0))*IF(ISNUMBER(OFFSET(AK$11,5,0):OFFSET(AK$92,-1,0)),OFFSET(AK$11,5,0):OFFSET(AK$92,-1,0),0))</f>
        <v>0</v>
      </c>
      <c r="AL101" s="310">
        <f t="array" aca="1" ref="AL101" ca="1">AK101+SUM((OFFSET($C$13,1,0):OFFSET($C$92,-3,0))*IF(ISNUMBER(OFFSET(AL$11,5,0):OFFSET(AL$92,-1,0)),OFFSET(AL$11,5,0):OFFSET(AL$92,-1,0),0))</f>
        <v>0</v>
      </c>
      <c r="AM101" s="310">
        <f t="array" aca="1" ref="AM101" ca="1">AL101+SUM((OFFSET($C$13,1,0):OFFSET($C$92,-3,0))*IF(ISNUMBER(OFFSET(AM$11,5,0):OFFSET(AM$92,-1,0)),OFFSET(AM$11,5,0):OFFSET(AM$92,-1,0),0))</f>
        <v>0</v>
      </c>
      <c r="AN101" s="310">
        <f t="array" aca="1" ref="AN101" ca="1">AM101+SUM((OFFSET($C$13,1,0):OFFSET($C$92,-3,0))*IF(ISNUMBER(OFFSET(AN$11,5,0):OFFSET(AN$92,-1,0)),OFFSET(AN$11,5,0):OFFSET(AN$92,-1,0),0))</f>
        <v>0</v>
      </c>
      <c r="AO101" s="310">
        <f t="array" aca="1" ref="AO101" ca="1">AN101+SUM((OFFSET($C$13,1,0):OFFSET($C$92,-3,0))*IF(ISNUMBER(OFFSET(AO$11,5,0):OFFSET(AO$92,-1,0)),OFFSET(AO$11,5,0):OFFSET(AO$92,-1,0),0))</f>
        <v>0</v>
      </c>
      <c r="AP101" s="310">
        <f t="array" aca="1" ref="AP101" ca="1">AO101+SUM((OFFSET($C$13,1,0):OFFSET($C$92,-3,0))*IF(ISNUMBER(OFFSET(AP$11,5,0):OFFSET(AP$92,-1,0)),OFFSET(AP$11,5,0):OFFSET(AP$92,-1,0),0))</f>
        <v>0</v>
      </c>
      <c r="AQ101" s="314">
        <f t="array" aca="1" ref="AQ101" ca="1">AP101+SUM((OFFSET($C$13,1,0):OFFSET($C$92,-3,0))*IF(ISNUMBER(OFFSET(AQ$11,5,0):OFFSET(AQ$92,-1,0)),OFFSET(AQ$11,5,0):OFFSET(AQ$92,-1,0),0))</f>
        <v>0</v>
      </c>
      <c r="AR101" s="239">
        <f ca="1">ROUND(AR102-AR99-AR100,2)</f>
        <v>0</v>
      </c>
    </row>
    <row r="102" spans="4:44" x14ac:dyDescent="0.2">
      <c r="D102" s="315">
        <f ca="1">C102+SUMIF($R$12:$R$92,"1$",D12:D92)</f>
        <v>0</v>
      </c>
      <c r="F102" s="238" t="s">
        <v>246</v>
      </c>
      <c r="K102" s="316"/>
      <c r="R102" s="317"/>
      <c r="S102" s="318" t="s">
        <v>286</v>
      </c>
      <c r="T102" s="319">
        <f ca="1">SUMIF($R$12:$R$92,"1$",T12:T92)</f>
        <v>0</v>
      </c>
      <c r="U102" s="320">
        <f t="shared" ref="U102:AQ102" ca="1" si="100">T102+SUMIF($R$12:$R$92,"1$",U12:U92)</f>
        <v>0</v>
      </c>
      <c r="V102" s="320">
        <f t="shared" ca="1" si="100"/>
        <v>0</v>
      </c>
      <c r="W102" s="320">
        <f t="shared" ca="1" si="100"/>
        <v>0</v>
      </c>
      <c r="X102" s="320">
        <f t="shared" ca="1" si="100"/>
        <v>0</v>
      </c>
      <c r="Y102" s="320">
        <f t="shared" ca="1" si="100"/>
        <v>0</v>
      </c>
      <c r="Z102" s="320">
        <f t="shared" ca="1" si="100"/>
        <v>0</v>
      </c>
      <c r="AA102" s="320">
        <f t="shared" ca="1" si="100"/>
        <v>0</v>
      </c>
      <c r="AB102" s="320">
        <f t="shared" ca="1" si="100"/>
        <v>0</v>
      </c>
      <c r="AC102" s="320">
        <f t="shared" ca="1" si="100"/>
        <v>0</v>
      </c>
      <c r="AD102" s="320">
        <f t="shared" ca="1" si="100"/>
        <v>0</v>
      </c>
      <c r="AE102" s="321">
        <f t="shared" ca="1" si="100"/>
        <v>0</v>
      </c>
      <c r="AF102" s="319">
        <f t="shared" ca="1" si="100"/>
        <v>0</v>
      </c>
      <c r="AG102" s="320">
        <f t="shared" ca="1" si="100"/>
        <v>0</v>
      </c>
      <c r="AH102" s="320">
        <f t="shared" ca="1" si="100"/>
        <v>0</v>
      </c>
      <c r="AI102" s="320">
        <f t="shared" ca="1" si="100"/>
        <v>0</v>
      </c>
      <c r="AJ102" s="320">
        <f t="shared" ca="1" si="100"/>
        <v>0</v>
      </c>
      <c r="AK102" s="320">
        <f t="shared" ca="1" si="100"/>
        <v>0</v>
      </c>
      <c r="AL102" s="320">
        <f t="shared" ca="1" si="100"/>
        <v>0</v>
      </c>
      <c r="AM102" s="320">
        <f t="shared" ca="1" si="100"/>
        <v>0</v>
      </c>
      <c r="AN102" s="320">
        <f t="shared" ca="1" si="100"/>
        <v>0</v>
      </c>
      <c r="AO102" s="320">
        <f t="shared" ca="1" si="100"/>
        <v>0</v>
      </c>
      <c r="AP102" s="320">
        <f t="shared" ca="1" si="100"/>
        <v>0</v>
      </c>
      <c r="AQ102" s="321">
        <f t="shared" ca="1" si="100"/>
        <v>0</v>
      </c>
      <c r="AR102" s="239">
        <f ca="1">AE102+SUMIF($R$12:$R$92,"1$",AR12:AR92)</f>
        <v>0</v>
      </c>
    </row>
    <row r="103" spans="4:44" x14ac:dyDescent="0.2">
      <c r="F103" s="238" t="s">
        <v>246</v>
      </c>
    </row>
    <row r="104" spans="4:44" ht="32.25" customHeight="1" x14ac:dyDescent="0.2">
      <c r="F104" s="238" t="s">
        <v>246</v>
      </c>
      <c r="H104" s="742" t="str">
        <f>Import.Município</f>
        <v>SANTO ÂNGELO - RS</v>
      </c>
      <c r="I104" s="742"/>
      <c r="J104" s="742"/>
      <c r="K104" s="742"/>
      <c r="L104" s="742"/>
      <c r="M104" s="742"/>
      <c r="N104" s="742"/>
      <c r="O104" s="742"/>
      <c r="P104" s="742"/>
      <c r="Q104" s="742"/>
      <c r="R104" s="742"/>
      <c r="Z104" s="639"/>
      <c r="AA104" s="639"/>
      <c r="AB104" s="639"/>
      <c r="AC104" s="639"/>
      <c r="AD104" s="642"/>
      <c r="AE104" s="642"/>
      <c r="AL104" s="639"/>
      <c r="AM104" s="639"/>
      <c r="AN104" s="639"/>
      <c r="AO104" s="639"/>
      <c r="AP104" s="642"/>
      <c r="AQ104" s="642"/>
    </row>
    <row r="105" spans="4:44" x14ac:dyDescent="0.2">
      <c r="F105" s="238" t="s">
        <v>246</v>
      </c>
      <c r="H105" s="12" t="s">
        <v>188</v>
      </c>
      <c r="I105" s="104"/>
      <c r="J105" s="104"/>
      <c r="K105" s="104"/>
      <c r="Z105" s="229" t="s">
        <v>190</v>
      </c>
      <c r="AA105" s="229"/>
      <c r="AB105" s="229"/>
      <c r="AC105" s="229"/>
      <c r="AD105" s="238"/>
      <c r="AE105" s="238"/>
      <c r="AL105" s="229" t="s">
        <v>190</v>
      </c>
      <c r="AM105" s="229"/>
      <c r="AN105" s="229"/>
      <c r="AO105" s="229"/>
      <c r="AP105" s="238"/>
      <c r="AQ105" s="238"/>
    </row>
    <row r="106" spans="4:44" x14ac:dyDescent="0.2">
      <c r="F106" s="238" t="s">
        <v>246</v>
      </c>
      <c r="H106" s="104"/>
      <c r="I106" s="104"/>
      <c r="J106" s="104"/>
      <c r="K106" s="104"/>
      <c r="Z106" s="641" t="str">
        <f t="array" aca="1" ref="Z106:Z108" ca="1">OFFSET(Import.RespOrçamento,0,-1) &amp; " " &amp; Import.RespOrçamento</f>
        <v>Nome: NILSON DO PRADO RODRIGUES</v>
      </c>
      <c r="AB106" s="176"/>
      <c r="AC106" s="96"/>
      <c r="AD106" s="238"/>
      <c r="AE106" s="238"/>
      <c r="AL106" s="641" t="str">
        <f t="array" aca="1" ref="AL106:AL108" ca="1">OFFSET(Import.RespOrçamento,0,-1) &amp; " " &amp; Import.RespOrçamento</f>
        <v>Nome: NILSON DO PRADO RODRIGUES</v>
      </c>
      <c r="AN106" s="176"/>
      <c r="AO106" s="96"/>
      <c r="AP106" s="238"/>
      <c r="AQ106" s="238"/>
    </row>
    <row r="107" spans="4:44" x14ac:dyDescent="0.2">
      <c r="F107" s="238" t="s">
        <v>246</v>
      </c>
      <c r="H107" s="760">
        <f ca="1">DADOS!$F$25</f>
        <v>45573</v>
      </c>
      <c r="I107" s="760"/>
      <c r="J107" s="760"/>
      <c r="K107" s="322"/>
      <c r="L107" s="323"/>
      <c r="M107" s="323"/>
      <c r="N107" s="323"/>
      <c r="O107" s="323"/>
      <c r="P107" s="323"/>
      <c r="Q107" s="323"/>
      <c r="R107" s="324"/>
      <c r="Z107" s="641" t="str">
        <f ca="1"/>
        <v>CREA/CAU: 172357-5</v>
      </c>
      <c r="AB107" s="96"/>
      <c r="AC107" s="96"/>
      <c r="AD107" s="238"/>
      <c r="AE107" s="238"/>
      <c r="AL107" s="641" t="str">
        <f ca="1"/>
        <v>CREA/CAU: 172357-5</v>
      </c>
      <c r="AN107" s="96"/>
      <c r="AO107" s="96"/>
      <c r="AP107" s="238"/>
      <c r="AQ107" s="238"/>
    </row>
    <row r="108" spans="4:44" x14ac:dyDescent="0.2">
      <c r="F108" s="238" t="s">
        <v>246</v>
      </c>
      <c r="H108" s="325" t="s">
        <v>189</v>
      </c>
      <c r="I108" s="105"/>
      <c r="J108" s="105"/>
      <c r="K108" s="104"/>
      <c r="Z108" s="641" t="str">
        <f ca="1"/>
        <v xml:space="preserve">ART/RRT: </v>
      </c>
      <c r="AB108" s="96"/>
      <c r="AC108" s="96"/>
      <c r="AD108" s="238"/>
      <c r="AE108" s="238"/>
      <c r="AL108" s="641" t="str">
        <f ca="1"/>
        <v xml:space="preserve">ART/RRT: </v>
      </c>
      <c r="AN108" s="96"/>
      <c r="AO108" s="96"/>
      <c r="AP108" s="238"/>
      <c r="AQ108" s="238"/>
    </row>
  </sheetData>
  <sheetProtection password="BD1F" sheet="1" objects="1" scenarios="1" autoFilter="0"/>
  <autoFilter ref="F13:F108">
    <filterColumn colId="0">
      <filters>
        <filter val="F"/>
      </filters>
    </filterColumn>
  </autoFilter>
  <mergeCells count="21">
    <mergeCell ref="AP4:AQ4"/>
    <mergeCell ref="AP5:AQ5"/>
    <mergeCell ref="AF8:AJ8"/>
    <mergeCell ref="AK8:AP8"/>
    <mergeCell ref="F8:F11"/>
    <mergeCell ref="H8:I8"/>
    <mergeCell ref="G7:G9"/>
    <mergeCell ref="AD4:AE4"/>
    <mergeCell ref="AD5:AE5"/>
    <mergeCell ref="Y8:AD8"/>
    <mergeCell ref="G12:G13"/>
    <mergeCell ref="H12:H13"/>
    <mergeCell ref="I12:I13"/>
    <mergeCell ref="H107:J107"/>
    <mergeCell ref="H104:R104"/>
    <mergeCell ref="R12:R13"/>
    <mergeCell ref="S12:S13"/>
    <mergeCell ref="K8:S8"/>
    <mergeCell ref="T8:X8"/>
    <mergeCell ref="J10:S11"/>
    <mergeCell ref="H93:J94"/>
  </mergeCells>
  <phoneticPr fontId="38" type="noConversion"/>
  <conditionalFormatting sqref="T12:T13">
    <cfRule type="expression" dxfId="442" priority="2022" stopIfTrue="1">
      <formula>NOT(ISNUMBER(S$12))</formula>
    </cfRule>
  </conditionalFormatting>
  <conditionalFormatting sqref="D2 T2:AE2 AR2">
    <cfRule type="expression" dxfId="441" priority="2023" stopIfTrue="1">
      <formula>AND(ISNUMBER($G1),$G1&lt;&gt;0)</formula>
    </cfRule>
  </conditionalFormatting>
  <conditionalFormatting sqref="H2:R2">
    <cfRule type="expression" dxfId="440" priority="2024" stopIfTrue="1">
      <formula>$L1=2</formula>
    </cfRule>
    <cfRule type="expression" dxfId="439" priority="2025" stopIfTrue="1">
      <formula>AND($L1=1,$R1&lt;&gt;"")</formula>
    </cfRule>
  </conditionalFormatting>
  <conditionalFormatting sqref="H1:R1">
    <cfRule type="expression" dxfId="438" priority="2026" stopIfTrue="1">
      <formula>$L1=2</formula>
    </cfRule>
    <cfRule type="expression" dxfId="437" priority="2027" stopIfTrue="1">
      <formula>AND($L1=1,$R1&lt;&gt;"")</formula>
    </cfRule>
  </conditionalFormatting>
  <conditionalFormatting sqref="D93:D97 T94:AE94 T96:AQ96">
    <cfRule type="expression" dxfId="436" priority="2028" stopIfTrue="1">
      <formula>D$93=0</formula>
    </cfRule>
  </conditionalFormatting>
  <conditionalFormatting sqref="D98:D102">
    <cfRule type="expression" dxfId="435" priority="2029" stopIfTrue="1">
      <formula>C$98=1</formula>
    </cfRule>
  </conditionalFormatting>
  <conditionalFormatting sqref="U98:AE98 U100:AE100 U102:AE102 AG100:AQ100 AG102:AQ102">
    <cfRule type="expression" dxfId="434" priority="2030" stopIfTrue="1">
      <formula>OFFSET(U$98,0,-1)&gt;=1</formula>
    </cfRule>
  </conditionalFormatting>
  <conditionalFormatting sqref="U99:AE99 U101:AE101 AG101:AQ101">
    <cfRule type="expression" dxfId="433" priority="2031" stopIfTrue="1">
      <formula>OFFSET(U$98,0,-1)&gt;=1</formula>
    </cfRule>
  </conditionalFormatting>
  <conditionalFormatting sqref="T93:AE93 T95:AQ95 T97:AQ97">
    <cfRule type="expression" dxfId="432" priority="2032" stopIfTrue="1">
      <formula>T$93=0</formula>
    </cfRule>
  </conditionalFormatting>
  <conditionalFormatting sqref="AE7:AE8">
    <cfRule type="expression" dxfId="431" priority="2033" stopIfTrue="1">
      <formula>OR(TIPOORCAMENTO&lt;&gt;"Licitado",QCI.ExisteManual)</formula>
    </cfRule>
  </conditionalFormatting>
  <conditionalFormatting sqref="D1 T1:AE1">
    <cfRule type="expression" dxfId="430" priority="2034" stopIfTrue="1">
      <formula>D1&lt;&gt;0</formula>
    </cfRule>
  </conditionalFormatting>
  <conditionalFormatting sqref="Y7:AD8">
    <cfRule type="expression" dxfId="429" priority="2021" stopIfTrue="1">
      <formula>QCI.ExisteManual</formula>
    </cfRule>
  </conditionalFormatting>
  <conditionalFormatting sqref="D15 D18 D21 T15:AE15 T18:AE18 AR18 AR21 AR15 T21:AH21">
    <cfRule type="expression" dxfId="428" priority="182" stopIfTrue="1">
      <formula>AND(ISNUMBER($G14),$G14&lt;&gt;0)</formula>
    </cfRule>
  </conditionalFormatting>
  <conditionalFormatting sqref="H15:R15 H18:R18 H21:R21">
    <cfRule type="expression" dxfId="427" priority="183" stopIfTrue="1">
      <formula>$L14=2</formula>
    </cfRule>
    <cfRule type="expression" dxfId="426" priority="184" stopIfTrue="1">
      <formula>AND($L14=1,$R14&lt;&gt;"")</formula>
    </cfRule>
  </conditionalFormatting>
  <conditionalFormatting sqref="H14:R14 H17:R17 H20:R20">
    <cfRule type="expression" dxfId="425" priority="185" stopIfTrue="1">
      <formula>$L14=2</formula>
    </cfRule>
    <cfRule type="expression" dxfId="424" priority="186" stopIfTrue="1">
      <formula>AND($L14=1,$R14&lt;&gt;"")</formula>
    </cfRule>
  </conditionalFormatting>
  <conditionalFormatting sqref="D14 D17 D20 T14:AE14 T17:AE17 T20:AE20">
    <cfRule type="expression" dxfId="423" priority="187" stopIfTrue="1">
      <formula>D14&lt;&gt;0</formula>
    </cfRule>
  </conditionalFormatting>
  <conditionalFormatting sqref="D24 D27 D30 T24:AE24 T27:AE27 T30:AE30 AR30 AR27 AR24">
    <cfRule type="expression" dxfId="422" priority="176" stopIfTrue="1">
      <formula>AND(ISNUMBER($G23),$G23&lt;&gt;0)</formula>
    </cfRule>
  </conditionalFormatting>
  <conditionalFormatting sqref="H24:R24 H27:R27 H30:R30">
    <cfRule type="expression" dxfId="421" priority="177" stopIfTrue="1">
      <formula>$L23=2</formula>
    </cfRule>
    <cfRule type="expression" dxfId="420" priority="178" stopIfTrue="1">
      <formula>AND($L23=1,$R23&lt;&gt;"")</formula>
    </cfRule>
  </conditionalFormatting>
  <conditionalFormatting sqref="H23:R23 H26:R26 H29:R29">
    <cfRule type="expression" dxfId="419" priority="179" stopIfTrue="1">
      <formula>$L23=2</formula>
    </cfRule>
    <cfRule type="expression" dxfId="418" priority="180" stopIfTrue="1">
      <formula>AND($L23=1,$R23&lt;&gt;"")</formula>
    </cfRule>
  </conditionalFormatting>
  <conditionalFormatting sqref="D23 D26 D29 T23:AE23 T26:AE26 T29:AE29">
    <cfRule type="expression" dxfId="417" priority="181" stopIfTrue="1">
      <formula>D23&lt;&gt;0</formula>
    </cfRule>
  </conditionalFormatting>
  <conditionalFormatting sqref="D33 D36 D39 T33:AE33 T36:AE36 T39:AE39 AR39 AR36 AR33">
    <cfRule type="expression" dxfId="416" priority="170" stopIfTrue="1">
      <formula>AND(ISNUMBER($G32),$G32&lt;&gt;0)</formula>
    </cfRule>
  </conditionalFormatting>
  <conditionalFormatting sqref="H33:R33 H36:R36 H39:R39">
    <cfRule type="expression" dxfId="415" priority="171" stopIfTrue="1">
      <formula>$L32=2</formula>
    </cfRule>
    <cfRule type="expression" dxfId="414" priority="172" stopIfTrue="1">
      <formula>AND($L32=1,$R32&lt;&gt;"")</formula>
    </cfRule>
  </conditionalFormatting>
  <conditionalFormatting sqref="H32:R32 H35:R35 H38:R38">
    <cfRule type="expression" dxfId="413" priority="173" stopIfTrue="1">
      <formula>$L32=2</formula>
    </cfRule>
    <cfRule type="expression" dxfId="412" priority="174" stopIfTrue="1">
      <formula>AND($L32=1,$R32&lt;&gt;"")</formula>
    </cfRule>
  </conditionalFormatting>
  <conditionalFormatting sqref="D32 D35 D38 T32:AE32 T35:AE35 T38:AE38">
    <cfRule type="expression" dxfId="411" priority="175" stopIfTrue="1">
      <formula>D32&lt;&gt;0</formula>
    </cfRule>
  </conditionalFormatting>
  <conditionalFormatting sqref="D42 D45 D48 T42:AE42 T45:AE45 T48:AE48 AR48 AR45 AR42">
    <cfRule type="expression" dxfId="410" priority="164" stopIfTrue="1">
      <formula>AND(ISNUMBER($G41),$G41&lt;&gt;0)</formula>
    </cfRule>
  </conditionalFormatting>
  <conditionalFormatting sqref="H42:R42 H45:R45 H48:R48">
    <cfRule type="expression" dxfId="409" priority="165" stopIfTrue="1">
      <formula>$L41=2</formula>
    </cfRule>
    <cfRule type="expression" dxfId="408" priority="166" stopIfTrue="1">
      <formula>AND($L41=1,$R41&lt;&gt;"")</formula>
    </cfRule>
  </conditionalFormatting>
  <conditionalFormatting sqref="H41:R41 H44:R44 H47:R47">
    <cfRule type="expression" dxfId="407" priority="167" stopIfTrue="1">
      <formula>$L41=2</formula>
    </cfRule>
    <cfRule type="expression" dxfId="406" priority="168" stopIfTrue="1">
      <formula>AND($L41=1,$R41&lt;&gt;"")</formula>
    </cfRule>
  </conditionalFormatting>
  <conditionalFormatting sqref="D41 D44 D47 T41:AE41 T44:AE44 T47:AE47">
    <cfRule type="expression" dxfId="405" priority="169" stopIfTrue="1">
      <formula>D41&lt;&gt;0</formula>
    </cfRule>
  </conditionalFormatting>
  <conditionalFormatting sqref="D51 D54 T51:AE51 T54:AE54 AR54 AR51">
    <cfRule type="expression" dxfId="404" priority="80" stopIfTrue="1">
      <formula>AND(ISNUMBER($G50),$G50&lt;&gt;0)</formula>
    </cfRule>
  </conditionalFormatting>
  <conditionalFormatting sqref="H51:R51 H54:R54">
    <cfRule type="expression" dxfId="403" priority="81" stopIfTrue="1">
      <formula>$L50=2</formula>
    </cfRule>
    <cfRule type="expression" dxfId="402" priority="82" stopIfTrue="1">
      <formula>AND($L50=1,$R50&lt;&gt;"")</formula>
    </cfRule>
  </conditionalFormatting>
  <conditionalFormatting sqref="H50:R50 H53:R53">
    <cfRule type="expression" dxfId="401" priority="83" stopIfTrue="1">
      <formula>$L50=2</formula>
    </cfRule>
    <cfRule type="expression" dxfId="400" priority="84" stopIfTrue="1">
      <formula>AND($L50=1,$R50&lt;&gt;"")</formula>
    </cfRule>
  </conditionalFormatting>
  <conditionalFormatting sqref="D50 D53 T50:AE50 T53:AE53">
    <cfRule type="expression" dxfId="399" priority="85" stopIfTrue="1">
      <formula>D50&lt;&gt;0</formula>
    </cfRule>
  </conditionalFormatting>
  <conditionalFormatting sqref="D57 D60 D63 T57:AE57 T60:AE60 T63:AE63 AR63 AR60 AR57">
    <cfRule type="expression" dxfId="398" priority="74" stopIfTrue="1">
      <formula>AND(ISNUMBER($G56),$G56&lt;&gt;0)</formula>
    </cfRule>
  </conditionalFormatting>
  <conditionalFormatting sqref="H57:R57 H60:R60 H63:R63">
    <cfRule type="expression" dxfId="397" priority="75" stopIfTrue="1">
      <formula>$L56=2</formula>
    </cfRule>
    <cfRule type="expression" dxfId="396" priority="76" stopIfTrue="1">
      <formula>AND($L56=1,$R56&lt;&gt;"")</formula>
    </cfRule>
  </conditionalFormatting>
  <conditionalFormatting sqref="H56:R56 H59:R59 H62:R62">
    <cfRule type="expression" dxfId="395" priority="77" stopIfTrue="1">
      <formula>$L56=2</formula>
    </cfRule>
    <cfRule type="expression" dxfId="394" priority="78" stopIfTrue="1">
      <formula>AND($L56=1,$R56&lt;&gt;"")</formula>
    </cfRule>
  </conditionalFormatting>
  <conditionalFormatting sqref="D56 D59 D62 T56:AE56 T59:AE59 T62:AE62">
    <cfRule type="expression" dxfId="393" priority="79" stopIfTrue="1">
      <formula>D56&lt;&gt;0</formula>
    </cfRule>
  </conditionalFormatting>
  <conditionalFormatting sqref="D66 D69 D72 T66:AE66 T69:AE69 T72:AE72 AR72 AR69 AR66">
    <cfRule type="expression" dxfId="392" priority="68" stopIfTrue="1">
      <formula>AND(ISNUMBER($G65),$G65&lt;&gt;0)</formula>
    </cfRule>
  </conditionalFormatting>
  <conditionalFormatting sqref="H66:R66 H69:R69 H72:R72">
    <cfRule type="expression" dxfId="391" priority="69" stopIfTrue="1">
      <formula>$L65=2</formula>
    </cfRule>
    <cfRule type="expression" dxfId="390" priority="70" stopIfTrue="1">
      <formula>AND($L65=1,$R65&lt;&gt;"")</formula>
    </cfRule>
  </conditionalFormatting>
  <conditionalFormatting sqref="H65:R65 H68:R68 H71:R71">
    <cfRule type="expression" dxfId="389" priority="71" stopIfTrue="1">
      <formula>$L65=2</formula>
    </cfRule>
    <cfRule type="expression" dxfId="388" priority="72" stopIfTrue="1">
      <formula>AND($L65=1,$R65&lt;&gt;"")</formula>
    </cfRule>
  </conditionalFormatting>
  <conditionalFormatting sqref="D65 D68 D71 T65:AE65 T68:AE68 T71:AE71">
    <cfRule type="expression" dxfId="387" priority="73" stopIfTrue="1">
      <formula>D65&lt;&gt;0</formula>
    </cfRule>
  </conditionalFormatting>
  <conditionalFormatting sqref="D75 D78 D81 T75:AE75 T78:AE78 T81:AE81 AR81 AR78 AR75">
    <cfRule type="expression" dxfId="386" priority="62" stopIfTrue="1">
      <formula>AND(ISNUMBER($G74),$G74&lt;&gt;0)</formula>
    </cfRule>
  </conditionalFormatting>
  <conditionalFormatting sqref="H75:R75 H78:R78 H81:R81">
    <cfRule type="expression" dxfId="385" priority="63" stopIfTrue="1">
      <formula>$L74=2</formula>
    </cfRule>
    <cfRule type="expression" dxfId="384" priority="64" stopIfTrue="1">
      <formula>AND($L74=1,$R74&lt;&gt;"")</formula>
    </cfRule>
  </conditionalFormatting>
  <conditionalFormatting sqref="H74:R74 H77:R77 H80:R80">
    <cfRule type="expression" dxfId="383" priority="65" stopIfTrue="1">
      <formula>$L74=2</formula>
    </cfRule>
    <cfRule type="expression" dxfId="382" priority="66" stopIfTrue="1">
      <formula>AND($L74=1,$R74&lt;&gt;"")</formula>
    </cfRule>
  </conditionalFormatting>
  <conditionalFormatting sqref="D74 D77 D80 T74:AE74 T77:AE77 T80:AE80">
    <cfRule type="expression" dxfId="381" priority="67" stopIfTrue="1">
      <formula>D74&lt;&gt;0</formula>
    </cfRule>
  </conditionalFormatting>
  <conditionalFormatting sqref="D84 T84:AE84 AR84">
    <cfRule type="expression" dxfId="380" priority="56" stopIfTrue="1">
      <formula>AND(ISNUMBER($G83),$G83&lt;&gt;0)</formula>
    </cfRule>
  </conditionalFormatting>
  <conditionalFormatting sqref="H84:R84">
    <cfRule type="expression" dxfId="379" priority="57" stopIfTrue="1">
      <formula>$L83=2</formula>
    </cfRule>
    <cfRule type="expression" dxfId="378" priority="58" stopIfTrue="1">
      <formula>AND($L83=1,$R83&lt;&gt;"")</formula>
    </cfRule>
  </conditionalFormatting>
  <conditionalFormatting sqref="H83:R83">
    <cfRule type="expression" dxfId="377" priority="59" stopIfTrue="1">
      <formula>$L83=2</formula>
    </cfRule>
    <cfRule type="expression" dxfId="376" priority="60" stopIfTrue="1">
      <formula>AND($L83=1,$R83&lt;&gt;"")</formula>
    </cfRule>
  </conditionalFormatting>
  <conditionalFormatting sqref="D83 T83:AE83">
    <cfRule type="expression" dxfId="375" priority="61" stopIfTrue="1">
      <formula>D83&lt;&gt;0</formula>
    </cfRule>
  </conditionalFormatting>
  <conditionalFormatting sqref="AF12:AF13">
    <cfRule type="expression" dxfId="374" priority="42" stopIfTrue="1">
      <formula>NOT(ISNUMBER(AE$12))</formula>
    </cfRule>
  </conditionalFormatting>
  <conditionalFormatting sqref="AF2:AQ2">
    <cfRule type="expression" dxfId="373" priority="43" stopIfTrue="1">
      <formula>AND(ISNUMBER($G1),$G1&lt;&gt;0)</formula>
    </cfRule>
  </conditionalFormatting>
  <conditionalFormatting sqref="AF94:AQ94">
    <cfRule type="expression" dxfId="372" priority="44" stopIfTrue="1">
      <formula>AF$93=0</formula>
    </cfRule>
  </conditionalFormatting>
  <conditionalFormatting sqref="AG98:AQ98">
    <cfRule type="expression" dxfId="371" priority="45" stopIfTrue="1">
      <formula>OFFSET(AG$98,0,-1)&gt;=1</formula>
    </cfRule>
  </conditionalFormatting>
  <conditionalFormatting sqref="AG99:AQ99">
    <cfRule type="expression" dxfId="370" priority="46" stopIfTrue="1">
      <formula>OFFSET(AG$98,0,-1)&gt;=1</formula>
    </cfRule>
  </conditionalFormatting>
  <conditionalFormatting sqref="AF93:AQ93">
    <cfRule type="expression" dxfId="369" priority="47" stopIfTrue="1">
      <formula>AF$93=0</formula>
    </cfRule>
  </conditionalFormatting>
  <conditionalFormatting sqref="AQ7:AQ8">
    <cfRule type="expression" dxfId="368" priority="48" stopIfTrue="1">
      <formula>OR(TIPOORCAMENTO&lt;&gt;"Licitado",QCI.ExisteManual)</formula>
    </cfRule>
  </conditionalFormatting>
  <conditionalFormatting sqref="AF1:AQ1">
    <cfRule type="expression" dxfId="367" priority="49" stopIfTrue="1">
      <formula>AF1&lt;&gt;0</formula>
    </cfRule>
  </conditionalFormatting>
  <conditionalFormatting sqref="AK7:AP8">
    <cfRule type="expression" dxfId="366" priority="41" stopIfTrue="1">
      <formula>QCI.ExisteManual</formula>
    </cfRule>
  </conditionalFormatting>
  <conditionalFormatting sqref="AF15:AQ15 AJ21:AQ21 AF18:AQ18">
    <cfRule type="expression" dxfId="365" priority="39" stopIfTrue="1">
      <formula>AND(ISNUMBER($G14),$G14&lt;&gt;0)</formula>
    </cfRule>
  </conditionalFormatting>
  <conditionalFormatting sqref="AF14:AQ14 AF17:AQ17 AF20:AQ20">
    <cfRule type="expression" dxfId="364" priority="40" stopIfTrue="1">
      <formula>AF14&lt;&gt;0</formula>
    </cfRule>
  </conditionalFormatting>
  <conditionalFormatting sqref="AF24:AQ24 AF27:AQ27 AF30:AQ30">
    <cfRule type="expression" dxfId="363" priority="37" stopIfTrue="1">
      <formula>AND(ISNUMBER($G23),$G23&lt;&gt;0)</formula>
    </cfRule>
  </conditionalFormatting>
  <conditionalFormatting sqref="AF23:AQ23 AF26:AQ26 AF29:AQ29">
    <cfRule type="expression" dxfId="362" priority="38" stopIfTrue="1">
      <formula>AF23&lt;&gt;0</formula>
    </cfRule>
  </conditionalFormatting>
  <conditionalFormatting sqref="AF33:AQ33 AF36:AQ36 AF39:AQ39">
    <cfRule type="expression" dxfId="361" priority="35" stopIfTrue="1">
      <formula>AND(ISNUMBER($G32),$G32&lt;&gt;0)</formula>
    </cfRule>
  </conditionalFormatting>
  <conditionalFormatting sqref="AF32:AQ32 AF35:AQ35 AF38:AQ38">
    <cfRule type="expression" dxfId="360" priority="36" stopIfTrue="1">
      <formula>AF32&lt;&gt;0</formula>
    </cfRule>
  </conditionalFormatting>
  <conditionalFormatting sqref="AF42:AQ42 AF45:AQ45 AF48:AQ48">
    <cfRule type="expression" dxfId="359" priority="33" stopIfTrue="1">
      <formula>AND(ISNUMBER($G41),$G41&lt;&gt;0)</formula>
    </cfRule>
  </conditionalFormatting>
  <conditionalFormatting sqref="AF41:AQ41 AF44:AQ44 AF47:AQ47">
    <cfRule type="expression" dxfId="358" priority="34" stopIfTrue="1">
      <formula>AF41&lt;&gt;0</formula>
    </cfRule>
  </conditionalFormatting>
  <conditionalFormatting sqref="AF51:AQ51 AF54:AQ54">
    <cfRule type="expression" dxfId="357" priority="31" stopIfTrue="1">
      <formula>AND(ISNUMBER($G50),$G50&lt;&gt;0)</formula>
    </cfRule>
  </conditionalFormatting>
  <conditionalFormatting sqref="AF50:AQ50 AF53:AQ53">
    <cfRule type="expression" dxfId="356" priority="32" stopIfTrue="1">
      <formula>AF50&lt;&gt;0</formula>
    </cfRule>
  </conditionalFormatting>
  <conditionalFormatting sqref="AF57:AQ57 AF60:AQ60 AF63:AQ63">
    <cfRule type="expression" dxfId="355" priority="29" stopIfTrue="1">
      <formula>AND(ISNUMBER($G56),$G56&lt;&gt;0)</formula>
    </cfRule>
  </conditionalFormatting>
  <conditionalFormatting sqref="AF56:AQ56 AF59:AQ59 AF62:AQ62">
    <cfRule type="expression" dxfId="354" priority="30" stopIfTrue="1">
      <formula>AF56&lt;&gt;0</formula>
    </cfRule>
  </conditionalFormatting>
  <conditionalFormatting sqref="AF66:AQ66 AF69:AQ69 AF72:AQ72">
    <cfRule type="expression" dxfId="353" priority="27" stopIfTrue="1">
      <formula>AND(ISNUMBER($G65),$G65&lt;&gt;0)</formula>
    </cfRule>
  </conditionalFormatting>
  <conditionalFormatting sqref="AF65:AQ65 AF68:AQ68 AF71:AQ71">
    <cfRule type="expression" dxfId="352" priority="28" stopIfTrue="1">
      <formula>AF65&lt;&gt;0</formula>
    </cfRule>
  </conditionalFormatting>
  <conditionalFormatting sqref="AF75:AQ75 AF78:AQ78 AF81:AQ81">
    <cfRule type="expression" dxfId="351" priority="25" stopIfTrue="1">
      <formula>AND(ISNUMBER($G74),$G74&lt;&gt;0)</formula>
    </cfRule>
  </conditionalFormatting>
  <conditionalFormatting sqref="AF74:AQ74 AF77:AQ77 AF80:AQ80">
    <cfRule type="expression" dxfId="350" priority="26" stopIfTrue="1">
      <formula>AF74&lt;&gt;0</formula>
    </cfRule>
  </conditionalFormatting>
  <conditionalFormatting sqref="AF84:AQ84">
    <cfRule type="expression" dxfId="349" priority="23" stopIfTrue="1">
      <formula>AND(ISNUMBER($G83),$G83&lt;&gt;0)</formula>
    </cfRule>
  </conditionalFormatting>
  <conditionalFormatting sqref="AF83:AQ83">
    <cfRule type="expression" dxfId="348" priority="24" stopIfTrue="1">
      <formula>AF83&lt;&gt;0</formula>
    </cfRule>
  </conditionalFormatting>
  <conditionalFormatting sqref="AI21">
    <cfRule type="expression" dxfId="347" priority="17" stopIfTrue="1">
      <formula>AND(ISNUMBER($G20),$G20&lt;&gt;0)</formula>
    </cfRule>
  </conditionalFormatting>
  <conditionalFormatting sqref="D87 T87:AE87 AR87">
    <cfRule type="expression" dxfId="346" priority="11" stopIfTrue="1">
      <formula>AND(ISNUMBER($G86),$G86&lt;&gt;0)</formula>
    </cfRule>
  </conditionalFormatting>
  <conditionalFormatting sqref="H87:R87">
    <cfRule type="expression" dxfId="345" priority="12" stopIfTrue="1">
      <formula>$L86=2</formula>
    </cfRule>
    <cfRule type="expression" dxfId="344" priority="13" stopIfTrue="1">
      <formula>AND($L86=1,$R86&lt;&gt;"")</formula>
    </cfRule>
  </conditionalFormatting>
  <conditionalFormatting sqref="H86:R86">
    <cfRule type="expression" dxfId="343" priority="14" stopIfTrue="1">
      <formula>$L86=2</formula>
    </cfRule>
    <cfRule type="expression" dxfId="342" priority="15" stopIfTrue="1">
      <formula>AND($L86=1,$R86&lt;&gt;"")</formula>
    </cfRule>
  </conditionalFormatting>
  <conditionalFormatting sqref="D86 T86:AE86">
    <cfRule type="expression" dxfId="341" priority="16" stopIfTrue="1">
      <formula>D86&lt;&gt;0</formula>
    </cfRule>
  </conditionalFormatting>
  <conditionalFormatting sqref="AF87:AQ87">
    <cfRule type="expression" dxfId="340" priority="9" stopIfTrue="1">
      <formula>AND(ISNUMBER($G86),$G86&lt;&gt;0)</formula>
    </cfRule>
  </conditionalFormatting>
  <conditionalFormatting sqref="AF86:AQ86">
    <cfRule type="expression" dxfId="339" priority="10" stopIfTrue="1">
      <formula>AF86&lt;&gt;0</formula>
    </cfRule>
  </conditionalFormatting>
  <conditionalFormatting sqref="D90 T90:AE90 AR90">
    <cfRule type="expression" dxfId="338" priority="3" stopIfTrue="1">
      <formula>AND(ISNUMBER($G89),$G89&lt;&gt;0)</formula>
    </cfRule>
  </conditionalFormatting>
  <conditionalFormatting sqref="H90:R90">
    <cfRule type="expression" dxfId="337" priority="4" stopIfTrue="1">
      <formula>$L89=2</formula>
    </cfRule>
    <cfRule type="expression" dxfId="336" priority="5" stopIfTrue="1">
      <formula>AND($L89=1,$R89&lt;&gt;"")</formula>
    </cfRule>
  </conditionalFormatting>
  <conditionalFormatting sqref="H89:R89">
    <cfRule type="expression" dxfId="335" priority="6" stopIfTrue="1">
      <formula>$L89=2</formula>
    </cfRule>
    <cfRule type="expression" dxfId="334" priority="7" stopIfTrue="1">
      <formula>AND($L89=1,$R89&lt;&gt;"")</formula>
    </cfRule>
  </conditionalFormatting>
  <conditionalFormatting sqref="D89 T89:AE89">
    <cfRule type="expression" dxfId="333" priority="8" stopIfTrue="1">
      <formula>D89&lt;&gt;0</formula>
    </cfRule>
  </conditionalFormatting>
  <conditionalFormatting sqref="AF90:AQ90">
    <cfRule type="expression" dxfId="332" priority="1" stopIfTrue="1">
      <formula>AND(ISNUMBER($G89),$G89&lt;&gt;0)</formula>
    </cfRule>
  </conditionalFormatting>
  <conditionalFormatting sqref="AF89:AQ89">
    <cfRule type="expression" dxfId="331" priority="2" stopIfTrue="1">
      <formula>AF89&lt;&gt;0</formula>
    </cfRule>
  </conditionalFormatting>
  <dataValidations count="5">
    <dataValidation type="list" allowBlank="1" showErrorMessage="1" sqref="G10">
      <formula1>"1,2,3,4"</formula1>
      <formula2>0</formula2>
    </dataValidation>
    <dataValidation allowBlank="1" showInputMessage="1" showErrorMessage="1" prompt="Preencha na célula de baixo. Se o acompanhamento for PLE, preencha no botão PREENCHIMENTO POR EVENTOS, acima." sqref="D1 T14:AQ14 D14 D17 D20 T17:AQ17 T20:AQ20 T23:AQ23 D23 D26 D29 T26:AQ26 T29:AQ29 T32:AQ32 D32 D35 D38 T35:AQ35 T38:AQ38 T41:AQ41 D41 D44 D47 T44:AQ44 T47:AQ47 T50:AQ50 D50 D53 T53:AQ53 T56:AQ56 D56 D59 D62 T59:AQ59 T62:AQ62 T65:AQ65 D65 D68 D71 T68:AQ68 T71:AQ71 T74:AQ74 D74 D77 D80 T77:AQ77 T80:AQ80 T83:AQ83 D83 T1:AQ1 D86 T86:AQ86 D89 T89:AQ89"/>
    <dataValidation type="whole" operator="greaterThan" allowBlank="1" showErrorMessage="1" sqref="T12 AF12">
      <formula1>0</formula1>
      <formula2>0</formula2>
    </dataValidation>
    <dataValidation type="decimal" allowBlank="1" showErrorMessage="1" error="Porcentagem Acumulada &gt; 100%." sqref="D2 D15 D18 D21 D24 D27 D30 D33 D36 D39 D42 D45 D48 D51 D54 D57 D60 D63 D66 D69 D72 D75 D78 D81 D84 T84:AR84 T81:AR81 T78:AR78 T75:AR75 T72:AR72 T69:AR69 T66:AR66 T63:AR63 T60:AR60 T57:AR57 T54:AR54 T51:AR51 T48:AR48 T45:AR45 T42:AR42 T39:AR39 T36:AR36 T33:AR33 T30:AR30 T27:AR27 T24:AR24 T21:AR21 T18:AR18 T15:AR15 T2:AR2 D87 T87:AR87 D90 T90:AR90">
      <formula1>0</formula1>
      <formula2>CRONO.MaxParc</formula2>
    </dataValidation>
    <dataValidation type="date" operator="greaterThan" allowBlank="1" showInputMessage="1" showErrorMessage="1" errorTitle="Erro" error="Digite somente datas." sqref="T13 AF13">
      <formula1>36526</formula1>
    </dataValidation>
  </dataValidations>
  <pageMargins left="0.78740157480314998" right="0.78740157480314998" top="0.78740157480314998" bottom="0.78740157480314998" header="0.59055118110236204" footer="0.59055118110236204"/>
  <pageSetup paperSize="9" scale="66" firstPageNumber="0" orientation="landscape" r:id="rId1"/>
  <headerFooter alignWithMargins="0">
    <oddHeader>&amp;C&amp;14I</oddHeader>
    <oddFooter>&amp;LPMv3.0.6&amp;R&amp;P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pageSetUpPr fitToPage="1"/>
  </sheetPr>
  <dimension ref="A1:AE65"/>
  <sheetViews>
    <sheetView showGridLines="0" zoomScale="90" zoomScaleNormal="90" workbookViewId="0">
      <pane xSplit="3" ySplit="13" topLeftCell="D14" activePane="bottomRight" state="frozen"/>
      <selection activeCell="A3" sqref="A3"/>
      <selection pane="topRight" activeCell="D3" sqref="D3"/>
      <selection pane="bottomLeft" activeCell="A13" sqref="A13"/>
      <selection pane="bottomRight"/>
    </sheetView>
  </sheetViews>
  <sheetFormatPr defaultRowHeight="12.75" x14ac:dyDescent="0.2"/>
  <cols>
    <col min="1" max="1" width="3.85546875" customWidth="1"/>
    <col min="2" max="2" width="8.140625" customWidth="1"/>
    <col min="3" max="3" width="36.85546875" customWidth="1"/>
    <col min="4" max="4" width="1.42578125" customWidth="1"/>
    <col min="5" max="6" width="0" hidden="1" customWidth="1"/>
    <col min="7" max="31" width="5.7109375" customWidth="1"/>
    <col min="32" max="32" width="2.140625" customWidth="1"/>
  </cols>
  <sheetData>
    <row r="1" spans="1:31" hidden="1" x14ac:dyDescent="0.2">
      <c r="A1" s="9" t="e">
        <f ca="1">IF(AUTOEVENTO="Manual",IF(OFFSET(EVENTOS!$F$14,CRONOPLE!$B1,0)&gt;0,"F",""),IF(CRONOPLE!B1&lt;=MAX(CÁLCULO!$M$15:$M$192),"F",""))</f>
        <v>#REF!</v>
      </c>
      <c r="B1" s="326" t="e">
        <f ca="1">OFFSET(B1,-1,0)+1</f>
        <v>#REF!</v>
      </c>
      <c r="C1" s="327" t="e">
        <f ca="1">IF(AUTOEVENTO="Manual",IF($B1&lt;&gt;1,OFFSET(EVENTOS!$D$14,$B1,0),0),IF(B1&lt;=MAX(CÁLCULO!$M$15:$M$192),VLOOKUP($B1,CÁLCULO!$M$15:$N$192,2,FALSE),0))</f>
        <v>#REF!</v>
      </c>
      <c r="E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</row>
    <row r="2" spans="1:31" hidden="1" x14ac:dyDescent="0.2"/>
    <row r="3" spans="1:31" hidden="1" x14ac:dyDescent="0.2"/>
    <row r="4" spans="1:31" hidden="1" x14ac:dyDescent="0.2"/>
    <row r="5" spans="1:31" ht="15.75" x14ac:dyDescent="0.2">
      <c r="B5" s="102" t="s">
        <v>288</v>
      </c>
    </row>
    <row r="7" spans="1:31" x14ac:dyDescent="0.2">
      <c r="B7" t="s">
        <v>289</v>
      </c>
    </row>
    <row r="9" spans="1:31" ht="15" x14ac:dyDescent="0.25">
      <c r="B9" s="329" t="str">
        <f ca="1">IF(ACOMPANHAMENTO="BM","NO ACOMPANHAMENTO POR BM, UTILIZE A ABA CRONO",IF(MAX($B$14:$B$65)&lt;MAX(CÁLCULO!$M$15:$M$192),"ERRO: NÚMERO DE EVENTOS INSUFICIENTE, CLIQUE EM ATUALIZAR LINHAS",IF(ROUND(OFFSET(CRONO!$AR$102,0,-1),2)&lt;&gt;CRONO!$Q$93,"ERRO: CRONOGRAMA NÃO FECHA 100%","")))</f>
        <v>NO ACOMPANHAMENTO POR BM, UTILIZE A ABA CRONO</v>
      </c>
    </row>
    <row r="11" spans="1:31" ht="65.25" customHeight="1" x14ac:dyDescent="0.2">
      <c r="A11" s="330"/>
      <c r="C11" s="331"/>
      <c r="E11" s="332" t="str">
        <f ca="1">IF(E$12&gt;CÁLCULO.NúmeroDeFrentes,"",OFFSET(CÁLCULO!$P$12,0,E$12))</f>
        <v xml:space="preserve">PONTE </v>
      </c>
      <c r="G11" s="332" t="str">
        <f ca="1">IF(G$12&gt;CÁLCULO.NúmeroDeFrentes,"",OFFSET(CÁLCULO!$P$12,0,G$12))</f>
        <v xml:space="preserve">PONTE </v>
      </c>
      <c r="H11" s="332">
        <f ca="1">IF(H$12&gt;CÁLCULO.NúmeroDeFrentes,"",OFFSET(CÁLCULO!$P$12,0,H$12))</f>
        <v>0</v>
      </c>
      <c r="I11" s="332">
        <f ca="1">IF(I$12&gt;CÁLCULO.NúmeroDeFrentes,"",OFFSET(CÁLCULO!$P$12,0,I$12))</f>
        <v>0</v>
      </c>
      <c r="J11" s="332">
        <f ca="1">IF(J$12&gt;CÁLCULO.NúmeroDeFrentes,"",OFFSET(CÁLCULO!$P$12,0,J$12))</f>
        <v>0</v>
      </c>
      <c r="K11" s="332">
        <f ca="1">IF(K$12&gt;CÁLCULO.NúmeroDeFrentes,"",OFFSET(CÁLCULO!$P$12,0,K$12))</f>
        <v>0</v>
      </c>
      <c r="L11" s="332">
        <f ca="1">IF(L$12&gt;CÁLCULO.NúmeroDeFrentes,"",OFFSET(CÁLCULO!$P$12,0,L$12))</f>
        <v>0</v>
      </c>
      <c r="M11" s="332">
        <f ca="1">IF(M$12&gt;CÁLCULO.NúmeroDeFrentes,"",OFFSET(CÁLCULO!$P$12,0,M$12))</f>
        <v>0</v>
      </c>
      <c r="N11" s="332">
        <f ca="1">IF(N$12&gt;CÁLCULO.NúmeroDeFrentes,"",OFFSET(CÁLCULO!$P$12,0,N$12))</f>
        <v>0</v>
      </c>
      <c r="O11" s="332">
        <f ca="1">IF(O$12&gt;CÁLCULO.NúmeroDeFrentes,"",OFFSET(CÁLCULO!$P$12,0,O$12))</f>
        <v>0</v>
      </c>
      <c r="P11" s="332">
        <f ca="1">IF(P$12&gt;CÁLCULO.NúmeroDeFrentes,"",OFFSET(CÁLCULO!$P$12,0,P$12))</f>
        <v>0</v>
      </c>
      <c r="Q11" s="332" t="str">
        <f ca="1">IF(Q$12&gt;CÁLCULO.NúmeroDeFrentes,"",OFFSET(CÁLCULO!$P$12,0,Q$12))</f>
        <v/>
      </c>
      <c r="R11" s="332" t="str">
        <f ca="1">IF(R$12&gt;CÁLCULO.NúmeroDeFrentes,"",OFFSET(CÁLCULO!$P$12,0,R$12))</f>
        <v/>
      </c>
      <c r="S11" s="332" t="str">
        <f ca="1">IF(S$12&gt;CÁLCULO.NúmeroDeFrentes,"",OFFSET(CÁLCULO!$P$12,0,S$12))</f>
        <v/>
      </c>
      <c r="T11" s="332" t="str">
        <f ca="1">IF(T$12&gt;CÁLCULO.NúmeroDeFrentes,"",OFFSET(CÁLCULO!$P$12,0,T$12))</f>
        <v/>
      </c>
      <c r="U11" s="332" t="str">
        <f ca="1">IF(U$12&gt;CÁLCULO.NúmeroDeFrentes,"",OFFSET(CÁLCULO!$P$12,0,U$12))</f>
        <v/>
      </c>
      <c r="V11" s="332" t="str">
        <f ca="1">IF(V$12&gt;CÁLCULO.NúmeroDeFrentes,"",OFFSET(CÁLCULO!$P$12,0,V$12))</f>
        <v/>
      </c>
      <c r="W11" s="332" t="str">
        <f ca="1">IF(W$12&gt;CÁLCULO.NúmeroDeFrentes,"",OFFSET(CÁLCULO!$P$12,0,W$12))</f>
        <v/>
      </c>
      <c r="X11" s="332" t="str">
        <f ca="1">IF(X$12&gt;CÁLCULO.NúmeroDeFrentes,"",OFFSET(CÁLCULO!$P$12,0,X$12))</f>
        <v/>
      </c>
      <c r="Y11" s="332" t="str">
        <f ca="1">IF(Y$12&gt;CÁLCULO.NúmeroDeFrentes,"",OFFSET(CÁLCULO!$P$12,0,Y$12))</f>
        <v/>
      </c>
      <c r="Z11" s="332" t="str">
        <f ca="1">IF(Z$12&gt;CÁLCULO.NúmeroDeFrentes,"",OFFSET(CÁLCULO!$P$12,0,Z$12))</f>
        <v/>
      </c>
      <c r="AA11" s="332" t="str">
        <f ca="1">IF(AA$12&gt;CÁLCULO.NúmeroDeFrentes,"",OFFSET(CÁLCULO!$P$12,0,AA$12))</f>
        <v/>
      </c>
      <c r="AB11" s="332" t="str">
        <f ca="1">IF(AB$12&gt;CÁLCULO.NúmeroDeFrentes,"",OFFSET(CÁLCULO!$P$12,0,AB$12))</f>
        <v/>
      </c>
      <c r="AC11" s="332" t="str">
        <f ca="1">IF(AC$12&gt;CÁLCULO.NúmeroDeFrentes,"",OFFSET(CÁLCULO!$P$12,0,AC$12))</f>
        <v/>
      </c>
      <c r="AD11" s="332" t="str">
        <f ca="1">IF(AD$12&gt;CÁLCULO.NúmeroDeFrentes,"",OFFSET(CÁLCULO!$P$12,0,AD$12))</f>
        <v/>
      </c>
      <c r="AE11" s="332" t="str">
        <f ca="1">IF(AE$12&gt;CÁLCULO.NúmeroDeFrentes,"",OFFSET(CÁLCULO!$P$12,0,AE$12))</f>
        <v/>
      </c>
    </row>
    <row r="12" spans="1:31" ht="12.75" customHeight="1" x14ac:dyDescent="0.2">
      <c r="A12" s="135"/>
      <c r="B12" s="764" t="s">
        <v>266</v>
      </c>
      <c r="C12" s="764" t="s">
        <v>291</v>
      </c>
      <c r="E12" s="333">
        <f ca="1">OFFSET(E12,0,-1)+1</f>
        <v>1</v>
      </c>
      <c r="G12" s="333">
        <f ca="1">OFFSET(G12,0,-1)+1</f>
        <v>1</v>
      </c>
      <c r="H12" s="333">
        <f ca="1">OFFSET(H12,0,-1)+1</f>
        <v>2</v>
      </c>
      <c r="I12" s="333">
        <f t="shared" ref="I12:AE12" ca="1" si="0">OFFSET(I12,0,-1)+1</f>
        <v>3</v>
      </c>
      <c r="J12" s="333">
        <f t="shared" ca="1" si="0"/>
        <v>4</v>
      </c>
      <c r="K12" s="333">
        <f t="shared" ca="1" si="0"/>
        <v>5</v>
      </c>
      <c r="L12" s="333">
        <f t="shared" ca="1" si="0"/>
        <v>6</v>
      </c>
      <c r="M12" s="333">
        <f t="shared" ca="1" si="0"/>
        <v>7</v>
      </c>
      <c r="N12" s="333">
        <f t="shared" ca="1" si="0"/>
        <v>8</v>
      </c>
      <c r="O12" s="333">
        <f t="shared" ca="1" si="0"/>
        <v>9</v>
      </c>
      <c r="P12" s="333">
        <f t="shared" ca="1" si="0"/>
        <v>10</v>
      </c>
      <c r="Q12" s="333">
        <f t="shared" ca="1" si="0"/>
        <v>11</v>
      </c>
      <c r="R12" s="333">
        <f t="shared" ca="1" si="0"/>
        <v>12</v>
      </c>
      <c r="S12" s="333">
        <f t="shared" ca="1" si="0"/>
        <v>13</v>
      </c>
      <c r="T12" s="333">
        <f t="shared" ca="1" si="0"/>
        <v>14</v>
      </c>
      <c r="U12" s="333">
        <f t="shared" ca="1" si="0"/>
        <v>15</v>
      </c>
      <c r="V12" s="333">
        <f t="shared" ca="1" si="0"/>
        <v>16</v>
      </c>
      <c r="W12" s="333">
        <f t="shared" ca="1" si="0"/>
        <v>17</v>
      </c>
      <c r="X12" s="333">
        <f t="shared" ca="1" si="0"/>
        <v>18</v>
      </c>
      <c r="Y12" s="333">
        <f t="shared" ca="1" si="0"/>
        <v>19</v>
      </c>
      <c r="Z12" s="333">
        <f t="shared" ca="1" si="0"/>
        <v>20</v>
      </c>
      <c r="AA12" s="333">
        <f t="shared" ca="1" si="0"/>
        <v>21</v>
      </c>
      <c r="AB12" s="333">
        <f t="shared" ca="1" si="0"/>
        <v>22</v>
      </c>
      <c r="AC12" s="333">
        <f t="shared" ca="1" si="0"/>
        <v>23</v>
      </c>
      <c r="AD12" s="333">
        <f t="shared" ca="1" si="0"/>
        <v>24</v>
      </c>
      <c r="AE12" s="333">
        <f t="shared" ca="1" si="0"/>
        <v>25</v>
      </c>
    </row>
    <row r="13" spans="1:31" x14ac:dyDescent="0.2">
      <c r="B13" s="764"/>
      <c r="C13" s="764"/>
      <c r="E13" s="334"/>
      <c r="G13" s="335"/>
      <c r="H13" s="334"/>
      <c r="I13" s="334"/>
      <c r="J13" s="334"/>
      <c r="K13" s="334"/>
      <c r="L13" s="334"/>
      <c r="M13" s="334" t="s">
        <v>292</v>
      </c>
      <c r="N13" s="334"/>
      <c r="O13" s="334"/>
      <c r="P13" s="334"/>
      <c r="Q13" s="334"/>
      <c r="R13" s="334"/>
      <c r="S13" s="334"/>
      <c r="T13" s="334"/>
      <c r="U13" s="334"/>
      <c r="V13" s="334"/>
      <c r="W13" s="334"/>
      <c r="X13" s="334"/>
      <c r="Y13" s="334"/>
      <c r="Z13" s="334"/>
      <c r="AA13" s="334"/>
      <c r="AB13" s="334"/>
      <c r="AC13" s="334"/>
      <c r="AD13" s="334"/>
      <c r="AE13" s="336"/>
    </row>
    <row r="14" spans="1:31" ht="7.5" customHeight="1" x14ac:dyDescent="0.2">
      <c r="A14" s="9"/>
    </row>
    <row r="15" spans="1:31" x14ac:dyDescent="0.2">
      <c r="A15" s="9"/>
      <c r="B15" s="337">
        <v>1</v>
      </c>
      <c r="C15" s="338" t="s">
        <v>269</v>
      </c>
      <c r="E15" s="339"/>
      <c r="G15" s="340" t="str">
        <f ca="1">IF(AUTOEVENTO="MANUAL","A administração local será proporcional a execução dos demais eventos, independente de frentes de obra.","Para aplicação de Adm. Local é necessário definir os eventos manualmente.")</f>
        <v>Para aplicação de Adm. Local é necessário definir os eventos manualmente.</v>
      </c>
      <c r="H15" s="339"/>
      <c r="I15" s="339"/>
      <c r="J15" s="339"/>
      <c r="K15" s="339"/>
      <c r="L15" s="339"/>
      <c r="M15" s="339"/>
      <c r="N15" s="339"/>
      <c r="O15" s="339"/>
      <c r="P15" s="339"/>
      <c r="Q15" s="339"/>
      <c r="R15" s="339"/>
      <c r="S15" s="339"/>
      <c r="T15" s="339"/>
      <c r="U15" s="339"/>
      <c r="V15" s="339"/>
      <c r="W15" s="339"/>
      <c r="X15" s="339"/>
      <c r="Y15" s="339"/>
      <c r="Z15" s="339"/>
      <c r="AA15" s="339"/>
      <c r="AB15" s="339"/>
      <c r="AC15" s="339"/>
      <c r="AD15" s="339"/>
      <c r="AE15" s="341"/>
    </row>
    <row r="16" spans="1:31" x14ac:dyDescent="0.2">
      <c r="A16" s="9" t="str">
        <f ca="1">IF(AUTOEVENTO="Manual",IF(OFFSET(EVENTOS!$F$14,CRONOPLE!$B16,0)&gt;0,"F",""),IF(CRONOPLE!B16&lt;=MAX(CÁLCULO!$M$15:$M$192),"F",""))</f>
        <v>F</v>
      </c>
      <c r="B16" s="326">
        <f t="shared" ref="B16:B64" ca="1" si="1">OFFSET(B16,-1,0)+1</f>
        <v>2</v>
      </c>
      <c r="C16" s="327" t="str">
        <f ca="1">IF(AUTOEVENTO="Manual",IF($B16&lt;&gt;1,OFFSET(EVENTOS!$D$14,$B16,0),0),IF(B16&lt;=MAX(CÁLCULO!$M$15:$M$192),VLOOKUP($B16,CÁLCULO!$M$15:$N$192,2,FALSE),0))</f>
        <v>SERVIÇOS PRELIMINARES  E PROVISÓRIOS</v>
      </c>
      <c r="E16" s="328"/>
      <c r="G16" s="328"/>
      <c r="H16" s="328"/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  <c r="AE16" s="328"/>
    </row>
    <row r="17" spans="1:31" x14ac:dyDescent="0.2">
      <c r="A17" s="9" t="str">
        <f ca="1">IF(AUTOEVENTO="Manual",IF(OFFSET(EVENTOS!$F$14,CRONOPLE!$B17,0)&gt;0,"F",""),IF(CRONOPLE!B17&lt;=MAX(CÁLCULO!$M$15:$M$192),"F",""))</f>
        <v>F</v>
      </c>
      <c r="B17" s="326">
        <f t="shared" ca="1" si="1"/>
        <v>3</v>
      </c>
      <c r="C17" s="327" t="str">
        <f ca="1">IF(AUTOEVENTO="Manual",IF($B17&lt;&gt;1,OFFSET(EVENTOS!$D$14,$B17,0),0),IF(B17&lt;=MAX(CÁLCULO!$M$15:$M$192),VLOOKUP($B17,CÁLCULO!$M$15:$N$192,2,FALSE),0))</f>
        <v xml:space="preserve">ADMINISTRAÇÃO LOCAL </v>
      </c>
      <c r="E17" s="328"/>
      <c r="G17" s="328"/>
      <c r="H17" s="328"/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  <c r="AA17" s="328"/>
      <c r="AB17" s="328"/>
      <c r="AC17" s="328"/>
      <c r="AD17" s="328"/>
      <c r="AE17" s="328"/>
    </row>
    <row r="18" spans="1:31" x14ac:dyDescent="0.2">
      <c r="A18" s="9" t="str">
        <f ca="1">IF(AUTOEVENTO="Manual",IF(OFFSET(EVENTOS!$F$14,CRONOPLE!$B18,0)&gt;0,"F",""),IF(CRONOPLE!B18&lt;=MAX(CÁLCULO!$M$15:$M$192),"F",""))</f>
        <v>F</v>
      </c>
      <c r="B18" s="326">
        <f t="shared" ca="1" si="1"/>
        <v>4</v>
      </c>
      <c r="C18" s="327" t="str">
        <f ca="1">IF(AUTOEVENTO="Manual",IF($B18&lt;&gt;1,OFFSET(EVENTOS!$D$14,$B18,0),0),IF(B18&lt;=MAX(CÁLCULO!$M$15:$M$192),VLOOKUP($B18,CÁLCULO!$M$15:$N$192,2,FALSE),0))</f>
        <v xml:space="preserve">REGULARIZAÇÃO TERRENO </v>
      </c>
      <c r="E18" s="328"/>
      <c r="G18" s="328"/>
      <c r="H18" s="328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328"/>
      <c r="AC18" s="328"/>
      <c r="AD18" s="328"/>
      <c r="AE18" s="328"/>
    </row>
    <row r="19" spans="1:31" x14ac:dyDescent="0.2">
      <c r="A19" s="9" t="str">
        <f ca="1">IF(AUTOEVENTO="Manual",IF(OFFSET(EVENTOS!$F$14,CRONOPLE!$B19,0)&gt;0,"F",""),IF(CRONOPLE!B19&lt;=MAX(CÁLCULO!$M$15:$M$192),"F",""))</f>
        <v>F</v>
      </c>
      <c r="B19" s="326">
        <f t="shared" ca="1" si="1"/>
        <v>5</v>
      </c>
      <c r="C19" s="327" t="str">
        <f ca="1">IF(AUTOEVENTO="Manual",IF($B19&lt;&gt;1,OFFSET(EVENTOS!$D$14,$B19,0),0),IF(B19&lt;=MAX(CÁLCULO!$M$15:$M$192),VLOOKUP($B19,CÁLCULO!$M$15:$N$192,2,FALSE),0))</f>
        <v>FUNDAÇÃO (estaca e blocos)</v>
      </c>
      <c r="E19" s="328"/>
      <c r="G19" s="328"/>
      <c r="H19" s="328"/>
      <c r="I19" s="328"/>
      <c r="J19" s="328"/>
      <c r="K19" s="328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8"/>
      <c r="AB19" s="328"/>
      <c r="AC19" s="328"/>
      <c r="AD19" s="328"/>
      <c r="AE19" s="328"/>
    </row>
    <row r="20" spans="1:31" x14ac:dyDescent="0.2">
      <c r="A20" s="9" t="str">
        <f ca="1">IF(AUTOEVENTO="Manual",IF(OFFSET(EVENTOS!$F$14,CRONOPLE!$B20,0)&gt;0,"F",""),IF(CRONOPLE!B20&lt;=MAX(CÁLCULO!$M$15:$M$192),"F",""))</f>
        <v>F</v>
      </c>
      <c r="B20" s="326">
        <f t="shared" ca="1" si="1"/>
        <v>6</v>
      </c>
      <c r="C20" s="327" t="str">
        <f ca="1">IF(AUTOEVENTO="Manual",IF($B20&lt;&gt;1,OFFSET(EVENTOS!$D$14,$B20,0),0),IF(B20&lt;=MAX(CÁLCULO!$M$15:$M$192),VLOOKUP($B20,CÁLCULO!$M$15:$N$192,2,FALSE),0))</f>
        <v xml:space="preserve">ESCAVAÇÃO BALDRAME </v>
      </c>
      <c r="E20" s="328"/>
      <c r="G20" s="328"/>
      <c r="H20" s="328"/>
      <c r="I20" s="328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  <c r="AA20" s="328"/>
      <c r="AB20" s="328"/>
      <c r="AC20" s="328"/>
      <c r="AD20" s="328"/>
      <c r="AE20" s="328"/>
    </row>
    <row r="21" spans="1:31" x14ac:dyDescent="0.2">
      <c r="A21" s="9" t="str">
        <f ca="1">IF(AUTOEVENTO="Manual",IF(OFFSET(EVENTOS!$F$14,CRONOPLE!$B21,0)&gt;0,"F",""),IF(CRONOPLE!B21&lt;=MAX(CÁLCULO!$M$15:$M$192),"F",""))</f>
        <v>F</v>
      </c>
      <c r="B21" s="326">
        <f t="shared" ca="1" si="1"/>
        <v>7</v>
      </c>
      <c r="C21" s="327" t="str">
        <f ca="1">IF(AUTOEVENTO="Manual",IF($B21&lt;&gt;1,OFFSET(EVENTOS!$D$14,$B21,0),0),IF(B21&lt;=MAX(CÁLCULO!$M$15:$M$192),VLOOKUP($B21,CÁLCULO!$M$15:$N$192,2,FALSE),0))</f>
        <v>PILARES (INCLUSO COLARINHO)</v>
      </c>
      <c r="E21" s="328"/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  <c r="AB21" s="328"/>
      <c r="AC21" s="328"/>
      <c r="AD21" s="328"/>
      <c r="AE21" s="328"/>
    </row>
    <row r="22" spans="1:31" x14ac:dyDescent="0.2">
      <c r="A22" s="9" t="str">
        <f ca="1">IF(AUTOEVENTO="Manual",IF(OFFSET(EVENTOS!$F$14,CRONOPLE!$B22,0)&gt;0,"F",""),IF(CRONOPLE!B22&lt;=MAX(CÁLCULO!$M$15:$M$192),"F",""))</f>
        <v>F</v>
      </c>
      <c r="B22" s="326">
        <f t="shared" ca="1" si="1"/>
        <v>8</v>
      </c>
      <c r="C22" s="327" t="str">
        <f ca="1">IF(AUTOEVENTO="Manual",IF($B22&lt;&gt;1,OFFSET(EVENTOS!$D$14,$B22,0),0),IF(B22&lt;=MAX(CÁLCULO!$M$15:$M$192),VLOOKUP($B22,CÁLCULO!$M$15:$N$192,2,FALSE),0))</f>
        <v>VIGAS (INCLUSO BALDRAME)</v>
      </c>
      <c r="E22" s="328"/>
      <c r="G22" s="328"/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  <c r="AC22" s="328"/>
      <c r="AD22" s="328"/>
      <c r="AE22" s="328"/>
    </row>
    <row r="23" spans="1:31" x14ac:dyDescent="0.2">
      <c r="A23" s="9" t="str">
        <f ca="1">IF(AUTOEVENTO="Manual",IF(OFFSET(EVENTOS!$F$14,CRONOPLE!$B23,0)&gt;0,"F",""),IF(CRONOPLE!B23&lt;=MAX(CÁLCULO!$M$15:$M$192),"F",""))</f>
        <v>F</v>
      </c>
      <c r="B23" s="326">
        <f t="shared" ca="1" si="1"/>
        <v>9</v>
      </c>
      <c r="C23" s="327" t="str">
        <f ca="1">IF(AUTOEVENTO="Manual",IF($B23&lt;&gt;1,OFFSET(EVENTOS!$D$14,$B23,0),0),IF(B23&lt;=MAX(CÁLCULO!$M$15:$M$192),VLOOKUP($B23,CÁLCULO!$M$15:$N$192,2,FALSE),0))</f>
        <v xml:space="preserve">IMPERMEABILIZAÇÃO BALDRAME </v>
      </c>
      <c r="E23" s="328"/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  <c r="AC23" s="328"/>
      <c r="AD23" s="328"/>
      <c r="AE23" s="328"/>
    </row>
    <row r="24" spans="1:31" x14ac:dyDescent="0.2">
      <c r="A24" s="9" t="str">
        <f ca="1">IF(AUTOEVENTO="Manual",IF(OFFSET(EVENTOS!$F$14,CRONOPLE!$B24,0)&gt;0,"F",""),IF(CRONOPLE!B24&lt;=MAX(CÁLCULO!$M$15:$M$192),"F",""))</f>
        <v>F</v>
      </c>
      <c r="B24" s="326">
        <f t="shared" ca="1" si="1"/>
        <v>10</v>
      </c>
      <c r="C24" s="327" t="str">
        <f ca="1">IF(AUTOEVENTO="Manual",IF($B24&lt;&gt;1,OFFSET(EVENTOS!$D$14,$B24,0),0),IF(B24&lt;=MAX(CÁLCULO!$M$15:$M$192),VLOOKUP($B24,CÁLCULO!$M$15:$N$192,2,FALSE),0))</f>
        <v xml:space="preserve">ALVENARIAS </v>
      </c>
      <c r="E24" s="328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  <c r="AA24" s="328"/>
      <c r="AB24" s="328"/>
      <c r="AC24" s="328"/>
      <c r="AD24" s="328"/>
      <c r="AE24" s="328"/>
    </row>
    <row r="25" spans="1:31" x14ac:dyDescent="0.2">
      <c r="A25" s="9" t="str">
        <f ca="1">IF(AUTOEVENTO="Manual",IF(OFFSET(EVENTOS!$F$14,CRONOPLE!$B25,0)&gt;0,"F",""),IF(CRONOPLE!B25&lt;=MAX(CÁLCULO!$M$15:$M$192),"F",""))</f>
        <v>F</v>
      </c>
      <c r="B25" s="326">
        <f t="shared" ca="1" si="1"/>
        <v>11</v>
      </c>
      <c r="C25" s="327" t="str">
        <f ca="1">IF(AUTOEVENTO="Manual",IF($B25&lt;&gt;1,OFFSET(EVENTOS!$D$14,$B25,0),0),IF(B25&lt;=MAX(CÁLCULO!$M$15:$M$192),VLOOKUP($B25,CÁLCULO!$M$15:$N$192,2,FALSE),0))</f>
        <v>DIVISÓRIA EM VIDRO FIXO</v>
      </c>
      <c r="E25" s="328"/>
      <c r="G25" s="328"/>
      <c r="H25" s="328"/>
      <c r="I25" s="328"/>
      <c r="J25" s="328"/>
      <c r="K25" s="328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  <c r="Y25" s="328"/>
      <c r="Z25" s="328"/>
      <c r="AA25" s="328"/>
      <c r="AB25" s="328"/>
      <c r="AC25" s="328"/>
      <c r="AD25" s="328"/>
      <c r="AE25" s="328"/>
    </row>
    <row r="26" spans="1:31" x14ac:dyDescent="0.2">
      <c r="A26" s="9" t="str">
        <f ca="1">IF(AUTOEVENTO="Manual",IF(OFFSET(EVENTOS!$F$14,CRONOPLE!$B26,0)&gt;0,"F",""),IF(CRONOPLE!B26&lt;=MAX(CÁLCULO!$M$15:$M$192),"F",""))</f>
        <v>F</v>
      </c>
      <c r="B26" s="326">
        <f t="shared" ca="1" si="1"/>
        <v>12</v>
      </c>
      <c r="C26" s="327" t="str">
        <f ca="1">IF(AUTOEVENTO="Manual",IF($B26&lt;&gt;1,OFFSET(EVENTOS!$D$14,$B26,0),0),IF(B26&lt;=MAX(CÁLCULO!$M$15:$M$192),VLOOKUP($B26,CÁLCULO!$M$15:$N$192,2,FALSE),0))</f>
        <v>PISO</v>
      </c>
      <c r="E26" s="328"/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  <c r="AA26" s="328"/>
      <c r="AB26" s="328"/>
      <c r="AC26" s="328"/>
      <c r="AD26" s="328"/>
      <c r="AE26" s="328"/>
    </row>
    <row r="27" spans="1:31" x14ac:dyDescent="0.2">
      <c r="A27" s="9" t="str">
        <f ca="1">IF(AUTOEVENTO="Manual",IF(OFFSET(EVENTOS!$F$14,CRONOPLE!$B27,0)&gt;0,"F",""),IF(CRONOPLE!B27&lt;=MAX(CÁLCULO!$M$15:$M$192),"F",""))</f>
        <v>F</v>
      </c>
      <c r="B27" s="326">
        <f t="shared" ca="1" si="1"/>
        <v>13</v>
      </c>
      <c r="C27" s="327" t="str">
        <f ca="1">IF(AUTOEVENTO="Manual",IF($B27&lt;&gt;1,OFFSET(EVENTOS!$D$14,$B27,0),0),IF(B27&lt;=MAX(CÁLCULO!$M$15:$M$192),VLOOKUP($B27,CÁLCULO!$M$15:$N$192,2,FALSE),0))</f>
        <v>LAJE</v>
      </c>
      <c r="E27" s="328"/>
      <c r="G27" s="328"/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  <c r="AA27" s="328"/>
      <c r="AB27" s="328"/>
      <c r="AC27" s="328"/>
      <c r="AD27" s="328"/>
      <c r="AE27" s="328"/>
    </row>
    <row r="28" spans="1:31" x14ac:dyDescent="0.2">
      <c r="A28" s="9" t="str">
        <f ca="1">IF(AUTOEVENTO="Manual",IF(OFFSET(EVENTOS!$F$14,CRONOPLE!$B28,0)&gt;0,"F",""),IF(CRONOPLE!B28&lt;=MAX(CÁLCULO!$M$15:$M$192),"F",""))</f>
        <v>F</v>
      </c>
      <c r="B28" s="326">
        <f t="shared" ca="1" si="1"/>
        <v>14</v>
      </c>
      <c r="C28" s="327" t="str">
        <f ca="1">IF(AUTOEVENTO="Manual",IF($B28&lt;&gt;1,OFFSET(EVENTOS!$D$14,$B28,0),0),IF(B28&lt;=MAX(CÁLCULO!$M$15:$M$192),VLOOKUP($B28,CÁLCULO!$M$15:$N$192,2,FALSE),0))</f>
        <v xml:space="preserve">COBERTURA </v>
      </c>
      <c r="E28" s="328"/>
      <c r="G28" s="328"/>
      <c r="H28" s="328"/>
      <c r="I28" s="328"/>
      <c r="J28" s="328"/>
      <c r="K28" s="328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8"/>
      <c r="Z28" s="328"/>
      <c r="AA28" s="328"/>
      <c r="AB28" s="328"/>
      <c r="AC28" s="328"/>
      <c r="AD28" s="328"/>
      <c r="AE28" s="328"/>
    </row>
    <row r="29" spans="1:31" x14ac:dyDescent="0.2">
      <c r="A29" s="9" t="str">
        <f ca="1">IF(AUTOEVENTO="Manual",IF(OFFSET(EVENTOS!$F$14,CRONOPLE!$B29,0)&gt;0,"F",""),IF(CRONOPLE!B29&lt;=MAX(CÁLCULO!$M$15:$M$192),"F",""))</f>
        <v>F</v>
      </c>
      <c r="B29" s="326">
        <f t="shared" ca="1" si="1"/>
        <v>15</v>
      </c>
      <c r="C29" s="327" t="str">
        <f ca="1">IF(AUTOEVENTO="Manual",IF($B29&lt;&gt;1,OFFSET(EVENTOS!$D$14,$B29,0),0),IF(B29&lt;=MAX(CÁLCULO!$M$15:$M$192),VLOOKUP($B29,CÁLCULO!$M$15:$N$192,2,FALSE),0))</f>
        <v>SPDA</v>
      </c>
      <c r="E29" s="328"/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  <c r="AA29" s="328"/>
      <c r="AB29" s="328"/>
      <c r="AC29" s="328"/>
      <c r="AD29" s="328"/>
      <c r="AE29" s="328"/>
    </row>
    <row r="30" spans="1:31" x14ac:dyDescent="0.2">
      <c r="A30" s="9" t="str">
        <f ca="1">IF(AUTOEVENTO="Manual",IF(OFFSET(EVENTOS!$F$14,CRONOPLE!$B30,0)&gt;0,"F",""),IF(CRONOPLE!B30&lt;=MAX(CÁLCULO!$M$15:$M$192),"F",""))</f>
        <v>F</v>
      </c>
      <c r="B30" s="326">
        <f t="shared" ca="1" si="1"/>
        <v>16</v>
      </c>
      <c r="C30" s="327" t="str">
        <f ca="1">IF(AUTOEVENTO="Manual",IF($B30&lt;&gt;1,OFFSET(EVENTOS!$D$14,$B30,0),0),IF(B30&lt;=MAX(CÁLCULO!$M$15:$M$192),VLOOKUP($B30,CÁLCULO!$M$15:$N$192,2,FALSE),0))</f>
        <v xml:space="preserve">ESQUADRIAS </v>
      </c>
      <c r="E30" s="328"/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  <c r="AA30" s="328"/>
      <c r="AB30" s="328"/>
      <c r="AC30" s="328"/>
      <c r="AD30" s="328"/>
      <c r="AE30" s="328"/>
    </row>
    <row r="31" spans="1:31" x14ac:dyDescent="0.2">
      <c r="A31" s="9" t="str">
        <f ca="1">IF(AUTOEVENTO="Manual",IF(OFFSET(EVENTOS!$F$14,CRONOPLE!$B31,0)&gt;0,"F",""),IF(CRONOPLE!B31&lt;=MAX(CÁLCULO!$M$15:$M$192),"F",""))</f>
        <v>F</v>
      </c>
      <c r="B31" s="326">
        <f t="shared" ca="1" si="1"/>
        <v>17</v>
      </c>
      <c r="C31" s="327" t="str">
        <f ca="1">IF(AUTOEVENTO="Manual",IF($B31&lt;&gt;1,OFFSET(EVENTOS!$D$14,$B31,0),0),IF(B31&lt;=MAX(CÁLCULO!$M$15:$M$192),VLOOKUP($B31,CÁLCULO!$M$15:$N$192,2,FALSE),0))</f>
        <v xml:space="preserve">PINTURA </v>
      </c>
      <c r="E31" s="328"/>
      <c r="G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  <c r="AA31" s="328"/>
      <c r="AB31" s="328"/>
      <c r="AC31" s="328"/>
      <c r="AD31" s="328"/>
      <c r="AE31" s="328"/>
    </row>
    <row r="32" spans="1:31" x14ac:dyDescent="0.2">
      <c r="A32" s="9" t="str">
        <f ca="1">IF(AUTOEVENTO="Manual",IF(OFFSET(EVENTOS!$F$14,CRONOPLE!$B32,0)&gt;0,"F",""),IF(CRONOPLE!B32&lt;=MAX(CÁLCULO!$M$15:$M$192),"F",""))</f>
        <v>F</v>
      </c>
      <c r="B32" s="326">
        <f t="shared" ca="1" si="1"/>
        <v>18</v>
      </c>
      <c r="C32" s="327" t="str">
        <f ca="1">IF(AUTOEVENTO="Manual",IF($B32&lt;&gt;1,OFFSET(EVENTOS!$D$14,$B32,0),0),IF(B32&lt;=MAX(CÁLCULO!$M$15:$M$192),VLOOKUP($B32,CÁLCULO!$M$15:$N$192,2,FALSE),0))</f>
        <v xml:space="preserve">PREVENTIVO DE INCENDIO </v>
      </c>
      <c r="E32" s="328"/>
      <c r="G32" s="328"/>
      <c r="H32" s="328"/>
      <c r="I32" s="328"/>
      <c r="J32" s="328"/>
      <c r="K32" s="328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  <c r="AA32" s="328"/>
      <c r="AB32" s="328"/>
      <c r="AC32" s="328"/>
      <c r="AD32" s="328"/>
      <c r="AE32" s="328"/>
    </row>
    <row r="33" spans="1:31" x14ac:dyDescent="0.2">
      <c r="A33" s="9" t="str">
        <f ca="1">IF(AUTOEVENTO="Manual",IF(OFFSET(EVENTOS!$F$14,CRONOPLE!$B33,0)&gt;0,"F",""),IF(CRONOPLE!B33&lt;=MAX(CÁLCULO!$M$15:$M$192),"F",""))</f>
        <v>F</v>
      </c>
      <c r="B33" s="326">
        <f t="shared" ca="1" si="1"/>
        <v>19</v>
      </c>
      <c r="C33" s="327" t="str">
        <f ca="1">IF(AUTOEVENTO="Manual",IF($B33&lt;&gt;1,OFFSET(EVENTOS!$D$14,$B33,0),0),IF(B33&lt;=MAX(CÁLCULO!$M$15:$M$192),VLOOKUP($B33,CÁLCULO!$M$15:$N$192,2,FALSE),0))</f>
        <v xml:space="preserve">ELÉTRICA </v>
      </c>
      <c r="E33" s="328"/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8"/>
      <c r="Z33" s="328"/>
      <c r="AA33" s="328"/>
      <c r="AB33" s="328"/>
      <c r="AC33" s="328"/>
      <c r="AD33" s="328"/>
      <c r="AE33" s="328"/>
    </row>
    <row r="34" spans="1:31" x14ac:dyDescent="0.2">
      <c r="A34" s="9" t="str">
        <f ca="1">IF(AUTOEVENTO="Manual",IF(OFFSET(EVENTOS!$F$14,CRONOPLE!$B34,0)&gt;0,"F",""),IF(CRONOPLE!B34&lt;=MAX(CÁLCULO!$M$15:$M$192),"F",""))</f>
        <v>F</v>
      </c>
      <c r="B34" s="326">
        <f t="shared" ca="1" si="1"/>
        <v>20</v>
      </c>
      <c r="C34" s="327" t="str">
        <f ca="1">IF(AUTOEVENTO="Manual",IF($B34&lt;&gt;1,OFFSET(EVENTOS!$D$14,$B34,0),0),IF(B34&lt;=MAX(CÁLCULO!$M$15:$M$192),VLOOKUP($B34,CÁLCULO!$M$15:$N$192,2,FALSE),0))</f>
        <v>HIDRAULICO</v>
      </c>
      <c r="E34" s="328"/>
      <c r="G34" s="328"/>
      <c r="H34" s="328"/>
      <c r="I34" s="328"/>
      <c r="J34" s="328"/>
      <c r="K34" s="328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28"/>
      <c r="AB34" s="328"/>
      <c r="AC34" s="328"/>
      <c r="AD34" s="328"/>
      <c r="AE34" s="328"/>
    </row>
    <row r="35" spans="1:31" x14ac:dyDescent="0.2">
      <c r="A35" s="9" t="str">
        <f ca="1">IF(AUTOEVENTO="Manual",IF(OFFSET(EVENTOS!$F$14,CRONOPLE!$B35,0)&gt;0,"F",""),IF(CRONOPLE!B35&lt;=MAX(CÁLCULO!$M$15:$M$192),"F",""))</f>
        <v>F</v>
      </c>
      <c r="B35" s="326">
        <f t="shared" ca="1" si="1"/>
        <v>21</v>
      </c>
      <c r="C35" s="327" t="str">
        <f ca="1">IF(AUTOEVENTO="Manual",IF($B35&lt;&gt;1,OFFSET(EVENTOS!$D$14,$B35,0),0),IF(B35&lt;=MAX(CÁLCULO!$M$15:$M$192),VLOOKUP($B35,CÁLCULO!$M$15:$N$192,2,FALSE),0))</f>
        <v>SANITÁRIO</v>
      </c>
      <c r="E35" s="328"/>
      <c r="G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8"/>
      <c r="AB35" s="328"/>
      <c r="AC35" s="328"/>
      <c r="AD35" s="328"/>
      <c r="AE35" s="328"/>
    </row>
    <row r="36" spans="1:31" x14ac:dyDescent="0.2">
      <c r="A36" s="9" t="str">
        <f ca="1">IF(AUTOEVENTO="Manual",IF(OFFSET(EVENTOS!$F$14,CRONOPLE!$B36,0)&gt;0,"F",""),IF(CRONOPLE!B36&lt;=MAX(CÁLCULO!$M$15:$M$192),"F",""))</f>
        <v>F</v>
      </c>
      <c r="B36" s="326">
        <f t="shared" ca="1" si="1"/>
        <v>22</v>
      </c>
      <c r="C36" s="327" t="str">
        <f ca="1">IF(AUTOEVENTO="Manual",IF($B36&lt;&gt;1,OFFSET(EVENTOS!$D$14,$B36,0),0),IF(B36&lt;=MAX(CÁLCULO!$M$15:$M$192),VLOOKUP($B36,CÁLCULO!$M$15:$N$192,2,FALSE),0))</f>
        <v>ACESSORIOS</v>
      </c>
      <c r="E36" s="328"/>
      <c r="G36" s="328"/>
      <c r="H36" s="328"/>
      <c r="I36" s="328"/>
      <c r="J36" s="328"/>
      <c r="K36" s="328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  <c r="AB36" s="328"/>
      <c r="AC36" s="328"/>
      <c r="AD36" s="328"/>
      <c r="AE36" s="328"/>
    </row>
    <row r="37" spans="1:31" x14ac:dyDescent="0.2">
      <c r="A37" s="9" t="str">
        <f ca="1">IF(AUTOEVENTO="Manual",IF(OFFSET(EVENTOS!$F$14,CRONOPLE!$B37,0)&gt;0,"F",""),IF(CRONOPLE!B37&lt;=MAX(CÁLCULO!$M$15:$M$192),"F",""))</f>
        <v>F</v>
      </c>
      <c r="B37" s="326">
        <f t="shared" ca="1" si="1"/>
        <v>23</v>
      </c>
      <c r="C37" s="327" t="str">
        <f ca="1">IF(AUTOEVENTO="Manual",IF($B37&lt;&gt;1,OFFSET(EVENTOS!$D$14,$B37,0),0),IF(B37&lt;=MAX(CÁLCULO!$M$15:$M$192),VLOOKUP($B37,CÁLCULO!$M$15:$N$192,2,FALSE),0))</f>
        <v>CLIMATIZADORES</v>
      </c>
      <c r="E37" s="328"/>
      <c r="G37" s="328"/>
      <c r="H37" s="328"/>
      <c r="I37" s="328"/>
      <c r="J37" s="328"/>
      <c r="K37" s="328"/>
      <c r="L37" s="328"/>
      <c r="M37" s="328"/>
      <c r="N37" s="328"/>
      <c r="O37" s="328"/>
      <c r="P37" s="328"/>
      <c r="Q37" s="328"/>
      <c r="R37" s="328"/>
      <c r="S37" s="328"/>
      <c r="T37" s="328"/>
      <c r="U37" s="328"/>
      <c r="V37" s="328"/>
      <c r="W37" s="328"/>
      <c r="X37" s="328"/>
      <c r="Y37" s="328"/>
      <c r="Z37" s="328"/>
      <c r="AA37" s="328"/>
      <c r="AB37" s="328"/>
      <c r="AC37" s="328"/>
      <c r="AD37" s="328"/>
      <c r="AE37" s="328"/>
    </row>
    <row r="38" spans="1:31" x14ac:dyDescent="0.2">
      <c r="A38" s="9" t="str">
        <f ca="1">IF(AUTOEVENTO="Manual",IF(OFFSET(EVENTOS!$F$14,CRONOPLE!$B38,0)&gt;0,"F",""),IF(CRONOPLE!B38&lt;=MAX(CÁLCULO!$M$15:$M$192),"F",""))</f>
        <v>F</v>
      </c>
      <c r="B38" s="326">
        <f t="shared" ca="1" si="1"/>
        <v>24</v>
      </c>
      <c r="C38" s="327" t="str">
        <f ca="1">IF(AUTOEVENTO="Manual",IF($B38&lt;&gt;1,OFFSET(EVENTOS!$D$14,$B38,0),0),IF(B38&lt;=MAX(CÁLCULO!$M$15:$M$192),VLOOKUP($B38,CÁLCULO!$M$15:$N$192,2,FALSE),0))</f>
        <v>ACESSIBILIDADE</v>
      </c>
      <c r="E38" s="328"/>
      <c r="G38" s="328"/>
      <c r="H38" s="328"/>
      <c r="I38" s="328"/>
      <c r="J38" s="328"/>
      <c r="K38" s="328"/>
      <c r="L38" s="328"/>
      <c r="M38" s="328"/>
      <c r="N38" s="328"/>
      <c r="O38" s="328"/>
      <c r="P38" s="328"/>
      <c r="Q38" s="328"/>
      <c r="R38" s="328"/>
      <c r="S38" s="328"/>
      <c r="T38" s="328"/>
      <c r="U38" s="328"/>
      <c r="V38" s="328"/>
      <c r="W38" s="328"/>
      <c r="X38" s="328"/>
      <c r="Y38" s="328"/>
      <c r="Z38" s="328"/>
      <c r="AA38" s="328"/>
      <c r="AB38" s="328"/>
      <c r="AC38" s="328"/>
      <c r="AD38" s="328"/>
      <c r="AE38" s="328"/>
    </row>
    <row r="39" spans="1:31" x14ac:dyDescent="0.2">
      <c r="A39" s="9" t="str">
        <f ca="1">IF(AUTOEVENTO="Manual",IF(OFFSET(EVENTOS!$F$14,CRONOPLE!$B39,0)&gt;0,"F",""),IF(CRONOPLE!B39&lt;=MAX(CÁLCULO!$M$15:$M$192),"F",""))</f>
        <v>F</v>
      </c>
      <c r="B39" s="326">
        <f t="shared" ca="1" si="1"/>
        <v>25</v>
      </c>
      <c r="C39" s="327" t="str">
        <f ca="1">IF(AUTOEVENTO="Manual",IF($B39&lt;&gt;1,OFFSET(EVENTOS!$D$14,$B39,0),0),IF(B39&lt;=MAX(CÁLCULO!$M$15:$M$192),VLOOKUP($B39,CÁLCULO!$M$15:$N$192,2,FALSE),0))</f>
        <v xml:space="preserve">CALÇADA EXTERNA </v>
      </c>
      <c r="E39" s="328"/>
      <c r="G39" s="328"/>
      <c r="H39" s="328"/>
      <c r="I39" s="328"/>
      <c r="J39" s="328"/>
      <c r="K39" s="328"/>
      <c r="L39" s="328"/>
      <c r="M39" s="328"/>
      <c r="N39" s="328"/>
      <c r="O39" s="328"/>
      <c r="P39" s="328"/>
      <c r="Q39" s="328"/>
      <c r="R39" s="328"/>
      <c r="S39" s="328"/>
      <c r="T39" s="328"/>
      <c r="U39" s="328"/>
      <c r="V39" s="328"/>
      <c r="W39" s="328"/>
      <c r="X39" s="328"/>
      <c r="Y39" s="328"/>
      <c r="Z39" s="328"/>
      <c r="AA39" s="328"/>
      <c r="AB39" s="328"/>
      <c r="AC39" s="328"/>
      <c r="AD39" s="328"/>
      <c r="AE39" s="328"/>
    </row>
    <row r="40" spans="1:31" x14ac:dyDescent="0.2">
      <c r="A40" s="9" t="str">
        <f ca="1">IF(AUTOEVENTO="Manual",IF(OFFSET(EVENTOS!$F$14,CRONOPLE!$B40,0)&gt;0,"F",""),IF(CRONOPLE!B40&lt;=MAX(CÁLCULO!$M$15:$M$192),"F",""))</f>
        <v>F</v>
      </c>
      <c r="B40" s="326">
        <f t="shared" ca="1" si="1"/>
        <v>26</v>
      </c>
      <c r="C40" s="327" t="str">
        <f ca="1">IF(AUTOEVENTO="Manual",IF($B40&lt;&gt;1,OFFSET(EVENTOS!$D$14,$B40,0),0),IF(B40&lt;=MAX(CÁLCULO!$M$15:$M$192),VLOOKUP($B40,CÁLCULO!$M$15:$N$192,2,FALSE),0))</f>
        <v>COMPLEMENTARES</v>
      </c>
      <c r="E40" s="328"/>
      <c r="G40" s="328"/>
      <c r="H40" s="328"/>
      <c r="I40" s="328"/>
      <c r="J40" s="328"/>
      <c r="K40" s="328"/>
      <c r="L40" s="328"/>
      <c r="M40" s="328"/>
      <c r="N40" s="328"/>
      <c r="O40" s="328"/>
      <c r="P40" s="328"/>
      <c r="Q40" s="328"/>
      <c r="R40" s="328"/>
      <c r="S40" s="328"/>
      <c r="T40" s="328"/>
      <c r="U40" s="328"/>
      <c r="V40" s="328"/>
      <c r="W40" s="328"/>
      <c r="X40" s="328"/>
      <c r="Y40" s="328"/>
      <c r="Z40" s="328"/>
      <c r="AA40" s="328"/>
      <c r="AB40" s="328"/>
      <c r="AC40" s="328"/>
      <c r="AD40" s="328"/>
      <c r="AE40" s="328"/>
    </row>
    <row r="41" spans="1:31" x14ac:dyDescent="0.2">
      <c r="A41" s="9" t="str">
        <f ca="1">IF(AUTOEVENTO="Manual",IF(OFFSET(EVENTOS!$F$14,CRONOPLE!$B41,0)&gt;0,"F",""),IF(CRONOPLE!B41&lt;=MAX(CÁLCULO!$M$15:$M$192),"F",""))</f>
        <v/>
      </c>
      <c r="B41" s="326">
        <f t="shared" ca="1" si="1"/>
        <v>27</v>
      </c>
      <c r="C41" s="327">
        <f ca="1">IF(AUTOEVENTO="Manual",IF($B41&lt;&gt;1,OFFSET(EVENTOS!$D$14,$B41,0),0),IF(B41&lt;=MAX(CÁLCULO!$M$15:$M$192),VLOOKUP($B41,CÁLCULO!$M$15:$N$192,2,FALSE),0))</f>
        <v>0</v>
      </c>
      <c r="E41" s="328"/>
      <c r="G41" s="328"/>
      <c r="H41" s="328"/>
      <c r="I41" s="328"/>
      <c r="J41" s="328"/>
      <c r="K41" s="328"/>
      <c r="L41" s="328"/>
      <c r="M41" s="328"/>
      <c r="N41" s="328"/>
      <c r="O41" s="328"/>
      <c r="P41" s="328"/>
      <c r="Q41" s="328"/>
      <c r="R41" s="328"/>
      <c r="S41" s="328"/>
      <c r="T41" s="328"/>
      <c r="U41" s="328"/>
      <c r="V41" s="328"/>
      <c r="W41" s="328"/>
      <c r="X41" s="328"/>
      <c r="Y41" s="328"/>
      <c r="Z41" s="328"/>
      <c r="AA41" s="328"/>
      <c r="AB41" s="328"/>
      <c r="AC41" s="328"/>
      <c r="AD41" s="328"/>
      <c r="AE41" s="328"/>
    </row>
    <row r="42" spans="1:31" x14ac:dyDescent="0.2">
      <c r="A42" s="9" t="str">
        <f ca="1">IF(AUTOEVENTO="Manual",IF(OFFSET(EVENTOS!$F$14,CRONOPLE!$B42,0)&gt;0,"F",""),IF(CRONOPLE!B42&lt;=MAX(CÁLCULO!$M$15:$M$192),"F",""))</f>
        <v/>
      </c>
      <c r="B42" s="326">
        <f t="shared" ca="1" si="1"/>
        <v>28</v>
      </c>
      <c r="C42" s="327">
        <f ca="1">IF(AUTOEVENTO="Manual",IF($B42&lt;&gt;1,OFFSET(EVENTOS!$D$14,$B42,0),0),IF(B42&lt;=MAX(CÁLCULO!$M$15:$M$192),VLOOKUP($B42,CÁLCULO!$M$15:$N$192,2,FALSE),0))</f>
        <v>0</v>
      </c>
      <c r="E42" s="328"/>
      <c r="G42" s="328"/>
      <c r="H42" s="328"/>
      <c r="I42" s="328"/>
      <c r="J42" s="328"/>
      <c r="K42" s="328"/>
      <c r="L42" s="328"/>
      <c r="M42" s="328"/>
      <c r="N42" s="328"/>
      <c r="O42" s="328"/>
      <c r="P42" s="328"/>
      <c r="Q42" s="328"/>
      <c r="R42" s="328"/>
      <c r="S42" s="328"/>
      <c r="T42" s="328"/>
      <c r="U42" s="328"/>
      <c r="V42" s="328"/>
      <c r="W42" s="328"/>
      <c r="X42" s="328"/>
      <c r="Y42" s="328"/>
      <c r="Z42" s="328"/>
      <c r="AA42" s="328"/>
      <c r="AB42" s="328"/>
      <c r="AC42" s="328"/>
      <c r="AD42" s="328"/>
      <c r="AE42" s="328"/>
    </row>
    <row r="43" spans="1:31" x14ac:dyDescent="0.2">
      <c r="A43" s="9" t="str">
        <f ca="1">IF(AUTOEVENTO="Manual",IF(OFFSET(EVENTOS!$F$14,CRONOPLE!$B43,0)&gt;0,"F",""),IF(CRONOPLE!B43&lt;=MAX(CÁLCULO!$M$15:$M$192),"F",""))</f>
        <v/>
      </c>
      <c r="B43" s="326">
        <f t="shared" ca="1" si="1"/>
        <v>29</v>
      </c>
      <c r="C43" s="327">
        <f ca="1">IF(AUTOEVENTO="Manual",IF($B43&lt;&gt;1,OFFSET(EVENTOS!$D$14,$B43,0),0),IF(B43&lt;=MAX(CÁLCULO!$M$15:$M$192),VLOOKUP($B43,CÁLCULO!$M$15:$N$192,2,FALSE),0))</f>
        <v>0</v>
      </c>
      <c r="E43" s="328"/>
      <c r="G43" s="328"/>
      <c r="H43" s="328"/>
      <c r="I43" s="328"/>
      <c r="J43" s="328"/>
      <c r="K43" s="328"/>
      <c r="L43" s="328"/>
      <c r="M43" s="328"/>
      <c r="N43" s="328"/>
      <c r="O43" s="328"/>
      <c r="P43" s="328"/>
      <c r="Q43" s="328"/>
      <c r="R43" s="328"/>
      <c r="S43" s="328"/>
      <c r="T43" s="328"/>
      <c r="U43" s="328"/>
      <c r="V43" s="328"/>
      <c r="W43" s="328"/>
      <c r="X43" s="328"/>
      <c r="Y43" s="328"/>
      <c r="Z43" s="328"/>
      <c r="AA43" s="328"/>
      <c r="AB43" s="328"/>
      <c r="AC43" s="328"/>
      <c r="AD43" s="328"/>
      <c r="AE43" s="328"/>
    </row>
    <row r="44" spans="1:31" x14ac:dyDescent="0.2">
      <c r="A44" s="9" t="str">
        <f ca="1">IF(AUTOEVENTO="Manual",IF(OFFSET(EVENTOS!$F$14,CRONOPLE!$B44,0)&gt;0,"F",""),IF(CRONOPLE!B44&lt;=MAX(CÁLCULO!$M$15:$M$192),"F",""))</f>
        <v/>
      </c>
      <c r="B44" s="326">
        <f t="shared" ca="1" si="1"/>
        <v>30</v>
      </c>
      <c r="C44" s="327">
        <f ca="1">IF(AUTOEVENTO="Manual",IF($B44&lt;&gt;1,OFFSET(EVENTOS!$D$14,$B44,0),0),IF(B44&lt;=MAX(CÁLCULO!$M$15:$M$192),VLOOKUP($B44,CÁLCULO!$M$15:$N$192,2,FALSE),0))</f>
        <v>0</v>
      </c>
      <c r="E44" s="328"/>
      <c r="G44" s="328"/>
      <c r="H44" s="328"/>
      <c r="I44" s="328"/>
      <c r="J44" s="328"/>
      <c r="K44" s="328"/>
      <c r="L44" s="328"/>
      <c r="M44" s="328"/>
      <c r="N44" s="328"/>
      <c r="O44" s="328"/>
      <c r="P44" s="328"/>
      <c r="Q44" s="328"/>
      <c r="R44" s="328"/>
      <c r="S44" s="328"/>
      <c r="T44" s="328"/>
      <c r="U44" s="328"/>
      <c r="V44" s="328"/>
      <c r="W44" s="328"/>
      <c r="X44" s="328"/>
      <c r="Y44" s="328"/>
      <c r="Z44" s="328"/>
      <c r="AA44" s="328"/>
      <c r="AB44" s="328"/>
      <c r="AC44" s="328"/>
      <c r="AD44" s="328"/>
      <c r="AE44" s="328"/>
    </row>
    <row r="45" spans="1:31" x14ac:dyDescent="0.2">
      <c r="A45" s="9" t="str">
        <f ca="1">IF(AUTOEVENTO="Manual",IF(OFFSET(EVENTOS!$F$14,CRONOPLE!$B45,0)&gt;0,"F",""),IF(CRONOPLE!B45&lt;=MAX(CÁLCULO!$M$15:$M$192),"F",""))</f>
        <v/>
      </c>
      <c r="B45" s="326">
        <f t="shared" ca="1" si="1"/>
        <v>31</v>
      </c>
      <c r="C45" s="327">
        <f ca="1">IF(AUTOEVENTO="Manual",IF($B45&lt;&gt;1,OFFSET(EVENTOS!$D$14,$B45,0),0),IF(B45&lt;=MAX(CÁLCULO!$M$15:$M$192),VLOOKUP($B45,CÁLCULO!$M$15:$N$192,2,FALSE),0))</f>
        <v>0</v>
      </c>
      <c r="E45" s="328"/>
      <c r="G45" s="328"/>
      <c r="H45" s="328"/>
      <c r="I45" s="328"/>
      <c r="J45" s="328"/>
      <c r="K45" s="328"/>
      <c r="L45" s="328"/>
      <c r="M45" s="328"/>
      <c r="N45" s="328"/>
      <c r="O45" s="328"/>
      <c r="P45" s="328"/>
      <c r="Q45" s="328"/>
      <c r="R45" s="328"/>
      <c r="S45" s="328"/>
      <c r="T45" s="328"/>
      <c r="U45" s="328"/>
      <c r="V45" s="328"/>
      <c r="W45" s="328"/>
      <c r="X45" s="328"/>
      <c r="Y45" s="328"/>
      <c r="Z45" s="328"/>
      <c r="AA45" s="328"/>
      <c r="AB45" s="328"/>
      <c r="AC45" s="328"/>
      <c r="AD45" s="328"/>
      <c r="AE45" s="328"/>
    </row>
    <row r="46" spans="1:31" x14ac:dyDescent="0.2">
      <c r="A46" s="9" t="str">
        <f ca="1">IF(AUTOEVENTO="Manual",IF(OFFSET(EVENTOS!$F$14,CRONOPLE!$B46,0)&gt;0,"F",""),IF(CRONOPLE!B46&lt;=MAX(CÁLCULO!$M$15:$M$192),"F",""))</f>
        <v/>
      </c>
      <c r="B46" s="326">
        <f t="shared" ca="1" si="1"/>
        <v>32</v>
      </c>
      <c r="C46" s="327">
        <f ca="1">IF(AUTOEVENTO="Manual",IF($B46&lt;&gt;1,OFFSET(EVENTOS!$D$14,$B46,0),0),IF(B46&lt;=MAX(CÁLCULO!$M$15:$M$192),VLOOKUP($B46,CÁLCULO!$M$15:$N$192,2,FALSE),0))</f>
        <v>0</v>
      </c>
      <c r="E46" s="328"/>
      <c r="G46" s="328"/>
      <c r="H46" s="328"/>
      <c r="I46" s="328"/>
      <c r="J46" s="328"/>
      <c r="K46" s="328"/>
      <c r="L46" s="328"/>
      <c r="M46" s="328"/>
      <c r="N46" s="328"/>
      <c r="O46" s="328"/>
      <c r="P46" s="328"/>
      <c r="Q46" s="328"/>
      <c r="R46" s="328"/>
      <c r="S46" s="328"/>
      <c r="T46" s="328"/>
      <c r="U46" s="328"/>
      <c r="V46" s="328"/>
      <c r="W46" s="328"/>
      <c r="X46" s="328"/>
      <c r="Y46" s="328"/>
      <c r="Z46" s="328"/>
      <c r="AA46" s="328"/>
      <c r="AB46" s="328"/>
      <c r="AC46" s="328"/>
      <c r="AD46" s="328"/>
      <c r="AE46" s="328"/>
    </row>
    <row r="47" spans="1:31" x14ac:dyDescent="0.2">
      <c r="A47" s="9" t="str">
        <f ca="1">IF(AUTOEVENTO="Manual",IF(OFFSET(EVENTOS!$F$14,CRONOPLE!$B47,0)&gt;0,"F",""),IF(CRONOPLE!B47&lt;=MAX(CÁLCULO!$M$15:$M$192),"F",""))</f>
        <v/>
      </c>
      <c r="B47" s="326">
        <f t="shared" ca="1" si="1"/>
        <v>33</v>
      </c>
      <c r="C47" s="327">
        <f ca="1">IF(AUTOEVENTO="Manual",IF($B47&lt;&gt;1,OFFSET(EVENTOS!$D$14,$B47,0),0),IF(B47&lt;=MAX(CÁLCULO!$M$15:$M$192),VLOOKUP($B47,CÁLCULO!$M$15:$N$192,2,FALSE),0))</f>
        <v>0</v>
      </c>
      <c r="E47" s="328"/>
      <c r="G47" s="328"/>
      <c r="H47" s="328"/>
      <c r="I47" s="328"/>
      <c r="J47" s="328"/>
      <c r="K47" s="328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  <c r="Y47" s="328"/>
      <c r="Z47" s="328"/>
      <c r="AA47" s="328"/>
      <c r="AB47" s="328"/>
      <c r="AC47" s="328"/>
      <c r="AD47" s="328"/>
      <c r="AE47" s="328"/>
    </row>
    <row r="48" spans="1:31" x14ac:dyDescent="0.2">
      <c r="A48" s="9" t="str">
        <f ca="1">IF(AUTOEVENTO="Manual",IF(OFFSET(EVENTOS!$F$14,CRONOPLE!$B48,0)&gt;0,"F",""),IF(CRONOPLE!B48&lt;=MAX(CÁLCULO!$M$15:$M$192),"F",""))</f>
        <v/>
      </c>
      <c r="B48" s="326">
        <f t="shared" ca="1" si="1"/>
        <v>34</v>
      </c>
      <c r="C48" s="327">
        <f ca="1">IF(AUTOEVENTO="Manual",IF($B48&lt;&gt;1,OFFSET(EVENTOS!$D$14,$B48,0),0),IF(B48&lt;=MAX(CÁLCULO!$M$15:$M$192),VLOOKUP($B48,CÁLCULO!$M$15:$N$192,2,FALSE),0))</f>
        <v>0</v>
      </c>
      <c r="E48" s="328"/>
      <c r="G48" s="328"/>
      <c r="H48" s="328"/>
      <c r="I48" s="328"/>
      <c r="J48" s="328"/>
      <c r="K48" s="328"/>
      <c r="L48" s="328"/>
      <c r="M48" s="328"/>
      <c r="N48" s="328"/>
      <c r="O48" s="328"/>
      <c r="P48" s="328"/>
      <c r="Q48" s="328"/>
      <c r="R48" s="328"/>
      <c r="S48" s="328"/>
      <c r="T48" s="328"/>
      <c r="U48" s="328"/>
      <c r="V48" s="328"/>
      <c r="W48" s="328"/>
      <c r="X48" s="328"/>
      <c r="Y48" s="328"/>
      <c r="Z48" s="328"/>
      <c r="AA48" s="328"/>
      <c r="AB48" s="328"/>
      <c r="AC48" s="328"/>
      <c r="AD48" s="328"/>
      <c r="AE48" s="328"/>
    </row>
    <row r="49" spans="1:31" x14ac:dyDescent="0.2">
      <c r="A49" s="9" t="str">
        <f ca="1">IF(AUTOEVENTO="Manual",IF(OFFSET(EVENTOS!$F$14,CRONOPLE!$B49,0)&gt;0,"F",""),IF(CRONOPLE!B49&lt;=MAX(CÁLCULO!$M$15:$M$192),"F",""))</f>
        <v/>
      </c>
      <c r="B49" s="326">
        <f t="shared" ca="1" si="1"/>
        <v>35</v>
      </c>
      <c r="C49" s="327">
        <f ca="1">IF(AUTOEVENTO="Manual",IF($B49&lt;&gt;1,OFFSET(EVENTOS!$D$14,$B49,0),0),IF(B49&lt;=MAX(CÁLCULO!$M$15:$M$192),VLOOKUP($B49,CÁLCULO!$M$15:$N$192,2,FALSE),0))</f>
        <v>0</v>
      </c>
      <c r="E49" s="328"/>
      <c r="G49" s="328"/>
      <c r="H49" s="328"/>
      <c r="I49" s="328"/>
      <c r="J49" s="328"/>
      <c r="K49" s="328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  <c r="Y49" s="328"/>
      <c r="Z49" s="328"/>
      <c r="AA49" s="328"/>
      <c r="AB49" s="328"/>
      <c r="AC49" s="328"/>
      <c r="AD49" s="328"/>
      <c r="AE49" s="328"/>
    </row>
    <row r="50" spans="1:31" x14ac:dyDescent="0.2">
      <c r="A50" s="9" t="str">
        <f ca="1">IF(AUTOEVENTO="Manual",IF(OFFSET(EVENTOS!$F$14,CRONOPLE!$B50,0)&gt;0,"F",""),IF(CRONOPLE!B50&lt;=MAX(CÁLCULO!$M$15:$M$192),"F",""))</f>
        <v/>
      </c>
      <c r="B50" s="326">
        <f t="shared" ca="1" si="1"/>
        <v>36</v>
      </c>
      <c r="C50" s="327">
        <f ca="1">IF(AUTOEVENTO="Manual",IF($B50&lt;&gt;1,OFFSET(EVENTOS!$D$14,$B50,0),0),IF(B50&lt;=MAX(CÁLCULO!$M$15:$M$192),VLOOKUP($B50,CÁLCULO!$M$15:$N$192,2,FALSE),0))</f>
        <v>0</v>
      </c>
      <c r="E50" s="328"/>
      <c r="G50" s="328"/>
      <c r="H50" s="328"/>
      <c r="I50" s="328"/>
      <c r="J50" s="328"/>
      <c r="K50" s="328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  <c r="W50" s="328"/>
      <c r="X50" s="328"/>
      <c r="Y50" s="328"/>
      <c r="Z50" s="328"/>
      <c r="AA50" s="328"/>
      <c r="AB50" s="328"/>
      <c r="AC50" s="328"/>
      <c r="AD50" s="328"/>
      <c r="AE50" s="328"/>
    </row>
    <row r="51" spans="1:31" x14ac:dyDescent="0.2">
      <c r="A51" s="9" t="str">
        <f ca="1">IF(AUTOEVENTO="Manual",IF(OFFSET(EVENTOS!$F$14,CRONOPLE!$B51,0)&gt;0,"F",""),IF(CRONOPLE!B51&lt;=MAX(CÁLCULO!$M$15:$M$192),"F",""))</f>
        <v/>
      </c>
      <c r="B51" s="326">
        <f t="shared" ca="1" si="1"/>
        <v>37</v>
      </c>
      <c r="C51" s="327">
        <f ca="1">IF(AUTOEVENTO="Manual",IF($B51&lt;&gt;1,OFFSET(EVENTOS!$D$14,$B51,0),0),IF(B51&lt;=MAX(CÁLCULO!$M$15:$M$192),VLOOKUP($B51,CÁLCULO!$M$15:$N$192,2,FALSE),0))</f>
        <v>0</v>
      </c>
      <c r="E51" s="328"/>
      <c r="G51" s="328"/>
      <c r="H51" s="328"/>
      <c r="I51" s="328"/>
      <c r="J51" s="328"/>
      <c r="K51" s="328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8"/>
      <c r="AA51" s="328"/>
      <c r="AB51" s="328"/>
      <c r="AC51" s="328"/>
      <c r="AD51" s="328"/>
      <c r="AE51" s="328"/>
    </row>
    <row r="52" spans="1:31" x14ac:dyDescent="0.2">
      <c r="A52" s="9" t="str">
        <f ca="1">IF(AUTOEVENTO="Manual",IF(OFFSET(EVENTOS!$F$14,CRONOPLE!$B52,0)&gt;0,"F",""),IF(CRONOPLE!B52&lt;=MAX(CÁLCULO!$M$15:$M$192),"F",""))</f>
        <v/>
      </c>
      <c r="B52" s="326">
        <f t="shared" ca="1" si="1"/>
        <v>38</v>
      </c>
      <c r="C52" s="327">
        <f ca="1">IF(AUTOEVENTO="Manual",IF($B52&lt;&gt;1,OFFSET(EVENTOS!$D$14,$B52,0),0),IF(B52&lt;=MAX(CÁLCULO!$M$15:$M$192),VLOOKUP($B52,CÁLCULO!$M$15:$N$192,2,FALSE),0))</f>
        <v>0</v>
      </c>
      <c r="E52" s="328"/>
      <c r="G52" s="328"/>
      <c r="H52" s="328"/>
      <c r="I52" s="328"/>
      <c r="J52" s="328"/>
      <c r="K52" s="328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  <c r="AA52" s="328"/>
      <c r="AB52" s="328"/>
      <c r="AC52" s="328"/>
      <c r="AD52" s="328"/>
      <c r="AE52" s="328"/>
    </row>
    <row r="53" spans="1:31" x14ac:dyDescent="0.2">
      <c r="A53" s="9" t="str">
        <f ca="1">IF(AUTOEVENTO="Manual",IF(OFFSET(EVENTOS!$F$14,CRONOPLE!$B53,0)&gt;0,"F",""),IF(CRONOPLE!B53&lt;=MAX(CÁLCULO!$M$15:$M$192),"F",""))</f>
        <v/>
      </c>
      <c r="B53" s="326">
        <f t="shared" ca="1" si="1"/>
        <v>39</v>
      </c>
      <c r="C53" s="327">
        <f ca="1">IF(AUTOEVENTO="Manual",IF($B53&lt;&gt;1,OFFSET(EVENTOS!$D$14,$B53,0),0),IF(B53&lt;=MAX(CÁLCULO!$M$15:$M$192),VLOOKUP($B53,CÁLCULO!$M$15:$N$192,2,FALSE),0))</f>
        <v>0</v>
      </c>
      <c r="E53" s="328"/>
      <c r="G53" s="328"/>
      <c r="H53" s="328"/>
      <c r="I53" s="328"/>
      <c r="J53" s="328"/>
      <c r="K53" s="328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  <c r="AA53" s="328"/>
      <c r="AB53" s="328"/>
      <c r="AC53" s="328"/>
      <c r="AD53" s="328"/>
      <c r="AE53" s="328"/>
    </row>
    <row r="54" spans="1:31" x14ac:dyDescent="0.2">
      <c r="A54" s="9" t="str">
        <f ca="1">IF(AUTOEVENTO="Manual",IF(OFFSET(EVENTOS!$F$14,CRONOPLE!$B54,0)&gt;0,"F",""),IF(CRONOPLE!B54&lt;=MAX(CÁLCULO!$M$15:$M$192),"F",""))</f>
        <v/>
      </c>
      <c r="B54" s="326">
        <f t="shared" ca="1" si="1"/>
        <v>40</v>
      </c>
      <c r="C54" s="327">
        <f ca="1">IF(AUTOEVENTO="Manual",IF($B54&lt;&gt;1,OFFSET(EVENTOS!$D$14,$B54,0),0),IF(B54&lt;=MAX(CÁLCULO!$M$15:$M$192),VLOOKUP($B54,CÁLCULO!$M$15:$N$192,2,FALSE),0))</f>
        <v>0</v>
      </c>
      <c r="E54" s="328"/>
      <c r="G54" s="328"/>
      <c r="H54" s="328"/>
      <c r="I54" s="328"/>
      <c r="J54" s="328"/>
      <c r="K54" s="328"/>
      <c r="L54" s="328"/>
      <c r="M54" s="328"/>
      <c r="N54" s="328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  <c r="AA54" s="328"/>
      <c r="AB54" s="328"/>
      <c r="AC54" s="328"/>
      <c r="AD54" s="328"/>
      <c r="AE54" s="328"/>
    </row>
    <row r="55" spans="1:31" x14ac:dyDescent="0.2">
      <c r="A55" s="9" t="str">
        <f ca="1">IF(AUTOEVENTO="Manual",IF(OFFSET(EVENTOS!$F$14,CRONOPLE!$B55,0)&gt;0,"F",""),IF(CRONOPLE!B55&lt;=MAX(CÁLCULO!$M$15:$M$192),"F",""))</f>
        <v/>
      </c>
      <c r="B55" s="326">
        <f t="shared" ca="1" si="1"/>
        <v>41</v>
      </c>
      <c r="C55" s="327">
        <f ca="1">IF(AUTOEVENTO="Manual",IF($B55&lt;&gt;1,OFFSET(EVENTOS!$D$14,$B55,0),0),IF(B55&lt;=MAX(CÁLCULO!$M$15:$M$192),VLOOKUP($B55,CÁLCULO!$M$15:$N$192,2,FALSE),0))</f>
        <v>0</v>
      </c>
      <c r="E55" s="328"/>
      <c r="G55" s="328"/>
      <c r="H55" s="328"/>
      <c r="I55" s="328"/>
      <c r="J55" s="328"/>
      <c r="K55" s="328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8"/>
      <c r="Z55" s="328"/>
      <c r="AA55" s="328"/>
      <c r="AB55" s="328"/>
      <c r="AC55" s="328"/>
      <c r="AD55" s="328"/>
      <c r="AE55" s="328"/>
    </row>
    <row r="56" spans="1:31" x14ac:dyDescent="0.2">
      <c r="A56" s="9" t="str">
        <f ca="1">IF(AUTOEVENTO="Manual",IF(OFFSET(EVENTOS!$F$14,CRONOPLE!$B56,0)&gt;0,"F",""),IF(CRONOPLE!B56&lt;=MAX(CÁLCULO!$M$15:$M$192),"F",""))</f>
        <v/>
      </c>
      <c r="B56" s="326">
        <f t="shared" ca="1" si="1"/>
        <v>42</v>
      </c>
      <c r="C56" s="327">
        <f ca="1">IF(AUTOEVENTO="Manual",IF($B56&lt;&gt;1,OFFSET(EVENTOS!$D$14,$B56,0),0),IF(B56&lt;=MAX(CÁLCULO!$M$15:$M$192),VLOOKUP($B56,CÁLCULO!$M$15:$N$192,2,FALSE),0))</f>
        <v>0</v>
      </c>
      <c r="E56" s="328"/>
      <c r="G56" s="328"/>
      <c r="H56" s="328"/>
      <c r="I56" s="32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  <c r="AA56" s="328"/>
      <c r="AB56" s="328"/>
      <c r="AC56" s="328"/>
      <c r="AD56" s="328"/>
      <c r="AE56" s="328"/>
    </row>
    <row r="57" spans="1:31" x14ac:dyDescent="0.2">
      <c r="A57" s="9" t="str">
        <f ca="1">IF(AUTOEVENTO="Manual",IF(OFFSET(EVENTOS!$F$14,CRONOPLE!$B57,0)&gt;0,"F",""),IF(CRONOPLE!B57&lt;=MAX(CÁLCULO!$M$15:$M$192),"F",""))</f>
        <v/>
      </c>
      <c r="B57" s="326">
        <f t="shared" ca="1" si="1"/>
        <v>43</v>
      </c>
      <c r="C57" s="327">
        <f ca="1">IF(AUTOEVENTO="Manual",IF($B57&lt;&gt;1,OFFSET(EVENTOS!$D$14,$B57,0),0),IF(B57&lt;=MAX(CÁLCULO!$M$15:$M$192),VLOOKUP($B57,CÁLCULO!$M$15:$N$192,2,FALSE),0))</f>
        <v>0</v>
      </c>
      <c r="E57" s="328"/>
      <c r="G57" s="328"/>
      <c r="H57" s="328"/>
      <c r="I57" s="328"/>
      <c r="J57" s="328"/>
      <c r="K57" s="328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  <c r="AA57" s="328"/>
      <c r="AB57" s="328"/>
      <c r="AC57" s="328"/>
      <c r="AD57" s="328"/>
      <c r="AE57" s="328"/>
    </row>
    <row r="58" spans="1:31" x14ac:dyDescent="0.2">
      <c r="A58" s="9" t="str">
        <f ca="1">IF(AUTOEVENTO="Manual",IF(OFFSET(EVENTOS!$F$14,CRONOPLE!$B58,0)&gt;0,"F",""),IF(CRONOPLE!B58&lt;=MAX(CÁLCULO!$M$15:$M$192),"F",""))</f>
        <v/>
      </c>
      <c r="B58" s="326">
        <f t="shared" ca="1" si="1"/>
        <v>44</v>
      </c>
      <c r="C58" s="327">
        <f ca="1">IF(AUTOEVENTO="Manual",IF($B58&lt;&gt;1,OFFSET(EVENTOS!$D$14,$B58,0),0),IF(B58&lt;=MAX(CÁLCULO!$M$15:$M$192),VLOOKUP($B58,CÁLCULO!$M$15:$N$192,2,FALSE),0))</f>
        <v>0</v>
      </c>
      <c r="E58" s="328"/>
      <c r="G58" s="328"/>
      <c r="H58" s="328"/>
      <c r="I58" s="328"/>
      <c r="J58" s="328"/>
      <c r="K58" s="328"/>
      <c r="L58" s="328"/>
      <c r="M58" s="328"/>
      <c r="N58" s="328"/>
      <c r="O58" s="328"/>
      <c r="P58" s="328"/>
      <c r="Q58" s="328"/>
      <c r="R58" s="328"/>
      <c r="S58" s="328"/>
      <c r="T58" s="328"/>
      <c r="U58" s="328"/>
      <c r="V58" s="328"/>
      <c r="W58" s="328"/>
      <c r="X58" s="328"/>
      <c r="Y58" s="328"/>
      <c r="Z58" s="328"/>
      <c r="AA58" s="328"/>
      <c r="AB58" s="328"/>
      <c r="AC58" s="328"/>
      <c r="AD58" s="328"/>
      <c r="AE58" s="328"/>
    </row>
    <row r="59" spans="1:31" x14ac:dyDescent="0.2">
      <c r="A59" s="9" t="str">
        <f ca="1">IF(AUTOEVENTO="Manual",IF(OFFSET(EVENTOS!$F$14,CRONOPLE!$B59,0)&gt;0,"F",""),IF(CRONOPLE!B59&lt;=MAX(CÁLCULO!$M$15:$M$192),"F",""))</f>
        <v/>
      </c>
      <c r="B59" s="326">
        <f t="shared" ca="1" si="1"/>
        <v>45</v>
      </c>
      <c r="C59" s="327">
        <f ca="1">IF(AUTOEVENTO="Manual",IF($B59&lt;&gt;1,OFFSET(EVENTOS!$D$14,$B59,0),0),IF(B59&lt;=MAX(CÁLCULO!$M$15:$M$192),VLOOKUP($B59,CÁLCULO!$M$15:$N$192,2,FALSE),0))</f>
        <v>0</v>
      </c>
      <c r="E59" s="328"/>
      <c r="G59" s="328"/>
      <c r="H59" s="328"/>
      <c r="I59" s="32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328"/>
      <c r="AC59" s="328"/>
      <c r="AD59" s="328"/>
      <c r="AE59" s="328"/>
    </row>
    <row r="60" spans="1:31" x14ac:dyDescent="0.2">
      <c r="A60" s="9" t="str">
        <f ca="1">IF(AUTOEVENTO="Manual",IF(OFFSET(EVENTOS!$F$14,CRONOPLE!$B60,0)&gt;0,"F",""),IF(CRONOPLE!B60&lt;=MAX(CÁLCULO!$M$15:$M$192),"F",""))</f>
        <v/>
      </c>
      <c r="B60" s="326">
        <f t="shared" ca="1" si="1"/>
        <v>46</v>
      </c>
      <c r="C60" s="327">
        <f ca="1">IF(AUTOEVENTO="Manual",IF($B60&lt;&gt;1,OFFSET(EVENTOS!$D$14,$B60,0),0),IF(B60&lt;=MAX(CÁLCULO!$M$15:$M$192),VLOOKUP($B60,CÁLCULO!$M$15:$N$192,2,FALSE),0))</f>
        <v>0</v>
      </c>
      <c r="E60" s="328"/>
      <c r="G60" s="328"/>
      <c r="H60" s="328"/>
      <c r="I60" s="328"/>
      <c r="J60" s="328"/>
      <c r="K60" s="328"/>
      <c r="L60" s="328"/>
      <c r="M60" s="328"/>
      <c r="N60" s="328"/>
      <c r="O60" s="328"/>
      <c r="P60" s="328"/>
      <c r="Q60" s="328"/>
      <c r="R60" s="328"/>
      <c r="S60" s="328"/>
      <c r="T60" s="328"/>
      <c r="U60" s="328"/>
      <c r="V60" s="328"/>
      <c r="W60" s="328"/>
      <c r="X60" s="328"/>
      <c r="Y60" s="328"/>
      <c r="Z60" s="328"/>
      <c r="AA60" s="328"/>
      <c r="AB60" s="328"/>
      <c r="AC60" s="328"/>
      <c r="AD60" s="328"/>
      <c r="AE60" s="328"/>
    </row>
    <row r="61" spans="1:31" x14ac:dyDescent="0.2">
      <c r="A61" s="9" t="str">
        <f ca="1">IF(AUTOEVENTO="Manual",IF(OFFSET(EVENTOS!$F$14,CRONOPLE!$B61,0)&gt;0,"F",""),IF(CRONOPLE!B61&lt;=MAX(CÁLCULO!$M$15:$M$192),"F",""))</f>
        <v/>
      </c>
      <c r="B61" s="326">
        <f t="shared" ca="1" si="1"/>
        <v>47</v>
      </c>
      <c r="C61" s="327">
        <f ca="1">IF(AUTOEVENTO="Manual",IF($B61&lt;&gt;1,OFFSET(EVENTOS!$D$14,$B61,0),0),IF(B61&lt;=MAX(CÁLCULO!$M$15:$M$192),VLOOKUP($B61,CÁLCULO!$M$15:$N$192,2,FALSE),0))</f>
        <v>0</v>
      </c>
      <c r="E61" s="328"/>
      <c r="G61" s="328"/>
      <c r="H61" s="328"/>
      <c r="I61" s="328"/>
      <c r="J61" s="328"/>
      <c r="K61" s="328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8"/>
      <c r="Z61" s="328"/>
      <c r="AA61" s="328"/>
      <c r="AB61" s="328"/>
      <c r="AC61" s="328"/>
      <c r="AD61" s="328"/>
      <c r="AE61" s="328"/>
    </row>
    <row r="62" spans="1:31" x14ac:dyDescent="0.2">
      <c r="A62" s="9" t="str">
        <f ca="1">IF(AUTOEVENTO="Manual",IF(OFFSET(EVENTOS!$F$14,CRONOPLE!$B62,0)&gt;0,"F",""),IF(CRONOPLE!B62&lt;=MAX(CÁLCULO!$M$15:$M$192),"F",""))</f>
        <v/>
      </c>
      <c r="B62" s="326">
        <f t="shared" ca="1" si="1"/>
        <v>48</v>
      </c>
      <c r="C62" s="327">
        <f ca="1">IF(AUTOEVENTO="Manual",IF($B62&lt;&gt;1,OFFSET(EVENTOS!$D$14,$B62,0),0),IF(B62&lt;=MAX(CÁLCULO!$M$15:$M$192),VLOOKUP($B62,CÁLCULO!$M$15:$N$192,2,FALSE),0))</f>
        <v>0</v>
      </c>
      <c r="E62" s="328"/>
      <c r="G62" s="328"/>
      <c r="H62" s="328"/>
      <c r="I62" s="328"/>
      <c r="J62" s="328"/>
      <c r="K62" s="328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8"/>
      <c r="Z62" s="328"/>
      <c r="AA62" s="328"/>
      <c r="AB62" s="328"/>
      <c r="AC62" s="328"/>
      <c r="AD62" s="328"/>
      <c r="AE62" s="328"/>
    </row>
    <row r="63" spans="1:31" x14ac:dyDescent="0.2">
      <c r="A63" s="9" t="str">
        <f ca="1">IF(AUTOEVENTO="Manual",IF(OFFSET(EVENTOS!$F$14,CRONOPLE!$B63,0)&gt;0,"F",""),IF(CRONOPLE!B63&lt;=MAX(CÁLCULO!$M$15:$M$192),"F",""))</f>
        <v/>
      </c>
      <c r="B63" s="326">
        <f t="shared" ca="1" si="1"/>
        <v>49</v>
      </c>
      <c r="C63" s="327">
        <f ca="1">IF(AUTOEVENTO="Manual",IF($B63&lt;&gt;1,OFFSET(EVENTOS!$D$14,$B63,0),0),IF(B63&lt;=MAX(CÁLCULO!$M$15:$M$192),VLOOKUP($B63,CÁLCULO!$M$15:$N$192,2,FALSE),0))</f>
        <v>0</v>
      </c>
      <c r="E63" s="328"/>
      <c r="G63" s="328"/>
      <c r="H63" s="328"/>
      <c r="I63" s="328"/>
      <c r="J63" s="328"/>
      <c r="K63" s="328"/>
      <c r="L63" s="328"/>
      <c r="M63" s="328"/>
      <c r="N63" s="328"/>
      <c r="O63" s="328"/>
      <c r="P63" s="328"/>
      <c r="Q63" s="328"/>
      <c r="R63" s="328"/>
      <c r="S63" s="328"/>
      <c r="T63" s="328"/>
      <c r="U63" s="328"/>
      <c r="V63" s="328"/>
      <c r="W63" s="328"/>
      <c r="X63" s="328"/>
      <c r="Y63" s="328"/>
      <c r="Z63" s="328"/>
      <c r="AA63" s="328"/>
      <c r="AB63" s="328"/>
      <c r="AC63" s="328"/>
      <c r="AD63" s="328"/>
      <c r="AE63" s="328"/>
    </row>
    <row r="64" spans="1:31" x14ac:dyDescent="0.2">
      <c r="A64" s="9" t="str">
        <f ca="1">IF(AUTOEVENTO="Manual",IF(OFFSET(EVENTOS!$F$14,CRONOPLE!$B64,0)&gt;0,"F",""),IF(CRONOPLE!B64&lt;=MAX(CÁLCULO!$M$15:$M$192),"F",""))</f>
        <v/>
      </c>
      <c r="B64" s="326">
        <f t="shared" ca="1" si="1"/>
        <v>50</v>
      </c>
      <c r="C64" s="327">
        <f ca="1">IF(AUTOEVENTO="Manual",IF($B64&lt;&gt;1,OFFSET(EVENTOS!$D$14,$B64,0),0),IF(B64&lt;=MAX(CÁLCULO!$M$15:$M$192),VLOOKUP($B64,CÁLCULO!$M$15:$N$192,2,FALSE),0))</f>
        <v>0</v>
      </c>
      <c r="E64" s="328"/>
      <c r="G64" s="328"/>
      <c r="H64" s="328"/>
      <c r="I64" s="328"/>
      <c r="J64" s="328"/>
      <c r="K64" s="328"/>
      <c r="L64" s="328"/>
      <c r="M64" s="328"/>
      <c r="N64" s="328"/>
      <c r="O64" s="328"/>
      <c r="P64" s="328"/>
      <c r="Q64" s="328"/>
      <c r="R64" s="328"/>
      <c r="S64" s="328"/>
      <c r="T64" s="328"/>
      <c r="U64" s="328"/>
      <c r="V64" s="328"/>
      <c r="W64" s="328"/>
      <c r="X64" s="328"/>
      <c r="Y64" s="328"/>
      <c r="Z64" s="328"/>
      <c r="AA64" s="328"/>
      <c r="AB64" s="328"/>
      <c r="AC64" s="328"/>
      <c r="AD64" s="328"/>
      <c r="AE64" s="328"/>
    </row>
    <row r="65" spans="2:31" ht="5.0999999999999996" customHeight="1" x14ac:dyDescent="0.2">
      <c r="B65" s="590"/>
      <c r="C65" s="591"/>
      <c r="E65" s="342"/>
      <c r="F65" s="342"/>
      <c r="G65" s="590"/>
      <c r="H65" s="592"/>
      <c r="I65" s="592"/>
      <c r="J65" s="592"/>
      <c r="K65" s="592"/>
      <c r="L65" s="592"/>
      <c r="M65" s="592"/>
      <c r="N65" s="592"/>
      <c r="O65" s="592"/>
      <c r="P65" s="592"/>
      <c r="Q65" s="592"/>
      <c r="R65" s="592"/>
      <c r="S65" s="592"/>
      <c r="T65" s="592"/>
      <c r="U65" s="592"/>
      <c r="V65" s="592"/>
      <c r="W65" s="592"/>
      <c r="X65" s="592"/>
      <c r="Y65" s="592"/>
      <c r="Z65" s="592"/>
      <c r="AA65" s="592"/>
      <c r="AB65" s="592"/>
      <c r="AC65" s="592"/>
      <c r="AD65" s="592"/>
      <c r="AE65" s="591"/>
    </row>
  </sheetData>
  <sheetProtection algorithmName="SHA-512" hashValue="r/feeOtj9+b5ixri/hKWOOPk25dBUKP1jNyNgN1PFCdGDn2I41Asp7YPv9uyqwy2RzZrkJUV04sfq64bPOJimQ==" saltValue="Pf6b1M27ZyWxjKec5+9fNw==" spinCount="100000" sheet="1" objects="1" scenarios="1" autoFilter="0"/>
  <mergeCells count="2">
    <mergeCell ref="B12:B13"/>
    <mergeCell ref="C12:C13"/>
  </mergeCells>
  <phoneticPr fontId="38" type="noConversion"/>
  <conditionalFormatting sqref="E1 G1:AE1">
    <cfRule type="expression" dxfId="330" priority="109" stopIfTrue="1">
      <formula>IF(OR(E$12&gt;CÁLCULO.NúmeroDeFrentes,ACOMPANHAMENTO="BM"),TRUE,CRONOPLE.ValorDoEvento=0)</formula>
    </cfRule>
  </conditionalFormatting>
  <conditionalFormatting sqref="E16:E24 G16:AE24">
    <cfRule type="expression" dxfId="329" priority="6" stopIfTrue="1">
      <formula>IF(OR(E$12&gt;CÁLCULO.NúmeroDeFrentes,ACOMPANHAMENTO="BM"),TRUE,CRONOPLE.ValorDoEvento=0)</formula>
    </cfRule>
  </conditionalFormatting>
  <conditionalFormatting sqref="E25:E33 G25:AE33">
    <cfRule type="expression" dxfId="328" priority="5" stopIfTrue="1">
      <formula>IF(OR(E$12&gt;CÁLCULO.NúmeroDeFrentes,ACOMPANHAMENTO="BM"),TRUE,CRONOPLE.ValorDoEvento=0)</formula>
    </cfRule>
  </conditionalFormatting>
  <conditionalFormatting sqref="E34:E42 G34:AE42">
    <cfRule type="expression" dxfId="327" priority="4" stopIfTrue="1">
      <formula>IF(OR(E$12&gt;CÁLCULO.NúmeroDeFrentes,ACOMPANHAMENTO="BM"),TRUE,CRONOPLE.ValorDoEvento=0)</formula>
    </cfRule>
  </conditionalFormatting>
  <conditionalFormatting sqref="E43:E51 G43:AE51">
    <cfRule type="expression" dxfId="326" priority="3" stopIfTrue="1">
      <formula>IF(OR(E$12&gt;CÁLCULO.NúmeroDeFrentes,ACOMPANHAMENTO="BM"),TRUE,CRONOPLE.ValorDoEvento=0)</formula>
    </cfRule>
  </conditionalFormatting>
  <conditionalFormatting sqref="E52:E60 G52:AE60">
    <cfRule type="expression" dxfId="325" priority="2" stopIfTrue="1">
      <formula>IF(OR(E$12&gt;CÁLCULO.NúmeroDeFrentes,ACOMPANHAMENTO="BM"),TRUE,CRONOPLE.ValorDoEvento=0)</formula>
    </cfRule>
  </conditionalFormatting>
  <conditionalFormatting sqref="E61:E64 G61:AE64">
    <cfRule type="expression" dxfId="324" priority="1" stopIfTrue="1">
      <formula>IF(OR(E$12&gt;CÁLCULO.NúmeroDeFrentes,ACOMPANHAMENTO="BM"),TRUE,CRONOPLE.ValorDoEvento=0)</formula>
    </cfRule>
  </conditionalFormatting>
  <dataValidations count="1">
    <dataValidation type="whole" operator="greaterThan" allowBlank="1" showErrorMessage="1" sqref="E1:E5 G1:AE5 G16:AE64 E16:E64">
      <formula1>0</formula1>
      <formula2>0</formula2>
    </dataValidation>
  </dataValidations>
  <pageMargins left="0.78740157480314998" right="0.78740157480314998" top="0.78740157480314998" bottom="0.78740157480314998" header="0.59055118110236204" footer="0.59055118110236204"/>
  <pageSetup paperSize="9" scale="60" firstPageNumber="0" orientation="landscape" horizontalDpi="300" verticalDpi="300" r:id="rId1"/>
  <headerFooter alignWithMargins="0">
    <oddHeader>&amp;L_&amp;C&amp;14I</oddHeader>
    <oddFooter>&amp;LPMv3.0.6&amp;R&amp;P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18</vt:i4>
      </vt:variant>
    </vt:vector>
  </HeadingPairs>
  <TitlesOfParts>
    <vt:vector size="32" baseType="lpstr">
      <vt:lpstr>MENU</vt:lpstr>
      <vt:lpstr>DADOS</vt:lpstr>
      <vt:lpstr>NOVO</vt:lpstr>
      <vt:lpstr>BDI</vt:lpstr>
      <vt:lpstr>ORÇAMENTO</vt:lpstr>
      <vt:lpstr>CÁLCULO</vt:lpstr>
      <vt:lpstr>EVENTOS</vt:lpstr>
      <vt:lpstr>CRONO</vt:lpstr>
      <vt:lpstr>CRONOPLE</vt:lpstr>
      <vt:lpstr>PLE</vt:lpstr>
      <vt:lpstr>QCI</vt:lpstr>
      <vt:lpstr>BM</vt:lpstr>
      <vt:lpstr>RRE</vt:lpstr>
      <vt:lpstr>OFÍCIO</vt:lpstr>
      <vt:lpstr>BDI!Area_de_impressao</vt:lpstr>
      <vt:lpstr>BM!Area_de_impressao</vt:lpstr>
      <vt:lpstr>CÁLCULO!Area_de_impressao</vt:lpstr>
      <vt:lpstr>CRONO!Area_de_impressao</vt:lpstr>
      <vt:lpstr>MENU!Area_de_impressao</vt:lpstr>
      <vt:lpstr>OFÍCIO!Area_de_impressao</vt:lpstr>
      <vt:lpstr>ORÇAMENTO!Area_de_impressao</vt:lpstr>
      <vt:lpstr>PLE!Area_de_impressao</vt:lpstr>
      <vt:lpstr>QCI!Area_de_impressao</vt:lpstr>
      <vt:lpstr>RRE!Area_de_impressao</vt:lpstr>
      <vt:lpstr>BDI!Titulos_de_impressao</vt:lpstr>
      <vt:lpstr>BM!Titulos_de_impressao</vt:lpstr>
      <vt:lpstr>CÁLCULO!Titulos_de_impressao</vt:lpstr>
      <vt:lpstr>CRONO!Titulos_de_impressao</vt:lpstr>
      <vt:lpstr>ORÇAMENTO!Titulos_de_impressao</vt:lpstr>
      <vt:lpstr>PLE!Titulos_de_impressao</vt:lpstr>
      <vt:lpstr>QCI!Titulos_de_impressao</vt:lpstr>
      <vt:lpstr>RRE!Titulos_de_impressao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Cliente</cp:lastModifiedBy>
  <cp:revision>5</cp:revision>
  <cp:lastPrinted>2024-10-08T17:46:44Z</cp:lastPrinted>
  <dcterms:created xsi:type="dcterms:W3CDTF">1997-01-10T22:22:50Z</dcterms:created>
  <dcterms:modified xsi:type="dcterms:W3CDTF">2024-10-08T17:49:46Z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e7aacd-7cc4-4c31-9e6f-7ef306428f09_Enabled">
    <vt:lpwstr>true</vt:lpwstr>
  </property>
  <property fmtid="{D5CDD505-2E9C-101B-9397-08002B2CF9AE}" pid="3" name="MSIP_Label_fde7aacd-7cc4-4c31-9e6f-7ef306428f09_SetDate">
    <vt:lpwstr>2023-11-21T19:16:23Z</vt:lpwstr>
  </property>
  <property fmtid="{D5CDD505-2E9C-101B-9397-08002B2CF9AE}" pid="4" name="MSIP_Label_fde7aacd-7cc4-4c31-9e6f-7ef306428f09_Method">
    <vt:lpwstr>Privileged</vt:lpwstr>
  </property>
  <property fmtid="{D5CDD505-2E9C-101B-9397-08002B2CF9AE}" pid="5" name="MSIP_Label_fde7aacd-7cc4-4c31-9e6f-7ef306428f09_Name">
    <vt:lpwstr>_PUBLICO</vt:lpwstr>
  </property>
  <property fmtid="{D5CDD505-2E9C-101B-9397-08002B2CF9AE}" pid="6" name="MSIP_Label_fde7aacd-7cc4-4c31-9e6f-7ef306428f09_SiteId">
    <vt:lpwstr>ab9bba98-684a-43fb-add8-9c2bebede229</vt:lpwstr>
  </property>
  <property fmtid="{D5CDD505-2E9C-101B-9397-08002B2CF9AE}" pid="7" name="MSIP_Label_fde7aacd-7cc4-4c31-9e6f-7ef306428f09_ActionId">
    <vt:lpwstr>a35afa61-0e86-4f3f-84ac-6edb60dde1d6</vt:lpwstr>
  </property>
  <property fmtid="{D5CDD505-2E9C-101B-9397-08002B2CF9AE}" pid="8" name="MSIP_Label_fde7aacd-7cc4-4c31-9e6f-7ef306428f09_ContentBits">
    <vt:lpwstr>1</vt:lpwstr>
  </property>
</Properties>
</file>