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G:\Meu Drive\Obra_Centro de Convivência\"/>
    </mc:Choice>
  </mc:AlternateContent>
  <xr:revisionPtr revIDLastSave="0" documentId="13_ncr:1_{807ED326-83B9-4ADD-8D20-902E67CF5273}" xr6:coauthVersionLast="47" xr6:coauthVersionMax="47" xr10:uidLastSave="{00000000-0000-0000-0000-000000000000}"/>
  <bookViews>
    <workbookView xWindow="-120" yWindow="-120" windowWidth="29040" windowHeight="15840" xr2:uid="{00000000-000D-0000-FFFF-FFFF00000000}"/>
  </bookViews>
  <sheets>
    <sheet name="ORÇAMENTO" sheetId="6" r:id="rId1"/>
    <sheet name="COMPOSIÇÕES" sheetId="3" r:id="rId2"/>
    <sheet name="CRONOGRAMA" sheetId="4" r:id="rId3"/>
    <sheet name="RESUMO" sheetId="7" r:id="rId4"/>
    <sheet name="BDI" sheetId="8" r:id="rId5"/>
  </sheets>
  <definedNames>
    <definedName name="_xlnm.Print_Area" localSheetId="1">COMPOSIÇÕES!$B$1:$I$1453</definedName>
    <definedName name="_xlnm.Print_Area" localSheetId="2">CRONOGRAMA!$A$1:$S$60</definedName>
    <definedName name="_xlnm.Print_Area" localSheetId="0">ORÇAMENTO!$A$1:$H$491</definedName>
    <definedName name="_xlnm.Print_Area" localSheetId="3">RESUMO!$A$1:$C$45</definedName>
    <definedName name="_xlnm.Print_Titles" localSheetId="2">CRONOGRAMA!$A:$B</definedName>
    <definedName name="_xlnm.Print_Titles" localSheetId="0">ORÇAMENTO!$11:$11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2" i="6" l="1"/>
  <c r="F1139" i="3"/>
  <c r="F1131" i="3"/>
  <c r="F1124" i="3"/>
  <c r="F1117" i="3"/>
  <c r="F1108" i="3"/>
  <c r="F1099" i="3"/>
  <c r="F1090" i="3"/>
  <c r="F1075" i="3"/>
  <c r="F1071" i="3"/>
  <c r="F1070" i="3"/>
  <c r="F1061" i="3"/>
  <c r="F1053" i="3"/>
  <c r="F1046" i="3"/>
  <c r="F1045" i="3"/>
  <c r="F1018" i="3"/>
  <c r="F1027" i="3"/>
  <c r="F1036" i="3"/>
  <c r="G1181" i="3" l="1"/>
  <c r="G1180" i="3"/>
  <c r="G1179" i="3"/>
  <c r="G1174" i="3"/>
  <c r="G1173" i="3"/>
  <c r="G1172" i="3"/>
  <c r="G1182" i="3" l="1"/>
  <c r="G1175" i="3"/>
  <c r="G434" i="3" l="1"/>
  <c r="G435" i="3"/>
  <c r="G436" i="3"/>
  <c r="G437" i="3"/>
  <c r="F900" i="3" l="1"/>
  <c r="F899" i="3"/>
  <c r="G687" i="3" l="1"/>
  <c r="G688" i="3"/>
  <c r="G686" i="3"/>
  <c r="G679" i="3"/>
  <c r="G680" i="3"/>
  <c r="G681" i="3"/>
  <c r="G678" i="3"/>
  <c r="C461" i="3"/>
  <c r="G467" i="3"/>
  <c r="G466" i="3"/>
  <c r="G465" i="3"/>
  <c r="G464" i="3"/>
  <c r="G463" i="3"/>
  <c r="G689" i="3" l="1"/>
  <c r="G682" i="3"/>
  <c r="G468" i="3"/>
  <c r="G1165" i="3" l="1"/>
  <c r="G1166" i="3"/>
  <c r="G1167" i="3"/>
  <c r="G1164" i="3"/>
  <c r="G1156" i="3"/>
  <c r="G1157" i="3"/>
  <c r="G1158" i="3"/>
  <c r="G1159" i="3"/>
  <c r="G1155" i="3"/>
  <c r="G1147" i="3"/>
  <c r="G1148" i="3"/>
  <c r="G1149" i="3"/>
  <c r="G1150" i="3"/>
  <c r="G1146" i="3"/>
  <c r="G1140" i="3"/>
  <c r="G1141" i="3"/>
  <c r="G1139" i="3"/>
  <c r="G1132" i="3"/>
  <c r="G1133" i="3"/>
  <c r="G1134" i="3"/>
  <c r="G1131" i="3"/>
  <c r="G1160" i="3" l="1"/>
  <c r="G1142" i="3"/>
  <c r="G1168" i="3"/>
  <c r="G1151" i="3"/>
  <c r="G1135" i="3"/>
  <c r="G1125" i="3"/>
  <c r="G1126" i="3"/>
  <c r="G1124" i="3"/>
  <c r="G1119" i="3"/>
  <c r="G1118" i="3"/>
  <c r="G1117" i="3"/>
  <c r="G1109" i="3"/>
  <c r="G1110" i="3"/>
  <c r="G1111" i="3"/>
  <c r="G1112" i="3"/>
  <c r="G1108" i="3"/>
  <c r="G1100" i="3"/>
  <c r="G1101" i="3"/>
  <c r="G1102" i="3"/>
  <c r="G1103" i="3"/>
  <c r="G1099" i="3"/>
  <c r="G1091" i="3"/>
  <c r="G1092" i="3"/>
  <c r="G1093" i="3"/>
  <c r="G1094" i="3"/>
  <c r="G1090" i="3"/>
  <c r="G1083" i="3"/>
  <c r="G1084" i="3"/>
  <c r="G1085" i="3"/>
  <c r="G1082" i="3"/>
  <c r="G1070" i="3"/>
  <c r="G1071" i="3"/>
  <c r="G1072" i="3"/>
  <c r="G1073" i="3"/>
  <c r="G1074" i="3"/>
  <c r="G1075" i="3"/>
  <c r="G1076" i="3"/>
  <c r="G1077" i="3"/>
  <c r="G1069" i="3"/>
  <c r="G1062" i="3"/>
  <c r="G1063" i="3"/>
  <c r="G1064" i="3"/>
  <c r="G1061" i="3"/>
  <c r="G1054" i="3"/>
  <c r="G1055" i="3"/>
  <c r="G1056" i="3"/>
  <c r="G1053" i="3"/>
  <c r="G1046" i="3"/>
  <c r="G1047" i="3"/>
  <c r="G1048" i="3"/>
  <c r="G1045" i="3"/>
  <c r="G1037" i="3"/>
  <c r="G1038" i="3"/>
  <c r="G1039" i="3"/>
  <c r="G1040" i="3"/>
  <c r="G1036" i="3"/>
  <c r="G1028" i="3"/>
  <c r="G1029" i="3"/>
  <c r="G1030" i="3"/>
  <c r="G1031" i="3"/>
  <c r="G1027" i="3"/>
  <c r="G1019" i="3"/>
  <c r="G1020" i="3"/>
  <c r="G1021" i="3"/>
  <c r="G1022" i="3"/>
  <c r="G1018" i="3"/>
  <c r="G1009" i="3"/>
  <c r="G1010" i="3"/>
  <c r="G1011" i="3"/>
  <c r="G1012" i="3"/>
  <c r="G1013" i="3"/>
  <c r="G1008" i="3"/>
  <c r="G999" i="3"/>
  <c r="G1000" i="3"/>
  <c r="G1001" i="3"/>
  <c r="G1002" i="3"/>
  <c r="G1003" i="3"/>
  <c r="G998" i="3"/>
  <c r="G991" i="3"/>
  <c r="G992" i="3"/>
  <c r="G993" i="3"/>
  <c r="G990" i="3"/>
  <c r="G984" i="3"/>
  <c r="G985" i="3"/>
  <c r="G983" i="3"/>
  <c r="G977" i="3"/>
  <c r="G978" i="3"/>
  <c r="G976" i="3"/>
  <c r="G1004" i="3" l="1"/>
  <c r="G994" i="3"/>
  <c r="G1014" i="3"/>
  <c r="G1023" i="3"/>
  <c r="G1086" i="3"/>
  <c r="G1095" i="3"/>
  <c r="G1104" i="3"/>
  <c r="G1032" i="3"/>
  <c r="G1041" i="3"/>
  <c r="G1113" i="3"/>
  <c r="G986" i="3"/>
  <c r="G1049" i="3"/>
  <c r="G1057" i="3"/>
  <c r="G1065" i="3"/>
  <c r="G1120" i="3"/>
  <c r="G1127" i="3"/>
  <c r="G1078" i="3"/>
  <c r="G979" i="3"/>
  <c r="H1341" i="3"/>
  <c r="H1344" i="3" s="1"/>
  <c r="I1343" i="3"/>
  <c r="I1342" i="3"/>
  <c r="I1334" i="3"/>
  <c r="I1333" i="3"/>
  <c r="H1332" i="3"/>
  <c r="H1335" i="3" s="1"/>
  <c r="H1323" i="3"/>
  <c r="H1326" i="3" s="1"/>
  <c r="I1325" i="3"/>
  <c r="I1324" i="3"/>
  <c r="H1425" i="3"/>
  <c r="H1426" i="3"/>
  <c r="H1427" i="3"/>
  <c r="H1424" i="3"/>
  <c r="I1425" i="3"/>
  <c r="I1426" i="3"/>
  <c r="I1427" i="3"/>
  <c r="I1424" i="3"/>
  <c r="I1417" i="3"/>
  <c r="I1418" i="3" s="1"/>
  <c r="H1416" i="3"/>
  <c r="H1418" i="3" s="1"/>
  <c r="H1398" i="3"/>
  <c r="H1399" i="3"/>
  <c r="H1400" i="3"/>
  <c r="H1401" i="3"/>
  <c r="H1402" i="3"/>
  <c r="H1403" i="3"/>
  <c r="H1404" i="3"/>
  <c r="H1405" i="3"/>
  <c r="H1406" i="3"/>
  <c r="H1407" i="3"/>
  <c r="H1408" i="3"/>
  <c r="H1409" i="3"/>
  <c r="H1397" i="3"/>
  <c r="I1395" i="3"/>
  <c r="I1396" i="3"/>
  <c r="I1397" i="3"/>
  <c r="I1398" i="3"/>
  <c r="I1399" i="3"/>
  <c r="I1400" i="3"/>
  <c r="I1401" i="3"/>
  <c r="I1402" i="3"/>
  <c r="I1403" i="3"/>
  <c r="I1404" i="3"/>
  <c r="I1405" i="3"/>
  <c r="I1406" i="3"/>
  <c r="I1407" i="3"/>
  <c r="I1408" i="3"/>
  <c r="I1409" i="3"/>
  <c r="I1394" i="3"/>
  <c r="H1376" i="3"/>
  <c r="H1377" i="3"/>
  <c r="H1378" i="3"/>
  <c r="H1379" i="3"/>
  <c r="H1380" i="3"/>
  <c r="H1381" i="3"/>
  <c r="H1382" i="3"/>
  <c r="H1383" i="3"/>
  <c r="H1384" i="3"/>
  <c r="H1385" i="3"/>
  <c r="H1386" i="3"/>
  <c r="H1387" i="3"/>
  <c r="H1375" i="3"/>
  <c r="I1374" i="3"/>
  <c r="I1373" i="3"/>
  <c r="I1372" i="3"/>
  <c r="H1357" i="3"/>
  <c r="H1356" i="3"/>
  <c r="H1353" i="3"/>
  <c r="H1365" i="3"/>
  <c r="H1364" i="3"/>
  <c r="H1363" i="3"/>
  <c r="H1361" i="3"/>
  <c r="H1360" i="3"/>
  <c r="H1359" i="3"/>
  <c r="H1362" i="3"/>
  <c r="H1358" i="3"/>
  <c r="H1355" i="3"/>
  <c r="H1354" i="3"/>
  <c r="I1352" i="3"/>
  <c r="I1351" i="3"/>
  <c r="I1350" i="3"/>
  <c r="I1335" i="3" l="1"/>
  <c r="H1336" i="3" s="1"/>
  <c r="I1366" i="3"/>
  <c r="I1326" i="3"/>
  <c r="H1327" i="3" s="1"/>
  <c r="I1344" i="3"/>
  <c r="H1345" i="3" s="1"/>
  <c r="H1419" i="3"/>
  <c r="H1428" i="3"/>
  <c r="I1428" i="3"/>
  <c r="H1410" i="3"/>
  <c r="I1410" i="3"/>
  <c r="H1388" i="3"/>
  <c r="I1388" i="3"/>
  <c r="H1366" i="3"/>
  <c r="H1313" i="3"/>
  <c r="H1314" i="3" s="1"/>
  <c r="I1312" i="3"/>
  <c r="I1314" i="3" s="1"/>
  <c r="H1305" i="3"/>
  <c r="H1306" i="3" s="1"/>
  <c r="I1304" i="3"/>
  <c r="I1303" i="3"/>
  <c r="H1296" i="3"/>
  <c r="H1295" i="3"/>
  <c r="I1294" i="3"/>
  <c r="I1293" i="3"/>
  <c r="I1286" i="3"/>
  <c r="H1285" i="3"/>
  <c r="I1284" i="3"/>
  <c r="H1283" i="3"/>
  <c r="H1276" i="3"/>
  <c r="H1277" i="3" s="1"/>
  <c r="I1275" i="3"/>
  <c r="I1274" i="3"/>
  <c r="I1267" i="3"/>
  <c r="I1266" i="3"/>
  <c r="H1265" i="3"/>
  <c r="H1268" i="3" s="1"/>
  <c r="H1257" i="3"/>
  <c r="H1259" i="3" s="1"/>
  <c r="I1258" i="3"/>
  <c r="I1259" i="3" s="1"/>
  <c r="H1250" i="3"/>
  <c r="H1249" i="3"/>
  <c r="H1248" i="3"/>
  <c r="I1247" i="3"/>
  <c r="I1246" i="3"/>
  <c r="H1367" i="3" l="1"/>
  <c r="I1268" i="3"/>
  <c r="H1269" i="3" s="1"/>
  <c r="I1287" i="3"/>
  <c r="I1251" i="3"/>
  <c r="I1297" i="3"/>
  <c r="H1251" i="3"/>
  <c r="H1287" i="3"/>
  <c r="H1297" i="3"/>
  <c r="H1260" i="3"/>
  <c r="H1429" i="3"/>
  <c r="I1277" i="3"/>
  <c r="H1278" i="3" s="1"/>
  <c r="H1411" i="3"/>
  <c r="H1389" i="3"/>
  <c r="H1315" i="3"/>
  <c r="I1306" i="3"/>
  <c r="H1307" i="3" s="1"/>
  <c r="H1288" i="3" l="1"/>
  <c r="H1252" i="3"/>
  <c r="H1298" i="3"/>
  <c r="G49" i="3"/>
  <c r="G898" i="3" l="1"/>
  <c r="G899" i="3"/>
  <c r="G900" i="3"/>
  <c r="G897" i="3"/>
  <c r="G891" i="3"/>
  <c r="G892" i="3"/>
  <c r="G890" i="3"/>
  <c r="G881" i="3"/>
  <c r="G882" i="3"/>
  <c r="G883" i="3"/>
  <c r="G884" i="3"/>
  <c r="G885" i="3"/>
  <c r="G880" i="3"/>
  <c r="G871" i="3"/>
  <c r="G872" i="3"/>
  <c r="G873" i="3"/>
  <c r="G874" i="3"/>
  <c r="G875" i="3"/>
  <c r="G870" i="3"/>
  <c r="G861" i="3"/>
  <c r="G862" i="3"/>
  <c r="G863" i="3"/>
  <c r="G864" i="3"/>
  <c r="G865" i="3"/>
  <c r="G860" i="3"/>
  <c r="G901" i="3" l="1"/>
  <c r="G866" i="3"/>
  <c r="G876" i="3"/>
  <c r="G893" i="3"/>
  <c r="G886" i="3"/>
  <c r="G851" i="3"/>
  <c r="G852" i="3"/>
  <c r="G853" i="3"/>
  <c r="G850" i="3"/>
  <c r="G842" i="3"/>
  <c r="G843" i="3"/>
  <c r="G844" i="3"/>
  <c r="G845" i="3"/>
  <c r="G841" i="3"/>
  <c r="G835" i="3"/>
  <c r="G833" i="3"/>
  <c r="G834" i="3"/>
  <c r="G836" i="3"/>
  <c r="G832" i="3"/>
  <c r="G811" i="3"/>
  <c r="G812" i="3"/>
  <c r="G813" i="3"/>
  <c r="G814" i="3"/>
  <c r="G815" i="3"/>
  <c r="G816" i="3"/>
  <c r="G817" i="3"/>
  <c r="G818" i="3"/>
  <c r="G819" i="3"/>
  <c r="G820" i="3"/>
  <c r="G821" i="3"/>
  <c r="G822" i="3"/>
  <c r="G823" i="3"/>
  <c r="G824" i="3"/>
  <c r="G825" i="3"/>
  <c r="G826" i="3"/>
  <c r="G827" i="3"/>
  <c r="G810" i="3"/>
  <c r="G792" i="3"/>
  <c r="G793" i="3"/>
  <c r="G794" i="3"/>
  <c r="G795" i="3"/>
  <c r="G796" i="3"/>
  <c r="G797" i="3"/>
  <c r="G798" i="3"/>
  <c r="G799" i="3"/>
  <c r="G800" i="3"/>
  <c r="G801" i="3"/>
  <c r="G802" i="3"/>
  <c r="G803" i="3"/>
  <c r="G804" i="3"/>
  <c r="G805" i="3"/>
  <c r="G791" i="3"/>
  <c r="G773" i="3"/>
  <c r="G774" i="3"/>
  <c r="G775" i="3"/>
  <c r="G776" i="3"/>
  <c r="G777" i="3"/>
  <c r="G778" i="3"/>
  <c r="G779" i="3"/>
  <c r="G780" i="3"/>
  <c r="G781" i="3"/>
  <c r="G782" i="3"/>
  <c r="G783" i="3"/>
  <c r="G784" i="3"/>
  <c r="G785" i="3"/>
  <c r="G786" i="3"/>
  <c r="G772" i="3"/>
  <c r="G757" i="3"/>
  <c r="G758" i="3"/>
  <c r="G759" i="3"/>
  <c r="G760" i="3"/>
  <c r="G761" i="3"/>
  <c r="G762" i="3"/>
  <c r="G763" i="3"/>
  <c r="G764" i="3"/>
  <c r="G765" i="3"/>
  <c r="G766" i="3"/>
  <c r="G767" i="3"/>
  <c r="G756" i="3"/>
  <c r="G747" i="3"/>
  <c r="G748" i="3"/>
  <c r="G749" i="3"/>
  <c r="G750" i="3"/>
  <c r="G751" i="3"/>
  <c r="G746" i="3"/>
  <c r="G738" i="3"/>
  <c r="G739" i="3"/>
  <c r="G740" i="3"/>
  <c r="G741" i="3"/>
  <c r="G737" i="3"/>
  <c r="G728" i="3"/>
  <c r="G730" i="3"/>
  <c r="G727" i="3"/>
  <c r="G720" i="3"/>
  <c r="G722" i="3"/>
  <c r="G719" i="3"/>
  <c r="G712" i="3"/>
  <c r="G713" i="3"/>
  <c r="G714" i="3"/>
  <c r="G711" i="3"/>
  <c r="G704" i="3"/>
  <c r="G705" i="3"/>
  <c r="G706" i="3"/>
  <c r="G703" i="3"/>
  <c r="G694" i="3"/>
  <c r="G695" i="3"/>
  <c r="G696" i="3"/>
  <c r="G697" i="3"/>
  <c r="G698" i="3"/>
  <c r="G693" i="3"/>
  <c r="G742" i="3" l="1"/>
  <c r="G715" i="3"/>
  <c r="F721" i="3" s="1"/>
  <c r="G721" i="3" s="1"/>
  <c r="G723" i="3" s="1"/>
  <c r="G707" i="3"/>
  <c r="F729" i="3" s="1"/>
  <c r="G729" i="3" s="1"/>
  <c r="G731" i="3" s="1"/>
  <c r="G787" i="3"/>
  <c r="G854" i="3"/>
  <c r="G828" i="3"/>
  <c r="G846" i="3"/>
  <c r="G752" i="3"/>
  <c r="G806" i="3"/>
  <c r="G837" i="3"/>
  <c r="G768" i="3"/>
  <c r="G699" i="3"/>
  <c r="G668" i="3"/>
  <c r="G669" i="3"/>
  <c r="G670" i="3"/>
  <c r="G671" i="3"/>
  <c r="G672" i="3"/>
  <c r="G673" i="3"/>
  <c r="G667" i="3"/>
  <c r="G656" i="3"/>
  <c r="G657" i="3"/>
  <c r="G658" i="3"/>
  <c r="G659" i="3"/>
  <c r="G660" i="3"/>
  <c r="G661" i="3"/>
  <c r="G662" i="3"/>
  <c r="G655" i="3"/>
  <c r="G648" i="3"/>
  <c r="G649" i="3"/>
  <c r="G650" i="3"/>
  <c r="G647" i="3"/>
  <c r="G640" i="3"/>
  <c r="G641" i="3"/>
  <c r="G642" i="3"/>
  <c r="G639" i="3"/>
  <c r="G629" i="3"/>
  <c r="G630" i="3"/>
  <c r="G631" i="3"/>
  <c r="G632" i="3"/>
  <c r="G633" i="3"/>
  <c r="G634" i="3"/>
  <c r="G628" i="3"/>
  <c r="G619" i="3"/>
  <c r="G620" i="3"/>
  <c r="G621" i="3"/>
  <c r="G622" i="3"/>
  <c r="G623" i="3"/>
  <c r="G618" i="3"/>
  <c r="G609" i="3"/>
  <c r="G610" i="3"/>
  <c r="G611" i="3"/>
  <c r="G612" i="3"/>
  <c r="G613" i="3"/>
  <c r="G608" i="3"/>
  <c r="G600" i="3"/>
  <c r="G601" i="3"/>
  <c r="G602" i="3"/>
  <c r="G603" i="3"/>
  <c r="G599" i="3"/>
  <c r="G592" i="3"/>
  <c r="G593" i="3"/>
  <c r="G594" i="3"/>
  <c r="G591" i="3"/>
  <c r="G586" i="3"/>
  <c r="G585" i="3"/>
  <c r="G587" i="3" l="1"/>
  <c r="G604" i="3"/>
  <c r="G643" i="3"/>
  <c r="G651" i="3"/>
  <c r="G663" i="3"/>
  <c r="G595" i="3"/>
  <c r="G614" i="3"/>
  <c r="G624" i="3"/>
  <c r="G674" i="3"/>
  <c r="G635" i="3"/>
  <c r="D211" i="6"/>
  <c r="G475" i="3"/>
  <c r="G476" i="3"/>
  <c r="G477" i="3"/>
  <c r="G474" i="3"/>
  <c r="C472" i="3"/>
  <c r="C451" i="3"/>
  <c r="G478" i="3" l="1"/>
  <c r="G456" i="3"/>
  <c r="G458" i="3"/>
  <c r="G457" i="3"/>
  <c r="G455" i="3"/>
  <c r="G454" i="3"/>
  <c r="G453" i="3"/>
  <c r="G459" i="3" l="1"/>
  <c r="C414" i="3"/>
  <c r="G419" i="3"/>
  <c r="G418" i="3"/>
  <c r="G417" i="3"/>
  <c r="G416" i="3"/>
  <c r="G409" i="3"/>
  <c r="G410" i="3"/>
  <c r="G411" i="3"/>
  <c r="G408" i="3"/>
  <c r="G420" i="3" l="1"/>
  <c r="G412" i="3"/>
  <c r="C398" i="3"/>
  <c r="G401" i="3"/>
  <c r="G400" i="3"/>
  <c r="G369" i="3"/>
  <c r="G370" i="3"/>
  <c r="G371" i="3"/>
  <c r="C392" i="3"/>
  <c r="G395" i="3"/>
  <c r="G394" i="3"/>
  <c r="C386" i="3"/>
  <c r="G389" i="3"/>
  <c r="G388" i="3"/>
  <c r="G402" i="3" l="1"/>
  <c r="G396" i="3"/>
  <c r="G390" i="3"/>
  <c r="G347" i="3"/>
  <c r="G361" i="3"/>
  <c r="G360" i="3"/>
  <c r="G359" i="3"/>
  <c r="G358" i="3"/>
  <c r="G362" i="3" l="1"/>
  <c r="G326" i="3"/>
  <c r="G325" i="3"/>
  <c r="G327" i="3"/>
  <c r="G328" i="3"/>
  <c r="G329" i="3"/>
  <c r="G324" i="3"/>
  <c r="G315" i="3"/>
  <c r="G316" i="3"/>
  <c r="G317" i="3"/>
  <c r="G318" i="3"/>
  <c r="G314" i="3"/>
  <c r="G181" i="3"/>
  <c r="G182" i="3"/>
  <c r="G183" i="3"/>
  <c r="G184" i="3"/>
  <c r="G180" i="3"/>
  <c r="G159" i="3"/>
  <c r="G160" i="3"/>
  <c r="G161" i="3"/>
  <c r="G162" i="3"/>
  <c r="G158" i="3"/>
  <c r="G149" i="3"/>
  <c r="G150" i="3"/>
  <c r="G151" i="3"/>
  <c r="G152" i="3"/>
  <c r="G148" i="3"/>
  <c r="G139" i="3"/>
  <c r="G140" i="3"/>
  <c r="G141" i="3"/>
  <c r="G142" i="3"/>
  <c r="G138" i="3"/>
  <c r="G126" i="3"/>
  <c r="G127" i="3"/>
  <c r="G128" i="3"/>
  <c r="G129" i="3"/>
  <c r="G130" i="3"/>
  <c r="G131" i="3"/>
  <c r="G132" i="3"/>
  <c r="G125" i="3"/>
  <c r="G116" i="3"/>
  <c r="G117" i="3"/>
  <c r="G118" i="3"/>
  <c r="G119" i="3"/>
  <c r="G115" i="3"/>
  <c r="G185" i="3" l="1"/>
  <c r="G186" i="3" s="1"/>
  <c r="G163" i="3"/>
  <c r="G164" i="3" s="1"/>
  <c r="G143" i="3"/>
  <c r="G144" i="3" s="1"/>
  <c r="G319" i="3"/>
  <c r="G320" i="3" s="1"/>
  <c r="G330" i="3"/>
  <c r="G153" i="3"/>
  <c r="G154" i="3" s="1"/>
  <c r="G133" i="3"/>
  <c r="G134" i="3" s="1"/>
  <c r="G120" i="3"/>
  <c r="G121" i="3" s="1"/>
  <c r="G57" i="3"/>
  <c r="G58" i="3"/>
  <c r="G59" i="3"/>
  <c r="G60" i="3"/>
  <c r="G61" i="3"/>
  <c r="G62" i="3"/>
  <c r="G63" i="3"/>
  <c r="G64" i="3"/>
  <c r="G65" i="3"/>
  <c r="G56" i="3"/>
  <c r="G44" i="3"/>
  <c r="G45" i="3"/>
  <c r="G46" i="3"/>
  <c r="G47" i="3"/>
  <c r="G48" i="3"/>
  <c r="G50" i="3"/>
  <c r="G51" i="3"/>
  <c r="G43" i="3"/>
  <c r="G66" i="3" l="1"/>
  <c r="G67" i="3" s="1"/>
  <c r="G52" i="3"/>
  <c r="G14" i="3"/>
  <c r="G13" i="3"/>
  <c r="G12" i="3"/>
  <c r="G11" i="3"/>
  <c r="G10" i="3"/>
  <c r="G9" i="3"/>
  <c r="C6" i="3"/>
  <c r="G8" i="3"/>
  <c r="G15" i="3" l="1"/>
  <c r="D55" i="6" l="1"/>
  <c r="D54" i="6"/>
  <c r="D53" i="6"/>
  <c r="D52" i="6"/>
  <c r="D94" i="3"/>
  <c r="D95" i="3" s="1"/>
  <c r="D107" i="3"/>
  <c r="D31" i="6"/>
  <c r="G102" i="3" l="1"/>
  <c r="G103" i="3"/>
  <c r="G104" i="3"/>
  <c r="G105" i="3"/>
  <c r="G106" i="3"/>
  <c r="G107" i="3"/>
  <c r="G101" i="3"/>
  <c r="G89" i="3"/>
  <c r="G90" i="3"/>
  <c r="G91" i="3"/>
  <c r="G92" i="3"/>
  <c r="G93" i="3"/>
  <c r="G94" i="3"/>
  <c r="G95" i="3"/>
  <c r="G88" i="3"/>
  <c r="G72" i="3"/>
  <c r="G73" i="3"/>
  <c r="G74" i="3"/>
  <c r="G75" i="3"/>
  <c r="G76" i="3"/>
  <c r="G77" i="3"/>
  <c r="G78" i="3"/>
  <c r="G79" i="3"/>
  <c r="G80" i="3"/>
  <c r="G81" i="3"/>
  <c r="G82" i="3"/>
  <c r="G71" i="3"/>
  <c r="C55" i="6"/>
  <c r="C54" i="6"/>
  <c r="C53" i="6"/>
  <c r="C52" i="6"/>
  <c r="C51" i="6"/>
  <c r="C50" i="6"/>
  <c r="C49" i="6"/>
  <c r="C48" i="6"/>
  <c r="C47" i="6"/>
  <c r="C46" i="6"/>
  <c r="C44" i="6"/>
  <c r="C45" i="6"/>
  <c r="C43" i="6"/>
  <c r="C42" i="6"/>
  <c r="C41" i="6"/>
  <c r="C40" i="6"/>
  <c r="C39" i="6"/>
  <c r="C38" i="6"/>
  <c r="C37" i="6"/>
  <c r="C36" i="6"/>
  <c r="G303" i="3"/>
  <c r="G304" i="3"/>
  <c r="G305" i="3"/>
  <c r="G306" i="3"/>
  <c r="G307" i="3"/>
  <c r="G308" i="3"/>
  <c r="G302" i="3"/>
  <c r="G293" i="3"/>
  <c r="G294" i="3"/>
  <c r="G295" i="3"/>
  <c r="G296" i="3"/>
  <c r="G292" i="3"/>
  <c r="G282" i="3"/>
  <c r="G283" i="3"/>
  <c r="G284" i="3"/>
  <c r="G285" i="3"/>
  <c r="G286" i="3"/>
  <c r="G281" i="3"/>
  <c r="G271" i="3"/>
  <c r="G272" i="3"/>
  <c r="G273" i="3"/>
  <c r="G274" i="3"/>
  <c r="G275" i="3"/>
  <c r="G270" i="3"/>
  <c r="G259" i="3"/>
  <c r="G260" i="3"/>
  <c r="G261" i="3"/>
  <c r="G262" i="3"/>
  <c r="G263" i="3"/>
  <c r="G264" i="3"/>
  <c r="G258" i="3"/>
  <c r="G246" i="3"/>
  <c r="G247" i="3"/>
  <c r="G248" i="3"/>
  <c r="G249" i="3"/>
  <c r="G250" i="3"/>
  <c r="G251" i="3"/>
  <c r="G252" i="3"/>
  <c r="G245" i="3"/>
  <c r="G233" i="3"/>
  <c r="G234" i="3"/>
  <c r="G235" i="3"/>
  <c r="G236" i="3"/>
  <c r="G237" i="3"/>
  <c r="G238" i="3"/>
  <c r="G239" i="3"/>
  <c r="G232" i="3"/>
  <c r="G222" i="3"/>
  <c r="G223" i="3"/>
  <c r="G224" i="3"/>
  <c r="G225" i="3"/>
  <c r="G226" i="3"/>
  <c r="G221" i="3"/>
  <c r="G211" i="3"/>
  <c r="G212" i="3"/>
  <c r="G213" i="3"/>
  <c r="G214" i="3"/>
  <c r="G215" i="3"/>
  <c r="G210" i="3"/>
  <c r="G201" i="3"/>
  <c r="G202" i="3"/>
  <c r="G203" i="3"/>
  <c r="G204" i="3"/>
  <c r="G200" i="3"/>
  <c r="G191" i="3"/>
  <c r="G192" i="3"/>
  <c r="G193" i="3"/>
  <c r="G194" i="3"/>
  <c r="G190" i="3"/>
  <c r="G169" i="3"/>
  <c r="G170" i="3"/>
  <c r="G171" i="3"/>
  <c r="G172" i="3"/>
  <c r="G173" i="3"/>
  <c r="G174" i="3"/>
  <c r="G168" i="3"/>
  <c r="G108" i="3" l="1"/>
  <c r="G109" i="3" s="1"/>
  <c r="G83" i="3"/>
  <c r="G84" i="3" s="1"/>
  <c r="G96" i="3"/>
  <c r="G97" i="3" s="1"/>
  <c r="G216" i="3"/>
  <c r="G217" i="3" s="1"/>
  <c r="G309" i="3"/>
  <c r="G310" i="3" s="1"/>
  <c r="G297" i="3"/>
  <c r="G298" i="3" s="1"/>
  <c r="G240" i="3"/>
  <c r="G241" i="3" s="1"/>
  <c r="G276" i="3"/>
  <c r="G277" i="3" s="1"/>
  <c r="G253" i="3"/>
  <c r="G254" i="3" s="1"/>
  <c r="G265" i="3"/>
  <c r="G266" i="3" s="1"/>
  <c r="G287" i="3"/>
  <c r="G288" i="3" s="1"/>
  <c r="G195" i="3"/>
  <c r="G196" i="3" s="1"/>
  <c r="G227" i="3"/>
  <c r="G228" i="3" s="1"/>
  <c r="G175" i="3"/>
  <c r="G176" i="3" s="1"/>
  <c r="G205" i="3"/>
  <c r="G206" i="3" s="1"/>
  <c r="H595" i="3" l="1"/>
  <c r="H731" i="3"/>
  <c r="H732" i="3"/>
  <c r="H733" i="3"/>
  <c r="C431" i="3" l="1"/>
  <c r="G433" i="3"/>
  <c r="G438" i="3" s="1"/>
  <c r="C905" i="3"/>
  <c r="G907" i="3"/>
  <c r="G908" i="3"/>
  <c r="G909" i="3"/>
  <c r="G910" i="3"/>
  <c r="C913" i="3"/>
  <c r="G915" i="3"/>
  <c r="G916" i="3"/>
  <c r="G917" i="3"/>
  <c r="G918" i="3"/>
  <c r="C921" i="3"/>
  <c r="G923" i="3"/>
  <c r="G924" i="3"/>
  <c r="G925" i="3"/>
  <c r="C930" i="3"/>
  <c r="G932" i="3"/>
  <c r="G933" i="3"/>
  <c r="G934" i="3"/>
  <c r="G935" i="3"/>
  <c r="C938" i="3"/>
  <c r="G940" i="3"/>
  <c r="G1195" i="3"/>
  <c r="G1196" i="3"/>
  <c r="C1235" i="3"/>
  <c r="C1229" i="3"/>
  <c r="C1223" i="3"/>
  <c r="C1217" i="3"/>
  <c r="C1211" i="3"/>
  <c r="C1205" i="3"/>
  <c r="C1199" i="3"/>
  <c r="C1192" i="3"/>
  <c r="G1238" i="3"/>
  <c r="G1237" i="3"/>
  <c r="G1232" i="3"/>
  <c r="G1231" i="3"/>
  <c r="G1226" i="3"/>
  <c r="G1225" i="3"/>
  <c r="G1220" i="3"/>
  <c r="G1219" i="3"/>
  <c r="G1214" i="3"/>
  <c r="G1213" i="3"/>
  <c r="G1208" i="3"/>
  <c r="G1207" i="3"/>
  <c r="G1202" i="3"/>
  <c r="G1201" i="3"/>
  <c r="G1194" i="3"/>
  <c r="G1189" i="3"/>
  <c r="G1188" i="3"/>
  <c r="C1186" i="3"/>
  <c r="H27" i="6" l="1"/>
  <c r="H35" i="6"/>
  <c r="G1203" i="3"/>
  <c r="G1227" i="3"/>
  <c r="G911" i="3"/>
  <c r="G926" i="3"/>
  <c r="G919" i="3"/>
  <c r="G1239" i="3"/>
  <c r="G936" i="3"/>
  <c r="G1197" i="3"/>
  <c r="G1233" i="3"/>
  <c r="G1190" i="3"/>
  <c r="G1209" i="3"/>
  <c r="G1221" i="3"/>
  <c r="G1215" i="3"/>
  <c r="H417" i="6" l="1"/>
  <c r="G969" i="3"/>
  <c r="C366" i="3"/>
  <c r="G368" i="3"/>
  <c r="G968" i="3"/>
  <c r="G967" i="3"/>
  <c r="G966" i="3"/>
  <c r="C964" i="3"/>
  <c r="C956" i="3"/>
  <c r="G961" i="3"/>
  <c r="G960" i="3"/>
  <c r="G959" i="3"/>
  <c r="G958" i="3"/>
  <c r="C948" i="3"/>
  <c r="G953" i="3"/>
  <c r="G952" i="3"/>
  <c r="G951" i="3"/>
  <c r="G950" i="3"/>
  <c r="G970" i="3" l="1"/>
  <c r="G372" i="3"/>
  <c r="G954" i="3"/>
  <c r="G962" i="3"/>
  <c r="C1421" i="3" l="1"/>
  <c r="C1413" i="3"/>
  <c r="C1391" i="3"/>
  <c r="C1369" i="3"/>
  <c r="C1347" i="3"/>
  <c r="C1338" i="3"/>
  <c r="C1329" i="3"/>
  <c r="C1320" i="3"/>
  <c r="C1309" i="3"/>
  <c r="C1300" i="3"/>
  <c r="C1290" i="3"/>
  <c r="C1280" i="3"/>
  <c r="C1271" i="3"/>
  <c r="C1262" i="3"/>
  <c r="C1254" i="3"/>
  <c r="C1243" i="3"/>
  <c r="H428" i="6" l="1"/>
  <c r="H445" i="6" l="1"/>
  <c r="D153" i="6"/>
  <c r="H299" i="6" l="1"/>
  <c r="C39" i="8"/>
  <c r="C46" i="8" s="1"/>
  <c r="C22" i="8"/>
  <c r="C29" i="8" s="1"/>
  <c r="D58" i="6" l="1"/>
  <c r="D57" i="6"/>
  <c r="D147" i="6" l="1"/>
  <c r="D145" i="6"/>
  <c r="E447" i="3"/>
  <c r="G447" i="3" s="1"/>
  <c r="C442" i="3"/>
  <c r="G448" i="3"/>
  <c r="G446" i="3"/>
  <c r="G445" i="3"/>
  <c r="G444" i="3"/>
  <c r="G552" i="3"/>
  <c r="G543" i="3"/>
  <c r="C550" i="3"/>
  <c r="G556" i="3"/>
  <c r="E555" i="3"/>
  <c r="G555" i="3" s="1"/>
  <c r="G554" i="3"/>
  <c r="G553" i="3"/>
  <c r="E546" i="3"/>
  <c r="G546" i="3" s="1"/>
  <c r="G545" i="3"/>
  <c r="G547" i="3"/>
  <c r="C541" i="3"/>
  <c r="G544" i="3"/>
  <c r="E32" i="3"/>
  <c r="G35" i="3"/>
  <c r="G34" i="3"/>
  <c r="E33" i="3"/>
  <c r="C572" i="3"/>
  <c r="G561" i="3"/>
  <c r="G562" i="3"/>
  <c r="G560" i="3"/>
  <c r="C559" i="3"/>
  <c r="G449" i="3" l="1"/>
  <c r="G33" i="3"/>
  <c r="G557" i="3"/>
  <c r="G548" i="3"/>
  <c r="G563" i="3"/>
  <c r="C510" i="3" l="1"/>
  <c r="G521" i="3"/>
  <c r="G520" i="3"/>
  <c r="G519" i="3"/>
  <c r="G518" i="3"/>
  <c r="G517" i="3"/>
  <c r="G516" i="3"/>
  <c r="G515" i="3"/>
  <c r="G514" i="3"/>
  <c r="G513" i="3"/>
  <c r="G512" i="3"/>
  <c r="G491" i="3"/>
  <c r="G493" i="3"/>
  <c r="G492" i="3"/>
  <c r="G490" i="3"/>
  <c r="G489" i="3"/>
  <c r="G488" i="3"/>
  <c r="G487" i="3"/>
  <c r="G486" i="3"/>
  <c r="G485" i="3"/>
  <c r="G484" i="3"/>
  <c r="G499" i="3"/>
  <c r="G500" i="3"/>
  <c r="G501" i="3"/>
  <c r="G502" i="3"/>
  <c r="G503" i="3"/>
  <c r="G504" i="3"/>
  <c r="G505" i="3"/>
  <c r="G506" i="3"/>
  <c r="G507" i="3"/>
  <c r="G498" i="3"/>
  <c r="C496" i="3"/>
  <c r="C482" i="3"/>
  <c r="D189" i="6"/>
  <c r="D188" i="6"/>
  <c r="D187" i="6"/>
  <c r="C424" i="3"/>
  <c r="E428" i="3"/>
  <c r="G428" i="3" s="1"/>
  <c r="E427" i="3"/>
  <c r="G427" i="3" s="1"/>
  <c r="G426" i="3"/>
  <c r="D191" i="6"/>
  <c r="D185" i="6"/>
  <c r="D184" i="6"/>
  <c r="D196" i="6"/>
  <c r="G522" i="3" l="1"/>
  <c r="G494" i="3"/>
  <c r="G508" i="3"/>
  <c r="G429" i="3"/>
  <c r="D131" i="6" l="1"/>
  <c r="D130" i="6"/>
  <c r="D59" i="6"/>
  <c r="D118" i="6" l="1"/>
  <c r="D121" i="6"/>
  <c r="E340" i="3"/>
  <c r="G340" i="3" s="1"/>
  <c r="C334" i="3"/>
  <c r="G341" i="3"/>
  <c r="G339" i="3"/>
  <c r="G338" i="3"/>
  <c r="G337" i="3"/>
  <c r="G336" i="3"/>
  <c r="G342" i="3" l="1"/>
  <c r="D132" i="6" l="1"/>
  <c r="G352" i="3" l="1"/>
  <c r="G351" i="3"/>
  <c r="G346" i="3"/>
  <c r="C344" i="3"/>
  <c r="G353" i="3"/>
  <c r="G350" i="3"/>
  <c r="G349" i="3"/>
  <c r="G348" i="3"/>
  <c r="G354" i="3" l="1"/>
  <c r="D176" i="6" l="1"/>
  <c r="D175" i="6"/>
  <c r="D63" i="6" l="1"/>
  <c r="D200" i="6"/>
  <c r="D201" i="6"/>
  <c r="D202" i="6"/>
  <c r="C524" i="3" l="1"/>
  <c r="G527" i="3"/>
  <c r="G528" i="3"/>
  <c r="G529" i="3"/>
  <c r="G530" i="3"/>
  <c r="D129" i="6" l="1"/>
  <c r="E382" i="3" l="1"/>
  <c r="G382" i="3" s="1"/>
  <c r="C380" i="3"/>
  <c r="G383" i="3"/>
  <c r="D91" i="6"/>
  <c r="E376" i="3"/>
  <c r="G376" i="3" s="1"/>
  <c r="G377" i="3"/>
  <c r="C374" i="3"/>
  <c r="D89" i="6"/>
  <c r="D88" i="6"/>
  <c r="G378" i="3" l="1"/>
  <c r="G384" i="3"/>
  <c r="D128" i="6"/>
  <c r="D127" i="6"/>
  <c r="D126" i="6"/>
  <c r="D125" i="6"/>
  <c r="D83" i="6" l="1"/>
  <c r="D82" i="6"/>
  <c r="D81" i="6"/>
  <c r="D75" i="6" l="1"/>
  <c r="D80" i="6" l="1"/>
  <c r="D79" i="6"/>
  <c r="D78" i="6"/>
  <c r="D77" i="6"/>
  <c r="D76" i="6"/>
  <c r="D69" i="6"/>
  <c r="D74" i="6"/>
  <c r="D73" i="6"/>
  <c r="D72" i="6"/>
  <c r="D71" i="6"/>
  <c r="D70" i="6"/>
  <c r="R14" i="4" l="1"/>
  <c r="F14" i="4"/>
  <c r="E14" i="4"/>
  <c r="D14" i="4"/>
  <c r="S48" i="4" l="1"/>
  <c r="S46" i="4"/>
  <c r="S44" i="4"/>
  <c r="S42" i="4"/>
  <c r="S40" i="4"/>
  <c r="S38" i="4"/>
  <c r="S36" i="4"/>
  <c r="S34" i="4"/>
  <c r="S32" i="4"/>
  <c r="S30" i="4"/>
  <c r="S28" i="4"/>
  <c r="S26" i="4"/>
  <c r="S24" i="4"/>
  <c r="S22" i="4"/>
  <c r="S20" i="4"/>
  <c r="S18" i="4"/>
  <c r="S16" i="4"/>
  <c r="S14" i="4"/>
  <c r="S12" i="4"/>
  <c r="B47" i="4"/>
  <c r="B43" i="4"/>
  <c r="B41" i="4"/>
  <c r="B39" i="4"/>
  <c r="B37" i="4"/>
  <c r="B35" i="4"/>
  <c r="B33" i="4"/>
  <c r="B31" i="4"/>
  <c r="B29" i="4"/>
  <c r="B27" i="4"/>
  <c r="B25" i="4"/>
  <c r="B23" i="4"/>
  <c r="B21" i="4"/>
  <c r="B19" i="4"/>
  <c r="B17" i="4"/>
  <c r="B15" i="4"/>
  <c r="B13" i="4"/>
  <c r="B11" i="4"/>
  <c r="G1442" i="3" l="1"/>
  <c r="C39" i="4" l="1"/>
  <c r="G1449" i="3"/>
  <c r="G1450" i="3"/>
  <c r="G1451" i="3"/>
  <c r="G1443" i="3"/>
  <c r="G1436" i="3"/>
  <c r="G941" i="3"/>
  <c r="G942" i="3"/>
  <c r="G943" i="3"/>
  <c r="G575" i="3"/>
  <c r="G576" i="3"/>
  <c r="G568" i="3"/>
  <c r="G569" i="3"/>
  <c r="G536" i="3"/>
  <c r="G537" i="3"/>
  <c r="G538" i="3"/>
  <c r="G21" i="3"/>
  <c r="G22" i="3"/>
  <c r="G23" i="3"/>
  <c r="G24" i="3"/>
  <c r="G25" i="3"/>
  <c r="O39" i="4" l="1"/>
  <c r="N39" i="4"/>
  <c r="J39" i="4"/>
  <c r="P39" i="4"/>
  <c r="E39" i="4"/>
  <c r="D39" i="4"/>
  <c r="I39" i="4"/>
  <c r="R39" i="4"/>
  <c r="H39" i="4"/>
  <c r="M39" i="4"/>
  <c r="F39" i="4"/>
  <c r="G39" i="4"/>
  <c r="L39" i="4"/>
  <c r="Q39" i="4"/>
  <c r="K39" i="4"/>
  <c r="H105" i="6" l="1"/>
  <c r="S39" i="4"/>
  <c r="G567" i="3" l="1"/>
  <c r="G570" i="3" l="1"/>
  <c r="G944" i="3" l="1"/>
  <c r="C45" i="4" l="1"/>
  <c r="R45" i="4" l="1"/>
  <c r="D45" i="4"/>
  <c r="F45" i="4"/>
  <c r="H45" i="4"/>
  <c r="J45" i="4"/>
  <c r="G45" i="4"/>
  <c r="L45" i="4"/>
  <c r="Q45" i="4"/>
  <c r="N45" i="4"/>
  <c r="K45" i="4"/>
  <c r="P45" i="4"/>
  <c r="E45" i="4"/>
  <c r="O45" i="4"/>
  <c r="I45" i="4"/>
  <c r="M45" i="4"/>
  <c r="S45" i="4" l="1"/>
  <c r="G1435" i="3" l="1"/>
  <c r="C1433" i="3"/>
  <c r="G1448" i="3"/>
  <c r="C1440" i="3"/>
  <c r="C1446" i="3"/>
  <c r="G535" i="3"/>
  <c r="G539" i="3" s="1"/>
  <c r="G1444" i="3" l="1"/>
  <c r="G1437" i="3"/>
  <c r="G1452" i="3"/>
  <c r="G574" i="3"/>
  <c r="G526" i="3"/>
  <c r="G531" i="3" l="1"/>
  <c r="G577" i="3"/>
  <c r="H22" i="6" l="1"/>
  <c r="C15" i="4" l="1"/>
  <c r="O15" i="4" l="1"/>
  <c r="L15" i="4"/>
  <c r="J15" i="4"/>
  <c r="H15" i="4"/>
  <c r="E15" i="4"/>
  <c r="P15" i="4"/>
  <c r="I15" i="4"/>
  <c r="N15" i="4"/>
  <c r="D15" i="4"/>
  <c r="M15" i="4"/>
  <c r="R15" i="4"/>
  <c r="G15" i="4"/>
  <c r="Q15" i="4"/>
  <c r="F15" i="4"/>
  <c r="K15" i="4"/>
  <c r="C18" i="3"/>
  <c r="G20" i="3"/>
  <c r="G26" i="3" l="1"/>
  <c r="S15" i="4"/>
  <c r="C30" i="3"/>
  <c r="G32" i="3"/>
  <c r="G36" i="3" s="1"/>
  <c r="G37" i="3" l="1"/>
  <c r="H20" i="6" s="1"/>
  <c r="C13" i="4" l="1"/>
  <c r="H13" i="4" l="1"/>
  <c r="Q13" i="4"/>
  <c r="M13" i="4"/>
  <c r="P13" i="4"/>
  <c r="G13" i="4"/>
  <c r="O13" i="4"/>
  <c r="L13" i="4"/>
  <c r="J13" i="4"/>
  <c r="F13" i="4"/>
  <c r="R13" i="4"/>
  <c r="K13" i="4"/>
  <c r="I13" i="4"/>
  <c r="E13" i="4"/>
  <c r="N13" i="4"/>
  <c r="D13" i="4"/>
  <c r="B31" i="7"/>
  <c r="C445" i="6"/>
  <c r="B45" i="4" s="1"/>
  <c r="B29" i="7"/>
  <c r="B28" i="7"/>
  <c r="B27" i="7"/>
  <c r="B26" i="7"/>
  <c r="B25" i="7"/>
  <c r="B24" i="7"/>
  <c r="B23" i="7"/>
  <c r="B22" i="7"/>
  <c r="B21" i="7"/>
  <c r="B20" i="7"/>
  <c r="B19" i="7"/>
  <c r="B18" i="7"/>
  <c r="B16" i="7"/>
  <c r="B17" i="7"/>
  <c r="B15" i="7"/>
  <c r="B14" i="7"/>
  <c r="B13" i="7"/>
  <c r="S13" i="4" l="1"/>
  <c r="C15" i="7" l="1"/>
  <c r="C17" i="7" l="1"/>
  <c r="C19" i="4" l="1"/>
  <c r="Q19" i="4" s="1"/>
  <c r="E19" i="4" l="1"/>
  <c r="K19" i="4"/>
  <c r="D19" i="4"/>
  <c r="R19" i="4"/>
  <c r="J19" i="4"/>
  <c r="L19" i="4"/>
  <c r="F19" i="4"/>
  <c r="G19" i="4"/>
  <c r="H19" i="4"/>
  <c r="I19" i="4"/>
  <c r="M19" i="4"/>
  <c r="N19" i="4"/>
  <c r="O19" i="4"/>
  <c r="P19" i="4"/>
  <c r="S19" i="4" l="1"/>
  <c r="C16" i="7" l="1"/>
  <c r="C17" i="4"/>
  <c r="C533" i="3"/>
  <c r="P17" i="4" l="1"/>
  <c r="L17" i="4"/>
  <c r="H17" i="4"/>
  <c r="D17" i="4"/>
  <c r="O17" i="4"/>
  <c r="K17" i="4"/>
  <c r="G17" i="4"/>
  <c r="R17" i="4"/>
  <c r="N17" i="4"/>
  <c r="J17" i="4"/>
  <c r="F17" i="4"/>
  <c r="Q17" i="4"/>
  <c r="M17" i="4"/>
  <c r="I17" i="4"/>
  <c r="E17" i="4"/>
  <c r="H212" i="6" l="1"/>
  <c r="S17" i="4"/>
  <c r="C37" i="4" l="1"/>
  <c r="H457" i="6"/>
  <c r="C30" i="7"/>
  <c r="H142" i="6"/>
  <c r="H60" i="6"/>
  <c r="H56" i="6"/>
  <c r="H182" i="6" l="1"/>
  <c r="C35" i="4" s="1"/>
  <c r="H162" i="6"/>
  <c r="H67" i="6"/>
  <c r="H133" i="6"/>
  <c r="R37" i="4"/>
  <c r="Q37" i="4"/>
  <c r="P37" i="4"/>
  <c r="O37" i="4"/>
  <c r="L37" i="4"/>
  <c r="N37" i="4"/>
  <c r="M37" i="4"/>
  <c r="K37" i="4"/>
  <c r="D37" i="4"/>
  <c r="J37" i="4"/>
  <c r="I37" i="4"/>
  <c r="H37" i="4"/>
  <c r="G37" i="4"/>
  <c r="F37" i="4"/>
  <c r="E37" i="4"/>
  <c r="C21" i="4"/>
  <c r="C47" i="4"/>
  <c r="C43" i="4"/>
  <c r="C11" i="4"/>
  <c r="C26" i="7"/>
  <c r="C29" i="7"/>
  <c r="C14" i="7"/>
  <c r="C27" i="7"/>
  <c r="C31" i="7"/>
  <c r="S37" i="4" l="1"/>
  <c r="C18" i="7"/>
  <c r="O21" i="4"/>
  <c r="H21" i="4"/>
  <c r="L21" i="4"/>
  <c r="P21" i="4"/>
  <c r="Q21" i="4"/>
  <c r="N21" i="4"/>
  <c r="F21" i="4"/>
  <c r="K21" i="4"/>
  <c r="D21" i="4"/>
  <c r="M21" i="4"/>
  <c r="E21" i="4"/>
  <c r="G21" i="4"/>
  <c r="I21" i="4"/>
  <c r="J21" i="4"/>
  <c r="R21" i="4"/>
  <c r="F43" i="4"/>
  <c r="J43" i="4"/>
  <c r="N43" i="4"/>
  <c r="Q43" i="4"/>
  <c r="K43" i="4"/>
  <c r="O43" i="4"/>
  <c r="H43" i="4"/>
  <c r="R43" i="4"/>
  <c r="P43" i="4"/>
  <c r="D43" i="4"/>
  <c r="G43" i="4"/>
  <c r="L43" i="4"/>
  <c r="I43" i="4"/>
  <c r="M43" i="4"/>
  <c r="E43" i="4"/>
  <c r="K47" i="4"/>
  <c r="J47" i="4"/>
  <c r="I47" i="4"/>
  <c r="H47" i="4"/>
  <c r="G47" i="4"/>
  <c r="F47" i="4"/>
  <c r="E47" i="4"/>
  <c r="D47" i="4"/>
  <c r="R47" i="4"/>
  <c r="Q47" i="4"/>
  <c r="P47" i="4"/>
  <c r="O47" i="4"/>
  <c r="N47" i="4"/>
  <c r="M47" i="4"/>
  <c r="L47" i="4"/>
  <c r="C24" i="7"/>
  <c r="C33" i="4"/>
  <c r="Q35" i="4"/>
  <c r="M35" i="4"/>
  <c r="I35" i="4"/>
  <c r="E35" i="4"/>
  <c r="P35" i="4"/>
  <c r="L35" i="4"/>
  <c r="H35" i="4"/>
  <c r="D35" i="4"/>
  <c r="O35" i="4"/>
  <c r="K35" i="4"/>
  <c r="G35" i="4"/>
  <c r="R35" i="4"/>
  <c r="N35" i="4"/>
  <c r="J35" i="4"/>
  <c r="F35" i="4"/>
  <c r="C23" i="7"/>
  <c r="C31" i="4"/>
  <c r="Q11" i="4"/>
  <c r="M11" i="4"/>
  <c r="I11" i="4"/>
  <c r="E11" i="4"/>
  <c r="P11" i="4"/>
  <c r="L11" i="4"/>
  <c r="H11" i="4"/>
  <c r="D11" i="4"/>
  <c r="O11" i="4"/>
  <c r="K11" i="4"/>
  <c r="G11" i="4"/>
  <c r="R11" i="4"/>
  <c r="N11" i="4"/>
  <c r="J11" i="4"/>
  <c r="F11" i="4"/>
  <c r="C21" i="7"/>
  <c r="C27" i="4"/>
  <c r="C19" i="7"/>
  <c r="C23" i="4"/>
  <c r="C22" i="7"/>
  <c r="C29" i="4"/>
  <c r="C28" i="7"/>
  <c r="C41" i="4"/>
  <c r="C25" i="7"/>
  <c r="C13" i="7"/>
  <c r="C25" i="4" l="1"/>
  <c r="L25" i="4" s="1"/>
  <c r="S21" i="4"/>
  <c r="S47" i="4"/>
  <c r="S43" i="4"/>
  <c r="P33" i="4"/>
  <c r="F33" i="4"/>
  <c r="H33" i="4"/>
  <c r="D33" i="4"/>
  <c r="Q33" i="4"/>
  <c r="E33" i="4"/>
  <c r="J33" i="4"/>
  <c r="O33" i="4"/>
  <c r="L33" i="4"/>
  <c r="I33" i="4"/>
  <c r="N33" i="4"/>
  <c r="M33" i="4"/>
  <c r="R33" i="4"/>
  <c r="G33" i="4"/>
  <c r="K33" i="4"/>
  <c r="S11" i="4"/>
  <c r="O23" i="4"/>
  <c r="K23" i="4"/>
  <c r="G23" i="4"/>
  <c r="R23" i="4"/>
  <c r="N23" i="4"/>
  <c r="J23" i="4"/>
  <c r="F23" i="4"/>
  <c r="Q23" i="4"/>
  <c r="M23" i="4"/>
  <c r="I23" i="4"/>
  <c r="E23" i="4"/>
  <c r="P23" i="4"/>
  <c r="L23" i="4"/>
  <c r="H23" i="4"/>
  <c r="D23" i="4"/>
  <c r="O31" i="4"/>
  <c r="K31" i="4"/>
  <c r="G31" i="4"/>
  <c r="R31" i="4"/>
  <c r="N31" i="4"/>
  <c r="J31" i="4"/>
  <c r="F31" i="4"/>
  <c r="Q31" i="4"/>
  <c r="M31" i="4"/>
  <c r="I31" i="4"/>
  <c r="E31" i="4"/>
  <c r="P31" i="4"/>
  <c r="L31" i="4"/>
  <c r="H31" i="4"/>
  <c r="D31" i="4"/>
  <c r="P41" i="4"/>
  <c r="L41" i="4"/>
  <c r="H41" i="4"/>
  <c r="D41" i="4"/>
  <c r="O41" i="4"/>
  <c r="K41" i="4"/>
  <c r="G41" i="4"/>
  <c r="R41" i="4"/>
  <c r="N41" i="4"/>
  <c r="J41" i="4"/>
  <c r="F41" i="4"/>
  <c r="Q41" i="4"/>
  <c r="M41" i="4"/>
  <c r="I41" i="4"/>
  <c r="E41" i="4"/>
  <c r="R29" i="4"/>
  <c r="N29" i="4"/>
  <c r="J29" i="4"/>
  <c r="F29" i="4"/>
  <c r="Q29" i="4"/>
  <c r="M29" i="4"/>
  <c r="I29" i="4"/>
  <c r="E29" i="4"/>
  <c r="P29" i="4"/>
  <c r="L29" i="4"/>
  <c r="H29" i="4"/>
  <c r="D29" i="4"/>
  <c r="O29" i="4"/>
  <c r="K29" i="4"/>
  <c r="G29" i="4"/>
  <c r="Q27" i="4"/>
  <c r="M27" i="4"/>
  <c r="I27" i="4"/>
  <c r="E27" i="4"/>
  <c r="P27" i="4"/>
  <c r="L27" i="4"/>
  <c r="H27" i="4"/>
  <c r="D27" i="4"/>
  <c r="O27" i="4"/>
  <c r="K27" i="4"/>
  <c r="G27" i="4"/>
  <c r="R27" i="4"/>
  <c r="N27" i="4"/>
  <c r="J27" i="4"/>
  <c r="F27" i="4"/>
  <c r="S35" i="4"/>
  <c r="C20" i="7"/>
  <c r="C32" i="7" s="1"/>
  <c r="P25" i="4" l="1"/>
  <c r="P49" i="4" s="1"/>
  <c r="F25" i="4"/>
  <c r="F49" i="4" s="1"/>
  <c r="E25" i="4"/>
  <c r="E49" i="4" s="1"/>
  <c r="G25" i="4"/>
  <c r="G49" i="4" s="1"/>
  <c r="J25" i="4"/>
  <c r="J49" i="4" s="1"/>
  <c r="K25" i="4"/>
  <c r="K49" i="4" s="1"/>
  <c r="M25" i="4"/>
  <c r="M49" i="4" s="1"/>
  <c r="N25" i="4"/>
  <c r="N49" i="4" s="1"/>
  <c r="O25" i="4"/>
  <c r="O49" i="4" s="1"/>
  <c r="I25" i="4"/>
  <c r="I49" i="4" s="1"/>
  <c r="C49" i="4"/>
  <c r="C30" i="4" s="1"/>
  <c r="Q25" i="4"/>
  <c r="Q49" i="4" s="1"/>
  <c r="R25" i="4"/>
  <c r="R49" i="4" s="1"/>
  <c r="D25" i="4"/>
  <c r="D49" i="4" s="1"/>
  <c r="H25" i="4"/>
  <c r="H49" i="4" s="1"/>
  <c r="S33" i="4"/>
  <c r="L49" i="4"/>
  <c r="S23" i="4"/>
  <c r="S41" i="4"/>
  <c r="S29" i="4"/>
  <c r="S27" i="4"/>
  <c r="S31" i="4"/>
  <c r="C32" i="4" l="1"/>
  <c r="C28" i="4"/>
  <c r="C48" i="4"/>
  <c r="C14" i="4"/>
  <c r="C24" i="4"/>
  <c r="C16" i="4"/>
  <c r="C38" i="4"/>
  <c r="C22" i="4"/>
  <c r="C34" i="4"/>
  <c r="C42" i="4"/>
  <c r="C12" i="4"/>
  <c r="C44" i="4"/>
  <c r="C26" i="4"/>
  <c r="C18" i="4"/>
  <c r="C40" i="4"/>
  <c r="C36" i="4"/>
  <c r="C20" i="4"/>
  <c r="C46" i="4"/>
  <c r="S25" i="4"/>
  <c r="S49" i="4" s="1"/>
  <c r="S50" i="4" s="1"/>
  <c r="E50" i="4"/>
  <c r="D50" i="4"/>
  <c r="J50" i="4"/>
  <c r="G50" i="4"/>
  <c r="P50" i="4"/>
  <c r="R50" i="4"/>
  <c r="I50" i="4"/>
  <c r="H50" i="4"/>
  <c r="N50" i="4"/>
  <c r="M50" i="4"/>
  <c r="O50" i="4"/>
  <c r="L50" i="4"/>
  <c r="Q50" i="4"/>
  <c r="K50" i="4"/>
  <c r="F50" i="4"/>
  <c r="C5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Cristina</author>
    <author>Coordenação de Engenharia e Arquitetura</author>
  </authors>
  <commentList>
    <comment ref="C16" authorId="0" shapeId="0" xr:uid="{00000000-0006-0000-0500-000001000000}">
      <text>
        <r>
          <rPr>
            <sz val="9"/>
            <color indexed="81"/>
            <rFont val="Tahoma"/>
            <family val="2"/>
          </rPr>
          <t xml:space="preserve">Fonte: Orientações Para Elaboração De Planilhas Orçamentárias De Obras Públicas, Tribunal de Contas da União, 2014. Página 87 - BDI médio. </t>
        </r>
      </text>
    </comment>
    <comment ref="C26" authorId="1" shapeId="0" xr:uid="{00000000-0006-0000-0500-000002000000}">
      <text>
        <r>
          <rPr>
            <b/>
            <sz val="9"/>
            <color indexed="81"/>
            <rFont val="Tahoma"/>
            <family val="2"/>
          </rPr>
          <t>Coordenação de Engenharia e Arquitetura:</t>
        </r>
        <r>
          <rPr>
            <sz val="9"/>
            <color indexed="81"/>
            <rFont val="Tahoma"/>
            <family val="2"/>
          </rPr>
          <t xml:space="preserve">
Varia de acordo com a combrança de cada Município.</t>
        </r>
      </text>
    </comment>
    <comment ref="C33" authorId="0" shapeId="0" xr:uid="{00000000-0006-0000-0500-000003000000}">
      <text>
        <r>
          <rPr>
            <sz val="9"/>
            <color indexed="81"/>
            <rFont val="Tahoma"/>
            <family val="2"/>
          </rPr>
          <t>GRUPO I –  CLASSE VII – Plenário
TC 025.990/2008-2</t>
        </r>
      </text>
    </comment>
  </commentList>
</comments>
</file>

<file path=xl/sharedStrings.xml><?xml version="1.0" encoding="utf-8"?>
<sst xmlns="http://schemas.openxmlformats.org/spreadsheetml/2006/main" count="5546" uniqueCount="2061">
  <si>
    <t>DETALHAMENTO DO CÁLCULO DO BDI</t>
  </si>
  <si>
    <t xml:space="preserve">Fonte: Orientações Para Elaboração De Planilhas Orçamentárias De Obras Públicas, Tribunal de Contas da União, 2014. Página 91. </t>
  </si>
  <si>
    <t>AC</t>
  </si>
  <si>
    <t>Administração Central</t>
  </si>
  <si>
    <t>S</t>
  </si>
  <si>
    <t>Seguro</t>
  </si>
  <si>
    <t>R</t>
  </si>
  <si>
    <t>G</t>
  </si>
  <si>
    <t>Garantia</t>
  </si>
  <si>
    <t>DF</t>
  </si>
  <si>
    <t>Despesas Financeiras</t>
  </si>
  <si>
    <t>L</t>
  </si>
  <si>
    <t>Lucro bruto</t>
  </si>
  <si>
    <t>I</t>
  </si>
  <si>
    <t>PIS</t>
  </si>
  <si>
    <t>Cofins</t>
  </si>
  <si>
    <t>CPRB</t>
  </si>
  <si>
    <t>ISS</t>
  </si>
  <si>
    <t>EXECUÇÃO DE OBRAS</t>
  </si>
  <si>
    <t>BDI Calculado</t>
  </si>
  <si>
    <t>BDI Adotado</t>
  </si>
  <si>
    <t>Para instalações de equipamentos com BDI diferenciado utiliza-se:</t>
  </si>
  <si>
    <t>INSTALAÇÃO DE EQUIPAMENTOS</t>
  </si>
  <si>
    <t>__________________________________________________________</t>
  </si>
  <si>
    <t>CAMPUS SANTO ÂNGELO</t>
  </si>
  <si>
    <t>PLANILHA ORÇAMENTÁRIA</t>
  </si>
  <si>
    <t>BDI - EXECUÇÃO DE OBRA</t>
  </si>
  <si>
    <t>BDI - EQUIPAMENTOS</t>
  </si>
  <si>
    <t>REFERÊNCIA</t>
  </si>
  <si>
    <t>ITEM</t>
  </si>
  <si>
    <t>SERVIÇOS</t>
  </si>
  <si>
    <t>UNID.</t>
  </si>
  <si>
    <t>VALOR UNITÁRIO S/ BDI</t>
  </si>
  <si>
    <t>VALOR UNITÁRIO C/ BDI</t>
  </si>
  <si>
    <t>TOTAL</t>
  </si>
  <si>
    <t>SERVIÇOS PRELIMINARES E TÉCNICOS</t>
  </si>
  <si>
    <t xml:space="preserve"> M² </t>
  </si>
  <si>
    <t>TAPUME DE CHAPA DE MADEIRA COMPENSADA, E= 6MM, ALTURA 2,20 METROS, COM PINTURA A CAL E REAPROVEITAMENTO DE 2X</t>
  </si>
  <si>
    <t xml:space="preserve">UN </t>
  </si>
  <si>
    <t>INFRAESTRUTURA</t>
  </si>
  <si>
    <t xml:space="preserve">M² </t>
  </si>
  <si>
    <t>M³</t>
  </si>
  <si>
    <t>KG</t>
  </si>
  <si>
    <t>SUPERESTRUTURA</t>
  </si>
  <si>
    <t>IMPERMEABILIZAÇÃO</t>
  </si>
  <si>
    <t xml:space="preserve">M </t>
  </si>
  <si>
    <t>ESQUADRIAS</t>
  </si>
  <si>
    <t>C 91341</t>
  </si>
  <si>
    <t>C 91338</t>
  </si>
  <si>
    <t>COMPOSIÇÃO 1</t>
  </si>
  <si>
    <t>UN</t>
  </si>
  <si>
    <t>ESQUADRIAS DE MADEIRA</t>
  </si>
  <si>
    <t>VIDROS</t>
  </si>
  <si>
    <t>M²</t>
  </si>
  <si>
    <t>COBERTURAS</t>
  </si>
  <si>
    <t>C 94227</t>
  </si>
  <si>
    <t>REVESTIMENTOS</t>
  </si>
  <si>
    <t>PINTURAS</t>
  </si>
  <si>
    <t>PINTURA INTERNA</t>
  </si>
  <si>
    <t>PINTURA COM SELADOR ACRÍLICO EM PAREDES, UMA DEMÃO, CONFORME ESPECIFICAÇÕES E PROJETO ARQUITETÔNICO</t>
  </si>
  <si>
    <t>C 88484</t>
  </si>
  <si>
    <t>PINTURA COM SELADOR ACRÍLICO EM TETOS, UMA DEMÃO, CONFORME ESPECIFICAÇÕES E PROJETO ARQUITETÔNICO</t>
  </si>
  <si>
    <t>C 88489</t>
  </si>
  <si>
    <t xml:space="preserve">PINTURA COM TINTA ACRÍLICA EM PAREDES, DUAS DEMÃOS, CONFORME ESPECIFICAÇÕES E PROJETO ARQUITETÔNICO </t>
  </si>
  <si>
    <t>C 88488</t>
  </si>
  <si>
    <t>PINTURA EXTERNA</t>
  </si>
  <si>
    <t>C 88411</t>
  </si>
  <si>
    <t>PINTURA MADEIRAS</t>
  </si>
  <si>
    <t>PINTURA METAIS</t>
  </si>
  <si>
    <t xml:space="preserve">PISO </t>
  </si>
  <si>
    <t>PISOS INTERNOS</t>
  </si>
  <si>
    <t>PISOS EXTERNOS</t>
  </si>
  <si>
    <t>SOLEIRAS, RODAPÉS E PEITORIS</t>
  </si>
  <si>
    <t>M</t>
  </si>
  <si>
    <t>INSTALAÇÕES HIDROSSANITÁRIAS</t>
  </si>
  <si>
    <t>LOUÇAS, ACESSÓRIOS E METAIS - SANITÁRIOS</t>
  </si>
  <si>
    <t xml:space="preserve">C  86900 </t>
  </si>
  <si>
    <t>LOUÇAS, ACESSÓRIOS E METAIS - SANITÁRIOS ACESSÍVEIS</t>
  </si>
  <si>
    <t>INSTALAÇÕES ELÉTRICAS</t>
  </si>
  <si>
    <t>INSTALAÇÕES DE COMBATE A INCÊNDIO</t>
  </si>
  <si>
    <t>INSTALAÇÕES DE AR CONDICIONADO</t>
  </si>
  <si>
    <t>SERVIÇOS COMPLEMENTARES</t>
  </si>
  <si>
    <t>TOTAL DA OBRA (COM BDI JÁ INCLUSO)</t>
  </si>
  <si>
    <t>OBSERVAÇÕES:</t>
  </si>
  <si>
    <t>SINAPI</t>
  </si>
  <si>
    <t>COMPONENTES</t>
  </si>
  <si>
    <t>CONSUMO</t>
  </si>
  <si>
    <t>CUSTO UNITÁRIO</t>
  </si>
  <si>
    <t>SUBTOTAL</t>
  </si>
  <si>
    <t>M3</t>
  </si>
  <si>
    <t>M2</t>
  </si>
  <si>
    <t>H</t>
  </si>
  <si>
    <t>ELETRICISTA COM ENCARGOS COMPLEMENTARES</t>
  </si>
  <si>
    <t>C 88316</t>
  </si>
  <si>
    <t>SERVENTE COM ENCARGOS COMPLEMENTARES</t>
  </si>
  <si>
    <t>C 88309</t>
  </si>
  <si>
    <t>PEDREIRO COM ENCARGOS COMPLEMENTARES</t>
  </si>
  <si>
    <t>ENGENHEIRO CIVIL DE OBRA JUNIOR COM ENCARGOS COMPLEMENTARES</t>
  </si>
  <si>
    <t>MESTRE DE OBRAS COM ENCARGOS COMPLEMENTARES</t>
  </si>
  <si>
    <t>C 88255</t>
  </si>
  <si>
    <t>COMPOSIÇÃO 2</t>
  </si>
  <si>
    <t>I 34357</t>
  </si>
  <si>
    <t>C 88629</t>
  </si>
  <si>
    <t>ARGAMASSA TRAÇO 1:3 (CIMENTO E AREIA MÉDIA), PREPARO MANUAL</t>
  </si>
  <si>
    <t>ARGAMASSA INDUSTRIALIZADA</t>
  </si>
  <si>
    <t>C 88267</t>
  </si>
  <si>
    <t>ENCANADOR OU BOMBEIRO HIDRÁULICO COM ENCARGOS COMPLEMENTARES</t>
  </si>
  <si>
    <t>I 37556</t>
  </si>
  <si>
    <t>I 4377</t>
  </si>
  <si>
    <t>PARAFUSO DE ACO ZINCADO COM ROSCA SOBERBA, CABECA CHATA E FENDA SIMPLES, DIAMETRO 4,2 MM, COMPRIMENTO * 32 * MM</t>
  </si>
  <si>
    <t>I 4375</t>
  </si>
  <si>
    <t>BUCHA DE NYLON SEM ABA S6</t>
  </si>
  <si>
    <t>_________________________________________________</t>
  </si>
  <si>
    <t>CRONOGRAMA FÍSICO FINANCEIRO</t>
  </si>
  <si>
    <t>DESCRIÇÃO</t>
  </si>
  <si>
    <t xml:space="preserve">TOTAL </t>
  </si>
  <si>
    <t>% PARCELA</t>
  </si>
  <si>
    <t>ORÇAMENTO RESUMO</t>
  </si>
  <si>
    <t>DISCRIMINAÇÃO</t>
  </si>
  <si>
    <t xml:space="preserve">                                                                                                                                                                                                                                                                                                                                                                                                                                                                                                                                                                                                                                                                                                                                                                                                                                                                                                                                                                                                                                                                                                          </t>
  </si>
  <si>
    <t>COMPOSIÇÃO 3</t>
  </si>
  <si>
    <t>TOTAL/M²</t>
  </si>
  <si>
    <t>C 94231</t>
  </si>
  <si>
    <t>RUFO EM CHAPA DE AÇO GALVANIZADO NÚMERO 24, CORTE DE 25 CM</t>
  </si>
  <si>
    <t>CHP</t>
  </si>
  <si>
    <t>CHI</t>
  </si>
  <si>
    <t>C 94969</t>
  </si>
  <si>
    <t>MOVIMENTO DE TERRA</t>
  </si>
  <si>
    <t>DISPENSER PARA SABONETE LÍQUIDO EM PLÁSTICO ABS</t>
  </si>
  <si>
    <t>FITA VEDA ROSCA EM ROLOS DE 18 MM X 10 M (L X C)</t>
  </si>
  <si>
    <t>I 3146</t>
  </si>
  <si>
    <t>C 86886</t>
  </si>
  <si>
    <t xml:space="preserve">C 95547 </t>
  </si>
  <si>
    <t>COMPOSIÇÃO 4</t>
  </si>
  <si>
    <t>COMPOSIÇÃO 5</t>
  </si>
  <si>
    <t>COMPOSIÇÃO 6</t>
  </si>
  <si>
    <t>MERCADO</t>
  </si>
  <si>
    <t>COMPOSIÇÃO 8</t>
  </si>
  <si>
    <t>COMPOSIÇÃO 9</t>
  </si>
  <si>
    <t>C 94997</t>
  </si>
  <si>
    <t>REVESTIMENTOS DE PAREDES E TETO INTERNOS</t>
  </si>
  <si>
    <t>REVESTIMENTOS DE PAREDES E TETO EXTERNOS</t>
  </si>
  <si>
    <t>AS BUILT DO PROJETO ARQUITETÔNICO E COMPLEMENTARES (DIGITAL NOS FORMATOS .DWG E .PDF E 1 CÓPIA IMPRESSA)</t>
  </si>
  <si>
    <t>PLACA DE SINALIZAÇÃO VISUAL NAS PORTAS DAS SALAS E DOS SANITÁRIOS 20 X 20 CM, EM PVC 2MM - FORNECIMENTO E INSTALAÇÃO</t>
  </si>
  <si>
    <t>1 - SERVIÇOS PRELIMINARES</t>
  </si>
  <si>
    <t>LIGAÇÃO PREDIAL DE ÁGUA</t>
  </si>
  <si>
    <t>1.1</t>
  </si>
  <si>
    <t>1.2</t>
  </si>
  <si>
    <t>1.3</t>
  </si>
  <si>
    <t>1.4</t>
  </si>
  <si>
    <t>1.5</t>
  </si>
  <si>
    <t>1.6</t>
  </si>
  <si>
    <t>2.1</t>
  </si>
  <si>
    <t>TOTAL/MÊS</t>
  </si>
  <si>
    <t>PLACA DE OBRA EM CHAPA DE AÇO GALVANIZADO, CONFORME MANUAL DE PLACAS DO GOVERNO FEDERAL</t>
  </si>
  <si>
    <t>TOTAL/M</t>
  </si>
  <si>
    <t>C 93207</t>
  </si>
  <si>
    <t xml:space="preserve">C 93210 </t>
  </si>
  <si>
    <t xml:space="preserve">C 93213 </t>
  </si>
  <si>
    <t>EXECUÇÃO DE CENTRAL DE ARMADURA EM CANTEIRO DE OBRA</t>
  </si>
  <si>
    <t xml:space="preserve">C 93583 </t>
  </si>
  <si>
    <t>C 93582</t>
  </si>
  <si>
    <t xml:space="preserve">C  93584 </t>
  </si>
  <si>
    <t>EXECUÇÃO DE ESCRITÓRIO EM CANTEIRO DE OBRA EM CHAPA DE MADEIRA COMPENSADA</t>
  </si>
  <si>
    <t>EXECUÇÃO DE REFEITÓRIO EM CANTEIRO DE OBRA EM CHAPA DE MADEIRA COMPENSADA</t>
  </si>
  <si>
    <t>EXECUÇÃO DE SANITÁRIO E VESTIÁRIO EM CANTEIRO DE OBRA EM ALVENARIA</t>
  </si>
  <si>
    <t>EXECUÇÃO DE CENTRAL DE FÔRMAS, PRODUÇÃO DE ARGAMASSA OU CONCRETO EM CANTEIRO DE OBRA</t>
  </si>
  <si>
    <t>EXECUÇÃO DE DEPÓSITO EM CANTEIRO DE OBRA EM CHAPA DE MADEIRA COMPENSADA</t>
  </si>
  <si>
    <t>PINO DE ACO COM FURO, HASTE = 27 MM (ACAO DIRETA)</t>
  </si>
  <si>
    <t>CENTO</t>
  </si>
  <si>
    <t>INSTALAÇÕES PROVISÓRIAS DE OBRA - INCLUINDO ESCRITÓRIO, REFEITÓRIO, SANITÁRIOS, VESTIÁRIO, CENTRAL DE ARMADURA, CENTRAL DE FORMA E DEPÓSITO - DEVEM ATENDER A NR 18 (ÁREA TOTAL DE 80 M²)</t>
  </si>
  <si>
    <t>C 93195</t>
  </si>
  <si>
    <t>1.7</t>
  </si>
  <si>
    <t>3.1</t>
  </si>
  <si>
    <t>3.2</t>
  </si>
  <si>
    <t>I 371</t>
  </si>
  <si>
    <t>REJUNTE COLORIDO, CIMENTICIO</t>
  </si>
  <si>
    <t>ADITIVO IMPERMEABILIZANTE DE PEGA NORMAL PARA ARGAMASSAS E  CONCRETOS SEM ARMACAO</t>
  </si>
  <si>
    <t>GERENCIAMENTO DE OBRAS</t>
  </si>
  <si>
    <t>2 - GERENCIAMENTO DE OBRAS</t>
  </si>
  <si>
    <t>PLACA TÁTIL BRAILLE/RELEVO ACRÍLICO 30 X 20 CM - FORNECIMENTO E INSTALAÇÃO</t>
  </si>
  <si>
    <t xml:space="preserve">BEBEDOURO SEM COLUNA, COM CAPACIDADE DE REFRIGERAR 16,6 LITROS/HORA.  MARCA IBBL MODELO BEBEDOURO DE PRESSÃO BDF 300 2T </t>
  </si>
  <si>
    <t>TORNEIRAS DE MESA METÁLICA CROMADA, COM FECHAMENTO AUTOMÁTICO DO TIPO PRESSMATIC PARA ACIONAMENTO COM A MÃO, COM AREJADOR ECONÔMICO, MODELO DOCOL PRESSMATIC MESA BENEFIT CROMADO</t>
  </si>
  <si>
    <t>CONDICIONADORES DE AR</t>
  </si>
  <si>
    <t>INFRAESTRUTURA FRIGORÍFICA</t>
  </si>
  <si>
    <t>ÁGUA FRIA</t>
  </si>
  <si>
    <t>ESGOTO SANITÁRIO</t>
  </si>
  <si>
    <t>C 94970</t>
  </si>
  <si>
    <t>TELA DE ACO SOLDADA GALVANIZADA/ZINCADA PARA ALVENARIA, FIO  D = *1,20 A 1,70* MM, MALHA 15 X 15 MM, (C X L) *50 X 12* CM</t>
  </si>
  <si>
    <t>I 34547</t>
  </si>
  <si>
    <t>I 37395</t>
  </si>
  <si>
    <t>ALVENARIAS</t>
  </si>
  <si>
    <t>8 - ESQUADRIAS</t>
  </si>
  <si>
    <t>11 - REVESTIMENTOS</t>
  </si>
  <si>
    <t>13 - PISOS</t>
  </si>
  <si>
    <t>14 - INSTALAÇÕES HIDROSSANITÁRIAS</t>
  </si>
  <si>
    <t>19 - SERVIÇOS COMPLEMENTARES</t>
  </si>
  <si>
    <t>TORNEIRAS DE MESA METÁLICA CROMADA, COM FECHAMENTO AUTOMÁTICO DO TIPO PRESSMATIC, COM AREJADOR ECONÔMICO, MODELO DOCOL PRESSMATIC MESA BENEFIT CROMADO</t>
  </si>
  <si>
    <t>CONCRETO FCK = 15MPA, TRAÇO 1:3,4:3,5 (CIMENTO/ AREIA MÉDIA/ BRITA 1)  - PREPARO MECÂNICO COM BETONEIRA 600 L</t>
  </si>
  <si>
    <t>INSTITUTO FEDERAL DE EDUCAÇÃO, CIÊNCIA E TECNOLOGIA FARROUPILHA</t>
  </si>
  <si>
    <t>% EXECUTADA</t>
  </si>
  <si>
    <t>PLACA DE SINALIZACAO DE SEGURANCA CONTRA INCENDIO, FOTOLUMINESCENTE, QUADRADA, *20 X 20* CM, EM PVC *2* MM ANTI-CHAMAS (SIMBOLOS, CORES E PICTOGRAMAS CONFORME NBR 13434)</t>
  </si>
  <si>
    <t>BEIRAIS E MARQUISES - PROTEÇÃO MECÂNICA DA IMPERMEABILIZAÇÃO COM ARGAMASSA DE CIMENTO E AREIA, TRAÇO 1:4, COM ADITIVO IMPERMEABILIZANTE, E=2 CM</t>
  </si>
  <si>
    <t>VERGAS  E CONTRA VERGAS PRÉ MOLDADAS C/ CONCRETO FCK=15 MPA - JANELAS E PORTAS</t>
  </si>
  <si>
    <t>PINTURA ESMALTE PREMIUM ACETINADO PARA ESQUADRIAS DE MADEIRA, DUAS DEMÃOS, CONFORME ESPECIFICAÇÕES E PROJETO ARQUITETÔNICO</t>
  </si>
  <si>
    <t>PAVIMENTAÇÃO COM PISO TÁTIL DIRECIONAL E/OU ALERTA, EM BORRACHA, DIMENSÕES 25x25 CM, APLICADO</t>
  </si>
  <si>
    <t>DISPENSER PARA PAPEL TOALHA INTERFOLHADO EM PLÁSTICO ABS</t>
  </si>
  <si>
    <t>C 86920</t>
  </si>
  <si>
    <t>15.1</t>
  </si>
  <si>
    <t>PLACA TÁTIL BRAILLE/RELEVO ACRÍLICO 30 X 20 CM</t>
  </si>
  <si>
    <t>C 87879</t>
  </si>
  <si>
    <t>C 87882</t>
  </si>
  <si>
    <t xml:space="preserve">CHAPISCO NO TETO, TRAÇO 1:3 (CIMENTO E AREIA), ESPESSURA 0,5 CM </t>
  </si>
  <si>
    <t xml:space="preserve">PINTURA COM TINTA ACRÍLICA EM TETO, DUAS DEMÃOS, CONFORME ESPECIFICAÇÕES E PROJETO ARQUITETÔNICO </t>
  </si>
  <si>
    <t>3.3</t>
  </si>
  <si>
    <t>3.4</t>
  </si>
  <si>
    <t>I 36178</t>
  </si>
  <si>
    <t>C 86877</t>
  </si>
  <si>
    <t>1) OS CUSTOS APRESENTADOS NESTA PLANILHA ORÇAMENTÁRIA ENGLOBAM EM SEU VALOR TODA A MÃO-DE-OBRA, MATERIAIS, FERRAMENTAS, EQUIPAMENTOS E DEMAIS ITENS NECESSÁRIOS A PERFEITA E COMPLETA EXECUÇÃO DO SERVIÇO.</t>
  </si>
  <si>
    <t>2) A PRESENTE PLANILHA ORÇAMENTÁRIA DEVE SER ANALISADA EM CONJUNTO COM O CADERNO DE ENCARGOS, COM O CRONOGRAMA FÍSICO FINANCEIRO E COM OS RESPECTIVOS PROJETOS.</t>
  </si>
  <si>
    <t>3) A ADMINISTRAÇÃO LOCAL (SUBITEM 2.1) DEVERÁ SER MEDIDA CONFORME A EXECUÇÃO FINANCEIRA DOS DEMAIS SERVIÇOS DA OBRA. ASSIM, SE A CONTRATADA EXECUTOU 9% DO VALOR DA OBRA EM DETERMINADO MÊS, POR EXEMPLO, ELA DEVE RECEBER 9% DO PAGAMENTO PREVISTO PARA A ADMINISTRAÇÃO LOCAL.</t>
  </si>
  <si>
    <t>CRO</t>
  </si>
  <si>
    <t>PARCELA 1                     (30 DIAS)</t>
  </si>
  <si>
    <t>PARCELA 2                   (60 DIAS)</t>
  </si>
  <si>
    <t>PARCELA 3                    (90 DIAS)</t>
  </si>
  <si>
    <t>PARCELA 5                      (150 DIAS)</t>
  </si>
  <si>
    <t>PARCELA 6                          (180 DIAS)</t>
  </si>
  <si>
    <t>PARCELA 7                       (210 DIAS)</t>
  </si>
  <si>
    <t>PARCELA 8                           (240 DIAS)</t>
  </si>
  <si>
    <t>PARCELA 9                               (270 DIAS)</t>
  </si>
  <si>
    <t>PARCELA 10                                (300 DIAS)</t>
  </si>
  <si>
    <t>PARCELA 11                               (330 DIAS)</t>
  </si>
  <si>
    <t>PARCELA 12                              (360 DIAS)</t>
  </si>
  <si>
    <t>PARCELA 13                             (390 DIAS)</t>
  </si>
  <si>
    <t>PARCELA 14                                       (420 DIAS)</t>
  </si>
  <si>
    <t>PARCELA 15                                 (450 DIAS)</t>
  </si>
  <si>
    <t>PARCELA 4                                   (120 DIAS)</t>
  </si>
  <si>
    <t>C 88650</t>
  </si>
  <si>
    <t>FILETE CERÂMICO LISO, COR VERDE, TAMANHO 2 X 30 CM, INCLUSIVE ARGAMASSA COLANTE E REJUNTE</t>
  </si>
  <si>
    <t>C 92391</t>
  </si>
  <si>
    <t>C 98504</t>
  </si>
  <si>
    <t>C 92404</t>
  </si>
  <si>
    <t>PISO TÁTIL DIRECIONAL E/OU ALERTA DE CONCRETO COR NATURAL DIM. 40 X 40 X 2,5 CM</t>
  </si>
  <si>
    <t>JM01 - VIDRO MINI BOREAL 4 MM</t>
  </si>
  <si>
    <t>UNID</t>
  </si>
  <si>
    <t>JM01 - ESQUADRIA MAXIM-AR EM ALUMÍNIO ANODIZADO - 0,90 X 0,95 M - FIXAÇÃO COM PARAFUSOS E VEDAÇÃO COM ESPUMA EXPANSIVA PU, CONFORME PROJETO E ESPECIFICAÇÕES (3 UNIDADES)</t>
  </si>
  <si>
    <t>JM02 - ESQUADRIA MAXIM-AR EM ALUMÍNIO ANODIZADO - 0,90 X 1,55 M - FIXAÇÃO COM PARAFUSOS E VEDAÇÃO COM ESPUMA EXPANSIVA PU, CONFORME PROJETO E ESPECIFICAÇÕES (3 UNIDADES)</t>
  </si>
  <si>
    <t>JM03 - ESQUADRIA MAXIM-AR EM ALUMÍNIO ANODIZADO - 2,00 X 0,95 M - FIXAÇÃO COM PARAFUSOS E VEDAÇÃO COM ESPUMA EXPANSIVA PU, CONFORME PROJETO E ESPECIFICAÇÕES (2 UNIDADES)</t>
  </si>
  <si>
    <t>JM04 - ESQUADRIA MAXIM-AR EM ALUMÍNIO ANODIZADO - 2,00 X 1,55 M - FIXAÇÃO COM PARAFUSOS E VEDAÇÃO COM ESPUMA EXPANSIVA PU, CONFORME PROJETO E ESPECIFICAÇÕES (3 UNIDADES)</t>
  </si>
  <si>
    <t>JM05 - ESQUADRIA MAXIM-AR EM ALUMÍNIO ANODIZADO - 2,50 X 1,55 M - FIXAÇÃO COM PARAFUSOS E VEDAÇÃO COM ESPUMA EXPANSIVA PU, CONFORME PROJETO E ESPECIFICAÇÕES (2 UNIDADES)</t>
  </si>
  <si>
    <t>JM06 - ESQUADRIA MAXIM-AR EM ALUMÍNIO ANODIZADO - 3,50 X 1,55 M - FIXAÇÃO COM PARAFUSOS E VEDAÇÃO COM ESPUMA EXPANSIVA PU, CONFORME PROJETO E ESPECIFICAÇÕES (1 UNIDADE)</t>
  </si>
  <si>
    <t>JC01 - ESQUADRIA DE CORRER EM ALUMÍNIO ANODIZADO - 0,70 X 1,40 M - FIXAÇÃO COM PARAFUSOS E VEDAÇÃO COM ESPUMA EXPANSIVA PU, CONFORME PROJETO E ESPECIFICAÇÕES (4 UNIDADES)</t>
  </si>
  <si>
    <t>JC02 - ESQUADRIA DE CORRER EM ALUMÍNIO ANODIZADO - 1,20 X 0,95 M - FIXAÇÃO COM PARAFUSOS E VEDAÇÃO COM ESPUMA EXPANSIVA PU, CONFORME PROJETO E ESPECIFICAÇÕES (1 UNIDADE)</t>
  </si>
  <si>
    <t>JC03 - ESQUADRIA DE CORRER EM ALUMÍNIO ANODIZADO - 2,00 X 1,40 M - FIXAÇÃO COM PARAFUSOS E VEDAÇÃO COM ESPUMA EXPANSIVA PU, CONFORME PROJETO E ESPECIFICAÇÕES (3 UNIDADES)</t>
  </si>
  <si>
    <t>JC04 - ESQUADRIA DE CORRER EM ALUMÍNIO ANODIZADO - 2,00 X 2,00 M - FIXAÇÃO COM PARAFUSOS E VEDAÇÃO COM ESPUMA EXPANSIVA PU, CONFORME PROJETO E ESPECIFICAÇÕES (1 UNIDADE)</t>
  </si>
  <si>
    <t>JC05 - ESQUADRIA DE CORRER EM ALUMÍNIO ANODIZADO - 2,50 X 1,40 M - FIXAÇÃO COM PARAFUSOS E VEDAÇÃO COM ESPUMA EXPANSIVA PU, CONFORME PROJETO E ESPECIFICAÇÕES (1 UNIDADE)</t>
  </si>
  <si>
    <t>JC06 - ESQUADRIA DE CORRER EM ALUMÍNIO ANODIZADO - 4,80 X 2,00 M - FIXAÇÃO COM PARAFUSOS E VEDAÇÃO COM ESPUMA EXPANSIVA PU, CONFORME PROJETO E ESPECIFICAÇÕES (2 UNIDADES)</t>
  </si>
  <si>
    <t>JV01 - ESQUADRIA EM ALUMÍNIO ANODIZADO VENEZIANA - 4,92 X 1,00 M - FIXAÇÃO COM PARAFUSOS E VEDAÇÃO COM ESPUMA EXPANSIVA PU, CONFORME PROJETO E ESPECIFICAÇÕES (2 UNIDADES)</t>
  </si>
  <si>
    <t>JV02 - ESQUADRIA EM ALUMÍNIO ANODIZADO VENEZIANA - 4,32 X 1,00 M - FIXAÇÃO COM PARAFUSOS E VEDAÇÃO COM ESPUMA EXPANSIVA PU, CONFORME PROJETO E ESPECIFICAÇÕES (1 UNIDADE)</t>
  </si>
  <si>
    <t>JG01 - ESQUADRIA EM ALUMÍNIO ANODIZADO COM TELA METÁLICA 5/8" FIXA, ARAME 12 - 0,45 X 0,45 M - FIXAÇÃO COM PARAFUSOS E VEDAÇÃO COM ESPUMA EXPANSIVA PU, CONFORME PROJETO E ESPECIFICAÇÕES (2 UNIDADES)</t>
  </si>
  <si>
    <t>TELAS MOSQUITEIRAS</t>
  </si>
  <si>
    <t>JM02 - VIDRO LAMINADO 6 MM (3+3)</t>
  </si>
  <si>
    <t>JM04 - VIDRO LAMINADO 6 MM (3+3)</t>
  </si>
  <si>
    <t>JM05 - VIDRO LAMINADO 6 MM (3+3)</t>
  </si>
  <si>
    <t>JM06 - VIDRO LAMINADO 6 MM (3+3)</t>
  </si>
  <si>
    <t>JC01 - VIDRO LAMINADO 6 MM (3+3)</t>
  </si>
  <si>
    <t>JC02 - VIDRO LAMINADO 6 MM (3+3)</t>
  </si>
  <si>
    <t>JC03 - VIDRO LAMINADO 6 MM (3+3)</t>
  </si>
  <si>
    <t>JC04 - VIDRO LAMINADO 6 MM (3+3)</t>
  </si>
  <si>
    <t>JC05 - VIDRO LAMINADO 6 MM (3+3)</t>
  </si>
  <si>
    <t>JC06 - VIDRO LAMINADO 6 MM (3+3)</t>
  </si>
  <si>
    <t>PNV3 - VIDRO LAMINADO 6 MM (3+3)</t>
  </si>
  <si>
    <t>PNV4 - VIDRO LAMINADO 6 MM (3+3)</t>
  </si>
  <si>
    <t>PE1 - KIT DE PORTA DE ALUMÍNIO DE ABRIR COM LAMBRI E BANDEIRA COM VIDRO FIXO SUPERIOR, 0,70X2,55M, COR BRANCA, COM GUARNIÇÃO E FECHADURA EXTERNA, CONFORME PROJETO E ESPECIFICAÇÕES (1 UNIDADE)</t>
  </si>
  <si>
    <t>PE4 -  KIT DE PORTA DE ALUMÍNIO DE ABRIR COM LAMBRI E BANDEIRA COM VIDRO FIXO SUPERIOR E LATERAL, 0,90X2,55M, COR BRANCA, COM GUARNIÇÃO E FECHADURA EXTERNA, CONFORME PROJETO E ESPECIFICAÇÕES (1 UNIDADE)</t>
  </si>
  <si>
    <t>PE5 - QUATRO PORTAS DE ALUMÍNIO VENEZIANADAS, TIPO PANTOGRÁFICA A CADA DUAS, EM ALUMÍNIO, COR BRANCA, 2,50X2,55M, COM GUARNIÇÃO, CHUMBADAS NA ALVENARIA/VIGA E FECHADURA CREMONA COM CHAVE ACABAMENTO DE AÇO INOX POLIDO (1 UNIDADE)</t>
  </si>
  <si>
    <t xml:space="preserve">PE7 - PORTA DE ABRIR, TAMANHO 180X185CM, DE ALUMÍNIO ANODIZADO VENEZIANA VENTILADA, COR NATURAL ALUMÍNIO FOSCO, MARCO 3CM, BORDA 5CM, FECHADURA COM MAÇANETA DE HASTE MACIÇA DO TIPO ALAVANCA E ESPELHO INOX, COM CHAVE E ACABAMENTO CROMADO, INCLUSIVE FECHOS TIPO TRANCAS INTERNOS </t>
  </si>
  <si>
    <t>PI2 - KIT PORTA DE MADEIRA DE ABRIR PARA PINTURA, FOLHA 80X210CM, SEMI-OCA DE COMPENSADO DE PINHO E REFORÇO INTERNO DE CEDRO, ESPESSURA 35MM, MARCOS DE CEDRO, GUARNIÇÕES DE CEDRINHO COM 7 CM DE LARGURA E FECHADURA COM MAÇANETA DE HASTE MACIÇA DO TIPO ALAVANCA COM ACABAMENTO CROMADO, CONFORME PROJETO E ESPECIFICAÇÕES</t>
  </si>
  <si>
    <t>PI4 - KIT PORTA DE MADEIRA DE ABRIR PARA PINTURA, FOLHA 90X210CM, COM VISOR EM VIDRO, SEMI-OCA DE COMPENSADO DE PINHO E REFORÇO INTERNO DE CEDRO, ESPESSURA 35MM, MARCOS DE CEDRO, GUARNIÇÕES DE CEDRINHO COM 7 CM DE LARGURA E FECHADURA COM MAÇANETA DE HASTE MACIÇA DO TIPO ALAVANCA COM ACABAMENTO CROMADO, CONFORME PROJETO E ESPECIFICAÇÕES</t>
  </si>
  <si>
    <t>PI5 - KIT PORTA DE MADEIRA DO TIPO VAI E VEM, PARA PINTURA, FOLHA 90X210CM, COM VISOR EM VIDRO, SEMI-OCA DE COMPENSADO DE PINHO E REFORÇO INTERNO DE CEDRO, ESPESSURA 35MM, MARCOS DE CEDRO, GUARNIÇÕES DE CEDRINHO COM 7 CM DE LARGURA E FECHADURA COM MAÇANETA DE HASTE MACIÇA DO TIPO ALAVANCA COM ACABAMENTO CROMADO, CONFORME PROJETO E ESPECIFICAÇÕES</t>
  </si>
  <si>
    <t>FECHADURA PARA BANHEIRO LIVRE/OCUPADO CROMADA COM TRANCA INTERNA FIXA</t>
  </si>
  <si>
    <t>PI1 - PORTA DE ABRIR EM ESQUADRIA EM ALUMÍNIO ANODIZADO VENEZIANA VENTILADA 70X145 CM, COR NATURAL ALUMÍNIO FOSCO</t>
  </si>
  <si>
    <t>PE8 - PORTA DE ABRIR, 70X240CM, DE ALUMÍNIO COR BRANCA COM LAMBRI MOLDURA DE 5CM, COM PERFIS LATERAIS DE ALUMÍNIO BRANCO E FECHADURA EXTERNA PARA PORTA DE ALUMÍNIO, COM PUXADOR DO TIPO ALAVANCA, ACABAMENTO EM AÇO INOX POLIDO</t>
  </si>
  <si>
    <t>PNV1 - ESQUADRIA EM ALUMÍNIO ANODIZADO COR NATURAL, ACESSÓRIOS EM ALUMÍNIO, INCLUSIVE PORTAS DE VIDRO E FECHADURA EXTERNA - 4,38X3,95M, CONFORME PROJETO E ESPECIFICAÇÕES (1 UNIDADE)</t>
  </si>
  <si>
    <t>PNV2 - ESQUADRIA EM ALUMÍNIO ANODIZADO COR NATURAL, ACESSÓRIOS EM ALUMÍNIO, INCLUSIVE PORTAS DE VIDRO E FECHADURA EXTERNA - 3,18X3,95M, CONFORME PROJETO E ESPECIFICAÇÕES (1 UNIDADE)</t>
  </si>
  <si>
    <t>PNV4 -  ESQUADRIA EM ALUMÍNIO ANODIZADO COR NATURAL, ACESSÓRIOS EM ALUMÍNIO - 2,73X3,95M (1 UNIDADE)</t>
  </si>
  <si>
    <t>PE6 - PORTA DE ABRIR, TAMANHO 70X180CM, DE ALUMÍNIO BRANCO COM LAMBRI, MOLDURA DE 5CM E FECHADURA EXTERNA COM ESPELHO E ACABAMENTO EM AÇO INOX POLIDO (2 UNIDADES)</t>
  </si>
  <si>
    <t>PI4 - VISOR EM VIDRO LAMINADO INCOLOR 6 MM (3+3), TAMANHO 20X110CM</t>
  </si>
  <si>
    <t>PE2 - KIT DE PORTA DE ALUMÍNIO DE ABRIR COM LAMBRI E BANDEIRA COM VIDRO FIXO SUPERIOR, 0,90X2,55M, COR BRANCA, COM GUARNIÇÃO E FECHADURA EXTERNA, CONFORME PROJETO E ESPECIFICAÇÕES (9 UNIDADES)</t>
  </si>
  <si>
    <t>UM</t>
  </si>
  <si>
    <t>QUATRO PORTAS DE ALUMÍNIO VENEZIANADAS, TIPO PANTOGRÁFICA A CADA DUAS, EM ALUMÍNIO, COR BRANCA, 2,50X2,55M, COM GUARNIÇÃO, CHUMBADAS NA ALVENARIA/VIGA (1 UNIDADE)</t>
  </si>
  <si>
    <t>C 92259</t>
  </si>
  <si>
    <t>C 92262</t>
  </si>
  <si>
    <t>C 99059</t>
  </si>
  <si>
    <t>LOUÇAS, ACESSÓRIOS E METAIS - COZINHA E SALÃO</t>
  </si>
  <si>
    <t>TORNEIRA DE JARDIM 1130 PERTUTTI, MARCA DOCOL, ACABAMENTO  CROMADO (TORNEIRAS BAIXAS INTERNAS, DE JARDIM E TANQUE)</t>
  </si>
  <si>
    <t>JM03 - VIDRO MINI BOREAL 4 MM</t>
  </si>
  <si>
    <t xml:space="preserve">LASTRO DE BRITA COM ESPESSURA DE 5 CM </t>
  </si>
  <si>
    <t>CUBA RETANGULAR EM AÇO INOX 304, DIMENSÕES 40 X 34 X 17 CM, ESPESSURA 0,6 MM, ACETINADO, COM VÁLVULA, MARCA TRAMONTINA</t>
  </si>
  <si>
    <t>PISO DE CONCRETO ALISADO, CONCRETO USINADO, FCK 20 MPa, ESPESSURA 10 CM</t>
  </si>
  <si>
    <t>C 94991</t>
  </si>
  <si>
    <t>LASTRO DE BRITA COM ESPESSURA DE 10 CM - CISTERNA E CASA DE GÁS</t>
  </si>
  <si>
    <t xml:space="preserve">LASTRO DE BRITA COM ESPESSURA DE 8 CM </t>
  </si>
  <si>
    <t>PISO INTERTRAVADO DE CONCRETO, MODELO UNISTEIN 11x22x8 CM, COR NATURAL, ESPESSURA DE 8 CM, JUNTAS DE ASSENTAMENTO DE 1 CM PREENCHIDAS COM PÓ DE PEDRA</t>
  </si>
  <si>
    <t>PISO INTERTRAVADO DE CONCRETO, BLOCO PISOGRAMA, TAMANHO 35x25CM, ESPESSURA DE 6 CM, JUNTAS DE ASSENTAMENTO DE 1 CM PREENCHIDAS COM PÓ DE PEDRA, ASSENTADOS SOBRE 6 CM DE AREIA</t>
  </si>
  <si>
    <t>PISO PODOTÁTIL DE CONCRETO, TAMANHO 40x40 CM, ESPESSURA 2,5 CM, SINALIZAÇÃO DE ALERTA E DIRECIONAL, COR VERMELHA, APLICADO COM ARGAMASSA E REJUNTADO</t>
  </si>
  <si>
    <t>C 94275</t>
  </si>
  <si>
    <t>MEIO FIO EM TRECHO RETO ASSENTADO, CONFECCIONADO EM CONCRETO PRÉ-FABRICADO, DIMENSÕES 100X15X13X20 CM (COMPRIMENTO X BASE INFERIOR X BASE SUPERIOR X ALTURA)</t>
  </si>
  <si>
    <t>C 90843</t>
  </si>
  <si>
    <t>C 90844</t>
  </si>
  <si>
    <t>TELA DE NYLON TIPO MOSQUITEIRA, EM POLIETILENO COR CINZA FIO 0,45MM MALHA 1,0X1,0MM, COM MOLDURA EM ALUMÍNIO ANODIZADO NATURAL, LARGURA DE 3,0 CM,</t>
  </si>
  <si>
    <t>EMASSAMENTO COM MASSA A ÓLEO (PONSAR) EM ESQUADRIA DE MADEIRA, DUAS DEMÃOS, CONFORME ESPECIFICAÇÕES E PROJETO ARQUITETÔNICO</t>
  </si>
  <si>
    <t>APLICAÇÃO DE MASSA CORRIDA 2 DEMÃOS</t>
  </si>
  <si>
    <t>C 87545</t>
  </si>
  <si>
    <t>PI3 - KIT PORTA DE MADEIRA DE CORRER PARA PINTURA, FOLHA 80X210CM, SEMI-OCA DE COMPENSADO DE PINHO E REFORÇO INTERNO DE CEDRO, ESPESSURA 35MM, MARCOS DE CEDRO, GUARNIÇÕES DE CEDRINHO COM 7 CM DE LARGURA E FECHO DE EMBUTIR ACABAMENTO CROMADO, CONFORME PROJETO E ESPECIFICAÇÕES</t>
  </si>
  <si>
    <t xml:space="preserve">PNV2 - VIDRO LAMINADO VERDE 6 MM (3+3) </t>
  </si>
  <si>
    <t>PNV1 - VIDRO LAMINADO VERDE 6 MM (3+3)</t>
  </si>
  <si>
    <t>C 93202</t>
  </si>
  <si>
    <t>ENCUNHAMENTO DE ALVENARIA DE VEDAÇÃO COM TIJOLO MACIÇO</t>
  </si>
  <si>
    <t>VIGA BALDRAME DE ASSENTAMENTO DAS FLOREIRAS</t>
  </si>
  <si>
    <t>DESMOLDANTE PROTETOR PARA FORMAS DE MADEIRA, DE BASE OLEOSA EMULSIONADA EM AGUA</t>
  </si>
  <si>
    <t>0,0035000</t>
  </si>
  <si>
    <t>ESPACADOR / DISTANCIADOR CIRCULAR COM ENTRADA LATERAL, EM PLASTICO, PARA VERGALHAO *4,2 A 12,5* MM, COBRIMENTO 20 MM</t>
  </si>
  <si>
    <t>6,0000000</t>
  </si>
  <si>
    <t>0,3600000</t>
  </si>
  <si>
    <t>0,1800000</t>
  </si>
  <si>
    <t>0,2000000</t>
  </si>
  <si>
    <t>0,7900000</t>
  </si>
  <si>
    <t>I 2692</t>
  </si>
  <si>
    <t>I 39017</t>
  </si>
  <si>
    <t>C 92270</t>
  </si>
  <si>
    <t>C 92793</t>
  </si>
  <si>
    <t>FABRICAÇÃO DE FÔRMA PARA VIGAS, COM MADEIRA SERRADA, E = 25 MM</t>
  </si>
  <si>
    <t>COMPOSIÇÃO 2 REF. 93204</t>
  </si>
  <si>
    <t>ALVENARIA EM TIJOLO CERÂMICO MACIÇO ASSENTADO COM ARGAMASSA - FLOREIRAS E MURETA DE APOIO DAS BANCADAS</t>
  </si>
  <si>
    <t>DISPENSER PARA PAPEL HIGIÊNICO EM ROLO EM PLÁSTICO ABS</t>
  </si>
  <si>
    <t>ALARME AUDIOVISUAL SEM FIO BIVOLT 110/220V PARA SANITÁRIO ACESSÍVEL - QUE ATENDE DEF. AUDITIVOS E VISUAIS (INCLUSO PLACA TÁTIL EM RELEVO E BRAILLE ESCRITO: "EMERGÊNCIA: ACIONAR O BOTÃO" ) CONFORME NORMA NBR 9050 - KIT COMPLETO PARA 01 SANITÁRIO - 01 ALARME RECEPTADOR, 1 ACIONADOR, 1 PLACAS TÁTIL</t>
  </si>
  <si>
    <t>ESCADA TIPO MARINHEIRO EM TUBOS DE AÇO GALVANIZADO 1 1/2", CONFORME PROJETO</t>
  </si>
  <si>
    <t>ALÇAPÃO METÁLICO 70 X 70 CM, INCLUSO FERRAGENS, CONFORME PROJETO</t>
  </si>
  <si>
    <t>C 87496</t>
  </si>
  <si>
    <t>ALVENARIA DE VEDAÇÃO DE BLOCOS CERÂMICOS FURADOS NA HORIZONTAL DE 9X19X19CM</t>
  </si>
  <si>
    <t>BEBEDOURO DE PRESSÃO ACESSÍVEL SUSPENSO EM INOX ESCOVADO, MARCA ACQUA PCD, COM SISTEMA BRAILLE QUE IDENTIFICA BOTÕES, FORNECE PAGUA NAS TEMPERATURAS GELADA E AMBIENTTE, 220 V</t>
  </si>
  <si>
    <t>C 99855</t>
  </si>
  <si>
    <t>COMPOSIÇÃO 1 REF. 87502</t>
  </si>
  <si>
    <t>1,5100000</t>
  </si>
  <si>
    <t>0,0363000</t>
  </si>
  <si>
    <t>0,0135000</t>
  </si>
  <si>
    <t>C 87369</t>
  </si>
  <si>
    <t>DIVISÓRIA EM GRANITO BRANCO DALLAS, POLIDO NAS DUAS FACES, ESPESSURA 2 CM, FIXADO NA PAREDE E NO PISO (SANITÁRIOS), CONFORME PROJETO ARQUITETÔNICO</t>
  </si>
  <si>
    <t>ÁREA EDIFICADA: 535,20 m²</t>
  </si>
  <si>
    <t>PROJETO: CENTRO DE CONVIVÊNCIA</t>
  </si>
  <si>
    <t xml:space="preserve">PNV3 - VIDRO TEMPERADO 6 MM </t>
  </si>
  <si>
    <t xml:space="preserve">PNV1 - VIDRO TEMPERADO VERDE 6 MM </t>
  </si>
  <si>
    <t xml:space="preserve">PNV2 - VIDRO TEMPERADO VERDE 6 MM </t>
  </si>
  <si>
    <t>7 - ALVENARIAS</t>
  </si>
  <si>
    <t>CORTE E DOBRA DE AÇO CA-50, DIÂMETRO DE 8,0 MM</t>
  </si>
  <si>
    <t>CONCRETO FCK = 20MPA, TRAÇO 1:2,7:3 (CIMENTO/ AREIA MÉDIA/ BRITA 1)</t>
  </si>
  <si>
    <t>ARGAMASSA TRAÇO 1:2:8 (CIMENTO, CAL E AREIA MÉDIA) PARA EMBOÇO/MASSA ÚNICA/ASSENTAMENTO DE ALVENARIA DE VEDAÇÃO, PREPARO MANUAL</t>
  </si>
  <si>
    <t>PEITORIL EM GRANITO BRANCO DALLAS, LARGURA 14 CM, ESPESSURA 2 CM, ASSENTADO COM ARGAMASSA TRAÇO 1:4 (CIMENTO E AREIA MÉDIA)</t>
  </si>
  <si>
    <t>BARRA DE APOIO EM AÇO INOX POLIDO, L=80 CM, CONFORME PROJETO DE ACESSIBILIDADE</t>
  </si>
  <si>
    <t>BARRA DE APOIO EM AÇO INOX POLIDO, L=70 CM, CONFORME PROJETO DE ACESSIBILIDADE</t>
  </si>
  <si>
    <t>BARRA DE APOIO EM AÇO INOX POLIDO, L=40 CM, CONFORME PROJETO DE ACESSIBILIDADE</t>
  </si>
  <si>
    <t>I 36081</t>
  </si>
  <si>
    <t>I 36205</t>
  </si>
  <si>
    <t>I 36204</t>
  </si>
  <si>
    <t>LAVATÓRIO LOUÇA BRANCA SUSPENSO, 29,5 X 39CM OU EQUIVALENTE</t>
  </si>
  <si>
    <t>CUBA DE EMBUTIR EM LOUÇA, TIPO OVAL BRANCA, MODELO DECA L.37.17, INCLUSIVE  VÁLVULA CROMADA, ENGATE FLEXÍVEL METÁLICO E SIFÃO DE INOX</t>
  </si>
  <si>
    <t>TANQUE DE LOUÇA COM COLUNA, MARCA DECA, 30 LITROS COM ACESSÓRIOS -   INCLUSO SIFÃO TIPO GARRAFA EM PVC, VÁLVULA PLÁSTICA</t>
  </si>
  <si>
    <t>C 95472</t>
  </si>
  <si>
    <t>SHAFTS - PAREDE COM PLACAS DE GESSO ACARTONADO (DRYWALL), PARA USO INTERNO, COM DUAS FACES SIMPLES E ESTRUTURA METÁLICA COM GUIAS DUPLAS</t>
  </si>
  <si>
    <t xml:space="preserve">C 96361 </t>
  </si>
  <si>
    <t>C 87620</t>
  </si>
  <si>
    <t>REGULARIZAÇÃO - CONTRAPISO INTERNO EM ARGAMASSA TRAÇO 1:4 (CIMENTO E AREIA), PREPARO MECÂNICO,  ESPESSURA 2 CM</t>
  </si>
  <si>
    <t>PI5 - VISOR EM VIDRO LAMINADO INCOLOR 6 MM (3+3), TAMANHO 20X110CM</t>
  </si>
  <si>
    <t xml:space="preserve">CONTRAPISO EM CONCRETO FCK 15 MPA, INCLUSIVE LANÇAMENTO, ADENSAMENTO E ADITIVO IMPERMEABILIZANTE, COM 8 CM DE ESPESSURA </t>
  </si>
  <si>
    <t>C 94276</t>
  </si>
  <si>
    <t>ASSENTAMENTO DE GUIA (MEIO-FIO) EM TRECHO CURVO, CONFECCIONADA EM CONCRETO PRÉ-FABRICADO, DIMENSÕES 100X15X13X20 CM (COMPRIMENTO X BASE INFERIOR X BASE SUPERIOR X ALTURA)</t>
  </si>
  <si>
    <t>ALUMINIO ANODIZADO</t>
  </si>
  <si>
    <t>MONTADOR DE ESTRUTURA METÁLICA COM ENCARGOS COMPLEMENTARES</t>
  </si>
  <si>
    <t xml:space="preserve">CORRIMÃO EM TUBO DE AÇO GALVANIZADO DIÂMETRO 1 1/2" </t>
  </si>
  <si>
    <t>BASE DE BRITA GRADUADA, ESPESSURA 16 CM, INCLUSIVE FRETE E COMPACTAÇÃO</t>
  </si>
  <si>
    <t>SUB BASE DE RACHÃO - 20 CM, COMPACTADOS EM DUAS CAMADAS DE 10 CM,  INCLUSIVE FRETE E COMPACTAÇÃO</t>
  </si>
  <si>
    <t>BASE DE ASSENTAMENTO COM PÓ DE PEDRA, ESPESSURA 10 CM, INCLUSIVE FRETE E COMPACTAÇÃO</t>
  </si>
  <si>
    <t>COBERTURA DE POLICARBONATO ALVEOLAR COM ESPESSURA 10 MM, COM ESTRUTURA METÁLICA  EM ARCO, TERÇAS METÁLICAS PARA FIXAÇÃO DAS TELHAS, PILARES METÁLICOS DE SUSTENTAÇÃO, ESTRUTURA EM ALUMÍNIO ANODIZADO DIÂMETRO 4" E ESPESSURA DE 4,0 MM, FORNECIMENTO E INSTALAÇÃO DA COBERTURA E ESTRUTURA METÁLICA</t>
  </si>
  <si>
    <t>0,0077000</t>
  </si>
  <si>
    <t>0,0084000</t>
  </si>
  <si>
    <t>0,0058000</t>
  </si>
  <si>
    <t>0,0103000</t>
  </si>
  <si>
    <t>0,0563000</t>
  </si>
  <si>
    <t>0,0039000</t>
  </si>
  <si>
    <t>0,0122000</t>
  </si>
  <si>
    <t>C 5684</t>
  </si>
  <si>
    <t>C 5685</t>
  </si>
  <si>
    <t>C 5901</t>
  </si>
  <si>
    <t>C 5903</t>
  </si>
  <si>
    <t>C 5932</t>
  </si>
  <si>
    <t>C 5934</t>
  </si>
  <si>
    <t>C 96463</t>
  </si>
  <si>
    <t>C 96464</t>
  </si>
  <si>
    <t>C 98503</t>
  </si>
  <si>
    <t>PLANTIO DE GRAMA EM PAVIMENTO PISOGRAMA</t>
  </si>
  <si>
    <t>PLANTIO DE GRAMA EM PLACAS (TALUDES)</t>
  </si>
  <si>
    <t>REVESTIMENTO PORCELANATO PARA PISO, REFERÊNCIA MARCA PORTOBELLO  LINHA PIERRE BELLE COR PIERRE BELLE CREME (CÓDIGO 27809E) PEI 4, DIMENSÕES 60 X 120 CM, INCLUSIVE ARGAMASSA DE ASSENTAMENTO AC III E REJUNTE, CONFORME ESPECIFICAÇÕES E PROJETO (20% QUEBRA)</t>
  </si>
  <si>
    <t>TAXA CREA - ARTs DE EXECUÇÃO (ARQUITETÔNICO, ELÉTRICO, HIDROSSANITÁRIO, PPCI, GÁS, ESTRUTURAL, AR CONDICIONADO E CONTROLE DE MATERIAIS DE ACABAMENTO)</t>
  </si>
  <si>
    <t>I 38181</t>
  </si>
  <si>
    <t>PISO EM BORRACHA DIRECIONAL E/OU ALERTA 25 X 25 CM</t>
  </si>
  <si>
    <t xml:space="preserve"> M2 </t>
  </si>
  <si>
    <t>I 4791</t>
  </si>
  <si>
    <t>ADESIVO ACRILICO/COLA DE CONTATO</t>
  </si>
  <si>
    <t xml:space="preserve">KG </t>
  </si>
  <si>
    <t>REVESTIMENTO PORCELANATO PARA PISO, REFERÊNCIA MARCA PORTINARI ESMALTADO ACETINADO BORDA RETA COLEÇÃO LOFT COR BRANCA PEI 4, DIMENSÕES 60 X 120 CM, INCLUSIVE ARGAMASSA DE ASSENTAMENTO AC III E REJUNTE, CONFORME ESPECIFICAÇÕES E PROJETO (20% QUEBRA)</t>
  </si>
  <si>
    <t>PISO DE CONCRETO ALISADO, CONCRETO USINADO, ARMADO, FCK 20 MPa, ESPESSURA 10 CM, MALHA DE AÇO 2,45X1,20M SOLDADA NERVURADA CA60, Q138,2,20KG/M². FERROS DE DIÂMETRO 4,2MM, ESPAÇAMENTO DA MALHA 10X10CM</t>
  </si>
  <si>
    <t>SOLEIRA DE GRANITO BRANCO DALLAS LARGURA 15 CM, ESPESSURA 2 CM, ASSENTADO COM ARGAMASSA TRAÇO 1:4 (CIMENTO E AREIA MÉDIA)</t>
  </si>
  <si>
    <t>SOLEIRA DE GRANITO BRANCO DALLAS LARGURA 27 CM, ESPESSURA 2 CM, ASSENTADO COM ARGAMASSA TRAÇO 1:4 (CIMENTO E AREIA MÉDIA)</t>
  </si>
  <si>
    <t>SOLEIRA GRANITO BRANCO DALLAS  LARGURA 15 CM E ESPESSURA 2 CM</t>
  </si>
  <si>
    <t>SOLEIRA GRANITO BRANCO DALLAS  LARGURA 27 CM E ESPESSURA 2 CM</t>
  </si>
  <si>
    <t>RODAPÉ CERAMICO, H=7 CM, REFERÊNCIA MARCA PORTINARI ESMALTADO ACETINADO BORDA RETA COLEÇÃO LOFT COR BRANCA PEI 4, DIMENSÕES 60 X 120 CM, INCLUSIVE ARGAMASSA DE ASSENTAMENTO AC III E REJUNTE, CONFORME ESPECIFICAÇÕES E PROJETO (20% QUEBRA)</t>
  </si>
  <si>
    <t>RODAPÉ CERAMICO, H=7 CM, REFERÊNCIA MARCA PORTOBELLO  LINHA PIERRE BELLE COR PIERRE BELLE CREME (CÓDIGO 27809E) PEI 4, DIMENSÕES 60 X 120 CM, INCLUSIVE ARGAMASSA DE ASSENTAMENTO AC III E REJUNTE, CONFORME ESPECIFICAÇÕES E PROJETO (20% QUEBRA)</t>
  </si>
  <si>
    <t>FECHAMENTO CISTERNA E ÁREA DE SERVIÇO COM COBOGÓ DE CONCRETO (ELEMENTO VAZADO), NAS MEDIDAS 7X39X39CM, ASSENTADO COM ARGAMASSA TRAÇO 1:3 (CIMENTO E AREI), CONFORME PROJETO E ESPECIFICAÇÕES TÉCNICAS</t>
  </si>
  <si>
    <t xml:space="preserve">LIMPEZA PERMANENTE DA OBRA - SERVENTE </t>
  </si>
  <si>
    <t>TOTAL/PARA 15 MESES</t>
  </si>
  <si>
    <t>0,2400000</t>
  </si>
  <si>
    <t>ARGAMASSA COLANTE TIPO ACIII</t>
  </si>
  <si>
    <t>8,6200000</t>
  </si>
  <si>
    <t>AZULEJISTA OU LADRILHISTA COM ENCARGOS COMPLEMENTARES</t>
  </si>
  <si>
    <t>0,1900000</t>
  </si>
  <si>
    <t>I 37595</t>
  </si>
  <si>
    <t>C 88256</t>
  </si>
  <si>
    <t>PORCELANATO PARA PISO, REFERÊNCIA MARCA PORTOBELLO  LINHA PIERRE BELLE COR PIERRE BELLE CREME (CÓDIGO 27809E) PEI 4, DIMENSÕES 60 X 120 CM (20% QUEBRA), INCLUSIVE FRETE</t>
  </si>
  <si>
    <t>PEITORIL/SOLEIRA DE GRANITO BRANCO DALLAS LARGURA 15 CM, ESPESSURA 2 CM, ASSENTADO COM ARGAMASSA TRAÇO 1:4 (CIMENTO E AREIA MÉDIA)</t>
  </si>
  <si>
    <t>REVESTIMENTO DE PAREDE COM ARENITO, DIMENSÕES 45 X 20 CM, INCLUSIVE ARGAMASSA DE ASSENTAMENTO AC III E REJUNTE, CONFORME ESPECIFICAÇÕES E PROJETO (10% QUEBRA)</t>
  </si>
  <si>
    <t>CHAPISCO NAS ALVENARIAS E ESTRUTURAS, TRAÇO 1:3 (CIMENTO E AREIA), ESPESSURA 0,5 CM (MASSA CORRIDA E CERÂMICA)</t>
  </si>
  <si>
    <t>C 90408</t>
  </si>
  <si>
    <t>MASSA ÚNICA, PARA RECEBIMENTO DE PINTURA, EM ARGAMASSA TRAÇO 1:2:8, PREPARO MECÂNICO, APLICADA MANUALMENTE EM TETO, ESPESSURA DE 10MM, COM EXECUÇÃO DE TALISCAS</t>
  </si>
  <si>
    <t>PINTURA ESMALTE, INCLUINDO FUNDO ANTICORRISIVO E 2 DEMÃOS DE TINTA ESMALTE, CONFORME ESPECIFICAÇÕES E PROJETO ARQUITETÔNICO (MÃOS FRANCESAS, ALÇAPÕES, ESTRUTURAS METÁLICAS DA PASSARELA E CORRIMÃOS)</t>
  </si>
  <si>
    <t>MASSA ÚNICA, PARA RECEBIMENTO DE PINTURA, EM ARGAMASSA TRAÇO 1:2:8, PREPARO MECÂNICO, ESPESSURA DE 10MM, COM EXECUÇÃO DE TALISCAS</t>
  </si>
  <si>
    <t>C 98546</t>
  </si>
  <si>
    <t>BEIRAIS E MARQUISES - IMPERMEABILIZAÇÃO DE SUPERFÍCIE COM MANTA ASFÁLTICA, INCLUSIVE APLICAÇÃO DE  EMULSÃO ASFÁLTICA, E=3MM</t>
  </si>
  <si>
    <t>FORNECIMENTO E INSTALAÇÃO DE TESOURA EM MADEIRA, PARA VÃOS DE 6,0 M</t>
  </si>
  <si>
    <t>FORNECIMENTO E INSTALAÇÃO DE TESOURA EM MADEIRA, PARA VÃOS DE 13,0 M</t>
  </si>
  <si>
    <t xml:space="preserve">PINTURA ACRÍLICA EM PAREDES, DUAS DEMÃOS  (INCLUSIVE REVESTIMENTO INTERNO DAS PLATIBANDAS E MARQUISES) CONFORME ESPECIFICAÇÕES E PROJETO ARQUITETÔNICO </t>
  </si>
  <si>
    <t xml:space="preserve">FUNDO SELADOR ACRÍLICO, UMA DEMÃO  (INCLUSIVE REVESTIMENTOS INTERNOS DAS PLATIBANDAS E MARQUISES) CONFORME ESPECIFICAÇÕES E PROJETO ARQUITETÔNICO </t>
  </si>
  <si>
    <t>ESQUADRIAS METÁLICAS</t>
  </si>
  <si>
    <t>BANCADAS - TAMPO EM GRANITO BRANCO DALLAS, ESPESSURA 2 CM, ESPELHO DE 10 CM DE ALTURA E BORDAS CONFORME PROJETO ARQUITETÔNICO (INCLUSIVE REVESTIMENTOS DO PASSA PRATOS)</t>
  </si>
  <si>
    <t>FORNECIMENTO/INSTALAÇÃO DE LONA PLÁSTICA PRETA, PARA IMPERMEABILIZAÇÃO</t>
  </si>
  <si>
    <t>Risco e Imprevistos</t>
  </si>
  <si>
    <t>Tributos incidentes sobre o preço de venda (I)</t>
  </si>
  <si>
    <r>
      <t>Para a execução de obras com orçamento elaborado com a planilha SINAPI "</t>
    </r>
    <r>
      <rPr>
        <b/>
        <sz val="12"/>
        <rFont val="Arial Narrow"/>
        <family val="2"/>
      </rPr>
      <t>SEM DESONERAÇÃO</t>
    </r>
    <r>
      <rPr>
        <sz val="12"/>
        <rFont val="Arial Narrow"/>
        <family val="2"/>
      </rPr>
      <t>" utiliza-se o seguinte cálculo de BDI:</t>
    </r>
  </si>
  <si>
    <t>ALVENARIA DE VEDAÇÃO DE PAREDES DE BLOCO CERÂMICO, FUROS NA HORIZONTAL, DE 14 X 19 X 24 CM, ESPESSURA 19 CM (BLOCO DEITADO) E ARGAMASSA DE ASSENTAMENTO TRAÇO 1:2:8</t>
  </si>
  <si>
    <t>C 88278</t>
  </si>
  <si>
    <t>REF. 73867/1   I 00583</t>
  </si>
  <si>
    <t>COMPOSIÇÃO  1 REF. 87260</t>
  </si>
  <si>
    <t>COMPOSIÇÃO 7</t>
  </si>
  <si>
    <t>COMPOSIÇÃO 1   REF. 73817/1</t>
  </si>
  <si>
    <t>COMPOSIÇÃO  2   REF. 96396</t>
  </si>
  <si>
    <t>COMPOSIÇÃO 3  REF. 96396</t>
  </si>
  <si>
    <t>COMPOSIÇÃO 5  REF. 83534</t>
  </si>
  <si>
    <t>COMPOSIÇÃO 7  REF. 87260</t>
  </si>
  <si>
    <t>COMPOSIÇÃO 6  REF. 87260</t>
  </si>
  <si>
    <t>COMPOSIÇÃO 8  REF. 83534</t>
  </si>
  <si>
    <t>COMPOSIÇÃO 10</t>
  </si>
  <si>
    <t>BACIA SANITÁRIA COM CAIXA ACOPLADA COM ACIONAMENTO DUO EM LOUÇA NA COR BRANCA MARCA INCEPA LINHA THEMA, INCLUSIVE ANEL DE VEDAÇÃO, CONJUNTO DE FIXAÇÃO, TUBO DE LIGAÇÃO CROMADO, ENGATE PLÁSTICO E ASSENTO COMPATÍVEL</t>
  </si>
  <si>
    <t xml:space="preserve">TORNEIRA PARA LAVATÓRIO DE MESA METÁLICA PRESMATIC ACABAMENTO CROMADO, MODELO DOCOL PRESSMATIC COMPACT </t>
  </si>
  <si>
    <t>LAVATÓRIO DE LOUÇA COR BRANCA COM COLUNA, 50 X 36 CM, MARCA INCEPA LINHA THEMA, INCLUSO SIFÃO FLEXÍVEL PVC, VÁLVULA CROMADA E ENGATE FLEXÍVEL METÁLICO (SANITÁRIO DE SERVIÇO)</t>
  </si>
  <si>
    <t xml:space="preserve">MICTÓRIO DE LOUÇA NA COR BRANCA COM SIFÃO INTEGRADO LINHA ECO MARCA INCEPA </t>
  </si>
  <si>
    <t>VÁLVULA DE DESCARGA PARA MICTÓRIO COM FECHAMENTO AUTOMÁTICO TIPO PRESSMATIC MARCA INCEPA MODELO WATERPRESS</t>
  </si>
  <si>
    <t>03260/ORSE</t>
  </si>
  <si>
    <t>BACIA SANITÁRIA COM CAIXA ACOPLADA COM ACIONAMENTO DUO EM LOUÇA NA COR BRANCA MODELO DECA VOGUE PLUS CONFORTO, INCLUSIVE ANEL DE VEDAÇÃO, CONJUNTO DE FIXAÇÃO, TUBO DE LIGAÇÃO CROMADO, ENGATE PLÁSTICO E ASSENTO DE PVC COMPATÍVEL</t>
  </si>
  <si>
    <t>VÁLVULA EM METAL CROMADO 1.1/2" X 1.1/2" PARA TANQUE OU LAVATÓRIO, COM OU SEM LADRÃO - FORNECIMENTO E INSTALAÇÃO</t>
  </si>
  <si>
    <t>ENGATE FLEXÍVEL EM INOX, 1/2 X 30CM - FORNECIMENTO E INSTALAÇÃO</t>
  </si>
  <si>
    <t>C 86881</t>
  </si>
  <si>
    <t>MASSA ÚNICA, PARA RECEBIMENTO DE MASSA CORRIDA E CERÂMICA, EM ARGAMASSA TRAÇO 1:2:8, PREPARO MECÂNICO, ESPESSURA DE 10MM, COM EXECUÇÃO DE TALISCAS</t>
  </si>
  <si>
    <t>ANILHA PARA IDENTIFICAÇÃO DE CABOS - INSTALADAS.</t>
  </si>
  <si>
    <t>CABO DE ALUMÍNIO QUADRUPLEX 35MM², 4 VIAS, COLORIDO COM AS TRÊS FASES COM CORES DIFERENTES, INSTALAÇÃO AÉREA - INSTALADO.</t>
  </si>
  <si>
    <t>CABO DE COBRE FLEXÍVEL ISOLADO, 2,5 MM², ANTI-CHAMA 0,6/1,0 KV, PARA CIRCUITOS TERMINAIS - FORNECIMENTO E INSTALAÇÃO.</t>
  </si>
  <si>
    <t>CABO DE COBRE FLEXÍVEL ISOLADO, 2,5 MM², ANTI-CHAMA 450/750 V, PARA CIRCUITOS TERMINAIS - FORNECIMENTO E INSTALAÇÃO.</t>
  </si>
  <si>
    <t>CABO DE COBRE FLEXÍVEL ISOLADO, 25 MM², ANTI-CHAMA 0,6/1,0 KV, PARA DISTRIBUIÇÃO - FORNECIMENTO E INSTALAÇÃO.</t>
  </si>
  <si>
    <t>CABO DE COBRE FLEXÍVEL ISOLADO, 35 MM², ANTI-CHAMA 0,6/1,0 KV, PARA DISTRIBUIÇÃO - FORNECIMENTO E INSTALAÇÃO.</t>
  </si>
  <si>
    <t>CABO DE COBRE FLEXÍVEL ISOLADO, 4 MM², ANTI-CHAMA 0,6/1,0 KV, PARA CIRCUITOS TERMINAIS - FORNECIMENTO E INSTALAÇÃO.</t>
  </si>
  <si>
    <t>CABO DE COBRE FLEXÍVEL ISOLADO, 6 MM², ANTI-CHAMA 0,6/1,0 KV, PARA CIRCUITOS TERMINAIS - FORNECIMENTO E INSTALAÇÃO.</t>
  </si>
  <si>
    <t>CAIXA DE PASSAGEM METALICA DE SOBREPOR COM TAMPA PARAFUSADA, DIMENSOES 15 X 15 X 10 CM - INSTALADA.</t>
  </si>
  <si>
    <t>CAIXA DE PASSAGEM, EM PVC, DE 4" X 4", PARA ELETRODUTO FLEXIVEL CORRUGADO - INSTALADA.</t>
  </si>
  <si>
    <t>CAIXA ENTERRADA ELÉTRICA RETANGULAR, EM ALVENARIA COM TIJOLOS CERÂMICOS MACIÇOS, FUNDO COM BRITA, DIMENSÕES INTERNAS: 0,4X0,4X0,4 M.</t>
  </si>
  <si>
    <t>CAIXA OCTOGONAL 4" X 4", PVC, INSTALADA EM LAJE - FORNECIMENTO E INSTALAÇÃO.</t>
  </si>
  <si>
    <t>CAIXA RETANGULAR 4" X 2", PVC, INSTALADA EM PAREDE - FORNECIMENTO E INSTALAÇÃO.</t>
  </si>
  <si>
    <t>CHAVE DE BOIA SUPERIOR / INFERIOR, 15 A / 250 V C - INSTALADO.</t>
  </si>
  <si>
    <t>CONDULETE DE ALUMÍNIO, PARA ELETRODUTO DE AÇO GALVANIZADO DN 20 MM (3/4''), APARENTE - FORNECIMENTO E INSTALAÇÃO.</t>
  </si>
  <si>
    <t>CONDULETE DE ALUMÍNIO, PARA ELETRODUTO DE AÇO GALVANIZADO DN 32 MM (1''), APARENTE - FORNECIMENTO E INSTALAÇÃO.</t>
  </si>
  <si>
    <t>CURVA 90 GRAUS PARA ELETRODUTO, PVC, ROSCÁVEL, DN 25 MM (3/4"), PARA CIRCUITOS TERMINAIS, INSTALADA EM PAREDE - FORNECIMENTO E INSTALAÇÃO.</t>
  </si>
  <si>
    <t>CURVA 90 GRAUS PARA ELETRODUTO, PVC, ROSCÁVEL, DN 50 MM (1 1/2") - FORNECIMENTO E INSTALAÇÃO.</t>
  </si>
  <si>
    <t>DISJUNTOR MONOPOLAR TIPO DIN, CORRENTE NOMINAL DE 10A - FORNECIMENTO E INSTALAÇÃO.</t>
  </si>
  <si>
    <t>DISJUNTOR MONOPOLAR TIPO DIN, CORRENTE NOMINAL DE 16A - FORNECIMENTO E INSTALAÇÃO.</t>
  </si>
  <si>
    <t>DISJUNTOR TRIPOLAR TIPO DIN, CORRENTE NOMINAL DE 20A - FORNECIMENTO E UN INSTALAÇÃO.</t>
  </si>
  <si>
    <t>DISJUNTOR TRIPOLAR TIPO DIN, CORRENTE NOMINAL DE 40A - FORNECIMENTO E INSTALAÇÃO.</t>
  </si>
  <si>
    <t>DISJUNTOR TRIPOLAR TIPO DIN, CORRENTE NOMINAL DE 63A - FORNECIMENTO E INSTALAÇÃO.</t>
  </si>
  <si>
    <t>COMPOSIÇÃO EL01</t>
  </si>
  <si>
    <t>DISPOSITIVO DIFERENCIAL RESIDUAL (DR), 2 POLOS, SENSIBILIDADE 30MA, CORRENTE DE 25A, TIPO AC - INSTALADO.</t>
  </si>
  <si>
    <t>COMPOSIÇÃO EL02</t>
  </si>
  <si>
    <t>DISPOSITIVO SUPRESSOR DE SURTO (DPS), 275V, 45KA - FORNECIMENTO E INSTALAÇÃO.</t>
  </si>
  <si>
    <t xml:space="preserve">ELETRODUTO DE AÇO GALVANIZADO, CLASSE LEVE, DN 20 MM (3/4), APARENTE, INSTALADO EM PAREDE - FORNECIMENTO E INSTALAÇÃO. </t>
  </si>
  <si>
    <t>ELETRODUTO DE AÇO GALVANIZADO, CLASSE LEVE, DN 25 MM (1), APARENTE, INSTALADO EM PAREDE - FORNECIMENTO E INSTALAÇÃO.</t>
  </si>
  <si>
    <t>ELETRODUTO DE AÇO GALVANIZADO, CLASSE SEMI PESADO, DN 40 MM (1 1/2 ), APARENTE - FORNECIMENTO E INSTALAÇÃO.</t>
  </si>
  <si>
    <t>ELETRODUTO FLEXÍVEL CORRUGADO REFORÇADO, PVC, DN 25 MM (3/4"), PARA CIRCUITOS TERMINAIS, INSTALADO EM LAJE - FORNECIMENTO E INSTALAÇÃO.</t>
  </si>
  <si>
    <t>COMPOSIÇÃO EL03</t>
  </si>
  <si>
    <t>ELETRODUTO FLEXÍVEL CORRUGADO REFORÇADO, PVC, DN 25 MM (3/4"), PARA CIRCUITOS TERMINAIS, INSTALADO NA PAREDE, INCLUSO RASGO EM ALVENARIA - FORNECIMENTO E INSTALAÇÃO.</t>
  </si>
  <si>
    <t xml:space="preserve">ELETRODUTO FLEXÍVEL CORRUGADO, PEAD, 1 1/2", PARA CIRCUITOS TERMINAIS - FORNECIMENTO E INSTALAÇÃO. </t>
  </si>
  <si>
    <t>ELETRODUTO FLEXÍVEL CORRUGADO, PEAD, DN 63 (2") - FORNECIMENTO E INSTALAÇÃO.</t>
  </si>
  <si>
    <t>ELETRODUTO FLEXÍVEL CORRUGADO, PVC, DN 32 MM (1"), PARA CIRCUITOS TERMINAIS - FORNECIMENTO E INSTALAÇÃO.</t>
  </si>
  <si>
    <t>ELETRODUTO RÍGIDO ROSCÁVEL, PVC, DN 25 MM (3/4"), PARA CIRCUITOS TERMINAIS - FORNECIMENTO E INSTALAÇÃO.</t>
  </si>
  <si>
    <t>COMPOSIÇÃO EL04</t>
  </si>
  <si>
    <t>ELETRODUTO RÍGIDO ROSCÁVEL, PVC, DN 32 MM (1"), ENTERRADO NO SOLO A 60CM EM RELAÇÃO AO NÍVEL DO SOLO, INCLUSO ESCAVAÇÃO E REATERRO.</t>
  </si>
  <si>
    <t>ELETRODUTO RÍGIDO ROSCÁVEL, PVC, DN 60 MM (2") - FORNECIMENTO E INSTALAÇÃO.</t>
  </si>
  <si>
    <t>COMPOSIÇÃO EL05</t>
  </si>
  <si>
    <t>ELETRODUTO RÍGIDO ROSCÁVEL, PVC, DN 60 MM (2"), ENTERRADO NO SOLO A 60CM EM RELAÇÃO AO NÍVEL DO SOLO, INCLUSO ESCAVAÇÃO E REATERRO.</t>
  </si>
  <si>
    <t>ETIQUETA PARA IDENTIFICAÇÃO DE TOMADAS - INSTALADA.</t>
  </si>
  <si>
    <t>INTERRUPTOR SIMPLES (1 MÓDULO) COM 1 TOMADA DE EMBUTIR 2P+T 10 A, INCLUINDO SUPORTE E PLACA - FORNECIMENTO E INSTALAÇÃO.</t>
  </si>
  <si>
    <t>INTERRUPTOR SIMPLES (1 MÓDULO), 10A/250V, INCLUINDO SUPORTE E PLACA - FORNECIMENTO E INSTALAÇÃO.</t>
  </si>
  <si>
    <t>INTERRUPTOR SIMPLES (2 MÓDULOS), 10A/250V, INCLUINDO SUPORTE E PLACA - FORNECIMENTO E INSTALAÇÃO.</t>
  </si>
  <si>
    <t>INTERRUPTOR SIMPLES (3 MÓDULOS), 10A/250V, INCLUINDO SUPORTE E PLACA - FORNECIMENTO E INSTALAÇÃO.</t>
  </si>
  <si>
    <t>COMPOSIÇÃO EL06</t>
  </si>
  <si>
    <t>JUNÇÃO INTERNA "L" PARA PERFILADO, INCLUSO PARAFUSOS, PORCAS E MÃO DE OBRA.</t>
  </si>
  <si>
    <t>COMPOSIÇÃO EL07</t>
  </si>
  <si>
    <t>JUNÇÃO INTERNA "T" PARA PERFILADO, INCLUSO PARAFUSOS, PORCAS E MÃO DE OBRA.</t>
  </si>
  <si>
    <t>COMPOSIÇÃO EL08</t>
  </si>
  <si>
    <t>JUNÇÃO INTERNA "X" PARA PERFILADO, INCLUSO PARAFUSOS, PORCAS E MÃO DE OBRA.</t>
  </si>
  <si>
    <t>LUMINÁRIA ARANDELA TIPO TARTARUGA PARA 1 LÂMPADA LED - FORNECIMENTO E INSTALAÇÃO.</t>
  </si>
  <si>
    <t>COMPOSIÇÃO EL09</t>
  </si>
  <si>
    <t>COMPOSIÇÃO EL10</t>
  </si>
  <si>
    <t>LUMINÁRIA HERMÉTRICA DE SOBREPOR, COM DUAS LÂMPADAS LED TUBULAR DE 120CM, POTÊNCIA 2X18W, MÍNIMO 3.600LM, BIVOLT, COR BRANCA - FORNECIMENTO E INSTALAÇÃO.</t>
  </si>
  <si>
    <t>LUVA PARA ELETRODUTO, PVC, ROSCÁVEL, DN 25 MM (3/4"), PARA CIRCUITOS TERMINAIS, INSTALADA EM PAREDE - FORNECIMENTO E INSTALAÇÃO.</t>
  </si>
  <si>
    <t>LUVA PARA ELETRODUTO, PVC, ROSCÁVEL, DN 50 MM (1 1/2") - FORNECIMENTO E INSTALAÇÃO.</t>
  </si>
  <si>
    <t>COMPOSIÇÃO EL11</t>
  </si>
  <si>
    <t>MEDIDOR DE CONSUMO DE ENERGIA ELÉTRICA TRIFÁSICO, 380V, 100A, QUATRO FIOS, TRÊS ELEMENTOS, NÃO POSSIBILITA ZERAR A LEITURA, CALIBRADO E LACRADO COM SELO INMETRO - INSTALADO EM CAIXA PADRÃO PARA MEDIDOR TRIFÁSICO.</t>
  </si>
  <si>
    <t>COMPOSIÇÃO EL12</t>
  </si>
  <si>
    <t>PERFILADO GALVANIZADO PERFURADO, 38X38MM, COM MATERIAL DE FIXAÇÃO, BUCHAS, PARAFUSOS, SUPORTE, GANCHOS, PORCAS E EMENDAS - FORNECIMENTO E INSTALAÇÃO.</t>
  </si>
  <si>
    <t>PLACA DE ADVERTÊNCIA "PERIGO - RISCO DE CHOQUE ELÉTRICO" FIXADA NA PORTA DOS QUADROS E NA PORTA DA ÁREA TÉCNICA.</t>
  </si>
  <si>
    <t>COMPOSIÇÃO EL13</t>
  </si>
  <si>
    <t>QUADRO DE DISTRIBUICAO COM BARRAMENTO TRIFASICO, DE SOBREPOR, EM CHAPA DE ACO GALVANIZADO, PARA 18 DISJUNTORES DIN, 100 A - INSTALADO (QD1).</t>
  </si>
  <si>
    <t>QUADRO DE DISTRIBUICAO DE ENERGIA DE EMBUTIR, EM CHAPA DE ACO GALVANIZADO, PARA 12 DISJUNTORES TERMOMAGNETICOS MONOPOLARES, COM BARRAMENTO TRIFASICO (100A), TERRA E NEUTRO, COMPLETO - FORNECIMENTO E INSTALACAO (QD3).</t>
  </si>
  <si>
    <t>QUADRO DE DISTRIBUICAO DE ENERGIA DE EMBUTIR, EM CHAPA METALICA, PARA 24 DISJUNTORES TERMOMAGNETICOS MONOPOLARES, COM BARRAMENTO TRIFASICO, TERRA E NEUTRO, COMPLETO - FORNECIMENTO E INSTALACAO (QD4).</t>
  </si>
  <si>
    <t>QUADRO DE DISTRIBUICAO DE ENERGIA DE EMBUTIR, EM CHAPA METALICA, PARA 40 DISJUNTORES TERMOMAGNETICOS MONOPOLARES, COM BARRAMENTO TRIFASICO (100A), TERRA E NEUTRO, COMPLETO, FORNECIMENTO E INSTALACAO (QD2).</t>
  </si>
  <si>
    <t>COMPOSIÇÃO EL14</t>
  </si>
  <si>
    <t>SAIDA LATERAL PARA ELETRODUTO, INSTALADA EM PERFILADO METÁLICO.</t>
  </si>
  <si>
    <t>COMPOSIÇÃO EL15</t>
  </si>
  <si>
    <t>SAPATA (TERMINAL) PARA PERFILADO, INCLUSO PARAFUSOS, PORCAS E MÃO DE OBRA.</t>
  </si>
  <si>
    <t>SENSOR DE PRESENÇA COM FOTOCÉLULA, FIXAÇÃO EM TETO - FORNECIMENTO E INSTALAÇÃO.</t>
  </si>
  <si>
    <t>TERMINAL A COMPRESSAO EM COBRE ESTANHADO PARA CABO 2,5 MM2, INSTALADOS NO QUADRO, TOMADAS E INTERRUPTORES - FORNECIMENTO E INSTALAÇÃO.</t>
  </si>
  <si>
    <t>TERMINAL A COMPRESSAO EM COBRE ESTANHADO PARA CABO 4 MM2 - INSTALADO</t>
  </si>
  <si>
    <t>TERMINAL A COMPRESSAO EM COBRE ESTANHADO PARA CABO 6 MM2 - INSTALADO</t>
  </si>
  <si>
    <t>TOMADA ALTA DE EMBUTIR (1 MÓDULO), 2P+T 10 A, SEM SUPORTE E SEM PLACA - FORNECIMENTO E INSTALAÇÃO.</t>
  </si>
  <si>
    <t>TOMADA ALTA DE EMBUTIR (1 MÓDULO), 2P+T 20 A, INCLUINDO SUPORTE E PLACA - FORNECIMENTO E INSTALAÇÃO.</t>
  </si>
  <si>
    <t>TOMADA BAIXA DE EMBUTIR (1 MÓDULO), 2P+T 20 A, INCLUINDO SUPORTE E PLACA - FORNECIMENTO E INSTALAÇÃO.</t>
  </si>
  <si>
    <t>TOMADA DE EMBUTIR (2 MÓDULOS), 2P+T 10 A, INCLUINDO SUPORTE E PLACA - FORNECIMENTO E INSTALAÇÃO.</t>
  </si>
  <si>
    <t>COMPOSIÇÃO EL16</t>
  </si>
  <si>
    <t>TOMADA DE EMBUTIR NO PISO, CAIXA COM DOIS MÓDULOS DE TOMADA 3P+T E DOIS MÓDULOS DE TOMADA DE REDE RJ45 CATERGORIA 6 - INSTALADA.</t>
  </si>
  <si>
    <t>COMPOSIÇÃO EL17</t>
  </si>
  <si>
    <t>TOMADA DE EMBUTIR NO PISO, CAIXA COM UM MÓDULO DE TOMADA 3P+T - INSTALADA.</t>
  </si>
  <si>
    <t>TOMADA MÉDIA DE EMBUTIR (1 MÓDULO), 2P+T 20 A, INCLUINDO SUPORTE E PLACA - FORNECIMENTO E INSTALAÇÃO.</t>
  </si>
  <si>
    <t>TOMADA MÉDIA DE EMBUTIR (2 MÓDULOS), 2P+T 20 A, INCLUINDO SUPORTE E PLACA - FORNECIMENTO E INSTALAÇÃO.</t>
  </si>
  <si>
    <t>COMPOSIÇÃO EL18</t>
  </si>
  <si>
    <t>VENTILADOR COMERCIAL DE TETO COM TRÊS PÁS, 220V, COR CINZA COM CHAVE TRÊS POSIÇÕES (DESLIGADO, VENTILAÇÃO E EXAUSTÃO) - INSTALADO.</t>
  </si>
  <si>
    <t>INSTALAÇÕES LÓGICA</t>
  </si>
  <si>
    <t>COMPOSIÇÃO EL19</t>
  </si>
  <si>
    <t>MINI RACK PADRÃO 19" 8U X 470mm - INSTALADO.</t>
  </si>
  <si>
    <t>COMPOIÇÃO EL20</t>
  </si>
  <si>
    <t>RÉGUA/CALHA COM 8 TOMADAS PADRÃO BRASILEIRO 20A - INSTALADA.</t>
  </si>
  <si>
    <t>COMPOSIÇÃO EL21</t>
  </si>
  <si>
    <t>TOMADA DE LÓGICA, RJ45, CATEGORIA 6 , COMPLETA COM CONDULETE INCLUSO - INSTALADA.</t>
  </si>
  <si>
    <t>COMPOSIÇÃO EL22</t>
  </si>
  <si>
    <t>TOMADA DUPLA DE LÓGICA, RJ45, CATEGORIA 6 , COMPLETA COM CONDULETE INCLUSO - INSTALADA.</t>
  </si>
  <si>
    <t>SISTEMA DE PROTEÇÃO CONTRA DESCARGAS ATMOSFÉRICAS - SPDA</t>
  </si>
  <si>
    <t>TOMADA DUPLA DE LÓGICA, RJ45, CATEGORIA 6 , COMPLETA COM CONDULETE INCLUSO - INSTALADA</t>
  </si>
  <si>
    <t>CABO DE COBRE FLEXÍVEL ISOLADO, 6 MM², ANTI-CHAMA 450/750 V, PARA CIRCUITOS TERMINAIS - FORNECIMENTO E INSTALAÇÃO (ATERRAMENTOS)</t>
  </si>
  <si>
    <t>CABO DE PAR TRANCADO UTP, 4 PARES, CATEGORIA 6 - INSTALADO</t>
  </si>
  <si>
    <t>CURVA 90 GRAUS DE FERRO GALVANIZADO, COM ROSCA BSP FEMEA, DE 3/4" - INSTALADA</t>
  </si>
  <si>
    <t>CURVA 90 GRAUS PARA ELETRODUTO, PVC, ROSCÁVEL, DN 50 MM (1 1/2") - FORNECIMENTO E INSTALAÇÃO</t>
  </si>
  <si>
    <t>ELETRODUTO DE AÇO GALVANIZADO, CLASSE LEVE, DN 20 MM (3/4), APARENTE, INSTALADO EM PAREDE - FORNECIMENTO E INSTALAÇÃO</t>
  </si>
  <si>
    <t>ELETRODUTO DE AÇO GALVANIZADO, CLASSE SEMI PESADO, DN 40 MM (1 1/2 ), APARENTE - FORNECIMENTO E INSTALAÇÃO</t>
  </si>
  <si>
    <t>ETIQUETA PARA IDENTIFICAÇÃO DE TOMADAS - INSTALADA</t>
  </si>
  <si>
    <t>LUVA PARA ELETRODUTO, EM ACO GALVANIZADO ELETROLITICO, DIAMETRO DE 20 MM (3/4") - INSTALADA</t>
  </si>
  <si>
    <t>LUVA PARA ELETRODUTO, PVC, ROSCÁVEL, DN 50 MM (1 1/2") - FORNECIMENTO E INSTALAÇÃO</t>
  </si>
  <si>
    <t>MINI RACK PADRÃO 19" 8U X 470mm - INSTALADO</t>
  </si>
  <si>
    <t>PATCH CORD, CATEGORIA 6, EXTENSAO DE 1,50 - FORNECIMENTO</t>
  </si>
  <si>
    <t>PATCH PANEL 24 PORTAS, CATEGORIA 6 - FORNECIMENTO E INSTALAÇÃO</t>
  </si>
  <si>
    <t>PERFILADO GALVANIZADO PERFURADO, 38X38MM, COM MATERIAL DE FIXAÇÃO, BUCHAS, PARAFUSOS, SUPORTE, GANCHOS, PORCAS E EMENDAS - FORNECIMENTO E INSTALAÇÃO</t>
  </si>
  <si>
    <t>RÉGUA/CALHA COM 8 TOMADAS PADRÃO BRASILEIRO 20A - INSTALADA</t>
  </si>
  <si>
    <t>TERMINAL A COMPRESSAO EM COBRE ESTANHADO PARA CABO 6 MM2, 1 FURO E 1 COMPRESSAO, PARA PARAFUSO DE FIXACAO - INSTALADO</t>
  </si>
  <si>
    <t>TOMADA DE LÓGICA, RJ45, CATEGORIA 6 , COMPLETA COM CONDULETE INCLUSO - INSTALADA</t>
  </si>
  <si>
    <t>BUCHA DE NYLON SEM ABA S6, COM PARAFUSO DE 4,20 X 40 MM EM ACO ZINCADO COM ROSCA SOBERBA, CABECA CHATA E FENDA PHILLIPS - INSTALADO.</t>
  </si>
  <si>
    <t>COMPOSIÇÃO EL23</t>
  </si>
  <si>
    <t>CAIXA SUSPENSA EM POLIAMIDA PARA MEDIÇÃO DA DESCIDA DO SPDA - INSTALADA.</t>
  </si>
  <si>
    <t>CARTUCHO P/ SOLDA EXOTERMICA - SOLDA EXECUTADA.</t>
  </si>
  <si>
    <t>FITA PERFURADA EM LATÃO NIQUELADO - INSTALADA.</t>
  </si>
  <si>
    <t>REBITE DE ALUMINIO VAZADO DE REPUXO, 3,2 X 8 MM (1KG = 1025 UNIDADES)</t>
  </si>
  <si>
    <t>AUXILIAR DE ELETRICISTA COM ENCARGOS COMPLEMENTARES</t>
  </si>
  <si>
    <t>h</t>
  </si>
  <si>
    <t>C88264</t>
  </si>
  <si>
    <t>DISPOSITIVO DR, 2 POLOS, SENSIBILIDADE DE 30 MA, CORRENTE DE 25 A, TIPO AC</t>
  </si>
  <si>
    <t>DISPOSITIVO DPS CLASSE II, 1 POLO, TENSAO MAXIMA DE 275 V, CORRENTE MAXIMA DE *45*KA (TIPO AC)</t>
  </si>
  <si>
    <t>ELETRODUTO PVC FLEXIVEL CORRUGADO, REFORCADO, COR LARANJA, DE 32 MM, PARA LAJES E PISOS</t>
  </si>
  <si>
    <t>RASGO EM ALVENARIA PARA ELETRODUTOS COM DIAMETROS MENORES OU IGUAIS A 40 MM.</t>
  </si>
  <si>
    <t>ELETRODUTO DE PVC RIGIDO ROSCAVEL DE 1 ", SEM LUVA</t>
  </si>
  <si>
    <t>LUVA EM PVC RIGIDO ROSCAVEL, DE 1", PARA ELETRODUTO</t>
  </si>
  <si>
    <t>ESCAVAÇÃO MECANIZADA DE VALA COM PROF. ATÉ 1,5 M(MÉDIA ENTRE MONTANTE E JUSANTE/UMA COMPOSIÇÃO POR TRECHO), COM ESCAVADEIRA HIDRÁULICA (0,8M3), LARG. DE 1,5M A 2,5 M, EM SOLO DE 1A CATEGORIA, LOCAIS COM BAIXO NÍVEL DE INTERFERÊNCIA.</t>
  </si>
  <si>
    <t>REATERRO MECANIZADO DE VALA COM RETROESCAVADEIRA (CAPACIDADE DA CAÇAMB M3 A DA RETRO: 0,26 M³ / POTÊNCIA: 88 HP), LARGURA DE 0,8 A 1,5 M, PROFUNDIDADE DE 1,5 A 3,0 M, COM SOLO (SEM SUBSTITUIÇÃO) DE 1ª CATEGORIA EM LOCAIS COM BAIXO NÍVEL DE INTERFERÊNCIA.</t>
  </si>
  <si>
    <t>ELETRODUTO DE PVC RIGIDO ROSCAVEL DE 2 ", SEM LUVA</t>
  </si>
  <si>
    <t>LUVA EM PVC RIGIDO ROSCAVEL, DE 2", PARA ELETRODUTO</t>
  </si>
  <si>
    <t>PARAFUSO ZINCADO, SEXTAVADO, COM ROSCA INTEIRA, DIAMETRO 1/4", COMPRIMENTO 1/2"</t>
  </si>
  <si>
    <t>PORCA ZINCADA, SEXTAVADA, DIAMETRO 1/4" (8 unidades a cada 1,5m)</t>
  </si>
  <si>
    <t>MEDIDOR DE ENERGIA ELÉTRICA TRIFÁSICO</t>
  </si>
  <si>
    <t>PERFILADO PERFURADO SIMPLES 38 X 38 MM, CHAPA 22</t>
  </si>
  <si>
    <t>CHUMBADOR DE ACO, DIAMETRO 1/2", COMPRIMENTO 75 MM</t>
  </si>
  <si>
    <t>QUADRO DE DISTRIBUICAO COM BARRAMENTO TRIFASICO, DE SOBREPOR, EM CHAPA DE ACO GALVANIZADO, PARA 18 DISJUNTORES DIN, 100 A - INSTALADO.</t>
  </si>
  <si>
    <t>QUADRO DE DISTRIBUICAO COM BARRAMENTO TRIFASICO, DE SOBREPOR, EM CHAPA DE ACO GALVANIZADO, PARA 18 DISJUNTORES DIN, 100 A</t>
  </si>
  <si>
    <t>BUCHA DE NYLON SEM ABA S12, COM PARAFUSO DE 5/16" X 80 MM EM ACO ZINCADO COM ROSCA SOBERBA E CABECA SEXTAVADA</t>
  </si>
  <si>
    <t>SAIDA LATERAL PARA ELETRODUTO EM PERFILADO</t>
  </si>
  <si>
    <t>CAIXA DE TOMADA INOX PISO ELEVADO OU CONCRETADO</t>
  </si>
  <si>
    <t>TOMADA 2P+T 10A, 250V (APENAS MODULO)</t>
  </si>
  <si>
    <t>MÓDULO DE TOMADA RJ45 CATEGORIA 6</t>
  </si>
  <si>
    <t>COMPOSIÇÃO EL20</t>
  </si>
  <si>
    <t>CONDULETE DE ALUMÍNIO, TIPO B, PARA ELETRODUTO DE AÇO GALVANIZADO DN 20 MM (3/4''), APARENTE - FORNECIMENTO E INSTALAÇÃO.</t>
  </si>
  <si>
    <t>BUCHA DE NYLON SEM ABA S6, COM PARAFUSO DE 4,20 X 40 MM EM ACO ZINCADO COM ROSCA SOBERBA, CABECA CHATA E FENDA PHILLIPS</t>
  </si>
  <si>
    <t>BUCHA DE NYLON SEM ABA S8, COM PARAFUSO DE 4,80 X 50 MM EM ACO ZINCADO COM ROSCA SOBERBA, CABECA CHATA E FENDA PHILLIPS</t>
  </si>
  <si>
    <t>C 91927</t>
  </si>
  <si>
    <t>C 91926</t>
  </si>
  <si>
    <t>C 92984</t>
  </si>
  <si>
    <t>C 92986</t>
  </si>
  <si>
    <t>C 91929</t>
  </si>
  <si>
    <t>C 91931</t>
  </si>
  <si>
    <t>I 20254</t>
  </si>
  <si>
    <t>I 39772</t>
  </si>
  <si>
    <t>I 1873</t>
  </si>
  <si>
    <t>C 97887</t>
  </si>
  <si>
    <t>C 91936</t>
  </si>
  <si>
    <t>C 91940</t>
  </si>
  <si>
    <t>I 7588</t>
  </si>
  <si>
    <t>C 95801</t>
  </si>
  <si>
    <t>C 91914</t>
  </si>
  <si>
    <t>C 93018</t>
  </si>
  <si>
    <t>C 93653</t>
  </si>
  <si>
    <t>C 93654</t>
  </si>
  <si>
    <t>C 93669</t>
  </si>
  <si>
    <t>C 93672</t>
  </si>
  <si>
    <t>C 95749</t>
  </si>
  <si>
    <t>C 95750</t>
  </si>
  <si>
    <t>C 95752</t>
  </si>
  <si>
    <t>C 91845</t>
  </si>
  <si>
    <t>C 91840</t>
  </si>
  <si>
    <t>C 97668</t>
  </si>
  <si>
    <t>C 91856</t>
  </si>
  <si>
    <t>C 91871</t>
  </si>
  <si>
    <t>C 93009</t>
  </si>
  <si>
    <t>C 92023</t>
  </si>
  <si>
    <t>C 91953</t>
  </si>
  <si>
    <t>C 91959</t>
  </si>
  <si>
    <t>C 91967</t>
  </si>
  <si>
    <t>C 97607</t>
  </si>
  <si>
    <t>C 91884</t>
  </si>
  <si>
    <t>C 93013</t>
  </si>
  <si>
    <t>C 97597</t>
  </si>
  <si>
    <t>I 1570</t>
  </si>
  <si>
    <t>I 1577</t>
  </si>
  <si>
    <t>I 1571</t>
  </si>
  <si>
    <t>I 1573</t>
  </si>
  <si>
    <t>C 91990</t>
  </si>
  <si>
    <t>C 91993</t>
  </si>
  <si>
    <t>C 92001</t>
  </si>
  <si>
    <t>C 92004</t>
  </si>
  <si>
    <t>C 91997</t>
  </si>
  <si>
    <t>C 92005</t>
  </si>
  <si>
    <t>C 91930</t>
  </si>
  <si>
    <t>I 1813</t>
  </si>
  <si>
    <t>I 2637</t>
  </si>
  <si>
    <t>I 39606</t>
  </si>
  <si>
    <t>C 98302</t>
  </si>
  <si>
    <t>I 11950</t>
  </si>
  <si>
    <t>I 863</t>
  </si>
  <si>
    <t>I 867</t>
  </si>
  <si>
    <t>C 96977</t>
  </si>
  <si>
    <t>C 91872</t>
  </si>
  <si>
    <t>I 14154</t>
  </si>
  <si>
    <t>C 96985</t>
  </si>
  <si>
    <t>I 13246</t>
  </si>
  <si>
    <t>I 5104</t>
  </si>
  <si>
    <t>I 142</t>
  </si>
  <si>
    <t xml:space="preserve"> UN </t>
  </si>
  <si>
    <t>COMPOSIÇÃO 02</t>
  </si>
  <si>
    <t>MO</t>
  </si>
  <si>
    <t>ELETROTÉCNICO EC</t>
  </si>
  <si>
    <t>SERVENTE EC</t>
  </si>
  <si>
    <t>Totais</t>
  </si>
  <si>
    <t>COMPOSIÇÃO 03</t>
  </si>
  <si>
    <t>COMPOSIÇÃO 04</t>
  </si>
  <si>
    <t>COMPOSIÇÃO 05</t>
  </si>
  <si>
    <t>ELETRICISTA EC</t>
  </si>
  <si>
    <t>C-88267</t>
  </si>
  <si>
    <t>ENCANADOR EC</t>
  </si>
  <si>
    <t>ORSE 03283</t>
  </si>
  <si>
    <t>ORSE 05005</t>
  </si>
  <si>
    <t>ORSE 5008</t>
  </si>
  <si>
    <t>ORSE 04683</t>
  </si>
  <si>
    <t>ORSE 08151</t>
  </si>
  <si>
    <t>ORSE 8115</t>
  </si>
  <si>
    <t>COMPOSIÇÃO 06</t>
  </si>
  <si>
    <t>COMPOSIÇÃO 07</t>
  </si>
  <si>
    <t>C-88316</t>
  </si>
  <si>
    <t xml:space="preserve"> M </t>
  </si>
  <si>
    <t>SUPORTE METÁLICO PARA UNIDADE EXTERNA - FORNECIMENTO E INSTALAÇÃO</t>
  </si>
  <si>
    <t xml:space="preserve">   UNID.   </t>
  </si>
  <si>
    <t>COMPOSIÇÃO 01</t>
  </si>
  <si>
    <t>COMPOSIÇÃO 08</t>
  </si>
  <si>
    <t>EXAUSTÃO</t>
  </si>
  <si>
    <t xml:space="preserve"> UNID.   </t>
  </si>
  <si>
    <t>INSTALAÇÕES ESPECIAIS - GLP</t>
  </si>
  <si>
    <t xml:space="preserve">INTERLIGAÇÃO DAS UNIDADES  CONDENSADORAS A EVAPORADORAS HI WALL, INCLUSIVE TUBULAÇÃO DE COBRE, ISOLAMENTO, CONEXÕES, FIXAÇÕES P/ CONDICIONADORES DE AR SPLIT SYSTEM ATÉ 12000 BTU - FORNECIMENTO E INSTALAÇÃO </t>
  </si>
  <si>
    <t>INTERLIGAÇÃO DAS UNIDADES  CONDENSADORAS A EVAPORADORAS HI WALL, INCLUSIVE TUBULAÇÃO DE COBRE, ISOLAMENTO, CONEXÕES, FIXAÇÕES P/ CONDICIONADORES DE AR SPLIT SYSTEM ATÉ 18000 BTU - FORNECIMENTO E INSTALAÇÃO</t>
  </si>
  <si>
    <t>INTERLIGAÇÃO DAS UNIDADES  CONDENSADORAS A EVAPORADORAS HI WALL, INCLUSIVE TUBULAÇÃO DE COBRE, ISOLAMENTO, CONEXÕES, FIXAÇÕES P/ CONDICIONADORES DE AR SPLIT SYSTEM ATÉ 24000 BTU - FORNECIMENTO E INSTALAÇÃO</t>
  </si>
  <si>
    <t>un</t>
  </si>
  <si>
    <t>PINTURA ESMALTE EM TUBULAÇÕES, COR AMARELA, 02 DEMÃOS, SOBRE SUPERFÍCIE METÁLICA</t>
  </si>
  <si>
    <t>PROTEÇÃO DE TUBULAÇÃO ENTERRADA COM FITA 3M SCOTCHRAP - FORNECIMENTO E INSTALAÇÃO</t>
  </si>
  <si>
    <t>CHICOTE FLEXÍVEL (PIG TAIL) - FORNECIMENTO E INSTALAÇÃO</t>
  </si>
  <si>
    <t>REGULADOR DE PRESSÃO DE 1º ESTÁGIO COM VÁLVULA DE BLOQUEIO POR SOBREPRESSÃO. PRESSÃO DE SAÍDA MÁXIMA 150 KPA. MARCA CLESSE OU EQUIVALENTE TÉCNICO. VAZÃO: 20 KG/H. FORNECIMENTO E INSTALAÇÃO</t>
  </si>
  <si>
    <t>ENVELOPAMENTO EM CONCRETO - TUBOS DE GÁS</t>
  </si>
  <si>
    <t>ENSAIO DE ESTANQUEIDADE</t>
  </si>
  <si>
    <t>MANÔMETRO 0 A 200 PSI (0 A 14 KGF/CM²), D = 50MM – FORNECIMENTO E COLOCAÇÃO</t>
  </si>
  <si>
    <t>UNIÃO DE AÇO GALVANIZADO COM ASSENTO CÔNICO ½" – FORNECIMENTO E INSTALAÇÃO</t>
  </si>
  <si>
    <t>MEDIDOR DE GÁS. VAZÃO MÁXIMA 1,4 M³/H. MODELO LAO G1 OU EQUIVALENTE TÉCNICO - FORNECIMENTO E INSTALAÇÃO</t>
  </si>
  <si>
    <t>C 95248</t>
  </si>
  <si>
    <t>C 92689</t>
  </si>
  <si>
    <t>C 92699</t>
  </si>
  <si>
    <t>C 92704</t>
  </si>
  <si>
    <t>C 96620</t>
  </si>
  <si>
    <t>CAIXA COM REGULADOR 2º ESTÁGIO - FORNECIMENTO E INSTALAÇÃO</t>
  </si>
  <si>
    <t>UNIAO FERRO GALV C/ASSENTO CONICO BRONZE 1/2"</t>
  </si>
  <si>
    <t>CRUZETA DE FERRO GALVANIZADO DE 1/2"</t>
  </si>
  <si>
    <t>FUNDO ANTICORROSIVO PARA METAIS FERROSOS (ZARCAO)</t>
  </si>
  <si>
    <t>REGULADOR DE PRESSÃO DE 1º ESTÁGIO COM VÁLVULA DE BLOQUEIO POR SOBREPRESSÃO. PRESSÃO DE SAÍDA MÁXIMA 150 KPA. MARCA CLESSE OU EQUIVALENTE TÉCNICO. VAZÃO: 20 KG/H - FORNECIMENTO E INSTALAÇÃO</t>
  </si>
  <si>
    <t xml:space="preserve">CRUZETA DE FERRO GALVANIZADO DE 1/2" - FORNECIMENTO E INSTALAÇÃO </t>
  </si>
  <si>
    <t>COMPOSIÇÃO GLP 01</t>
  </si>
  <si>
    <t>COMPOSIÇÃO GLP 02</t>
  </si>
  <si>
    <t>COMPOSIÇÃO GLP 03</t>
  </si>
  <si>
    <t>COMPOSIÇÃO GLP 04</t>
  </si>
  <si>
    <t>COMPOSIÇÃO GLP 05</t>
  </si>
  <si>
    <t>COMPOSIÇÃO GLP 06</t>
  </si>
  <si>
    <t>COMPOSIÇÃO GLP 07</t>
  </si>
  <si>
    <t>COMPOSIÇÃO GLP 08</t>
  </si>
  <si>
    <t>JUNÇÃO INTERNA "L" PARA PERFILADO</t>
  </si>
  <si>
    <t>JUNÇÃO INTERNA "T" PARA PERFILADO</t>
  </si>
  <si>
    <t>LÂMPADA LED POTÊNCIA 18W, BIVOLT, MÍNIMO 1.800LM, BRANCO FRIO</t>
  </si>
  <si>
    <t>LUMINÁRIA DE SOBREPOR HERMÉTICA PARA DUAS LÂMPADAS TUBULARES DE LED</t>
  </si>
  <si>
    <t>GANCHO CURTO PARA PERFILADO (UMA UNIDADE A CADA 1,5M)</t>
  </si>
  <si>
    <t>BARRA ROSCADA 1/4" (UMA UNIDADE A CADA 1,5M)</t>
  </si>
  <si>
    <t>PARAFUSO ZINCADO, SEXTAVADO, COM ROSCA INTEIRA, DIAMETRO 1/4", COMPRIMENTO 1/2"  (5 UNIDADES A CADA 1,5M)</t>
  </si>
  <si>
    <t>PORCA ZINCADA, SEXTAVADA, DIAMETRO 1/4" (8 UNIDADES A CADA 1,5M)</t>
  </si>
  <si>
    <t>JUNÇÃO INTERNA PARA PERFILADO</t>
  </si>
  <si>
    <t>SAPATA PARA PERFILADO</t>
  </si>
  <si>
    <t>VENTILADOR DE TETO COM TRÊS PÁS COMERCIAL 220V, COR CINZA COM CHAVE TRÊS POSIÇÕES</t>
  </si>
  <si>
    <t>MINI RACK PADRÃO 19" 8U X470MM</t>
  </si>
  <si>
    <t>RÉGUA/CALHA COM 8 TOMADAS PADRÃO BRASILEIRO 20A</t>
  </si>
  <si>
    <t>MEDIDOR DE GÁS. VAZÃO MÁXIMA 1,4 M³/H. MODELO LAO G1 OU EQUIVALENTE TÉCNICO</t>
  </si>
  <si>
    <t>CAIXA COM REGULADOR 2º ESTÁGIO DE 7 KG/H.</t>
  </si>
  <si>
    <t>FITA VEDA ROSCA EM ROLOS 18MMX50M</t>
  </si>
  <si>
    <t>GÁS NITROGÊNIO</t>
  </si>
  <si>
    <t>AUXILIAR DE ENCANADOR COM ENCARGOS COMPLEMENTARES</t>
  </si>
  <si>
    <t>REGULADOR DE PRESSÃO DE 1º ESTÁGIO COM VÁLVULA DE BLOQUEIO POR SOBREPRESSÃO. PRESSÃO DE SAÍDA MÁXIMA 150 KPA. MARCA CLESSE OU EQUIVALENTE TÉCNICO.</t>
  </si>
  <si>
    <t>CHICOTE FLEXÍVEL (PIG TAIL) 50 CM</t>
  </si>
  <si>
    <t>ENCANADOR OU BOMBEIRO HIDRÁULICO EC</t>
  </si>
  <si>
    <t>FITA 3M SCOTCHRAP 50MM X 10 M</t>
  </si>
  <si>
    <t>MONTADOR ELETROMECÂNICO COM ENCARGOS COMPLEMENTARES</t>
  </si>
  <si>
    <t>SERVENTE DE OBRAS EC</t>
  </si>
  <si>
    <t>MONTADOR (TUBO AÇO/ EQUIPAMENTOS) COM ENCARGOS COMPLEMENTARES</t>
  </si>
  <si>
    <t>SUPORTE METÁLICO PARA UNIDADE EXTERNA</t>
  </si>
  <si>
    <t>MONTADOR EC</t>
  </si>
  <si>
    <t>FITA ELETR, AUTO FUSÃO 19 MM X 10 M</t>
  </si>
  <si>
    <t>TUBO DE COBRE PARA REFRIGERAÇÃO - DIÂMETRO DE 1/4", E=1MM</t>
  </si>
  <si>
    <t>TUBO DE COBRE PARA REFRIGERAÇÃO - DIÂMETRO DE 5/8", E=1MM</t>
  </si>
  <si>
    <t>MANGUEIRA CRISTAL 1"</t>
  </si>
  <si>
    <t>BUCHA DE NYLON S-08</t>
  </si>
  <si>
    <t>CABO DE COBRE PP CORDPLAST 3 X 2,5 MM2, 450/750V</t>
  </si>
  <si>
    <t>ARRUELA LISA DE AÇO GALVANIZADA DE Ø 1/4"</t>
  </si>
  <si>
    <t>CALHA DE ISOLAMENTO ELUMAFLEX OU SIMILAR 28X25MM</t>
  </si>
  <si>
    <t>FITA EM AÇO 1/2" FUSIMEC OU SIMILAR ROLO DE 30 M</t>
  </si>
  <si>
    <t>PARAFUSO DE FERRO ZINCADO C/ROSCA 3/8 " X 1 1/4"</t>
  </si>
  <si>
    <t>GÁS REFRIGERANTE R-410 A</t>
  </si>
  <si>
    <t>TUBO DE COBRE PARA REFRIGERAÇÃO - DIÂMETRO DE 1/2", E=1MM</t>
  </si>
  <si>
    <t>TUBO DE COBRE PARA REFRIGERAÇÃO - DIÂMETRO DE 3/8", E=1MM</t>
  </si>
  <si>
    <t>GÁS R-410 A</t>
  </si>
  <si>
    <t/>
  </si>
  <si>
    <t>MATERIAL</t>
  </si>
  <si>
    <t>SUBTOTAIS</t>
  </si>
  <si>
    <t>TOTAIS</t>
  </si>
  <si>
    <t>TOTAL/UNID</t>
  </si>
  <si>
    <t>I-3148</t>
  </si>
  <si>
    <t>C-88248</t>
  </si>
  <si>
    <t>C 88248</t>
  </si>
  <si>
    <t>I 3148</t>
  </si>
  <si>
    <t>I 12426</t>
  </si>
  <si>
    <t>I-1647</t>
  </si>
  <si>
    <t>I-7307</t>
  </si>
  <si>
    <t>C 88264</t>
  </si>
  <si>
    <t>I 404</t>
  </si>
  <si>
    <t>I 39662</t>
  </si>
  <si>
    <t>I 39665</t>
  </si>
  <si>
    <t>I 4376</t>
  </si>
  <si>
    <t>I 406</t>
  </si>
  <si>
    <t>C 88277</t>
  </si>
  <si>
    <t>C 88279</t>
  </si>
  <si>
    <t>I 39660</t>
  </si>
  <si>
    <t>I 39664</t>
  </si>
  <si>
    <t>C 88266</t>
  </si>
  <si>
    <t>I 7583</t>
  </si>
  <si>
    <t>C 88247</t>
  </si>
  <si>
    <t>I 39601</t>
  </si>
  <si>
    <t>C 95777</t>
  </si>
  <si>
    <t>I 7584</t>
  </si>
  <si>
    <t>I 38101</t>
  </si>
  <si>
    <t>I 11962</t>
  </si>
  <si>
    <t>I 39997</t>
  </si>
  <si>
    <t>I 12038</t>
  </si>
  <si>
    <t>I 39028</t>
  </si>
  <si>
    <t>I 11977</t>
  </si>
  <si>
    <t>I 2681</t>
  </si>
  <si>
    <t>I 1894</t>
  </si>
  <si>
    <t>C 90091</t>
  </si>
  <si>
    <t>C 93381</t>
  </si>
  <si>
    <t>I 2685</t>
  </si>
  <si>
    <t>I 1892</t>
  </si>
  <si>
    <t>I 39245</t>
  </si>
  <si>
    <t>C 90447</t>
  </si>
  <si>
    <t>I 39471</t>
  </si>
  <si>
    <t>I 39445</t>
  </si>
  <si>
    <t>CUBA DE EMBUTIR EM LOUÇA, TIPO OVAL BRANCA, MARCA DECA L.37.17, INCLUSIVE  VÁLVULA CROMADA, ENGATE FLEXÍVEL METÁLICO E SIFÃO DE PVC</t>
  </si>
  <si>
    <t>C 86901</t>
  </si>
  <si>
    <t>C 86883</t>
  </si>
  <si>
    <t>C 86902</t>
  </si>
  <si>
    <t>SIFÃO DO TIPO GARRAFA EM METAL CROMADO 1 X 1.1/2" - FORNECIMENTO E INSTALAÇÃO</t>
  </si>
  <si>
    <t>TORNEIRA PARA COZINHA DE MESA MARCA DOCOL MODELO INVICTA, BICA GIRATÓRIA DE 360º, ACABAMENTO CROMADO COM AREJADOR EMBUTIDO</t>
  </si>
  <si>
    <t>LAVATÓRIO DE LOUÇA, SUSPENSO, NA COR BRANCA, DE PRIMEIRA QUALIDADE, LINHA ECO, MARCA INCEPA, INCLUSIVE  VÁLVULA CROMADA, ENGATE FLEXÍVEL METÁLICO E SIFÃO DE INOX (HALL E CIRCULAÇÃO)</t>
  </si>
  <si>
    <t>PNV3 - ESQUADRIA EM ALUMÍNIO ANODIZADO COR NATURAL, ACESSÓRIOS EM ALUMÍNIO, INCLUSIVE PORTAS DE VIDRO, FECHADURA EXTERNA E PUXADOR DUPLO DE AÇO INOX POLIDO DE 30 CM - 4,38X3,95M, CONFORME PROJETO E ESPECIFICAÇÕES (1 UNIDADE)</t>
  </si>
  <si>
    <t>I 38168</t>
  </si>
  <si>
    <t>PE3 - KIT DE PORTA DE ALUMÍNIO DE ABRIR COM LAMBRI E BANDEIRA COM VIDRO FIXO SUPERIOR, 0,90X2,55M, COR BRANCA, COM GUARNIÇÃO, BARRA DE APOIO COM LARGURA DE 40CM E FECHADURA EXTERNA, CONFORME PROJETO E ESPECIFICAÇÕES (2 UNIDADES)</t>
  </si>
  <si>
    <t>LAVATÓRIO DE LOUÇA, SUSPENSO, NA COR BRANCA, DE PRIMEIRA QUALIDADE, LINHA ECO, MARCA INCEPA</t>
  </si>
  <si>
    <t>CUBA DE EMBUTIR OVAL EM LOUÇA BRANCA, 35 X 50CM OU EQUIVALENTE - FORNECIMENTO E INSTALAÇÃO</t>
  </si>
  <si>
    <t>SIFÃO DO TIPO FLEXÍVEL EM PVC 1” X 1.1/2” - FORNECIMENTO E INSTALAÇÃO</t>
  </si>
  <si>
    <t>LAVATÓRIO LOUÇA BRANCA COM COLUNA, *44 X 35,5* CM, PADRÃO POPULAR - FORNECIMENTO E INSTALAÇÃO</t>
  </si>
  <si>
    <t>ROLO COMPACTADOR VIBRATÓRIO DE UM CILINDRO AÇO LISO, POTÊNCIA 80 HP, PESO OPERACIONAL MÁXIMO 8,1 T, IMPACTO DINÂMICO 16,15 / 9,5 T, LARGURA DE TRABALHO 1,68 M - CHP DIURNO</t>
  </si>
  <si>
    <t>ROLO COMPACTADOR VIBRATÓRIO DE UM CILINDRO AÇO LISO, POTÊNCIA 80 HP, PESO OPERACIONAL MÁXIMO 8,1 T, IMPACTO DINÂMICO 16,15 / 9,5 T, LARGURA DE TRABALHO 1,68 M - CHI DIURNO</t>
  </si>
  <si>
    <t>CAMINHÃO PIPA 10.000 L TRUCADO, PESO BRUTO TOTAL 23.000 KG, CARGA ÚTIL MÁXIMA 15.935 KG, DISTÂNCIA ENTRE EIXOS 4,8 M, POTÊNCIA 230 CV, INCLUSIVE TANQUE DE AÇO PARA TRANSPORTE DE ÁGUA - CHP DIURNO</t>
  </si>
  <si>
    <t>CAMINHÃO PIPA 10.000 L TRUCADO, PESO BRUTO TOTAL 23.000 KG, CARGA ÚTIL MÁXIMA 15.935 KG, DISTÂNCIA ENTRE EIXOS 4,8 M, POTÊNCIA 230 CV, INCLUSIVE TANQUE DE AÇO PARA TRANSPORTE DE ÁGUA - CHI DIURNO</t>
  </si>
  <si>
    <t>MOTONIVELADORA POTÊNCIA BÁSICA LÍQUIDA (PRIMEIRA MARCHA) 125 HP, PESO BRUTO 13032 KG, LARGURA DA LÂMINA DE 3,7 M - CHP DIURNO</t>
  </si>
  <si>
    <t>MOTONIVELADORA POTÊNCIA BÁSICA LÍQUIDA (PRIMEIRA MARCHA) 125 HP, PESO BRUTO 13032 KG, LARGURA DA LÂMINA DE 3,7 M - CHI DIURNO</t>
  </si>
  <si>
    <t>ROLO COMPACTADOR DE PNEUS, ESTATICO, PRESSAO VARIAVEL, POTENCIA 110 HP, PESO SEM/COM LASTRO 10,8/27 T, LARGURA DE ROLAGEM 2,30 M</t>
  </si>
  <si>
    <t>ROLO COMPACTADOR DE PNEUS, ESTATICO, PRESSAO VARIAVEL, POTENCIA 110 HP, PESO SEM/COM LASTRO 10,8/27 T, LARGURA DE ROLAGEM 2,30 M - CHI DIURNO</t>
  </si>
  <si>
    <t>ROLO COMPACTADOR DE PNEUS, ESTATICO, PRESSAO VARIAVEL, POTENCIA 110 HP, PESO SEM/COM LASTRO 10,8/27 T, LARGURA DE ROLAGEM 2,30 M - CHP DIURNO</t>
  </si>
  <si>
    <t>TORNEIRA DE MESA COM SAÍDA PARA FILTRO 1/2", REGISTRO ¼ DE VOLTA, MARCA DOCOL, MODELO INVICTA REF. 724206</t>
  </si>
  <si>
    <t>EXTINTOR INCÊNDIO PQS, 4 KG, TIPO ABC COM CAPACIDADE EXTINTORA 2-A:20-B:C, FORNECIMENTO E INSTALAÇÃO</t>
  </si>
  <si>
    <t>ABRIGO PARA EXTINTOR EM CHAPA DE AÇO CARBONO 75x35x25CM</t>
  </si>
  <si>
    <t>BARRA ANTIPÂNICO DUPLA, CEGA LADO OPOSTO, COR CINZA, COM PLACA DE SINALIZAÇÃO, FORNECIMENTO E INSTALAÇÃO</t>
  </si>
  <si>
    <t>PAR</t>
  </si>
  <si>
    <t>PLACA DE SINALIZAÇÃO EXTINTOR DE INCÊNDIO FOTOLUMINESCENTE 20X20 CM, CONFORME NBR 13434, FORNECIMENTO E INSTALAÇÃO</t>
  </si>
  <si>
    <t>PLACA DE SINALIZAÇÃO EXTINTOR DE INCÊNDIO FOTOLUMINESCENTE 14X14 CM, CONFORME NBR 13434, FORNECIMENTO E INSTALAÇÃO</t>
  </si>
  <si>
    <t>PLACA SINALIZAÇÃO PROIBIÇÃO E ALERTA, CERTIFICADA 20X20CM - CONFORME NBR 13434, FORNECIMENTO E INSTALAÇÃO</t>
  </si>
  <si>
    <t>PLACA SINALIZAÇÃO ORIENTAÇÃO E SALVAMENTO, CÓDIGOS 13 e 14 DO PROJETO PPCI, FOTOLUMINESCENTE, CERTIFICADA 13X26CM - CONFORME NBR 13434 - FORNECIMENTO E INSTALAÇÃO</t>
  </si>
  <si>
    <t>PLACA SINALIZAÇÃO ALERTA DE SAÍDA, CERTIFICADA 13X26CM - CONFORME NBR 13434 - FORNECIMENTO E INSTALAÇÃO</t>
  </si>
  <si>
    <t>PLACA SINALIZAÇÃO ALERTA DE SAÍDA, CERTIFICADA 20X40CM - CONFORME NBR 13434 - FORNECIMENTO E INSTALAÇÃO</t>
  </si>
  <si>
    <t>LUMINÁRIA DE EMERGÊNCIA, FORNECIMENTO E INSTALAÇÃO</t>
  </si>
  <si>
    <t>ORSE I-11641</t>
  </si>
  <si>
    <t>SINAPI C-88316</t>
  </si>
  <si>
    <t>SINAPI I-39621</t>
  </si>
  <si>
    <t>SINAPI I-37539</t>
  </si>
  <si>
    <t>SINAPI I-37556</t>
  </si>
  <si>
    <t>SINAPI I-37557</t>
  </si>
  <si>
    <t>SINAPI I-37558</t>
  </si>
  <si>
    <t>SINAPI I-38774</t>
  </si>
  <si>
    <t>COMPOSIÇÃO 09</t>
  </si>
  <si>
    <t>ABRIGO DE SOBREPOR EM CHAPA DE AÇO CARBONO PINTADO COM TINTA A BASE DE EPOXI VERMELHA,DIMENSÕES 75X35X25CM</t>
  </si>
  <si>
    <t>BARRA ANTIPÂNICO DUPLA, CEGA LADO OPOSTO, COR CINZA</t>
  </si>
  <si>
    <t>PLACA DE SINALIZAÇÃO DE SEGURANÇA CONTRA INCÊNCIO, FOTOLUMINESCENTE, QUADRADA, *13X26* CM, EM PVC *2* MM ANTI-CHAMAS. TEXTO "APERTE E EMPURRE"</t>
  </si>
  <si>
    <t>PLACA DE SINALIZAÇÃO DE SEGURANÇA CONTRA INCÊNCIO, FOTOLUMINESCENTE, QUADRADA, *20X20* CM, EM PVC *2* MM ANTI-CHAMAS (SIMBOLOS, CORES E PICTOGRAMAS CONFORME NBR 13434)</t>
  </si>
  <si>
    <t>PLACA DE SINALIZAÇÃO DE SEGURANÇA CONTRA INCÊNCIO, FOTOLUMINESCENTE, QUADRADA, *14X14* CM, EM PVC *2* MM ANTI-CHAMAS (SIMBOLOS, CORES E PICTOGRAMAS CONFORME NBR 13434)</t>
  </si>
  <si>
    <t>PLACA DE SINALIZAÇÃO DE SEGURANÇA CONTRA INCÊNCIO, FOTOLUMINESCENTE, QUADRADA, *13X26* CM, EM PVC *2* MM ANTI-CHAMAS (SIMBOLOS, CORES E PICTOGRAMAS CONFORME NBR 13434)</t>
  </si>
  <si>
    <t>PLACA DE SINALIZAÇÃO DE SEGURANÇA CONTRA INCÊNCIO, FOTOLUMINESCENTE, QUADRADA, *20X40* CM, EM PVC *2* MM ANTI-CHAMAS (SIMBOLOS, CORES E PICTOGRAMAS CONFORME NBR 13434)</t>
  </si>
  <si>
    <t>LUMINÁRIA DE EMERGÊNCIA 30 LEDS, POTÊNCIA 2W, BATERIA DE LÍTIO, AUTONOMIA DE 6 HORAS</t>
  </si>
  <si>
    <t>FUNDO PREPARADOR PRIMER A BASE DE EPÓXI EM TUBULAÇÕES, PARA ESTRUTURA METÁLICA, 01 DEMÃO, ESPESSURA DE 25 MICRA</t>
  </si>
  <si>
    <t>TÊ , EM FERRO GALVANIZADO, CONEXÃO ROSQUEADA, DN 15 (1/2"), INSTALADO EM RAMAIS E SUB-RAMAIS DE GÁS - FORNECIMENTO E INSTALAÇÃO</t>
  </si>
  <si>
    <t>JOELHO 90 GRAUS, EM FERRO GALVANIZADO, CONEXÃO ROSQUEADA, DN 15 (1/2"), INSTALADO EM RAMAIS E SUB-RAMAIS DE GÁS - FORNECIMENTO E INSTALAÇÃO</t>
  </si>
  <si>
    <t>VÁLVULA DE ESFERA BRUTA, BRONZE, ROSCÁVEL, 1/2  , INSTALADO EM RESERVAÇÃO DE ÁGUA DE EDIFICAÇÃO QUE POSSUA RESERVATÓRIO DE FIBRA/FIBROCIMENTO - FORNECIMENTO E INSTALAÇÃO</t>
  </si>
  <si>
    <t xml:space="preserve">TUBO DE AÇO PRETO SEM COSTURA, CLASSE MÉDIA, CONEXÃO SOLDADA, DN 15 (1/2"), INSTALADO EM RAMAIS E SUB-RAMAIS DE GÁS - FORNECIMENTO E INSTALAÇÃO </t>
  </si>
  <si>
    <t>CABO DE COBRE NU 35MM2 - FORNECIMENTO E INSTALAÇÃO</t>
  </si>
  <si>
    <t>CABO DE COBRE NU 50MM2 - FORNECIMENTO E INSTALAÇÃO</t>
  </si>
  <si>
    <t>CAIXA DE EQUIPOTENCIALIZAÇÃO EM AÇO 210X210X90MM, SOBREPOR COM TAMPA, COM 9 TERMINAIS, REF:TEL-901 OU EQUIVALENTE TÉCNICO (SPDA) - INSTALADA</t>
  </si>
  <si>
    <t>CAIXA ENTERRADA ELÉTRICA RETANGULAR, EM ALVENARIA COM TIJOLOS CERÂMICOS MACIÇOS, FUNDO COM BRITA, DIMENSÕES INTERNAS: 0,4X0,4X0,4 M</t>
  </si>
  <si>
    <t>CAIXA SUSPENSA EM POLIAMIDA PARA MEDIÇÃO DA DESCIDA DO SPDA - INSTALADA</t>
  </si>
  <si>
    <t>CONECTOR DE MEDIÇÃO EM BRONZE C/4 PARAFUSOS P/CABOS DE COBRE 16-70MM² REF.TEL-560 (PÁRA-RAIO) - INSTALADO</t>
  </si>
  <si>
    <t>CORDOALHA DE COBRE NU 50 MM², ENTERRADA, SEM ISOLADOR - FORNECIMENTO E INSTALAÇÃO</t>
  </si>
  <si>
    <t>ELETRODUTO RÍGIDO ROSCÁVEL, PVC, DN 32 MM (1"), PARA CIRCUITOS TERMINAIS, INSTALADO EM PAREDE - FORNECIMENTO E INSTALAÇÃO</t>
  </si>
  <si>
    <t>HASTE DE ATERRAMENTO 5/8X2,4M - FORNECIMENTO E INSTALAÇÃO</t>
  </si>
  <si>
    <t>PARAFUSO DE FERRO POLIDO, SEXTAVADO, COM ROSCA INTEIRA, DIAMETRO 1/4", COMPRIMENTO 1/4", COM PORCA E ARRUELA LISA LEVE - INSTALADO</t>
  </si>
  <si>
    <t>PLACA DE ADVERTÊNCIA RISCO DE CHOQUE ELÉTRICO PARA PARA-RAIO CONFORME CADERNO DE ESPECIFICAÇOES TÉCNICAS - INSTALADA</t>
  </si>
  <si>
    <t>PRESILHA DE LATÃO, L=20MM, PARA FIXAÇÃO DE CABOS COBRE, FURO D=5MM, PARA CABOS 35MM² A 50MM², REF:TEL-744 OU SIMILAR (SPDA) - INSTALADA</t>
  </si>
  <si>
    <t>SELANTE ELASTICO MONOCOMPONENTE A BASE DE POLIURETANO PARA JUNTAS DIVERSAS</t>
  </si>
  <si>
    <t>TERMINAL AÉREO BASE PLANA C/ 2 FUROS GALVANIZADO A QUENTE 30CM - INSTALADO</t>
  </si>
  <si>
    <t>TERMINAL OU CONECTOR DE PRESSÃO - PARA CABO 50MM2 - FORNECIMENTO E INSTALAÇÃO</t>
  </si>
  <si>
    <t>COIFA EM AÇO INOX ESCOVADO AISI 304, TIPO ENCOSTADA, COM FILTROS INERCIAS, DESCARGA VERTICAL SUPERIOR COM DIAM=30CM, EXAUSTOR COM MOTOR, DUTO, CHAPEU CHINES, FILTRO, DIMENSÕES: LARG=2800 X PROF=800 X ALT=600MM - FORNECIMENTO E INSTALAÇÃO</t>
  </si>
  <si>
    <t>COMPOSIÇÃO 11</t>
  </si>
  <si>
    <t>COMPOSIÇÃO 12</t>
  </si>
  <si>
    <t>COMPOSIÇÃO 13</t>
  </si>
  <si>
    <t>COMPOSIÇÃO 16</t>
  </si>
  <si>
    <t>COMPOSIÇÃO 17</t>
  </si>
  <si>
    <t>TUBOS DE PVC, SOLDÁVEL, ÁGUA FRIA, DN 25 MM (INSTALADO EM RAMAL, SUB-RAMAL, RAMAL DE DISTRIBUIÇÃO OU PRUMADA), INCLUSIVE CONEXÕES, CORTES E FIXAÇÕES.</t>
  </si>
  <si>
    <t>TUBOS DE PVC, SOLDÁVEL, ÁGUA FRIA, DN 32 MM (INSTALADO EM RAMAL, SUB-RAMAL, RAMAL DE DISTRIBUIÇÃO OU PRUMADA), INCLUSIVE CONEXÕES, CORTES E FIXAÇÕES.</t>
  </si>
  <si>
    <t>TUBOS DE PVC, SOLDÁVEL, ÁGUA FRIA, DN 40 MM (INSTALADO EM RAMAL E PRUMADA), INCLUSIVE CONEXÕES, CORTES E FIXAÇÕES.</t>
  </si>
  <si>
    <t>TUBO, PVC, SOLDÁVEL, DN 50 MM,  INSTALADO EM BARRILETE  INCLUSIVE CONEXÕE E FIXAÇÕES.</t>
  </si>
  <si>
    <t>TUBO, PVC, SOLDÁVEL, DN 85MM,  INSTALADO EM BARRILETE  INCLUSIVE CONEXÕE E FIXAÇÕES.</t>
  </si>
  <si>
    <t>REGISTRO DE GAVETA BRUTO, LATÃO, ROSCÁVEL, 3/4", COM ACABAMENTO E CANOPLA CROMADOS. FORNECIDO E INSTALADO EM RAMAL DE ÁGUA.</t>
  </si>
  <si>
    <t>REGISTRO DE GAVETA BRUTO, LATÃO, ROSCÁVEL, 1", COM ACABAMENTO E CANOPLA CROMADOS. FORNECIDO E INSTALADO EM RAMAL DE ÁGUA.</t>
  </si>
  <si>
    <t xml:space="preserve">REGISTRO DE GAVETA BRUTO, LATÃO,ROSCÁVEL, 1 1/4'', COM ACABAMENTO E CANOPLA CROMADOS. FORNECIDO E INSTALADO EM RAMAL DE ÁGUA. </t>
  </si>
  <si>
    <t xml:space="preserve">BOMBA CENTRÍFUGA MOTOR ELÉTRICO MONOFÁSICO 3/4 CV DIÂMETRO DE SUCÇÃO X ELEVAÇÃO 1 1/4"X1", DIÂMETRO DO ROTOR 120MM, HM/Q: 24 M / 2,8 M³/H - FORNECIMENTO E INSTALAÇÃO. </t>
  </si>
  <si>
    <t>CONJUNTO HIDRÁULICO PARA INSTALAÇÃO DE BOMBA EM AÇO ROSCÁVEL, DN SUCÇÃO 40 E DN RECALQUE 32 , PARA EDIFICAÇÃO - FORNECIMENTO E INSTALAÇÃO.</t>
  </si>
  <si>
    <t>RESERVATÓRIO EM FIBRA DE VIVRO, 5.000 LITROS C/ TAMPA, FORTLEV OU EQUIVALENTE TÉCNICO - COMPLETO E INSTALADO (ÁGUA POTÁVEL)</t>
  </si>
  <si>
    <t>RESERVATÓRIO EM FIBRA DE VIVRO, 5.000 LITROS C/ TAMPA, FORTLEV OU EQUIVALENTE TÉCNICO - COMPLETO E INSTALADO (ÁGUA REÚSO)</t>
  </si>
  <si>
    <t>HIDRÔMETRO 1 1/2", 20 M³/H, COMPLETO, FORNECIMENTO E INSTALAÇÃO.</t>
  </si>
  <si>
    <t>VÁLVULA DE ESFERA, PVC, SOLDÁVEL, DN 32 MM, INSTALADO EM RESERVATÓRIO DE ÁGUA DE EDIFICAÇÃO - FORNECIMENTO E INSTALAÇÃO.</t>
  </si>
  <si>
    <t>VÁLVULA DE ESFERA, PVC, SOLDÁVEL, DN 40 MM, INSTALADO EM RESERVATÓRIO DE ÁGUA DE EDIFICAÇÃO - FORNECIMENTO E INSTALAÇÃO.</t>
  </si>
  <si>
    <t>VÁLVULA DE ESFERA, PVC, SOLDÁVEL, DN 50 MM, INSTALADO EM RESERVATÓRIO DE ÁGUA DE EDIFICAÇÃO - FORNECIMENTO E INSTALAÇÃO.</t>
  </si>
  <si>
    <t>REGISTRO DE GAVETA BRUTO, LATÃO, ROSCÁVEL, 3” (DN 85), INSTALADO EM RESERVATÓRIO DE ÁGUA DE EDIFICAÇÃO - FORNECIMENTO E INSTALAÇÃO.</t>
  </si>
  <si>
    <t>REALIMENTADOR PARA CISTERNA 1", INCLUSIVE FORNECIMENTO E INSTALAÇÃO.</t>
  </si>
  <si>
    <t>REMOÇÃO DE PISO INTERTRAVADO DE FORMA MANUAL, COM REAPROVEITAMENTO. LARGURA DE REMOÇÃO DE 1 METRO.</t>
  </si>
  <si>
    <t xml:space="preserve">RECOLOCAÇÃO DE PAVIMENTO INTERTRAVADO </t>
  </si>
  <si>
    <t xml:space="preserve">ASSENTAMENTO  TUBO DE PVC PARA REDE DE ÁGUA ENTERRADA DO ALIMENTADOR PREDIAL DN 40 - FORNECIMENTO E EXECUÇÃO, VALA (40 CM DE LARGURA  E  60 CM DE ALTURA). </t>
  </si>
  <si>
    <t>ASSENTAMENTO  TUBO DE PVC PARA REDE DE ÁGUA ENTERRADA DO ALIMENTADOR PREDIAL DN 32 - FORNECIMENTO E EXECUÇÃO, VALA (40 CM DE LARGURA  E  60 CM DE ALTURA)</t>
  </si>
  <si>
    <t>14.1 - ÁGUA FRIA</t>
  </si>
  <si>
    <t>Código</t>
  </si>
  <si>
    <t>Discriminação</t>
  </si>
  <si>
    <t>Unidade</t>
  </si>
  <si>
    <t>Preço Unitário</t>
  </si>
  <si>
    <t>Preço Total</t>
  </si>
  <si>
    <t xml:space="preserve">TUBO, PVC, SOLDÁVEL, DN 25 MM, INSTALADO EM RESERVAÇÃO DE ÁGUA - FORNECIMENTO E INSTALAÇÃO. </t>
  </si>
  <si>
    <t>JOELHO 90 GRAUS, PVC, SOLDÁVEL, DN 25 MM - FORNECIMENTO E INSTALAÇÃO.</t>
  </si>
  <si>
    <t xml:space="preserve">TUBO, PVC, SOLDÁVEL, DN 32 MM, INSTALADO EM RESERVAÇÃO DE ÁGUA - FORNECIMENTO E INSTALAÇÃO. </t>
  </si>
  <si>
    <t>JOELHO 90 GRAUS, PVC, SOLDÁVEL, DN 32MM - FORNECIMENTO E INSTALAÇÃO.</t>
  </si>
  <si>
    <t xml:space="preserve">TÊ, PVC, SOLDÁVEL, DN 40 MM INSTALADO EM RESERVAÇÃO DE ÁGUA FORNECIMENTO E INSTALAÇÃO. </t>
  </si>
  <si>
    <t>BUCHA DE REDUCAO DE PVC, SOLDAVEL, LONGA, COM 32 X 25 MM, PARA AGUA FRIA PREDIAL</t>
  </si>
  <si>
    <t xml:space="preserve">TUBO, PVC, SOLDÁVEL, DN 40 MM, INSTALADO EM RESERVAÇÃO DE ÁGUA - FORNECIMENTO E INSTALAÇÃO. </t>
  </si>
  <si>
    <t>JOELHO 90 GRAUS, PVC, SOLDÁVEL, DN 40MM - FORNECIMENTO E INSTALAÇÃO.</t>
  </si>
  <si>
    <t>BUCHA DE REDUCAO DE PVC, SOLDAVEL, CURTA, COM 40 X 32 MM, PARA AGUA FRIA PREDIAL</t>
  </si>
  <si>
    <t>BUCHA DE REDUCAO DE PVC, SOLDAVEL, LONGA, COM 40 X 25 MM, PARA AGUA FRIA PREDIAL</t>
  </si>
  <si>
    <t>TUBO, PVC, SOLDÁVEL, DN 50 MM, INSTALADO EM RESERVAÇÃO DE ÁGUA - FORNECIMENTO E INSTALAÇÃO.</t>
  </si>
  <si>
    <t>JOELHO 90 GRAUS, PVC, SOLDÁVEL, DN 50MM - FORNECIMENTO E INSTALAÇÃO.</t>
  </si>
  <si>
    <t xml:space="preserve">TÊ, PVC, SOLDÁVEL, DN 50 MM INSTALADO EM RESERVAÇÃO DE ÁGUA FORNECIMENTO E INSTALAÇÃO. </t>
  </si>
  <si>
    <t>BUCHA DE REDUCAO DE PVC, SOLDAVEL, CURTA, COM 50 X 40 MM, PARA AGUA FRIA PREDIAL</t>
  </si>
  <si>
    <t>BUCHA DE REDUCAO DE PVC, SOLDAVEL, LONGA, COM 50 X 32 MM, PARA AGUA FRIA PREDIAL</t>
  </si>
  <si>
    <t>BUCHA DE REDUCAO DE PVC, SOLDAVEL, LONGA, COM 50 X 25 MM, PARA AGUA FRIA PREDIAL</t>
  </si>
  <si>
    <t>TUBO, PVC, SOLDÁVEL, DN 60 MM, INSTALADO EM RESERVAÇÃO DE ÁGUA - FORNECIMENTO E INSTALAÇÃO</t>
  </si>
  <si>
    <t>JOELHO 90 GRAUS, PVC, SOLDÁVEL, DN 60MM - FORNECIMENTO E INSTALAÇÃO</t>
  </si>
  <si>
    <t>TÊ, PVC, SOLDÁVEL, DN 60 MM INSTALADO EM RESERVAÇÃO DE ÁGUA - FORNECIMENTO E INSTALAÇÃO</t>
  </si>
  <si>
    <t>BUCHA DE REDUCAO DE PVC, SOLDAVEL, CURTA, COM 60 X 50 MM, PARA AGUA FRIA PREDIAL</t>
  </si>
  <si>
    <t>BUCHA DE REDUCAO DE PVC, SOLDAVEL, LONGA, COM 60 X 32 MM, PARA AGUA FRIA PREDIAL</t>
  </si>
  <si>
    <t>BUCHA DE REDUCAO DE PVC, SOLDAVEL, LONGA, COM 60 X 40 MM, PARA AGUA FRIA PREDIAL</t>
  </si>
  <si>
    <t>TUBO, PVC, SOLDÁVEL, DN 85 MM, INSTALADO EM RESERVAÇÃO DE ÁGUA - FORNECIMENTO E
INSTALAÇÃO.</t>
  </si>
  <si>
    <t>JOELHO 90 GRAUS, PVC, SOLDÁVEL, DN 85MM, INSTALADO EM PRUMADA DE ÁGUA - FORNECIMENTO E INSTALAÇÃO</t>
  </si>
  <si>
    <t>TÊ, PVC, SOLDÁVEL, DN 85 MM INSTALADO EM RESERVAÇÃO DE ÁGUA DE EDIFICAÇÃO  - FORNECIMENTO E INSTALAÇÃO</t>
  </si>
  <si>
    <t>BUCHA DE REDUCAO DE PVC, SOLDAVEL, LONGA, COM 85 X 60 MM, PARA AGUA FRIA PREDIAL</t>
  </si>
  <si>
    <t>BUCHA DE REDUCAO DE PVC, SOLDAVEL, LONGA, COM 60 X 50 MM, PARA AGUA FRIA PREDIAL</t>
  </si>
  <si>
    <t>SINAPI C-88248</t>
  </si>
  <si>
    <t>AUXILIAR DE ENCANADOR OU BOMBEIRO HIDRÁULICO COM ENCARGOS COMPLEMENTARES</t>
  </si>
  <si>
    <t>SINAPI C-88267</t>
  </si>
  <si>
    <t>SINAPI I-3148</t>
  </si>
  <si>
    <t>FITA VEDA ROSCA EM ROLOS DE 18 MM X 50 M (L X C)</t>
  </si>
  <si>
    <t>REGISTRO GAVETA COM ACABAMENTO E CANOPLA CROMADOS, SIMPLES, BITOLA 1 "</t>
  </si>
  <si>
    <t>REGISTRO GAVETA COM ACABAMENTO E CANOPLA CROMADOS, SIMPLES, BITOLA 1 1/4 "</t>
  </si>
  <si>
    <t>TORNEIRA DE BOIA CONVENCIONAL PARA CAIXA D'AGUA, 1.1/4", COM HASTE E TORNEIRA METALICOS E BALAO PLASTICO</t>
  </si>
  <si>
    <t>ADAPTADOR PVC SOLDAVEL, COM FLANGE E ANEL DE VEDACAO, 50 MM X 1 1/2", PARA CAIXA D'AGUA</t>
  </si>
  <si>
    <t>ADAPTADOR PVC SOLDAVEL, COM FLANGE E ANEL DE VEDACAO, 50 MM X 1 1/4", PARA CAIXA D'AGUA</t>
  </si>
  <si>
    <t>ADAPTADOR PVC SOLDAVEL, COM FLANGES LIVRES, 85 MM X 3", PARA CAIXA D' AGUA</t>
  </si>
  <si>
    <t>ADAPTADOR PVC SOLDAVEL, COM FLANGES E ANEL DE VEDACAO, 60 MM X 2", PARA CAIXA D' AGUA</t>
  </si>
  <si>
    <t>HIDRÔMETRO 1 1/2", 20 M³/H FORNECIMENTO E INSTALAÇÃO</t>
  </si>
  <si>
    <t>HIDROMETRO, VAZAO MAXIMA DE 20 M3/H, DE 1 1/2"</t>
  </si>
  <si>
    <t>coef.</t>
  </si>
  <si>
    <t xml:space="preserve">REALIMENTADOR 1" CASA DA CISTERNA ou equivalente técnico </t>
  </si>
  <si>
    <t>RECOLOCAÇÃO  DE PAVIMENTO EM PISO INTERTRAVADO</t>
  </si>
  <si>
    <t>AREIA MEDIA - POSTO JAZIDA/FORNECEDOR (RETIRADO NA JAZIDA, SEM TRANSPORTE)</t>
  </si>
  <si>
    <t>PO DE PEDRA (POSTO PEDREIRA/FORNECEDOR, SEM FRETE)</t>
  </si>
  <si>
    <t>CALCETEIRO COM ENCARGOS COMPLEMENTARES</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</si>
  <si>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</si>
  <si>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</si>
  <si>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COMPOSIÇÃO 14</t>
  </si>
  <si>
    <t>ASSENTAMENTO DE TUBO DE PVC PARA REDE DE ÁGUA, DN 32 MM, INSTALADO EM LOCAL COM NÍVEL BAIXO DE INTERFERÊNCIAS.</t>
  </si>
  <si>
    <t>TUBO PVC, SOLDAVEL, DN 32 MM, AGUA FRIA (NBR-5648)</t>
  </si>
  <si>
    <t>PASTA LUBRIFICANTE PARA TUBOS E CONEXOES COM JUNTA ELASTICA (USO EM PVC, ACO, POLIETILENO E OUTROS) ( DE *400* G)</t>
  </si>
  <si>
    <t>ASSENTADOR DE TUBOS COM ENCARGOS COMPLEMENTARES</t>
  </si>
  <si>
    <t>COMPOSIÇÃO 15</t>
  </si>
  <si>
    <t xml:space="preserve">ASSENTAMENTO DE TUBO DE PVC PARA REDE DE ÁGUA, DN 40 MM, INSTALADO EM LOCAL COM NÍVEL BAIXO DE INTERFERÊNCIAS. </t>
  </si>
  <si>
    <t>TUBO PVC, SOLDAVEL, DN 40 MM, AGUA FRIA (NBR-5648)</t>
  </si>
  <si>
    <t>m³</t>
  </si>
  <si>
    <t>REATERRO MANUAL DE VALAS COM COMPACTAÇÃO MECANIZADA</t>
  </si>
  <si>
    <t>14.1</t>
  </si>
  <si>
    <t>14.2</t>
  </si>
  <si>
    <t>REDE PLUVIAL</t>
  </si>
  <si>
    <t>SINAPI C-96995</t>
  </si>
  <si>
    <t>INSTALAÇÃO DE TUBO DE PVC, SÉRIE NORMAL, ESGOTO PREDIAL, DN 40MM (FORNECIMENTO E INSTALAÇÃO)</t>
  </si>
  <si>
    <t>INSTALAÇÃO DE TUBO DE PVC, SÉRIE NORMAL, ESGOTO PREDIAL, DN 50MM (FORNECIMENTO E INSTALAÇÃO)</t>
  </si>
  <si>
    <t>INSTALAÇÃO DE TUBO DE PVC, SÉRIE NORMAL, ESGOTO PREDIAL, DN 75MM (FORNECIMENTO E INSTALAÇÃO)</t>
  </si>
  <si>
    <t>INSTALAÇÃO DE TUBO PVC, SÉRIE NORMAL, ESGOTO PREDIAL, DN 100MM (FORNECIMENTO E INSTALAÇÃO)</t>
  </si>
  <si>
    <t>INSTALAÇÃO DE TUBO DE PVC, SÉRIE NORMAL, ESGOTO PREDIAL, DN 75MM, ENTRE CAIXAS DE INSPEÇÃO. INCLUSIVE ESCAVAÇÃO, BASE DE AREIA E=10CM, REATERRO.</t>
  </si>
  <si>
    <t>INSTALAÇÃO DE TUBO PVC, SÉRIE NORMAL, ESGOTO PREDIAL, DN 100MM, ENTRE CAIXAS DE INSPEÇÃO. INCLUSIVE ESCAVAÇÃO, BASE DE AREIA E=10CM, REATERRO.</t>
  </si>
  <si>
    <t>INSTALAÇÃO DE TUBO PVC, SÉRIE NORMAL, ESGOTO PREDIAL, DN 150MM, ENTRE CAIXAS DE INSPEÇÃO. INCLUSIVE ESCAVAÇÃO, BASE DE AREIA E=10CM, REATERRO.</t>
  </si>
  <si>
    <t>INSTALAÇÃO DE TUBO DE PVC, SÉRIE NORMAL, ESGOTO PREDIAL, DN 50MM. INSTALADO EM COLUNA DE VENTILAÇÃO. INCLUSIVE CONEXÕES, CORTES E FIXAÇÕES PARA PRÉDIOS</t>
  </si>
  <si>
    <t>CAIXA SIFONADA EM PVC, 150 X 150 X 50 MM, COM GRELHA, ACABAMENTO BRANCO, TIGRE OU SIMILAR</t>
  </si>
  <si>
    <t>CAIXA DE INSPEÇÃO EM ALVENARIA DE TIJOLO MACIÇO, E=10CM, DIMENSÕES 60 X 60 X60 CM, REVESTIDA INTERNAMENTE , COM TAMPA DE CONCRETO ARMADA E FUNDO DE CONCRETO 15 MPA</t>
  </si>
  <si>
    <t>CAIXA DE GORDURA EM PRFV, 150 LITROS, DE ACORDO COM A NORMA TÉCNICA (NBR 08160/99), COM  CESTO COLETOR E TAMPA  FIBRATEC OU RQUIVALENTE TÉNCNICO</t>
  </si>
  <si>
    <t>POÇO DE VISITA EM ANEL DE CONCRETO, BALÃO DE 0,80M, PROFUNDIDADE DE 1,21 A 1,50M, INCLUSIVE TAMPÃO TD-600</t>
  </si>
  <si>
    <t>ASSENTAMENTO TUBO DE PVC CORRUGADO DE DUPLA PAREDE PARA REDE COLETORA DE ESGOTO, DN 150MM - FORNECIMENTO E EXECUÇÃO, VALA (L=40 CM E HM= 80 CM), BASE DE AREIA 10 CM</t>
  </si>
  <si>
    <t>INSTALAÇÃO DE TUBOS DE PVC, SÉRIE R, ÁGUA PLUVIAL, DN 75MM (INSTALADO EM CONDUTORES VERTICAIS), INCLUSIVE CONEXÕES, CORTES E FIXAÇÕES, PARA PRÉDIOS.</t>
  </si>
  <si>
    <t>INSTALAÇÃO DE TUBOS DE PVC, SÉRIE R, ÁGUA PLUVIAL, DN 100 MM (INSTALADO EM CONDUTORES VERTICAIS), INCLUSIVE CONEXÕES, CORTES E FIXAÇÕES, PARA PRÉDIOS.</t>
  </si>
  <si>
    <t>INSTALAÇÃO DE UBOS DE PVC, SÉRIE R, ÁGUA PLUVIAL, DN 150MM. (INSTALADO EM CONDUTORES VERTICAIS), INCLUSIVE CONEXÕES, CORTES E FIXAÇÕES, PARA PRÉDIOS.</t>
  </si>
  <si>
    <t>TUBO PVC, SÉRIE R, ÁGUA PLUVIAL, DN 100MM, FORNECIDO E INSTALADO EM COLETOR DE ÁGUAS PLUVIAIS - CONDUTORES HORIZONTAIS</t>
  </si>
  <si>
    <t>TUBO PVC, SÉRIE R, ÁGUA PLUVIAL, DN 150MM, FORNECIDO E INSTALADO EM COLETOR DE ÁGUAS PLUVIAIS - CONDUTORES HORIZONTAIS</t>
  </si>
  <si>
    <t>TUBO PVC, SÉRIE R, ÁGUA PLUVIAL, DN 200MM, FORNECIDO E INSTALADO EM COLETOR DE ÁGUAS PLUVIAIS - CONDUTORES HORIZONTAIS</t>
  </si>
  <si>
    <t>CAIXA DE AREIA EM ALVENARIA DE TIJOLO MACIÇO, E=10CM, DIMENSÕES 60 X 60 X60CM, REVESTIDA INTERNAMENTE , COM TAMPA DE CONCRETO ARMADA E FUNDO DE CONCRETO 15 MPA</t>
  </si>
  <si>
    <t>RESERVATÓRIO CISTERNA EM PRFV FORTLEV OU EQUIVALENTE TÉCNICO, CAPACIDADE PARA 12.000 LITROS, COMPLETO E INSTALADO</t>
  </si>
  <si>
    <t>FILTRO VF2 AQUASAVE/3P TECHNIK OU EQUIVALENTE TÉCNICO COM KIT FREIO AERADOR 200 MM, MULTISIFÃO 200 MM, BOIA MANGUEIRA 50 MM</t>
  </si>
  <si>
    <t>ESCAVAÇÃO MANUAL DE VALA COM PROFUNDIDADE DE MENOR OU IGUAL A 1,30 M</t>
  </si>
  <si>
    <t>EXECUÇÃO DE DRENO 40 X 60 CM, COM TUBO DE PVC CORRUGADO FLEXÍVEL PERFURADO (PEAD) - DN 160 MM, BRITA 2 E MANTA GEOTEXIL 200G/M²</t>
  </si>
  <si>
    <t>14.3</t>
  </si>
  <si>
    <t>14.5</t>
  </si>
  <si>
    <t>14.4</t>
  </si>
  <si>
    <t>14.6</t>
  </si>
  <si>
    <t>SINAPI 91792</t>
  </si>
  <si>
    <t>TUBO PVC, SERIE NORMAL, ESGOTO PREDIAL, DN 40 MM, FORNECIDO E INSTALADO EM RAMAL DE DESCARGA OU RAMAL DE ESGOTO SANITÁRIO. AF_12/2014</t>
  </si>
  <si>
    <t>JOELHO 90 GRAUS, PVC, SERIE NORMAL, ESGOTO PREDIAL, DN 40 MM, JUNTA SOLDÁVEL, FORNECIDO E INSTALADO EM RAMAL DE DESCARGA OU RAMAL DE ESGOTO SANITÁRIO. AF_12/2014</t>
  </si>
  <si>
    <t>JOELHO 45 GRAUS, PVC, SERIE NORMAL, ESGOTO PREDIAL, DN 40 MM, JUNTA SOLDÁVEL, FORNECIDO E INSTALADO EM RAMAL DE DESCARGA OU RAMAL DE ESGOTO SANITÁRIO. AF_12/2014</t>
  </si>
  <si>
    <t>LUVA SIMPLES, PVC, SERIE NORMAL, ESGOTO PREDIAL, DN 40 MM, JUNTA SOLDÁVEL, FORNECIDO E INSTALADO EM RAMAL DE DESCARGA OU RAMAL DE ESGOTO SANITÁRIO. AF_12/2014</t>
  </si>
  <si>
    <t>JUNÇÃO SIMPLES, PVC, SERIE NORMAL, ESGOTO PREDIAL, DN 40 MM, JUNTA SOLDÁVEL, FORNECIDO E INSTALADO EM RAMAL DE DESCARGA OU RAMAL DE ESGOTO SANITÁRIO. AF_12/2014</t>
  </si>
  <si>
    <t xml:space="preserve"> SINAPI 91793</t>
  </si>
  <si>
    <t>TUBO PVC, SERIE NORMAL, ESGOTO PREDIAL, DN 50 MM,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</si>
  <si>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</si>
  <si>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</si>
  <si>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LUVA SIMPLES, PVC, SERIE NORMAL, ESGOTO PREDIAL, DN 50 MM, JUNTA ELÁSTICA, FORNECIDO E INSTALADO EM RAMAL DE DESCARGA OU RAMAL DE ESGOTO SANITÁRIO. AF_12/2014</t>
  </si>
  <si>
    <t>TE, PVC, SERIE NORMAL, ESGOTO PREDIAL, DN 50 X 50 MM, JUNTA ELÁSTICA, FORNECIDO E INSTALADO EM RAMAL DE DESCARGA OU RAMAL DE ESGOTO SANITÁRIO. AF_12/2014</t>
  </si>
  <si>
    <t>LUVA SIMPLES, PVC, SERIE NORMAL, ESGOTO PREDIAL, DN 50 MM, JUNTA ELÁSTICA, FORNECIDO E INSTALADO EM PRUMADA DE ESGOTO SANITÁRIO OU VENTILAÇÃO. AF_12/2014</t>
  </si>
  <si>
    <t>SINAPI 91794</t>
  </si>
  <si>
    <t>TUBO PVC, SERIE NORMAL, ESGOTO PREDIAL, DN 75 MM, FORNECIDO E INSTALADO EM RAMAL DE DESCARGA OU RAMAL DE ESGOTO SANITÁRIO. AF_12/2014</t>
  </si>
  <si>
    <t>JOELHO 90 GRAUS, PVC, SERIE NORMAL, ESGOTO PREDIAL, DN 75 MM, JUNTA ELÁSTICA, FORNECIDO E INSTALADO EM RAMAL DE DESCARGA OU RAMAL DE ESGOTO SANITÁRIO. AF_12/2014</t>
  </si>
  <si>
    <t>JOELHO 45 GRAUS, PVC, SERIE NORMAL, ESGOTO PREDIAL, DN 75 MM, JUNTA ELÁSTICA, FORNECIDO E INSTALADO EM RAMAL DE DESCARGA OU RAMAL DE ESGOTO SANITÁRIO. AF_12/2014</t>
  </si>
  <si>
    <t>LUVA SIMPLES, PVC, SERIE NORMAL, ESGOTO PREDIAL, DN 75 MM, JUNTA ELÁSTICA, FORNECIDO E INSTALADO EM RAMAL DE DESCARGA OU RAMAL DE ESGOTO SANITÁRIO. AF_12/2014</t>
  </si>
  <si>
    <t>TE, PVC, SERIE NORMAL, ESGOTO PREDIAL, DN 75 X 75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</si>
  <si>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</si>
  <si>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TUBO PVC, SERIE NORMAL, ESGOTO PREDIAL, DN 75 MM,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</si>
  <si>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</si>
  <si>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</si>
  <si>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LUVA SIMPLES, PVC, SERIE NORMAL, ESGOTO PREDIAL, DN 75 MM, JUNTA ELÁSTICA, FORNECIDO E INSTALADO EM PRUMADA DE ESGOTO SANITÁRIO OU VENTILAÇÃO.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</si>
  <si>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</si>
  <si>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</si>
  <si>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INSTALAÇÃO DE TUBO DE PVC, SÉRIE NORMAL, ESGOTO PREDIAL, DN 100MM (FORNECIMENTO E INSTALAÇÃO)</t>
  </si>
  <si>
    <t>SINAPI 91795</t>
  </si>
  <si>
    <t>TUBO PVC, SERIE NORMAL, ESGOTO PREDIAL, DN 100 MM, FORNECIDO E INSTALADO EM RAMAL DE DESCARGA OU RAMAL DE ESGOTO SANITÁRIO.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</si>
  <si>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</si>
  <si>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</si>
  <si>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LUVA SIMPLES, PVC, SERIE NORMAL, ESGOTO PREDIAL, DN 100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</si>
  <si>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</si>
  <si>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</si>
  <si>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100 MM, FORNECIDO E INSTALADO EM PRUMADA DE ESGOTO SANITÁRIO OU VENTILAÇÃO. AF_12/2014</t>
  </si>
  <si>
    <t>JOELHO 45 GRAUS, PVC, SERIE NORMAL, ESGOTO PREDIAL, DN 100 MM, JUNTA ELÁSTICA, FORNECIDO E INSTALADO EM PRUMADA DE ESGOTO SANITÁRIO OU VENTILAÇÃO. AF_12/2014</t>
  </si>
  <si>
    <t>LUVA SIMPLES, PVC, SERIE NORMAL, ESGOTO PREDIAL, DN 100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</si>
  <si>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</si>
  <si>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</si>
  <si>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TUBO PVC, SERIE NORMAL, ESGOTO PREDIAL, DN 100 MM, FORNECIDO E INSTALADO EM SUBCOLETOR AÉREO DE ESGOTO SANITÁRIO. AF_12/2014</t>
  </si>
  <si>
    <t>JOELHO 45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</si>
  <si>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</si>
  <si>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JUNÇÃO SIMPLES, PVC, SERIE NORMAL, ESGOTO PREDIAL, DN 100 X 100 MM, JUNTA ELÁSTICA, FORNECIDO E INSTALADO EM SUBCOLETOR AÉREO DE ESGOTO SANITÁRIO. AF_12/2014</t>
  </si>
  <si>
    <t xml:space="preserve"> INSTALAÇÃO DE TUBO PVC, SÉRIE N, ESGOTO PREDIAL, DN 75 MM, ENTRE CAIXAS DE INSPEÇÃO. INCLUSIVE ESCAVAÇÃO, BASE DE AREIA E=10CM, REATERRO.</t>
  </si>
  <si>
    <t>BASE DE AREIA MÉDIA COM 10 CM DE ESPESSURA</t>
  </si>
  <si>
    <t>ESCAVAÇÃO MECANIZADA DE VALA COM PROFUNDIDADE MÉDIA DE ATÉ 1,5M  COM RETROESCAVADEIRA EM SOLO DE 1ª CATEGORIA, LOCAIS COM BAIXO NÍVEL DE INTERFERÊNCIA.</t>
  </si>
  <si>
    <t>INSTALAÇÃO DE TUBO PVC, SÉRIE N, ESGOTO PREDIAL, DN 100 MM, ENTRE CAIXAS DE INSPEÇÃO. INCLUSIVE ESCAVAÇÃO, BASE DE AREIA E=10CM, REATERRO.</t>
  </si>
  <si>
    <t>INSTALAÇÃO DE TUBO DE PVC, SÉRIE NORMAL, ESGOTO PREDIAL, DN 150 MM, ENTRE CAIXAS DE INSPEÇÃO. INCLUSIVE ESCAVAÇÃO, BASE DE AREIA E=10CM, REATERRO.</t>
  </si>
  <si>
    <t>SINAPI 91796</t>
  </si>
  <si>
    <t>TUBO PVC, SERIE NORMAL, ESGOTO PREDIAL, DN 150 MM, FORNECIDO E INSTALADO EM SUBCOLETOR AÉREO DE ESGOTO SANITÁRIO. AF_12/2014</t>
  </si>
  <si>
    <t>JOELHO 45 GRAUS, PVC, SERIE NORMAL, ESGOTO PREDIAL, DN 150 MM, JUNTA ELÁSTICA, FORNECIDO E INSTALADO EM SUBCOLETOR AÉREO DE ESGOTO SANITÁRIO. AF_12/2014</t>
  </si>
  <si>
    <t>CAIXA DE GORDURA EM POLIETILENO PRFV 150 LT FORECIMENTO E INSTALAÇO (CONFORME PROJETO)</t>
  </si>
  <si>
    <t>ESCAVAÇÃO MANUAL DE VALAS</t>
  </si>
  <si>
    <t>CAIXA DE GORDURA EM POLIETILENO PRFV 150 LT FIBRATEC OU EQUIVALENTE TÉCNICO</t>
  </si>
  <si>
    <t>ASSENTAMENTO TUBO DE PVC CORRUGADO DE DUPLA PAREDE PARA REDE COLETORA DE ESGOTO, DN 150MM- FORNECIMENTO E EXECUÇÃO, VALA (L=40 cm e  Hm= 80 cm), BASE DE AREIA 10 CM</t>
  </si>
  <si>
    <t>TUBO DE PVC CORRUGADO DE DUPLA PAREDE PARA REDE COLETORA DE ESGOTO, DN 150MM, JUNTA ELÁSTICA, INSTALADO EM LOCAL COM NÍVEL BAIXO DE INTERFERÊNCIAS - FORNECIMENTO E ASSENTAMENTO. AF_06/2015</t>
  </si>
  <si>
    <t>ESCAVAÇÃO MECANIZADA DE VALA COM PROFUNDIDADE MÉDIA DE ATÉ 1,5M  COM RETROESCAVADEIRA EM SOLO DE 1ª CATEGORIA, LOCAIS COM BAIXO NÍVEL DE INTERFERÊNCIA</t>
  </si>
  <si>
    <t>TUBO PVC, SÉRIE R, ÁGUA PLUVIAL, DN 100 MM, FORNECIDO E INSTALADO EM COLETOR DE ÁGUAS PLUVIAIS</t>
  </si>
  <si>
    <t>ADESIVO PLASTICO PARA PVC, FRASCO COM 850 GR</t>
  </si>
  <si>
    <t>TUBO PVC, SERIE R, DN 100 MM, PARA ESGOTO OU AGUAS PLUVIAIS PREDIAL (NBR 5688)</t>
  </si>
  <si>
    <t>SOLUCAO LIMPADORA PARA PVC, FRASCO COM 1000 CM3</t>
  </si>
  <si>
    <t>LIXA D'AGUA EM FOLHA, GRAO 100</t>
  </si>
  <si>
    <t>TUBO PVC, SÉRIE R, ÁGUA PLUVIAL, DN 150 MM, FORNECIDO E INSTALADO EM SUBCOLETOR DE ÁGUAS PLUVIAIS</t>
  </si>
  <si>
    <t>TUBO PVC, SERIE R, DN 150 MM, PARA ESGOTO OU AGUAS PLUVIAIS PREDIAL (NBR 5688)</t>
  </si>
  <si>
    <t>TUBO PVC, SÉRIE R, ÁGUA PLUVIAL, DN 200 MM, FORNECIDO E INSTALADO EM SUBCOLETOR DE ÁGUAS PLUVIAIS</t>
  </si>
  <si>
    <t>TUBO COLETOR DE ESGOTO PVC DN 200 MM</t>
  </si>
  <si>
    <t xml:space="preserve">01433/ORSE </t>
  </si>
  <si>
    <t>CAIXA D'AGUA FIBRA VIDRO 15.000 LITROS - FORTLEV (OU SIMILAR)</t>
  </si>
  <si>
    <t>FILTRO VF2 ACQUASAVE/3P TECHNIK</t>
  </si>
  <si>
    <t>KIT FREIO AERADOR 200 MM, MULTISIFÃO 200MM, BOIA MANGUEIRA 50 MM</t>
  </si>
  <si>
    <t>COMPOSIÇÃO 1                  REF. 86938</t>
  </si>
  <si>
    <t>14.2 - ESGOTO SANITÁRIO</t>
  </si>
  <si>
    <t>14.4 - LOUÇAS, ACESSÓRIOS E METAIS - SANITÁRIOS</t>
  </si>
  <si>
    <t>14.3 - REDE PLUVIAL</t>
  </si>
  <si>
    <t>14.6 - LOUÇAS, ACESSÓRIOS E METAIS - COZINHA E SALÃO</t>
  </si>
  <si>
    <t>14.5 - LOUÇAS, ACESSÓRIOS E METAIS - SANITÁRIOS ACESSÍVEIS</t>
  </si>
  <si>
    <t>COMPOSIÇÃO 2                    REF. 86939</t>
  </si>
  <si>
    <t xml:space="preserve">COMPOSIÇÃO 1                   </t>
  </si>
  <si>
    <t xml:space="preserve">COMPOSIÇÃO 1 (REF. 90808) </t>
  </si>
  <si>
    <t>ESTACA HÉLICE CONTÍNUA, DIÂMETRO DE 40 CM, COMPRIMENTO DE 13 M, COMPLETA, INCLUSO PERFURAÇÃO, MATERIAL E MÃO DE OBRA,  CONCRETO E FERRAGEM</t>
  </si>
  <si>
    <t>BLOCOS DE FUNDAÇÃO EM CONCRETO ARMADO BOMBEADO, FCK 25 MPA, INCLUSIVE ARMADURAS E FORMAS (MONTAGEM E DESMONTAGEM)- COMPLETA</t>
  </si>
  <si>
    <t xml:space="preserve"> M³ </t>
  </si>
  <si>
    <t>VIGAS DE FUNDAÇÃO EM CONCRETO ARMADO BOMBEADO, FCK 25 MPA, INCLUSIVE ARMADURAS E FORMAS (MONTAGEM E DESMONTAGEM)- COMPLETA</t>
  </si>
  <si>
    <t>SAPATAS DE FUNDAÇÃO EM CONCRETO ARMADO BOMBEADO, FCK 25 MPA, INCLUSIVE ARMADURAS E FORMAS (MONTAGEM E DESMONTAGEM)- COMPLETA</t>
  </si>
  <si>
    <t>VIGAS DE FUNDAÇÃO PARA O ABRIGO GÁS EM CONCRETO ARMADO BOMBEADO, FCK 25 MPA, INCLUSIVE ARMADURAS E FORMAS (MONTAGEM E DESMONTAGEM)- COMPLETA</t>
  </si>
  <si>
    <t xml:space="preserve"> IMPERMEABILIZAÇÃO DE VIGAS BALDRAMES COM EMULSÃO ASFÁLTICA, 2 DEMÃOS (TOPO MAIS 20 CM CADA FACE LATERAL)</t>
  </si>
  <si>
    <t>4.1</t>
  </si>
  <si>
    <t>VIGAS NÍVEL 2,0M EM - FILTRO DA CISTERNA - CONCRETO ARMADO USINADO, FCK 25 MPA, INCLUSIVE ARMADURAS E FORMAS - COMPLETA</t>
  </si>
  <si>
    <t>4.2</t>
  </si>
  <si>
    <t>4.3</t>
  </si>
  <si>
    <t>VIGAS NÍVEL 4,0M - PLATIBANDA - CONCRETO ARMADO USINADO, FCK 25 MPA, INCLUSIVE ARMADURAS E FORMAS - COMPLETA</t>
  </si>
  <si>
    <t>4.4</t>
  </si>
  <si>
    <t>4.5</t>
  </si>
  <si>
    <t>VIGAS NÍVEL 5,6M - PLATIBANDA - CONCRETO ARMADO USINADO, FCK 25 MPA, INCLUSIVE ARMADURAS E FORMAS - COMPLETA</t>
  </si>
  <si>
    <t>4.6</t>
  </si>
  <si>
    <t>VIGAS NÍVEL 10,2M - COBERTURA DO RESERVATÓRIO -  CONCRETO ARMADO USINADO, FCK 25 MPA, INCLUSIVE ARMADURAS E FORMAS - COMPLETA</t>
  </si>
  <si>
    <t>VIGAS ABRIGO GÁS - CONCRETO ARMADO USINADO, FCK 25 MPA, INCLUSIVE ARMADURAS E FORMAS - COMPLETA</t>
  </si>
  <si>
    <t>COMPOSIÇÃO 18</t>
  </si>
  <si>
    <t>COMPOSIÇÃO 19</t>
  </si>
  <si>
    <t>LAJE MACIÇA ABRIGO GÁS EM CONCRETO ARMADO USINADO, FCK 25 MPA, INCLUSIVE ARMADURAS E FORMAS - COMPLETA</t>
  </si>
  <si>
    <t>COMPOSIÇÃO 20 
(REF C-68328)</t>
  </si>
  <si>
    <t>JUNTA DE DILATACAO COM ISOPOR 40 MM, FAIXA DE 50 CM NO PERÍMETRO DO ENCONTRO DAS EDIFICAÇÕES, COM MARSTIQUE PU, NP1, MBT, BASF OU SIMILAR (40X15 MM)</t>
  </si>
  <si>
    <t>PILARES PARA ABRIGO GÁS - CONCRETO ARMADO USINADO, FCK 25 MPA, INCLUSIVE ARMADURAS E FORMAS - COMPLETO</t>
  </si>
  <si>
    <t>PILARES COBERTURA CISTERNA (P10, P11 E P20) - CONCRETO ARMADO USINADO, FCK 25 MPA, INCLUSIVE ARMADURAS E FORMAS - COMPLETO</t>
  </si>
  <si>
    <t>PILARES DE 4M ATÉ PLATIBANDA COBERTURA 1 - CONCRETO ARMADO USINADO, FCK 25 MPA, INCLUSIVE ARMADURAS E FORMAS - COMPLETO</t>
  </si>
  <si>
    <t>PILARES DE 7,72M E 10,20M - CONCRETO ARMADO USINADO, FCK 25 MPA, INCLUSIVE ARMADURAS E FORMAS - COMPLETO</t>
  </si>
  <si>
    <t>5.1</t>
  </si>
  <si>
    <t>5.2</t>
  </si>
  <si>
    <t>5.3</t>
  </si>
  <si>
    <t>5.4</t>
  </si>
  <si>
    <t>5.5</t>
  </si>
  <si>
    <t>5.6</t>
  </si>
  <si>
    <t>5.7</t>
  </si>
  <si>
    <t>5.8</t>
  </si>
  <si>
    <t>5.9</t>
  </si>
  <si>
    <t>5.10</t>
  </si>
  <si>
    <t>5.11</t>
  </si>
  <si>
    <t>5.12</t>
  </si>
  <si>
    <t>5.13</t>
  </si>
  <si>
    <t>5.14</t>
  </si>
  <si>
    <t>5.15</t>
  </si>
  <si>
    <t>5.16</t>
  </si>
  <si>
    <t>5.17</t>
  </si>
  <si>
    <t>5.18</t>
  </si>
  <si>
    <t>5.19</t>
  </si>
  <si>
    <t>18 - INSTALAÇÕES DE AR CONDICIONADO</t>
  </si>
  <si>
    <t>17 - INSTALAÇÕES ESPECIAIS - GLP</t>
  </si>
  <si>
    <t>16 - INSTALAÇÕES DE COMBATE A INCÊNDIO</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</si>
  <si>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</si>
  <si>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</si>
  <si>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</si>
  <si>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</si>
  <si>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</si>
  <si>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</si>
  <si>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</si>
  <si>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</si>
  <si>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</si>
  <si>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</si>
  <si>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</si>
  <si>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</si>
  <si>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</si>
  <si>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</si>
  <si>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</si>
  <si>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</si>
  <si>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</si>
  <si>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</si>
  <si>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</si>
  <si>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</si>
  <si>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</si>
  <si>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</si>
  <si>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</si>
  <si>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</si>
  <si>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</si>
  <si>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</si>
  <si>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</si>
  <si>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</si>
  <si>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</si>
  <si>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</si>
  <si>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</si>
  <si>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</si>
  <si>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</si>
  <si>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</si>
  <si>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</si>
  <si>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</si>
  <si>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</si>
  <si>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</si>
  <si>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</si>
  <si>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</si>
  <si>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</si>
  <si>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</si>
  <si>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</si>
  <si>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</si>
  <si>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</si>
  <si>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</si>
  <si>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</si>
  <si>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</si>
  <si>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</si>
  <si>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</si>
  <si>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</si>
  <si>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</si>
  <si>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</si>
  <si>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</si>
  <si>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</si>
  <si>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</si>
  <si>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</si>
  <si>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</si>
  <si>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</si>
  <si>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</si>
  <si>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</si>
  <si>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</si>
  <si>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</si>
  <si>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</si>
  <si>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</si>
  <si>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</si>
  <si>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</si>
  <si>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</si>
  <si>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</si>
  <si>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</si>
  <si>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</si>
  <si>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</si>
  <si>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</si>
  <si>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</si>
  <si>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</si>
  <si>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</si>
  <si>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</si>
  <si>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15.2</t>
  </si>
  <si>
    <t>15.2.1</t>
  </si>
  <si>
    <t>15.2.2</t>
  </si>
  <si>
    <t>15.2.3</t>
  </si>
  <si>
    <t>15.2.4</t>
  </si>
  <si>
    <t>15.2.5</t>
  </si>
  <si>
    <t>15.2.6</t>
  </si>
  <si>
    <t>15.2.7</t>
  </si>
  <si>
    <t>15.2.8</t>
  </si>
  <si>
    <t>15.2.9</t>
  </si>
  <si>
    <t>15.2.10</t>
  </si>
  <si>
    <t>15.2.11</t>
  </si>
  <si>
    <t>15.2.12</t>
  </si>
  <si>
    <t>15.2.13</t>
  </si>
  <si>
    <t>15.2.14</t>
  </si>
  <si>
    <t>15.2.15</t>
  </si>
  <si>
    <t>15.2.16</t>
  </si>
  <si>
    <t>15.2.17</t>
  </si>
  <si>
    <t>15.3</t>
  </si>
  <si>
    <t>15.3.1</t>
  </si>
  <si>
    <t>15.3.2</t>
  </si>
  <si>
    <t>15.3.3</t>
  </si>
  <si>
    <t>15.3.4</t>
  </si>
  <si>
    <t>15.3.5</t>
  </si>
  <si>
    <t>15.3.6</t>
  </si>
  <si>
    <t>15.3.7</t>
  </si>
  <si>
    <t>15.3.8</t>
  </si>
  <si>
    <t>15.3.9</t>
  </si>
  <si>
    <t>15.3.10</t>
  </si>
  <si>
    <t>15.3.12</t>
  </si>
  <si>
    <t>15.3.13</t>
  </si>
  <si>
    <t>15.3.14</t>
  </si>
  <si>
    <t>15.3.15</t>
  </si>
  <si>
    <t>15.3.16</t>
  </si>
  <si>
    <t>15.3.17</t>
  </si>
  <si>
    <t>15.3.18</t>
  </si>
  <si>
    <t>15.3.19</t>
  </si>
  <si>
    <t>15.3.20</t>
  </si>
  <si>
    <t>15.3.21</t>
  </si>
  <si>
    <t>16.1</t>
  </si>
  <si>
    <t>16.2</t>
  </si>
  <si>
    <t>16.3</t>
  </si>
  <si>
    <t>16.4</t>
  </si>
  <si>
    <t>16.5</t>
  </si>
  <si>
    <t>16.6</t>
  </si>
  <si>
    <t>16.7</t>
  </si>
  <si>
    <t>16.8</t>
  </si>
  <si>
    <t>16.9</t>
  </si>
  <si>
    <t>16.10</t>
  </si>
  <si>
    <t>17.1</t>
  </si>
  <si>
    <t>17.2</t>
  </si>
  <si>
    <t>17.3</t>
  </si>
  <si>
    <t>17.4</t>
  </si>
  <si>
    <t>17.5</t>
  </si>
  <si>
    <t>17.6</t>
  </si>
  <si>
    <t>17.7</t>
  </si>
  <si>
    <t>17.8</t>
  </si>
  <si>
    <t>17.9</t>
  </si>
  <si>
    <t>17.10</t>
  </si>
  <si>
    <t>17.11</t>
  </si>
  <si>
    <t>17.12</t>
  </si>
  <si>
    <t>17.13</t>
  </si>
  <si>
    <t>17.14</t>
  </si>
  <si>
    <t>17.15</t>
  </si>
  <si>
    <t>17.16</t>
  </si>
  <si>
    <t>18.1</t>
  </si>
  <si>
    <t>18.1.1</t>
  </si>
  <si>
    <t>18.1.2</t>
  </si>
  <si>
    <t>18.1.3</t>
  </si>
  <si>
    <t>18.2</t>
  </si>
  <si>
    <t>18.2.1</t>
  </si>
  <si>
    <t>18.2.2</t>
  </si>
  <si>
    <t>18.2.3</t>
  </si>
  <si>
    <t>18.2.4</t>
  </si>
  <si>
    <t>18.3</t>
  </si>
  <si>
    <t>18.3.1</t>
  </si>
  <si>
    <t>14.6.1</t>
  </si>
  <si>
    <t>14.6.2</t>
  </si>
  <si>
    <t>14.6.3</t>
  </si>
  <si>
    <t>14.6.4</t>
  </si>
  <si>
    <t>14.6.5</t>
  </si>
  <si>
    <t>14.6.6</t>
  </si>
  <si>
    <t>14.6.7</t>
  </si>
  <si>
    <t>6.1</t>
  </si>
  <si>
    <t>6.2</t>
  </si>
  <si>
    <t>6.3</t>
  </si>
  <si>
    <t>7.1</t>
  </si>
  <si>
    <t>7.2</t>
  </si>
  <si>
    <t>7.3</t>
  </si>
  <si>
    <t>7.4</t>
  </si>
  <si>
    <t>7.5</t>
  </si>
  <si>
    <t>7.6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</si>
  <si>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</si>
  <si>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</si>
  <si>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</si>
  <si>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</si>
  <si>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</si>
  <si>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</si>
  <si>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</si>
  <si>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</si>
  <si>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</si>
  <si>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</si>
  <si>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</si>
  <si>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</si>
  <si>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</si>
  <si>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</si>
  <si>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</si>
  <si>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</si>
  <si>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</si>
  <si>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</si>
  <si>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</si>
  <si>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</si>
  <si>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</si>
  <si>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</si>
  <si>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</si>
  <si>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</si>
  <si>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</si>
  <si>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</si>
  <si>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</si>
  <si>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</si>
  <si>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</si>
  <si>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</si>
  <si>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8.2</t>
  </si>
  <si>
    <t>8.2.1</t>
  </si>
  <si>
    <t>8.2.2</t>
  </si>
  <si>
    <t>8.2.3</t>
  </si>
  <si>
    <t>8.2.4</t>
  </si>
  <si>
    <t>8.3</t>
  </si>
  <si>
    <t>8.3.1</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</si>
  <si>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</si>
  <si>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</si>
  <si>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</si>
  <si>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</si>
  <si>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</si>
  <si>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</si>
  <si>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</si>
  <si>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</si>
  <si>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</si>
  <si>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</si>
  <si>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</si>
  <si>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</si>
  <si>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</si>
  <si>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</si>
  <si>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</si>
  <si>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</si>
  <si>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</si>
  <si>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</si>
  <si>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</si>
  <si>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</si>
  <si>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</si>
  <si>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</si>
  <si>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</si>
  <si>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</si>
  <si>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</si>
  <si>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</si>
  <si>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</si>
  <si>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10.1</t>
  </si>
  <si>
    <t>10.2</t>
  </si>
  <si>
    <t>10.3</t>
  </si>
  <si>
    <t>10.4</t>
  </si>
  <si>
    <t>10.5</t>
  </si>
  <si>
    <t>10.6</t>
  </si>
  <si>
    <t>10.7</t>
  </si>
  <si>
    <t>10.8</t>
  </si>
  <si>
    <t>MADEIRA DE PINUS AUTOCLAVADO, CONFORME DIMENSÕES DO PROJETO ARQUITETÔNICO</t>
  </si>
  <si>
    <t>I 38464</t>
  </si>
  <si>
    <t>CONCRETO USINADO BOMBEAVEL, CLASSE DE RESISTENCIA C20, COM BRITA 0, SLUMP = 220 +/- 20 MM, INCLUI SERVICO DE BOMBEAMENTO (NBR 8953)</t>
  </si>
  <si>
    <t>C 92795</t>
  </si>
  <si>
    <t>CORTE E DOBRA DE AÇO CA-50, DIÂMETRO DE 12.5 MM</t>
  </si>
  <si>
    <t>CORTE E DOBRA DE AÇO CA-50, DIÂMETRO DE 6.3 MM</t>
  </si>
  <si>
    <t>C 90674</t>
  </si>
  <si>
    <t>PERFURATRIZ COM TORRE METÁLICA PARA EXECUÇÃO DE ESTACA HÉLICE CONTÍNUA, PROFUNDIDADE MÁXIMA DE 30 M, DIÂMETRO MÁXIMO DE 800 MM, POTÊNCIA INSTALADA DE 268 HP, MESA ROTATIVA COM TORQUE MÁXIMO DE 170 KNM - CHP DIURNO. AF_06/2015</t>
  </si>
  <si>
    <t>C 90675</t>
  </si>
  <si>
    <t>PERFURATRIZ COM TORRE METÁLICA PARA EXECUÇÃO DE ESTACA HÉLICE CONTÍNUA, PROFUNDIDADE MÁXIMA DE 30 M, DIÂMETRO MÁXIMO DE 800 MM, POTÊNCIA INSTALADA DE 268 HP, MESA ROTATIVA COM TORQUE MÁXIMO DE 170 KNM - CHI DIURNO. AF_06/2015</t>
  </si>
  <si>
    <t>C 97913</t>
  </si>
  <si>
    <t>TRANSPORTE COM CAMINHÃO BASCULANTE DE 6 M3, EM VIA URBANA EM REVESTIMENTO PRIMÁRIO (UNIDADE: M3XKM). 500 metros</t>
  </si>
  <si>
    <t>M³XKM</t>
  </si>
  <si>
    <t>C 95967</t>
  </si>
  <si>
    <t>SERVIÇOS TÉCNICOS ESPECIALIZADOS PARA ACOMPANHAMENTO DE EXECUÇÃO DE FUNDAÇÕES PROFUNDAS E ESTRUTURAS DE CONTENÇÃO</t>
  </si>
  <si>
    <t>BLOCOS DE FUNDAÇÃO - CONCRETO ARMADO BOMBEADO, FCK 25 MPA, INCLUSIVE ARMADURAS E FORMAS (MONTAGEM E DESMONTAGEM)- COMPLETA</t>
  </si>
  <si>
    <t>SINAPI C-94962</t>
  </si>
  <si>
    <t>CONCRETO MAGRO PARA LASTRO, TRAÇO 1:4,5:4,5 (CIMENTO/ AREIA MÉDIA/ BRITA 1)  - PREPARO MECÂNICO COM BETONEIRA 400 L, ESPESSURA 5 CM</t>
  </si>
  <si>
    <t>SINAPI I-34493</t>
  </si>
  <si>
    <t>CONCRETO USINADO BOMBEAVEL, CLASSE DE RESISTENCIA C25, COM BRITA 0 E 1, SLUMP = 100 +/- 20 MM</t>
  </si>
  <si>
    <t>LANÇAMENTO COM USO DE BOMBA, ADENSAMENTO E ACABAMENTO DE CONCRETO EM ESTRUTURAS</t>
  </si>
  <si>
    <t>FABRICAÇÃO, MONTAGEM E DESMONTAGEM DE FÔRMA PARA BLOCO DE COROAMENTO, EM MADEIRA SERRADA, E=25 MM, 4 UTILIZAÇÕES</t>
  </si>
  <si>
    <t>SINAPI C-92792</t>
  </si>
  <si>
    <t>CORTE E DOBRA DE AÇO CA-50, DIÂMETRO DE 6,3 MM</t>
  </si>
  <si>
    <t>SINAPI C-92793</t>
  </si>
  <si>
    <t>CORTE E DOBRA DE AÇO CA-50, DIÂMETRO DE 8 MM</t>
  </si>
  <si>
    <t>SINAPI C-92794</t>
  </si>
  <si>
    <t>CORTE E DOBRA DE AÇO CA-50, DIÂMETRO DE 10 MM</t>
  </si>
  <si>
    <t>SINAPI C-92796</t>
  </si>
  <si>
    <t>CORTE E DOBRA DE AÇO CA-50, DIÂMETRO DE 16 MM</t>
  </si>
  <si>
    <t>SINAPI C-90099</t>
  </si>
  <si>
    <t xml:space="preserve">ESCAVAÇÃO MECANIZADA DE VALA COM PROF, ATÉ 1,5 M </t>
  </si>
  <si>
    <t>VIGAS DE FUNDAÇÃO - CONCRETO ARMADO BOMBEADO, FCK 25 MPA, INCLUSIVE ARMADURAS E FORMAS (MONTAGEM E DESMONTAGEM)- COMPLETA</t>
  </si>
  <si>
    <t>SINAPI C-96536</t>
  </si>
  <si>
    <t>m²</t>
  </si>
  <si>
    <t>SINAPI C-92791</t>
  </si>
  <si>
    <t>CORTE E DOBRA DE AÇO CA-60, DIÂMETRO DE 5 MM</t>
  </si>
  <si>
    <t>kg</t>
  </si>
  <si>
    <t>SINAPI C-92795</t>
  </si>
  <si>
    <t>CORTE E DOBRA DE AÇO CA-50, DIÂMETRO DE 12,5 MM</t>
  </si>
  <si>
    <t>REATERRO MANUAL APILOADO COM SOQUETE (CONSIDERANDO 30 % DE COMPACTAÇÃO)</t>
  </si>
  <si>
    <t>SINAPI C-92448</t>
  </si>
  <si>
    <t>FABRICAÇÃO, MONTAGEM E DESMONTAGEM DE FÔRMA DE VIGA, ESCORAMENTO COM PONTALETE DE MADEIRA, PÉ-DIREITO SIMPLES, EM MADEIRA SERRADA, 4 UTILIZAÇÕES</t>
  </si>
  <si>
    <t>CORTE E DOBRA DE AÇO CA-50, DIÂMETRO DE 10,0 MM</t>
  </si>
  <si>
    <t>CORTE E DOBRA DE AÇO CA-50, DIÂMETRO DE 16,0 MM</t>
  </si>
  <si>
    <t>PILARES DE 5.6M ATÉ PLATIBANDA COBERTURA 2 -  CONCRETO ARMADO USINADO, FCK 25 MPA, INCLUSIVE ARMADURAS E FORMAS - COMPLETO</t>
  </si>
  <si>
    <t>SINAPI C-92800</t>
  </si>
  <si>
    <t>CORTE E DOBRA DE AÇO CA-60, DIÂMETRO DE 5 MM, UTILIZADO EM LAJE</t>
  </si>
  <si>
    <t>CORTE E DOBRA DE AÇO CA-50, DIÂMETRO DE 6,3 MM, UTILIZADO EM LAJE</t>
  </si>
  <si>
    <t>CORTE E DOBRA DE AÇO CA-50, DIÂMETRO DE 8 MM, UTILIZADO EM LAJE</t>
  </si>
  <si>
    <t>CORTE E DOBRA DE AÇO CA-50, DIÂMETRO DE 10 MM, UTILIZADO EM LAJE</t>
  </si>
  <si>
    <t>SINAPI C-68328</t>
  </si>
  <si>
    <t xml:space="preserve">SINAPI  I-03767      </t>
  </si>
  <si>
    <t>LIXA EM FOLHA PARA PAREDE OU MADEIRA, NUMERO 120 (COR VERMELHA)</t>
  </si>
  <si>
    <t>COLA BRANCA BASE PVA</t>
  </si>
  <si>
    <t>SINAPI C-88310</t>
  </si>
  <si>
    <t>PINTOR COM ENCARGOS COMPLEMENTARES</t>
  </si>
  <si>
    <t>TOTAL/M³</t>
  </si>
  <si>
    <t xml:space="preserve">COMPOSIÇÃO 1                   (REF. 90808) </t>
  </si>
  <si>
    <t>QTDE</t>
  </si>
  <si>
    <t xml:space="preserve">LOCAÇÃO CONVENCIONAL DE OBRA, UTILIZANDO GABARITO DE TÁBUAS CORRIDAS PONTALETADAS </t>
  </si>
  <si>
    <t>ADMINISTRAÇÃO LOCAL DA OBRA, CONTENDO ENGENHEIRO CIVIL, MESTRE DE OBRAS, TÉCNICO DE SEGURANÇA DO TRABALHO, APONTADOR E LIMPEZA PERMANENTE DA OBRA, CONSIDERANDO 15 MESES DE OBRA - UNIDADE PORCENTAGEM DE OBRA EXECUTADA</t>
  </si>
  <si>
    <t xml:space="preserve">PINTURA DO PERGOLADO EM MADEIRA COM APLICAÇÃO DE CETOL DECK, DUAS DEMÃOS, CONFORME PROJETO ARQUITETÔNICO E MEMORIAL  </t>
  </si>
  <si>
    <t>11.1</t>
  </si>
  <si>
    <t>11.2</t>
  </si>
  <si>
    <t>11.1.1</t>
  </si>
  <si>
    <t>11.1.2</t>
  </si>
  <si>
    <t>11.1.3</t>
  </si>
  <si>
    <t>11.1.4</t>
  </si>
  <si>
    <t>11.1.5</t>
  </si>
  <si>
    <t>11.1.6</t>
  </si>
  <si>
    <t>11.1.7</t>
  </si>
  <si>
    <t>11.1.8</t>
  </si>
  <si>
    <t>11.1.9</t>
  </si>
  <si>
    <t>11.1.10</t>
  </si>
  <si>
    <t>11.1.11</t>
  </si>
  <si>
    <t>11.1.12</t>
  </si>
  <si>
    <t>11.2.1</t>
  </si>
  <si>
    <t>11.2.2</t>
  </si>
  <si>
    <t>11.2.3</t>
  </si>
  <si>
    <t>11.2.4</t>
  </si>
  <si>
    <t>11.2.5</t>
  </si>
  <si>
    <t>12.1</t>
  </si>
  <si>
    <t>12.2</t>
  </si>
  <si>
    <t>12.3</t>
  </si>
  <si>
    <t>12.4</t>
  </si>
  <si>
    <t>12.1.1</t>
  </si>
  <si>
    <t>12.1.2</t>
  </si>
  <si>
    <t>12.1.3</t>
  </si>
  <si>
    <t>12.1.4</t>
  </si>
  <si>
    <t>12.2.1</t>
  </si>
  <si>
    <t>12.2.2</t>
  </si>
  <si>
    <t>12.2.3</t>
  </si>
  <si>
    <t>12.2.4</t>
  </si>
  <si>
    <t>12.2.5</t>
  </si>
  <si>
    <t>12.3.1</t>
  </si>
  <si>
    <t>12.3.2</t>
  </si>
  <si>
    <t>12.3.3</t>
  </si>
  <si>
    <t>12.3.4</t>
  </si>
  <si>
    <t>12.4.1</t>
  </si>
  <si>
    <t>13.1</t>
  </si>
  <si>
    <t>13.1.1</t>
  </si>
  <si>
    <t>13.1.2</t>
  </si>
  <si>
    <t>13.1.3</t>
  </si>
  <si>
    <t>13.1.4</t>
  </si>
  <si>
    <t>13.1.5</t>
  </si>
  <si>
    <t>13.1.6</t>
  </si>
  <si>
    <t>13.1.7</t>
  </si>
  <si>
    <t>13.1.8</t>
  </si>
  <si>
    <t>13.1.9</t>
  </si>
  <si>
    <t>13.1.10</t>
  </si>
  <si>
    <t>13.1.11</t>
  </si>
  <si>
    <t>13.1.12</t>
  </si>
  <si>
    <t>13.1.13</t>
  </si>
  <si>
    <t>13.1.14</t>
  </si>
  <si>
    <t>13.1.15</t>
  </si>
  <si>
    <t>13.2</t>
  </si>
  <si>
    <t>13.3</t>
  </si>
  <si>
    <t>13.2.1</t>
  </si>
  <si>
    <t>13.2.2</t>
  </si>
  <si>
    <t>13.2.3</t>
  </si>
  <si>
    <t>13.2.4</t>
  </si>
  <si>
    <t>13.2.5</t>
  </si>
  <si>
    <t>13.2.6</t>
  </si>
  <si>
    <t>13.3.1</t>
  </si>
  <si>
    <t>13.3.2</t>
  </si>
  <si>
    <t>13.3.3</t>
  </si>
  <si>
    <t>13.3.4</t>
  </si>
  <si>
    <t>13.3.5</t>
  </si>
  <si>
    <t>14.1.1</t>
  </si>
  <si>
    <t>14.1.2</t>
  </si>
  <si>
    <t>14.1.3</t>
  </si>
  <si>
    <t>14.1.4</t>
  </si>
  <si>
    <t>14.1.5</t>
  </si>
  <si>
    <t>14.1.6</t>
  </si>
  <si>
    <t>14.1.7</t>
  </si>
  <si>
    <t>14.1.8</t>
  </si>
  <si>
    <t>14.1.9</t>
  </si>
  <si>
    <t>14.1.10</t>
  </si>
  <si>
    <t>14.1.11</t>
  </si>
  <si>
    <t>14.1.12</t>
  </si>
  <si>
    <t>14.1.13</t>
  </si>
  <si>
    <t>14.1.14</t>
  </si>
  <si>
    <t>14.1.15</t>
  </si>
  <si>
    <t>14.1.16</t>
  </si>
  <si>
    <t>14.1.17</t>
  </si>
  <si>
    <t>14.1.18</t>
  </si>
  <si>
    <t>14.1.19</t>
  </si>
  <si>
    <t>14.1.20</t>
  </si>
  <si>
    <t>14.1.21</t>
  </si>
  <si>
    <t>14.1.22</t>
  </si>
  <si>
    <t>14.1.23</t>
  </si>
  <si>
    <t>14.1.24</t>
  </si>
  <si>
    <t>14.1.25</t>
  </si>
  <si>
    <t>14.1.26</t>
  </si>
  <si>
    <t>14.1.27</t>
  </si>
  <si>
    <t>14.2.1</t>
  </si>
  <si>
    <t>14.2.2</t>
  </si>
  <si>
    <t>14.2.3</t>
  </si>
  <si>
    <t>14.2.4</t>
  </si>
  <si>
    <t>14.2.5</t>
  </si>
  <si>
    <t>14.2.6</t>
  </si>
  <si>
    <t>14.2.7</t>
  </si>
  <si>
    <t>14.2.8</t>
  </si>
  <si>
    <t>14.2.9</t>
  </si>
  <si>
    <t>14.2.10</t>
  </si>
  <si>
    <t>14.2.11</t>
  </si>
  <si>
    <t>14.2.12</t>
  </si>
  <si>
    <t>14.2.13</t>
  </si>
  <si>
    <t>14.3.1</t>
  </si>
  <si>
    <t>14.3.2</t>
  </si>
  <si>
    <t>14.3.3</t>
  </si>
  <si>
    <t>14.3.4</t>
  </si>
  <si>
    <t>14.3.5</t>
  </si>
  <si>
    <t>14.3.6</t>
  </si>
  <si>
    <t>14.3.7</t>
  </si>
  <si>
    <t>14.3.8</t>
  </si>
  <si>
    <t>14.3.9</t>
  </si>
  <si>
    <t>14.3.10</t>
  </si>
  <si>
    <t>14.3.11</t>
  </si>
  <si>
    <t>14.3.12</t>
  </si>
  <si>
    <t>14.3.13</t>
  </si>
  <si>
    <t>14.3.14</t>
  </si>
  <si>
    <t>14.4.1</t>
  </si>
  <si>
    <t>14.4.2</t>
  </si>
  <si>
    <t>14.4.3</t>
  </si>
  <si>
    <t>14.4.4</t>
  </si>
  <si>
    <t>14.4.5</t>
  </si>
  <si>
    <t>14.4.6</t>
  </si>
  <si>
    <t>14.4.7</t>
  </si>
  <si>
    <t>14.4.8</t>
  </si>
  <si>
    <t>14.4.9</t>
  </si>
  <si>
    <t>14.5.1</t>
  </si>
  <si>
    <t>14.5.2</t>
  </si>
  <si>
    <t>14.5.3</t>
  </si>
  <si>
    <t>14.5.4</t>
  </si>
  <si>
    <t>14.5.5</t>
  </si>
  <si>
    <t>14.5.6</t>
  </si>
  <si>
    <t>14.5.7</t>
  </si>
  <si>
    <t>14.5.8</t>
  </si>
  <si>
    <t>14.5.9</t>
  </si>
  <si>
    <t>14.5.10</t>
  </si>
  <si>
    <t>19.1</t>
  </si>
  <si>
    <t>COMPOSIÇÕES - PROJETO CENTRO DE CONVIVÊNCIA</t>
  </si>
  <si>
    <t>TOTAL/m³</t>
  </si>
  <si>
    <t>4.18</t>
  </si>
  <si>
    <t>19.2</t>
  </si>
  <si>
    <t>19.3</t>
  </si>
  <si>
    <t>19.4</t>
  </si>
  <si>
    <t>19.5</t>
  </si>
  <si>
    <t>19.6</t>
  </si>
  <si>
    <t>19.7</t>
  </si>
  <si>
    <t>19.8</t>
  </si>
  <si>
    <t xml:space="preserve">ENG. CIVIL JANAÍNA SAYDELLES VOLPATTO - PROJETO ARQUITETÔNICO, CONFORME ART Nº 10415186    </t>
  </si>
  <si>
    <t xml:space="preserve">ENG. ELETRICISTA CEDENIR BORGHETTI - INSTALAÇÕES ELÉTRICA, SPDA E CABEAMENTO ESTRUTURADO, CONFORME ART Nº 10415192    </t>
  </si>
  <si>
    <t xml:space="preserve">ENG. MECÂNICO VINICUS FISCHER GONÇALVES - PROJETO DE CLIMATIZAÇÃO, PPCI E GLP, CONFORME ART Nº 10406033         </t>
  </si>
  <si>
    <t xml:space="preserve">4) ESSE ORÇAMENTO TEM COMO RESPONSÁVEIS TÉCNICOS OS SEGUINTES PROFISSIONAIS:                                                                                                                                                                                                                                                                                                                                                                                                                                                                                                                                                                                                                                                                                                                                                                                                                                                                                                                                                                                                                                         </t>
  </si>
  <si>
    <t xml:space="preserve">ENG. CIVIL ALISSON SIMONETTI MILANI - PROJETO ESTRUTURAL E INSTALAÇÕES HIDROSSANITÁRIAS, CONFORME ART Nº 10414792          </t>
  </si>
  <si>
    <t>BASE DE AREIS MÉDIA COM 10 CM DE ESPESSURA</t>
  </si>
  <si>
    <t>ASSENTAMENTO  TUBO DE PVC PARA REDE DE ÁGUA ENTERRADA DO ALIMENTADOR PREDIAL DN 40 - FORNECIMENTO E EXECUÇÃO, VALA (40 CM DE LARGURA  E  60 CM DE ALTURA)</t>
  </si>
  <si>
    <t>REALIMENTADOR 1" CASA DA CISTERNA OU EQUIVALENTE TÉCNICO PARA REALIMENTAÇÃO DA CISTERNA, INCLUSIVE FORNECIMENTO E INSTALAÇÃO</t>
  </si>
  <si>
    <t>CAIXA D'AGUA FIBRA VIDRO 5000 L - FORTLEV OU SIMILAR</t>
  </si>
  <si>
    <t>TUBO, PVC, SOLDÁVEL, DN 25 MM,  INSTALADO EM BARRILETE  INCLUSIVE CONEXÕE E FIXAÇÕES.</t>
  </si>
  <si>
    <t>TUBO, PVC, SOLDÁVEL, DN 32 MM,  INSTALADO EM BARRILETE  INCLUSIVE CONEXÕE E FIXAÇÕES.</t>
  </si>
  <si>
    <t>TUBO, PVC, SOLDÁVEL, DN 40 MM,  INSTALADO EM BARRILETE  INCLUSIVE CONEXÕE E FIXAÇÕES.</t>
  </si>
  <si>
    <t>TUBO, PVC, SOLDÁVEL, DN 60 MM,  INSTALADO EM BARRILETE  INCLUSIVE CONEXÕE E FIXAÇÕES.</t>
  </si>
  <si>
    <t>TOTAL/UNID.</t>
  </si>
  <si>
    <t>15 - INSTALAÇÕES ELÉTRICAS</t>
  </si>
  <si>
    <t>VIGAS NÍVEL 6,8M - RESERVATÓRIO  - CONCRETO ARMADO USINADO, FCK 25 MPA, INCLUSIVE ARMADURAS E FORMAS - COMPLETA</t>
  </si>
  <si>
    <t>PILARES PARA MURO COM COBOGÓ - CONCRETO ARMADO USINADO, FCK 25 MPA, INCLUSIVE ARMADURAS E FORMAS - COMPLETO</t>
  </si>
  <si>
    <t>LAJE MACIÇA NÍVEL 2,00M (FILTRO CISTERNA) - CONCRETO ARMADO USINADO, FCK 25 MPA, INCLUSIVE ARMADURAS E FORMAS - COMPLETA</t>
  </si>
  <si>
    <t>LAJE MACIÇA NÍVEL 3,00M (COBERTURA 1) - CONCRETO ARMADO USINADO, FCK 25 MPA, INCLUSIVE ARMADURAS E FORMAS - COMPLETA</t>
  </si>
  <si>
    <t>LAJE MACIÇA NÍVEL 4,4M (COBERTURA 2) - CONCRETO ARMADO USINADO, FCK 25 MPA, INCLUSIVE ARMADURAS E FORMAS - COMPLETA</t>
  </si>
  <si>
    <t>LAJE MACIÇA NÍVEL 6,8M  (RESERVATÓRIO) - CONCRETO ARMADO USINADO, FCK 25 MPA, INCLUSIVE ARMADURAS E FORMAS - COMPLETA</t>
  </si>
  <si>
    <t>VIGAS NÍVEL 3,0M - COBERTURA 1 - CONCRETO ARMADO USINADO, FCK 25 MPA, INCLUSIVE ARMADURAS E FORMAS - COMPLETA</t>
  </si>
  <si>
    <t>VIGAS NÍVEL 4,4M - COBERTURA 2  - CONCRETO ARMADO USINADO, FCK 25 MPA, INCLUSIVE ARMADURAS E FORMAS - COMPLETA</t>
  </si>
  <si>
    <t>FABRICAÇÃO, MONTAGEM E DESMONTAGEM DE FÔRMA PARA VIGA BALDRAME, EM MADEIRA SERRADA, E=25 MM, 4 UTILIZAÇÕES</t>
  </si>
  <si>
    <t>REATERRO MANUAL APILOADO COM SOQUETE (CONSIDERANDO 30% DE COMPACTAÇÃO)</t>
  </si>
  <si>
    <t>REATERRO MANUAL APILOADO COM SOQUETE (CONSIDERANDO 30% DE EMPOLAMENTO)</t>
  </si>
  <si>
    <t>C 94962</t>
  </si>
  <si>
    <t>CONCRETO MAGRO PARA LASTRO, TRAÇO 1:4,5:4,5 (EM MASSA SECA DE CIMENTO/ AREIA MÉDIA/ BRITA 1) - PREPARO MECÂNICO COM BETONEIRA 400 L. AF_05/2021</t>
  </si>
  <si>
    <t>C 88262</t>
  </si>
  <si>
    <t>CARPINTEIRO DE FORMAS COM ENCARGOS COMPLEMENTARES</t>
  </si>
  <si>
    <t>PREGO DE ACO POLIDO COM CABECA 18 X 30 (2 3/4 X 10)</t>
  </si>
  <si>
    <t>PLACA DE OBRA (PARA CONSTRUCAO CIVIL) EM CHAPA GALVANIZADA *N. 22*, ADESIVADA, DE *2,0 X 1,125* M</t>
  </si>
  <si>
    <t>PONTALETE *7,5 X 7,5* CM EM PINUS, MISTA OU EQUIVALENTE DA REGIAO - BRUTA</t>
  </si>
  <si>
    <t>SARRAFO NAO APARELHADO *2,5 X 7* CM, EM MACARANDUBA, ANGELIM OU EQUIVALENTE DA REGIAO - BRUTA</t>
  </si>
  <si>
    <t>I 5075</t>
  </si>
  <si>
    <t>I 4813</t>
  </si>
  <si>
    <t>I 4491</t>
  </si>
  <si>
    <t>I 4417</t>
  </si>
  <si>
    <t>C 98458</t>
  </si>
  <si>
    <t>C 101510</t>
  </si>
  <si>
    <t>ENTRADA PROVISÓRIA DE ENERGIA ELÉTRICA AÉREA TRIFÁSICA COM CAIXA DE EMBUTIR</t>
  </si>
  <si>
    <t>C 90777</t>
  </si>
  <si>
    <t>C 90780</t>
  </si>
  <si>
    <t xml:space="preserve">TÉCNICO EM SEGURANÇA DO TRABALHO COM ENCARGOS COMPLEMENTARES  </t>
  </si>
  <si>
    <t>LIMPEZA MECANIZADA DE CAMADA VEGETAL, VEGETAÇÃO E PEQUENAS ÁRVORES, COM TRATOR DE ESTEIRAS.</t>
  </si>
  <si>
    <t>C 98525</t>
  </si>
  <si>
    <t>C 101233</t>
  </si>
  <si>
    <t>ESPALHAMENTO DE MATERIAL COM TRATOR DE ESTEIRA</t>
  </si>
  <si>
    <t>C 100574</t>
  </si>
  <si>
    <t xml:space="preserve">EXECUÇÃO E COMPACTAÇÃO DE ATERRO COM SOLO PREDOMINANTEMENTE ARGILOSO </t>
  </si>
  <si>
    <t>C 96385</t>
  </si>
  <si>
    <t>C 92792</t>
  </si>
  <si>
    <t>CARGA, MANOBRA E DESCARGA DE SOLOS E MATERIAIS GRANULARES EM CAMINHÃO BASCULANTE 6 M³ - CARGA COM PÁ CARREGADEIRA (CAÇAMBA DE 1,7 A 2,8 M³ / 128 HP) E DESCARGA LIVRE (UNIDADE: M3). AF_07/2020</t>
  </si>
  <si>
    <t>C 100973</t>
  </si>
  <si>
    <t>C-98557</t>
  </si>
  <si>
    <t>MONTAGEM E DESMONTAGEM DE FÔRMA DE PILARES RETANGULARES E ESTRUTURAS SIMILARES, PÉ-DIREITO SIMPLES, EM MADEIRA SERRADA, 4 UTILIZAÇÕES. AF_09/2020</t>
  </si>
  <si>
    <t>SINAPI C-92413</t>
  </si>
  <si>
    <t>MONTAGEM E DESMONTAGEM DE FÔRMA DE LAJE MACIÇA, PÉ-DIREITO SIMPLES, EM MADEIRA SERRADA, 2 UTILIZAÇÕES, INCLUSIVE ESCORAMENTO</t>
  </si>
  <si>
    <t>SINAPI C-92484</t>
  </si>
  <si>
    <t>SINAPI C-92801</t>
  </si>
  <si>
    <t>SINAPI C-92802</t>
  </si>
  <si>
    <t>SINAPI C-92803</t>
  </si>
  <si>
    <t xml:space="preserve">SINAPI I-3408  </t>
  </si>
  <si>
    <t>ESPUMA EXPANSIVA DE POLIURETANO, APLICACAO MANUAL - 500 ML</t>
  </si>
  <si>
    <t>SINAPI I-38124</t>
  </si>
  <si>
    <t>POLIESTIRENO EXPANDIDO/EPS (ISOPOR), TIPO 2F, PLACA, ISOLAMENTO TERMOACUSTICO, E = 20 MM, 1000 X 500 MM - 2 PLACAS COM TOTAL 40 MM</t>
  </si>
  <si>
    <t>C 97113</t>
  </si>
  <si>
    <t>ALVENARIA EM TIJOLO CERÂMICO MACIÇO 1/2 VEZ (5X10X20 CM), ESPESSURA 10 CM, ASSENTADO COM ARGAMASSA TRAÇO 1:2:8 (CIMENTO, CAL, AREIA)</t>
  </si>
  <si>
    <t>COMPOSIÇÃO 3 (REF. C72132/2020)</t>
  </si>
  <si>
    <t>C 87335</t>
  </si>
  <si>
    <t>I 7258</t>
  </si>
  <si>
    <t>TIJOLO CERÂMICO MACIÇO COMUM 5X10X20 CM (LXAXC)</t>
  </si>
  <si>
    <t>ARGAMASSA TRAÇO 1:2:8 (EM VOLUME DE CIMENTO, CAL E AREIA MÉDIA ÚMIDA) PARA EMBOÇO/MASSA ÚNICA/ASSENTAMENTO DE ALVENARIA DE VEDAÇÃO, PREPARO MECÂNICO COM MISTURADOR DE EIXO HORIZONTAL DE 300 KG. AF_08/2019</t>
  </si>
  <si>
    <t>C 96621</t>
  </si>
  <si>
    <t>LASTRO COM MATERIAL GRANULAR, APLICAÇÃO EM BLOCOS DE COROAMENTO, ESPESSURA DE 5 CM</t>
  </si>
  <si>
    <t>C 94569</t>
  </si>
  <si>
    <t>C 94570</t>
  </si>
  <si>
    <t>C 94573</t>
  </si>
  <si>
    <t>SBC 112130 (09/2021)</t>
  </si>
  <si>
    <t>C 94805</t>
  </si>
  <si>
    <t>JANELA FIXA DE ALUMÍNIO PARA VIDRO, COM VIDRO, BATENTE E FERRAGENS. EXCLUSIVE ACABAMENTO, ALIZAR E CONTRAMARCO. FORNECIMENTO E INSTALAÇÃO. AF_12/2019</t>
  </si>
  <si>
    <t>C 100674</t>
  </si>
  <si>
    <t>PUXADOR TUBULAR RETO DUPLO DE AÇO INOX POLIDO DE 30 CM E DIÂMETRO 25 MM</t>
  </si>
  <si>
    <t>JANELA DE AÇO TIPO BASCULANTE PARA VIDROS, COM BATENTE, FERRAGENS E PINTURA ANTICORROSIVA. EXCLUSIVE VIDROS, ACABAMENTO, ALIZAR E CONTRAMARCO. FORNECIMENTO E INSTALAÇÃO. AF_12/2019</t>
  </si>
  <si>
    <t>I 36218</t>
  </si>
  <si>
    <t xml:space="preserve">KIT DE PORTA DE ALUMÍNIO DE ABRIR COM LAMBRI E BANDEIRA COM VIDRO FIXO SUPERIOR, 0,90X2,55M, COR BRANCA, COM GUARNIÇÃO E FECHADURA EXTERNA, CONFORME PROJETO E ESPECIFICAÇÕES </t>
  </si>
  <si>
    <t>BARRA DE APOIO RETA EM ALUMÍNIO, DIÂMETRO MÍNIMO 3CM, LARGURA DE 40 CM</t>
  </si>
  <si>
    <t>C 100705</t>
  </si>
  <si>
    <t>C 100706</t>
  </si>
  <si>
    <t xml:space="preserve">FECHADURA CREMONA EM LATÃO POLIDO, COM CHAVE </t>
  </si>
  <si>
    <t>9 - VIDROS</t>
  </si>
  <si>
    <t>VIDRO MINI BOREAL 4 MM</t>
  </si>
  <si>
    <t>PERFIL DE BORRACHA EPDM MACICO *12 X 15* MM PARA ESQUADRIAS</t>
  </si>
  <si>
    <t>VIDRACEIRO COM ENCARGOS COMPLEMENTARES</t>
  </si>
  <si>
    <t>INSTALAÇÃO DE VIDRO MINI BOREAL EM ESQUADRIA DE ALUMÍNIO</t>
  </si>
  <si>
    <t>I 10496</t>
  </si>
  <si>
    <t>I 10501</t>
  </si>
  <si>
    <t>I 10505</t>
  </si>
  <si>
    <t>ESPELHO CRISTAL, ESPESSURA 4,0 MM, COM PARAFUSO DE FIXAÇÃO, SEM MOLDURA</t>
  </si>
  <si>
    <t>C 88325</t>
  </si>
  <si>
    <t>I 11186</t>
  </si>
  <si>
    <t>ESPELHO CRISTAL E=4MM</t>
  </si>
  <si>
    <t>I 442</t>
  </si>
  <si>
    <t>PARAFUSO FRANCES M16 EM ACO GALVANIZADO, COMPRIMENTO = 45 MM, DIAMETRO = 16 MM, CABECA ABAULADA</t>
  </si>
  <si>
    <t>10 - COBERTURA</t>
  </si>
  <si>
    <t>CAPEAMENTO EM CHAPA DE AÇO GALVANIZADO Nº 24  DESENVOLVIMENTO 33 CM - INCLUSO TRANSPORTE VERTICAL</t>
  </si>
  <si>
    <t>C 100861</t>
  </si>
  <si>
    <t>MÃO FRANCESA EM AÇO, ABAS IGUAIS DE 30 CM, FORNECIMENTO E INSTALAÇÃO - BANCADAS</t>
  </si>
  <si>
    <t>PINTURA DE PISO COM TINTA ACRÍLICA, APLICAÇÃO MANUAL, 2 DEMÃOS, INCLUSO FUNDO PREPARADOR (CALÇAMENTO)</t>
  </si>
  <si>
    <t>C 102491</t>
  </si>
  <si>
    <t>C 102218</t>
  </si>
  <si>
    <t>C 102233</t>
  </si>
  <si>
    <t>REVESTIMENTOS DAS PAREDES EM PORCELANATO RETIFICADO 60 X 60 CM BRANCO ESMALTADO, INCLUSIVE ARGAMASSA COLANTE AC III E REJUNTE - MARCA ELIANE OU SIMILAR</t>
  </si>
  <si>
    <t>C 100322</t>
  </si>
  <si>
    <t>C 96622</t>
  </si>
  <si>
    <t>C 94216</t>
  </si>
  <si>
    <t>TELHAMENTO COM TELHA TRAPEZOIDAL EM AÇO GALVANIZADO TIPO SANDUICHE -TP 40 (CHAPA 0,43 MM) + EPS 30 MM + TP 40 (CHAPA 0,43 MM) - INCLUSIVE IÇAMENTO</t>
  </si>
  <si>
    <t>CUMEEIRA TERMOACÚSTICA - MESMO MATERIAL DAS TELHAS</t>
  </si>
  <si>
    <t>COBERTURA DE POLICARBONATO ALVEOLAR COM ESPESSURA 10 MM - INCLUSIVE INSTALAÇÃO</t>
  </si>
  <si>
    <t>PERGOLADO EM MADEIRA DE PINUS AUTOCLAVADO, INCLUSIVE A MÃO DE OBRA DE INSTALAÇÃO, CONSIDERANDO PILARES, TERÇAS, CAIBROS E RIPAS, DIMENSÕES E TRATAMENTO DA MADEIRA CONFORME PROJETO ARQUITETÔNICO E MEMORIAL</t>
  </si>
  <si>
    <t>I 4712</t>
  </si>
  <si>
    <t>PEDRA ARENITO, DIMENSÕES 45X20CM</t>
  </si>
  <si>
    <t>COMPOSIÇÃO  2</t>
  </si>
  <si>
    <t>I 4823</t>
  </si>
  <si>
    <t>MASSA PLÁSTICA PARA GRANITO</t>
  </si>
  <si>
    <t>I 7568</t>
  </si>
  <si>
    <t>BUCHA DE NYLON SEM ABA S10, COM PARAFUSO DE 6,10 X 65 MM EM ACO ZINCADO COM ROSCA SOBERBA, CABECA CHATA E FENDA PHILLIPS</t>
  </si>
  <si>
    <t>REJUNTE EPOXI, QUALQUER COR</t>
  </si>
  <si>
    <t>I 11795</t>
  </si>
  <si>
    <t>I 37329</t>
  </si>
  <si>
    <t>C 88274</t>
  </si>
  <si>
    <t>MARMORISTA/GRANITEIRO COM ENCARGOS COMPLEMENTARES</t>
  </si>
  <si>
    <t>GRANITO BRANCO DALLAS, E= *2,0* CM</t>
  </si>
  <si>
    <t>12 - PINTURA</t>
  </si>
  <si>
    <t>COMPOSIÇÃO  1</t>
  </si>
  <si>
    <t>MASSA A OLEO PARA MADEIRA</t>
  </si>
  <si>
    <t>I 3767</t>
  </si>
  <si>
    <t>I 4053</t>
  </si>
  <si>
    <t>C 88310</t>
  </si>
  <si>
    <t>GL</t>
  </si>
  <si>
    <t>PO DE PEDRA</t>
  </si>
  <si>
    <t>I 4741</t>
  </si>
  <si>
    <t>I 4729</t>
  </si>
  <si>
    <t>PEDRA BRITADA GRADUADA</t>
  </si>
  <si>
    <t>RACHÃO, COM ESPESSURA DE 20CM, COMPACTADOS EM DUAS CAMADAS DE 10 CM</t>
  </si>
  <si>
    <t>I 4730</t>
  </si>
  <si>
    <t>PINTURA ACRÍLICA EM PISO CIMENTADO, TRÊS DEMÃOS, INCLUSIVE FUNDO PREPARADOR</t>
  </si>
  <si>
    <t>C 102492</t>
  </si>
  <si>
    <t>I 123</t>
  </si>
  <si>
    <t>PORCELANATO PARA PISO, REFERÊNCIA MARCA PORTINARI ESMALTADO ACETINADO BORDA RETA COLEÇÃO LOFT COR BRANCA PEI 4, DIMENSÕES 60 X 120 CM (20% QUEBRA)</t>
  </si>
  <si>
    <t>C 98689</t>
  </si>
  <si>
    <t>C-91785</t>
  </si>
  <si>
    <t>C-91786</t>
  </si>
  <si>
    <t>C-91787</t>
  </si>
  <si>
    <t>C-89987</t>
  </si>
  <si>
    <t>C-94490</t>
  </si>
  <si>
    <t>C-94491</t>
  </si>
  <si>
    <t>C-94492</t>
  </si>
  <si>
    <t>C-94493</t>
  </si>
  <si>
    <t>C-94500</t>
  </si>
  <si>
    <t>C-97635</t>
  </si>
  <si>
    <t>VÁLVULA DE ESFERA, PVC, SOLDÁVEL, DN 60 MM, INSTALADO EM RESERVATÓRIO DE ÁGUA DE EDIFICAÇÃO - FORNECIMENTO E INSTALAÇÃ.</t>
  </si>
  <si>
    <t>C-94648</t>
  </si>
  <si>
    <t>C-94649</t>
  </si>
  <si>
    <t>C-89492</t>
  </si>
  <si>
    <t xml:space="preserve">I-00829 </t>
  </si>
  <si>
    <t>C-94650</t>
  </si>
  <si>
    <t>C-89497</t>
  </si>
  <si>
    <t>C-94692</t>
  </si>
  <si>
    <t>I-00812</t>
  </si>
  <si>
    <t>I-00834</t>
  </si>
  <si>
    <t>C-94672</t>
  </si>
  <si>
    <t>TUBO, PVC, SOLDÁVEL, DN 25 MM, INSTALADO EM BARRILETE  INCLUSIVE CONEXÕES E FIXAÇÕES.</t>
  </si>
  <si>
    <t>TUBO, PVC, SOLDÁVEL, DN 32 MM, INSTALADO EM BARRILETE  INCLUSIVE CONEXÕES E FIXAÇÕES.</t>
  </si>
  <si>
    <t>TUBO, PVC, SOLDÁVEL, DN 40 MM, INSTALADO EM BARRILETE  INCLUSIVE CONEXÕES E FIXAÇÕES.</t>
  </si>
  <si>
    <t>TUBO, PVC, SOLDÁVEL, DN 50 MM,  INSTALADO EM BARRILETE  INCLUSIVE CONEXÕES E FIXAÇÕES.</t>
  </si>
  <si>
    <t>TUBO, PVC, SOLDÁVEL, DN 60 MM, INSTALADO EM BARRILETE  INCLUSIVE CONEXÕES E FIXAÇÕES.</t>
  </si>
  <si>
    <t>TUBO, PVC, SOLDÁVEL, DN 85MM,  INSTALADO EM BARRILETE  INCLUSIVE CONEXÕES E FIXAÇÕES.</t>
  </si>
  <si>
    <t>C-94651</t>
  </si>
  <si>
    <t>C-89501</t>
  </si>
  <si>
    <t xml:space="preserve"> C-94694</t>
  </si>
  <si>
    <t>I-00819</t>
  </si>
  <si>
    <t>I-00820</t>
  </si>
  <si>
    <t>C-94652</t>
  </si>
  <si>
    <t xml:space="preserve"> C-89505</t>
  </si>
  <si>
    <t>C-94696</t>
  </si>
  <si>
    <t>I-00818</t>
  </si>
  <si>
    <t>I-00814</t>
  </si>
  <si>
    <t>I-00815</t>
  </si>
  <si>
    <t>I-00813</t>
  </si>
  <si>
    <t xml:space="preserve"> C-94654</t>
  </si>
  <si>
    <t>C-89521</t>
  </si>
  <si>
    <t>C-94699</t>
  </si>
  <si>
    <t>I-00817</t>
  </si>
  <si>
    <t>I-00822</t>
  </si>
  <si>
    <t xml:space="preserve"> I-00815</t>
  </si>
  <si>
    <t xml:space="preserve"> I-00814</t>
  </si>
  <si>
    <t>RESERVATÓRIO EM FIBRA DE VIDRO, 5.000 LITROS C/ TAMPA, FORTLEV OU EQUIVALENTE TÉCNICO - COMPLETO E INSTALADO (ÁGUA POTÁVEL)</t>
  </si>
  <si>
    <t>I-00733</t>
  </si>
  <si>
    <t>C-94482</t>
  </si>
  <si>
    <t>I-6013</t>
  </si>
  <si>
    <t xml:space="preserve"> I-3148</t>
  </si>
  <si>
    <t>I-6014</t>
  </si>
  <si>
    <t xml:space="preserve"> I-3146</t>
  </si>
  <si>
    <t xml:space="preserve"> I-11764</t>
  </si>
  <si>
    <t xml:space="preserve"> I-0099</t>
  </si>
  <si>
    <t xml:space="preserve"> I-0074</t>
  </si>
  <si>
    <t xml:space="preserve"> C-88267</t>
  </si>
  <si>
    <t xml:space="preserve"> C-88248</t>
  </si>
  <si>
    <t xml:space="preserve"> I-0100</t>
  </si>
  <si>
    <t xml:space="preserve"> C-88316</t>
  </si>
  <si>
    <t>I-370</t>
  </si>
  <si>
    <t xml:space="preserve"> I-4741</t>
  </si>
  <si>
    <t>C-88260</t>
  </si>
  <si>
    <t xml:space="preserve"> C-91277</t>
  </si>
  <si>
    <t>C-91278</t>
  </si>
  <si>
    <t>C-90105</t>
  </si>
  <si>
    <t xml:space="preserve"> I-370</t>
  </si>
  <si>
    <t xml:space="preserve"> I-9869</t>
  </si>
  <si>
    <t xml:space="preserve"> I-20078</t>
  </si>
  <si>
    <t xml:space="preserve"> C-88246</t>
  </si>
  <si>
    <t xml:space="preserve"> I-9874</t>
  </si>
  <si>
    <t>I-20078</t>
  </si>
  <si>
    <t>C-88246</t>
  </si>
  <si>
    <t xml:space="preserve"> C-93382</t>
  </si>
  <si>
    <t>C-93382</t>
  </si>
  <si>
    <t xml:space="preserve"> C-89711</t>
  </si>
  <si>
    <t xml:space="preserve"> C-89724</t>
  </si>
  <si>
    <t xml:space="preserve"> C-89726</t>
  </si>
  <si>
    <t xml:space="preserve"> C-89752</t>
  </si>
  <si>
    <t xml:space="preserve"> C-89783</t>
  </si>
  <si>
    <t xml:space="preserve"> C-89712</t>
  </si>
  <si>
    <t xml:space="preserve"> C-89731</t>
  </si>
  <si>
    <t>C-89732</t>
  </si>
  <si>
    <t>C-89753</t>
  </si>
  <si>
    <t>C-89784</t>
  </si>
  <si>
    <t>C-89813</t>
  </si>
  <si>
    <t>C-89713</t>
  </si>
  <si>
    <t>C-89737</t>
  </si>
  <si>
    <t xml:space="preserve"> C-89739</t>
  </si>
  <si>
    <t xml:space="preserve"> C-89774</t>
  </si>
  <si>
    <t xml:space="preserve"> C-89786</t>
  </si>
  <si>
    <t xml:space="preserve"> C-89795</t>
  </si>
  <si>
    <t xml:space="preserve"> C-89799</t>
  </si>
  <si>
    <t xml:space="preserve"> C-89806</t>
  </si>
  <si>
    <t xml:space="preserve"> C-89807</t>
  </si>
  <si>
    <t xml:space="preserve"> C-89817</t>
  </si>
  <si>
    <t xml:space="preserve"> C-89829</t>
  </si>
  <si>
    <t xml:space="preserve"> C-89830</t>
  </si>
  <si>
    <t>C-89714</t>
  </si>
  <si>
    <t xml:space="preserve"> C-89746</t>
  </si>
  <si>
    <t>C-89748</t>
  </si>
  <si>
    <t>C-89778</t>
  </si>
  <si>
    <t>C-89796</t>
  </si>
  <si>
    <t>C-89797</t>
  </si>
  <si>
    <t xml:space="preserve"> C-89800</t>
  </si>
  <si>
    <t xml:space="preserve"> C-89810</t>
  </si>
  <si>
    <t>C-89821</t>
  </si>
  <si>
    <t>C-89833</t>
  </si>
  <si>
    <t xml:space="preserve"> C-89834</t>
  </si>
  <si>
    <t xml:space="preserve"> C-89848</t>
  </si>
  <si>
    <t xml:space="preserve"> C-89851</t>
  </si>
  <si>
    <t>C-89856</t>
  </si>
  <si>
    <t>C-89861</t>
  </si>
  <si>
    <t xml:space="preserve"> C-89737</t>
  </si>
  <si>
    <t>C-89739</t>
  </si>
  <si>
    <t>C-89774</t>
  </si>
  <si>
    <t>C-89786</t>
  </si>
  <si>
    <t>C-89795</t>
  </si>
  <si>
    <t>C-89817</t>
  </si>
  <si>
    <t>C-89829</t>
  </si>
  <si>
    <t>C-89830</t>
  </si>
  <si>
    <t>C-89746</t>
  </si>
  <si>
    <t xml:space="preserve"> C-89748</t>
  </si>
  <si>
    <t xml:space="preserve"> C-89778</t>
  </si>
  <si>
    <t xml:space="preserve"> C-89796</t>
  </si>
  <si>
    <t>C-89800</t>
  </si>
  <si>
    <t xml:space="preserve"> C-89833</t>
  </si>
  <si>
    <t>C-89834</t>
  </si>
  <si>
    <t>C-89848</t>
  </si>
  <si>
    <t>C-89851</t>
  </si>
  <si>
    <t xml:space="preserve"> C-90105</t>
  </si>
  <si>
    <t xml:space="preserve"> C-89855</t>
  </si>
  <si>
    <t>C-89849</t>
  </si>
  <si>
    <t xml:space="preserve"> C-91793</t>
  </si>
  <si>
    <t xml:space="preserve"> C-93358</t>
  </si>
  <si>
    <t>C-90701</t>
  </si>
  <si>
    <t xml:space="preserve"> C-96995</t>
  </si>
  <si>
    <t xml:space="preserve"> REATERRO MANUAL DE VALAS APILOADO COM SOQUETE</t>
  </si>
  <si>
    <t>C-94229</t>
  </si>
  <si>
    <t>C-91789</t>
  </si>
  <si>
    <t>C-91790</t>
  </si>
  <si>
    <t>C-91791</t>
  </si>
  <si>
    <t>CALHA EM CHAPA DE AÇO GALVANIZADO, NÚMERO 24, DESENVOLVIMENTO DE 100 CM - INCLUSO TRANSPORTE VERTICAL</t>
  </si>
  <si>
    <t xml:space="preserve"> I-122</t>
  </si>
  <si>
    <t>I-9841</t>
  </si>
  <si>
    <t xml:space="preserve"> I-20083</t>
  </si>
  <si>
    <t>I-38383</t>
  </si>
  <si>
    <t xml:space="preserve"> I-9840</t>
  </si>
  <si>
    <t xml:space="preserve"> I-38383</t>
  </si>
  <si>
    <t xml:space="preserve"> I-41930</t>
  </si>
  <si>
    <t>C-94501</t>
  </si>
  <si>
    <t>REGISTRO DE GAVETA BRUTO, LATÃO, ROSCÁVEL, 4, INSTALADO EM RESERVAÇÃO DE ÁGUA DE EDIFICAÇÃO QUE POSSUA RESERVATÓRIO DE FIBRA/FIBROCIMENTO</t>
  </si>
  <si>
    <t>C-102666</t>
  </si>
  <si>
    <t>C 100859</t>
  </si>
  <si>
    <t>PORTA DE ALUMÍNIO DE ABRIR PARA VIDRO SEM GUARNIÇÃO, 87X210CM, FIXAÇÃO COM PARAFUSOS, SEM VIDROS - FORNECIMENTO E INSTALAÇÃO. AF_12/2019</t>
  </si>
  <si>
    <t>JANELA FIXA DE ALUMÍNIO PARA VIDRO, SEM VIDRO, BATENTE E FERRAGENS. EXCLUSIVE ACABAMENTO, ALIZAR E CONTRAMARCO. FORNECIMENTO E INSTALAÇÃO. AF_12/2019</t>
  </si>
  <si>
    <t>C 94559</t>
  </si>
  <si>
    <t>CAIXA D'AGUA FIBRA VIDRO 5000 L, COM TAMPA - FORTLEV OU SIMILAR</t>
  </si>
  <si>
    <t>I 37105</t>
  </si>
  <si>
    <t>C 3712/ORSE</t>
  </si>
  <si>
    <t>C 12209/ORSE</t>
  </si>
  <si>
    <t xml:space="preserve"> I 20259</t>
  </si>
  <si>
    <t>I 25980</t>
  </si>
  <si>
    <t>C 86914</t>
  </si>
  <si>
    <t>ESCAVAÇÃO VERTICAL A CÉU ABERTO, EM OBRAS DE INFRAESTRUTURA, INCLUINDO CARGA, DESCARGA E TRANSPORTE, EM SOLO DE 1ª CATEGORIA COM ESCAVADEIRA HIDRÁULICA (CAÇAMBA: 1,2 M³ / 155 HP), FROTA DE 3 CAMINHÕES BASCULANTES DE 18 M³, DMT ATÉ 1 KM E VELOCIDADE MÉDIA14KM/H</t>
  </si>
  <si>
    <t>C-94962</t>
  </si>
  <si>
    <t>I-34493</t>
  </si>
  <si>
    <t>C-96534</t>
  </si>
  <si>
    <t>C-92792</t>
  </si>
  <si>
    <t>C-92793</t>
  </si>
  <si>
    <t>C-92794</t>
  </si>
  <si>
    <t>C-92796</t>
  </si>
  <si>
    <t>C-90099</t>
  </si>
  <si>
    <t>C-96995</t>
  </si>
  <si>
    <t>MOBILIZAÇÃO E DESMOBILIZAÇÃO</t>
  </si>
  <si>
    <t>4.7</t>
  </si>
  <si>
    <t>ORSE I 09300</t>
  </si>
  <si>
    <t>I 07548 ORSE</t>
  </si>
  <si>
    <t>I 07975 ORSE</t>
  </si>
  <si>
    <t xml:space="preserve">I 08115 ORSE </t>
  </si>
  <si>
    <t>I 07543/ORSE</t>
  </si>
  <si>
    <t>I 09378/ORSE</t>
  </si>
  <si>
    <t>C 101917</t>
  </si>
  <si>
    <t>C 100722</t>
  </si>
  <si>
    <t>C 100734</t>
  </si>
  <si>
    <t>ROLO FITA PVC BRANCA E=19MM</t>
  </si>
  <si>
    <t>ORSE I 3649</t>
  </si>
  <si>
    <t>ORSE I 03283</t>
  </si>
  <si>
    <t>ORSE I 05005</t>
  </si>
  <si>
    <t>ORSE I 5008</t>
  </si>
  <si>
    <t>ORSE I 04683</t>
  </si>
  <si>
    <t>ORSE I 08151</t>
  </si>
  <si>
    <t>ORSE I 8115</t>
  </si>
  <si>
    <t>SINAPI I 37459</t>
  </si>
  <si>
    <t>AC01 - CONDICIONADOR DE AR DO TIPO SPLIT CONVENCIONAL "HI-WALL", CONJUNTO UNIDADE EVAPORADORA + UNIDADE CONDENSADORA, CAPACIDADE: 24,000 BTU/H - QUENTE E FRIO - 2 TR, CICLO REVERSO, GÁS R410A, ENCE CLASSE A OU SUPERIOR, MARCA LG OU EQUIVALENTE TÉCNICO, FORNECIMENTO E INSTALAÇÃO.</t>
  </si>
  <si>
    <t>SINAPI I 39554</t>
  </si>
  <si>
    <t>SINAPI I 39548</t>
  </si>
  <si>
    <t>AC02 - CONDICIONADOR DE AR DO TIPO SPLIT CONVENCIONAL "HI-WALL", CONJUNTO COM UNIDADE EVAPORADORA + UNIDADE CONDENSADORA, CAPACIDADE: 18,000 BTU/H - QUENTE E FRIO - 1,5 TR, CICLO REVERSO, GÁS R410A, ENCE CLASSE A, MARCA LG OU EQUIVALENTE TÉCNICO, FORNECIMENTO E INSTALAÇÃO.</t>
  </si>
  <si>
    <t>SINAPI I 39555</t>
  </si>
  <si>
    <t>AC03 - CONDICIONADOR DE AR DO TIPO SPLIT CONVENCIONAL "HI-WALL", CONJUNTO UNIDADE EVAPORADORA + UNIDADE CONDENSADORA, CAPACIDADE: 12,000 BTU/H - QUENTE E FRIO - 1 TR, CICLO REVERSO, GÁS R410A, ENCE CLASSE A, MARCA LG OU EQUIVALENTE TÉCNICO, FORNECIMENTO E INSTALAÇÃO.</t>
  </si>
  <si>
    <t>C 101161</t>
  </si>
  <si>
    <t>BLOCO CERAMICO (ALVENARIA VEDAÇÃO), 9 FUROS, DE 14 X 19 X 24 CM, BLOCO DEITADO (ESPESSURA 19 CM), INCLUSIVE FRETE</t>
  </si>
  <si>
    <t>C 95803</t>
  </si>
  <si>
    <t>CAIXA DE PASSAGEM METALICA DE SOBREPOR COM TAMPA PARAFUSADA, DIMENSOES 30 X 30 X 10 CM - INSTALADA.</t>
  </si>
  <si>
    <t>TERMINAL A COMPRESSAO EM COBRE ESTANHADO PARA CABO 35 MM2 - INSTALADO</t>
  </si>
  <si>
    <t>C 101875</t>
  </si>
  <si>
    <t>C 101879</t>
  </si>
  <si>
    <t>C 101881</t>
  </si>
  <si>
    <t>620 ML</t>
  </si>
  <si>
    <t>PE1 - VIDRO MINIBOREAL 4MM 0,70*0,45M</t>
  </si>
  <si>
    <t>PE2 - VIDRO MINIBOREAL 4MM 0,90*0,45M</t>
  </si>
  <si>
    <t>PE3 - VIDRO MINIBOREAL 4MM 0,90*0,45M</t>
  </si>
  <si>
    <t>PE4 - VIDRO MINIBOREAL 4MM 0,90*0,45M</t>
  </si>
  <si>
    <t>PE4 - VIDRO LAMINADO 6 MM (3+3) 2,00*0,15M</t>
  </si>
  <si>
    <t>FILETE CERÂMICO LISO, COR VERDE, TAMANHO 2X30CM</t>
  </si>
  <si>
    <t>LAVATÓRIO DE LOUÇA SUSPENSO DE CANTO, COR BRANCA, COM COLUNA SUSPENSA, MARCA INCEPA OU CELITE, INCLUSIVE  VÁLVULA CROMADA, ENGATE FLEXÍVEL METÁLICO E SIFÃO DE PVC</t>
  </si>
  <si>
    <t>C 6096/ORSE</t>
  </si>
  <si>
    <t>4 - INFRAESTRUTURA</t>
  </si>
  <si>
    <t>5 - SUPERESTRUTURA</t>
  </si>
  <si>
    <t>C 08970/ORSE</t>
  </si>
  <si>
    <t>C 9077/ORSE</t>
  </si>
  <si>
    <t>C 12444/ORSE</t>
  </si>
  <si>
    <t>C 7767/ORSE</t>
  </si>
  <si>
    <t>C 8623/ORSE</t>
  </si>
  <si>
    <t>C 03841/ORSE</t>
  </si>
  <si>
    <t>C 100758 + C 98397</t>
  </si>
  <si>
    <t>C 04282/ORSE</t>
  </si>
  <si>
    <t xml:space="preserve">C 04883/ORSE </t>
  </si>
  <si>
    <t>C 12920/ORSE</t>
  </si>
  <si>
    <t>C 12511/ORSE</t>
  </si>
  <si>
    <t>C 04287/ORSE</t>
  </si>
  <si>
    <t>C 11961/ORSE</t>
  </si>
  <si>
    <t>C 1505/ORSE</t>
  </si>
  <si>
    <t>C 10832/ORSE</t>
  </si>
  <si>
    <t xml:space="preserve"> C 9039/ORSE</t>
  </si>
  <si>
    <t>C 9712/ORSE</t>
  </si>
  <si>
    <t>C 7638/ORSE</t>
  </si>
  <si>
    <t>AJUDANTE DE CARPINTEIRO COM ENCARGOS COMPLEMENTARES</t>
  </si>
  <si>
    <t>C 88239</t>
  </si>
  <si>
    <t>PREGO DE AÇO POLIDO COM CABEÇA 16X24</t>
  </si>
  <si>
    <t>I 5067</t>
  </si>
  <si>
    <t>SERVENTE DE OBRA COM ENCARGOS COMPLEMENTARES</t>
  </si>
  <si>
    <t>SBC I 39007</t>
  </si>
  <si>
    <t>C 09215/ORSE</t>
  </si>
  <si>
    <t>SBC C120436</t>
  </si>
  <si>
    <t xml:space="preserve">SBC C120436 </t>
  </si>
  <si>
    <t>C 12101/ORSE</t>
  </si>
  <si>
    <t>C 698/ORSE</t>
  </si>
  <si>
    <t>C 452/ORSE</t>
  </si>
  <si>
    <t>C 12889/ORSE</t>
  </si>
  <si>
    <t>C 11273/ORSE</t>
  </si>
  <si>
    <t>C 9048/ORSE</t>
  </si>
  <si>
    <t>C 11132/ORSE</t>
  </si>
  <si>
    <t>ORSE I 09018</t>
  </si>
  <si>
    <t>IMPERMEABILIZAÇÃO DE MADEIRA COM DUAS DEMÃOS DE PICHE EXTRA (VEDACIT OU SIMILAR) E REFORÇO IMUNIZANTE CARBOLINEUM EXTRA (VEDACIT OU SIMILAR) - BASE DOS PILARES DO PERGOLADO</t>
  </si>
  <si>
    <t>IMUNIZAÇÃO DE MADEIRAMENTO UTILIZANDO CUPINICIDA, DUAS DEMÃOS (PERGOLADO)</t>
  </si>
  <si>
    <t>12.3.5</t>
  </si>
  <si>
    <t>AC01 - CONDICIONADOR DE AR DO TIPO SPLIT CONVENCIONAL "HI-WALL", CONJUNTO COM UNIDADE EVAPORADORA + UNIDADE CONDENSADORA, QUENTE E FRIO, CAPACIDADE: 24.000 BTU/H - 2 TR, CICLO REVERSO, GÁS R410A, ENCE CLASSE A OU SUPERIOR, MARCA LG OU EQUIVALENTE TÉCNICO - FORNECIMENTO E INSTALAÇÃO</t>
  </si>
  <si>
    <t>AC02 - CONDICIONADOR DE AR DO TIPO SPLIT CONVENCIONAL "HI-WALL", CONJUNTO COM UNIDADE EVAPORADORA + UNIDADE CONDENSADORA, QUENTE E FRIO, CAPACIDADE: 18.000 BTU/H - 1,5 TR, CICLO REVERSO, GÁS R410A, ENCE CLASSE A, MARCA LG OU EQUIVALENTE TÉCNICO - FORNECIMENTO E INSTALAÇÃO</t>
  </si>
  <si>
    <t>AC03 - CONDICIONADOR DE AR DO TIPO SPLIT CONVENCIONAL "HI-WALL", CONJUNTO COM UNIDADE EVAPORADORA + UNIDADE CONDENSADORA, QUENTE E FRIO, CAPACIDADE: 12.000 BTU/H - 1 TR, CICLO REVERSO, GÁS R410A, ENCE CLASSE A, MARCA LG OU EQUIVALENTE TÉCNICO - FORNECIMENTO E INSTALAÇÃO.</t>
  </si>
  <si>
    <t>CAIXA DE PASSAGEM PLÁSTICA DE EMBUTIR COM TAMPA PARAFUSADA, DIMENSOES 24 X 24 X 9,5 CM, REF CP-20 TIGRE- INSTALADA.</t>
  </si>
  <si>
    <t>LUMINÁRIA DE SOBREPOR EM CHAPA METÁLICA, PINTURA ELETROSTÁTICA BRANCA, COM ALETAS E REFLETOR EM ALUMÍNIO</t>
  </si>
  <si>
    <t>I 1062</t>
  </si>
  <si>
    <t>CAIXA INTERNA/EXTERNA DE MEDICAO PARA 1 MEDIDOR TRIFASICO, COM VISOR, EM CHAPA DE ACO 18 USG (PADRAO DA CONCESSIONARIA LOCAL)</t>
  </si>
  <si>
    <t xml:space="preserve">CAIXA 4X2" PARA TOMADA NO PISO, INCLUI TOMADA E TAMPA UNHA </t>
  </si>
  <si>
    <t>COMPOSIÇÃO EL24</t>
  </si>
  <si>
    <t>I 39599</t>
  </si>
  <si>
    <t>CABO DE PAR TRANCADO UTP, 4 PARES, CATEGORIA 6</t>
  </si>
  <si>
    <t>COMPOSIÇÃO EL25</t>
  </si>
  <si>
    <t>CONECTOR PARAFUSO FENDIDO SPLIT-BOLT - PARA CABO DE 50MM2 - FORNECIMENTO E INSTALAÇÃO</t>
  </si>
  <si>
    <t>I 11862</t>
  </si>
  <si>
    <t>CONECTOR METALICO TIPO PARAFUSO FENDIDO (SPLIT BOLT), PARA CABOS ATE 50 MM2</t>
  </si>
  <si>
    <t>8795/ORSE</t>
  </si>
  <si>
    <t>I 1578</t>
  </si>
  <si>
    <t>LUMINÁRIA COMERCIAL SOBREPOR ALETADA, COM REFLETOR, COM DUAS LÂMPADAS LED TUBULARES DE 120CM, POTÊNCIA 2X18W, MÍNIMO 3.600LM, BIVOLT, EM CHAPA DE AÇO, PINTURA ELETROSTÁTICA NA COR BRANCA - FORNECIMENTO E INSTALAÇÃO.</t>
  </si>
  <si>
    <t>10728/ORSE</t>
  </si>
  <si>
    <t xml:space="preserve">CAIXA INSPEÇÃO EM POLIAMIDA 150X110X70MM, REF:TEL-541 OU SIMILAR (P/SPDA) </t>
  </si>
  <si>
    <t>C 9953/ORSE</t>
  </si>
  <si>
    <t>ARQ. E URB. GICELI TABARELLI - ATUALIZAÇÃO DOS VALORES DE 2019 PARA 2021</t>
  </si>
  <si>
    <t>CREA-RS 2022</t>
  </si>
  <si>
    <t>SINAP I-44396</t>
  </si>
  <si>
    <t>SINAPI C-103673</t>
  </si>
  <si>
    <t>C-103673</t>
  </si>
  <si>
    <t>I 1562</t>
  </si>
  <si>
    <t>FONTE: SINAPI NÃO DESONERADO 02/2022</t>
  </si>
  <si>
    <t>FONTE: ORSE 02/2022</t>
  </si>
  <si>
    <t>FONTE: SBC 02/2022</t>
  </si>
  <si>
    <t>C 39258</t>
  </si>
  <si>
    <t>CABO MULTIPOLAR DE COBRE, FLEXIVEL, CLASSE 4 OU 5, ISOLACAO EM HEPR, COBERTURA EM PVC-ST2, ANTICHAMA BWF-B, 0,6/1 KV, 3 CONDUTORES DE 2,5 MM2</t>
  </si>
  <si>
    <t>C 39259</t>
  </si>
  <si>
    <t>CABO MULTIPOLAR DE COBRE, FLEXIVEL, CLASSE 4 OU 5, ISOLACAO EM HEPR, COBERTURA EM PVC-ST2, ANTICHAMA BWF-B, 0,6/1 KV, 3 CONDUTORES DE 4 MM2</t>
  </si>
  <si>
    <t>LUMINÁRIA COMERCIAL SOBREPOR ALETADA, COM REFLETOR EM ALUMÍNIO, COM DUAS LÂMPADAS LED TUBULARES DE 120CM, POTÊNCIA 2X18W, MÍNIMO 3.600LM, BIVOLT, EM CHAPA DE AÇO, PINTURA ELETROSTÁTICA NA COR BRANCA - FORNECIMENTO E INSTALAÇÃO.</t>
  </si>
  <si>
    <t>ARQ. E URB. FABIOLA F. MACHADO - ATUALIZAÇÃO DOS VALORES DE 2021 PARA 2022</t>
  </si>
  <si>
    <t>SANTO ÂNGELO _____  /___________________/__________________</t>
  </si>
  <si>
    <t xml:space="preserve">ENG. CIVIL </t>
  </si>
  <si>
    <t xml:space="preserve">Eng. Civil </t>
  </si>
  <si>
    <t>SANTO ÃNGELO _______/_____________/__________</t>
  </si>
  <si>
    <t>SANTO ÂNGELO/RS, _________/___________/_________</t>
  </si>
  <si>
    <t>SANTO ÂNGELO, _____/_____________/_________________</t>
  </si>
  <si>
    <t xml:space="preserve">CREA 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</si>
</sst>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quot;R$&quot;\ * #,##0.00_-;\-&quot;R$&quot;\ * #,##0.00_-;_-&quot;R$&quot;\ * &quot;-&quot;??_-;_-@_-"/>
    <numFmt numFmtId="43" formatCode="_-* #,##0.00_-;\-* #,##0.00_-;_-* &quot;-&quot;??_-;_-@_-"/>
    <numFmt numFmtId="164" formatCode="_(* #,##0.00_);_(* \(#,##0.00\);_(* &quot;-&quot;??_);_(@_)"/>
    <numFmt numFmtId="165" formatCode="&quot;R$&quot;\ #,##0.00"/>
    <numFmt numFmtId="166" formatCode="_(* #,##0.00_);_(* \(#,##0.00\);_(* \-??_);_(@_)"/>
    <numFmt numFmtId="167" formatCode="_(&quot;R$ &quot;* #,##0.00_);_(&quot;R$ &quot;* \(#,##0.00\);_(&quot;R$ &quot;* &quot;-&quot;??_);_(@_)"/>
    <numFmt numFmtId="168" formatCode="0.0000"/>
    <numFmt numFmtId="169" formatCode="0.0%"/>
    <numFmt numFmtId="170" formatCode="#,#00"/>
    <numFmt numFmtId="171" formatCode="&quot; R$ &quot;#,##0.00\ ;&quot; R$ (&quot;#,##0.00\);&quot; R$ -&quot;#\ ;@\ "/>
    <numFmt numFmtId="172" formatCode="_(&quot;R$ &quot;* #,##0.00_);_(&quot;R$ &quot;* \(#,##0.00\);_(&quot;R$ &quot;* \-??_);_(@_)"/>
    <numFmt numFmtId="173" formatCode="General\ "/>
    <numFmt numFmtId="174" formatCode="%#,#00"/>
    <numFmt numFmtId="175" formatCode="#.#####"/>
    <numFmt numFmtId="176" formatCode="[$R$-416]\ #,##0.00;[Red]\-[$R$-416]\ #,##0.00"/>
    <numFmt numFmtId="177" formatCode="#,##0.00\ ;&quot; (&quot;#,##0.00\);&quot; -&quot;#\ ;@\ "/>
    <numFmt numFmtId="178" formatCode="#,"/>
    <numFmt numFmtId="179" formatCode="#,##0.0000"/>
    <numFmt numFmtId="180" formatCode="_(&quot;Cr$&quot;* #,##0.00_);_(&quot;Cr$&quot;* \(#,##0.00\);_(&quot;Cr$&quot;* &quot;-&quot;??_);_(@_)"/>
    <numFmt numFmtId="181" formatCode="0.000000%"/>
    <numFmt numFmtId="182" formatCode="_-&quot;R$ &quot;* #,##0.00_-;&quot;-R$ &quot;* #,##0.00_-;_-&quot;R$ &quot;* \-??_-;_-@_-"/>
    <numFmt numFmtId="183" formatCode="_-* #,##0.00_-;\-* #,##0.00_-;_-* \-??_-;_-@_-"/>
    <numFmt numFmtId="184" formatCode="0.000"/>
    <numFmt numFmtId="185" formatCode="#,##0.000000"/>
    <numFmt numFmtId="186" formatCode="_-* #,##0.0000_-;\-* #,##0.0000_-;_-* &quot;-&quot;????_-;_-@_-"/>
  </numFmts>
  <fonts count="6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1"/>
      <name val="Calibri"/>
      <family val="2"/>
      <scheme val="minor"/>
    </font>
    <font>
      <sz val="11"/>
      <color rgb="FF000000"/>
      <name val="Calibri"/>
      <family val="2"/>
      <charset val="1"/>
    </font>
    <font>
      <b/>
      <sz val="15"/>
      <color rgb="FF003366"/>
      <name val="Calibri"/>
      <family val="2"/>
      <charset val="1"/>
    </font>
    <font>
      <b/>
      <sz val="15"/>
      <color indexed="56"/>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3"/>
      <color indexed="56"/>
      <name val="Calibri"/>
      <family val="2"/>
    </font>
    <font>
      <b/>
      <sz val="11"/>
      <color indexed="56"/>
      <name val="Calibri"/>
      <family val="2"/>
    </font>
    <font>
      <u/>
      <sz val="11"/>
      <color theme="10"/>
      <name val="Calibri"/>
      <family val="2"/>
      <charset val="1"/>
    </font>
    <font>
      <sz val="1"/>
      <color indexed="8"/>
      <name val="Courier New"/>
      <family val="3"/>
    </font>
    <font>
      <b/>
      <i/>
      <sz val="16"/>
      <color indexed="8"/>
      <name val="Arial"/>
      <family val="2"/>
    </font>
    <font>
      <u/>
      <sz val="11"/>
      <color indexed="12"/>
      <name val="Arial"/>
      <family val="2"/>
    </font>
    <font>
      <sz val="12"/>
      <name val="Courier New"/>
      <family val="3"/>
    </font>
    <font>
      <b/>
      <i/>
      <u/>
      <sz val="11"/>
      <color indexed="8"/>
      <name val="Arial"/>
      <family val="2"/>
    </font>
    <font>
      <b/>
      <sz val="1"/>
      <color indexed="8"/>
      <name val="Courier New"/>
      <family val="3"/>
    </font>
    <font>
      <b/>
      <sz val="15"/>
      <color indexed="62"/>
      <name val="Calibri"/>
      <family val="2"/>
    </font>
    <font>
      <b/>
      <sz val="13"/>
      <color indexed="62"/>
      <name val="Calibri"/>
      <family val="2"/>
    </font>
    <font>
      <b/>
      <sz val="11"/>
      <color indexed="62"/>
      <name val="Calibri"/>
      <family val="2"/>
    </font>
    <font>
      <sz val="10"/>
      <color theme="1"/>
      <name val="Arial Narrow"/>
      <family val="2"/>
    </font>
    <font>
      <sz val="10"/>
      <name val="Arial Narrow"/>
      <family val="2"/>
    </font>
    <font>
      <sz val="11"/>
      <color theme="1"/>
      <name val="Arial Narrow"/>
      <family val="2"/>
    </font>
    <font>
      <sz val="11"/>
      <name val="Arial Narrow"/>
      <family val="2"/>
    </font>
    <font>
      <b/>
      <sz val="11"/>
      <name val="Arial Narrow"/>
      <family val="2"/>
    </font>
    <font>
      <sz val="11"/>
      <name val="Arial"/>
      <family val="2"/>
    </font>
    <font>
      <sz val="11"/>
      <color rgb="FFFF0000"/>
      <name val="Calibri"/>
      <family val="2"/>
      <scheme val="minor"/>
    </font>
    <font>
      <sz val="9"/>
      <name val="Arial Narrow"/>
      <family val="2"/>
    </font>
    <font>
      <sz val="9"/>
      <color theme="1"/>
      <name val="Arial Narrow"/>
      <family val="2"/>
    </font>
    <font>
      <b/>
      <sz val="11"/>
      <color indexed="10"/>
      <name val="Calibri"/>
      <family val="2"/>
    </font>
    <font>
      <sz val="11"/>
      <color indexed="19"/>
      <name val="Calibri"/>
      <family val="2"/>
    </font>
    <font>
      <b/>
      <sz val="18"/>
      <color indexed="62"/>
      <name val="Cambria"/>
      <family val="2"/>
    </font>
    <font>
      <sz val="12"/>
      <color theme="1"/>
      <name val="Arial Narrow"/>
      <family val="2"/>
    </font>
    <font>
      <b/>
      <sz val="12"/>
      <color theme="1"/>
      <name val="Arial Narrow"/>
      <family val="2"/>
    </font>
    <font>
      <b/>
      <sz val="12"/>
      <name val="Arial Narrow"/>
      <family val="2"/>
    </font>
    <font>
      <sz val="12"/>
      <name val="Arial Narrow"/>
      <family val="2"/>
    </font>
    <font>
      <sz val="11"/>
      <color indexed="8"/>
      <name val="Arial"/>
      <family val="2"/>
    </font>
    <font>
      <sz val="11"/>
      <color rgb="FF000000"/>
      <name val="Calibri"/>
      <family val="2"/>
    </font>
    <font>
      <sz val="11"/>
      <color rgb="FF000000"/>
      <name val="Arial"/>
      <family val="2"/>
    </font>
    <font>
      <b/>
      <sz val="12"/>
      <color theme="1"/>
      <name val="Calibri"/>
      <family val="2"/>
      <scheme val="minor"/>
    </font>
    <font>
      <sz val="12"/>
      <color rgb="FFFF0000"/>
      <name val="Arial Narrow"/>
      <family val="2"/>
    </font>
    <font>
      <b/>
      <sz val="11"/>
      <name val="Calibri"/>
      <family val="2"/>
      <scheme val="minor"/>
    </font>
    <font>
      <sz val="9"/>
      <color indexed="81"/>
      <name val="Tahoma"/>
      <family val="2"/>
    </font>
    <font>
      <b/>
      <sz val="9"/>
      <color indexed="81"/>
      <name val="Tahoma"/>
      <family val="2"/>
    </font>
    <font>
      <i/>
      <sz val="12"/>
      <name val="Arial Narrow"/>
      <family val="2"/>
    </font>
    <font>
      <b/>
      <i/>
      <sz val="12"/>
      <name val="Arial Narrow"/>
      <family val="2"/>
    </font>
    <font>
      <sz val="10"/>
      <color rgb="FF000000"/>
      <name val="Arial"/>
      <family val="2"/>
    </font>
    <font>
      <sz val="11"/>
      <color indexed="58"/>
      <name val="Calibri"/>
      <family val="2"/>
    </font>
    <font>
      <u/>
      <sz val="13.2"/>
      <color indexed="12"/>
      <name val="Calibri"/>
      <family val="2"/>
    </font>
    <font>
      <b/>
      <sz val="15"/>
      <color indexed="56"/>
      <name val="Calibri"/>
      <family val="2"/>
      <charset val="1"/>
    </font>
    <font>
      <sz val="10"/>
      <color rgb="FF000000"/>
      <name val="Arial"/>
    </font>
    <font>
      <b/>
      <sz val="11"/>
      <color theme="1"/>
      <name val="Arial Narrow"/>
      <family val="2"/>
    </font>
  </fonts>
  <fills count="78">
    <fill>
      <patternFill patternType="none"/>
    </fill>
    <fill>
      <patternFill patternType="gray125"/>
    </fill>
    <fill>
      <patternFill patternType="solid">
        <fgColor indexed="9"/>
        <bgColor indexed="26"/>
      </patternFill>
    </fill>
    <fill>
      <patternFill patternType="solid">
        <fgColor rgb="FFFFFFFF"/>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27"/>
        <bgColor indexed="41"/>
      </patternFill>
    </fill>
    <fill>
      <patternFill patternType="solid">
        <fgColor indexed="47"/>
        <bgColor indexed="22"/>
      </patternFill>
    </fill>
    <fill>
      <patternFill patternType="solid">
        <fgColor indexed="44"/>
        <bgColor indexed="41"/>
      </patternFill>
    </fill>
    <fill>
      <patternFill patternType="solid">
        <fgColor indexed="44"/>
        <bgColor indexed="24"/>
      </patternFill>
    </fill>
    <fill>
      <patternFill patternType="solid">
        <fgColor indexed="29"/>
        <bgColor indexed="45"/>
      </patternFill>
    </fill>
    <fill>
      <patternFill patternType="solid">
        <fgColor indexed="11"/>
        <bgColor indexed="15"/>
      </patternFill>
    </fill>
    <fill>
      <patternFill patternType="solid">
        <fgColor indexed="11"/>
        <bgColor indexed="35"/>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24"/>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indexed="44"/>
        <bgColor indexed="31"/>
      </patternFill>
    </fill>
    <fill>
      <patternFill patternType="solid">
        <fgColor indexed="54"/>
        <bgColor indexed="23"/>
      </patternFill>
    </fill>
    <fill>
      <patternFill patternType="solid">
        <fgColor rgb="FFFFFF0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F0"/>
        <bgColor indexed="64"/>
      </patternFill>
    </fill>
    <fill>
      <patternFill patternType="solid">
        <fgColor theme="0" tint="-0.14999847407452621"/>
        <bgColor indexed="64"/>
      </patternFill>
    </fill>
    <fill>
      <patternFill patternType="solid">
        <fgColor indexed="9"/>
        <bgColor indexed="8"/>
      </patternFill>
    </fill>
    <fill>
      <patternFill patternType="solid">
        <fgColor rgb="FFD9D9D9"/>
        <bgColor rgb="FFD9D9D9"/>
      </patternFill>
    </fill>
    <fill>
      <patternFill patternType="solid">
        <fgColor indexed="31"/>
        <bgColor indexed="41"/>
      </patternFill>
    </fill>
    <fill>
      <patternFill patternType="solid">
        <fgColor indexed="47"/>
        <bgColor indexed="41"/>
      </patternFill>
    </fill>
    <fill>
      <patternFill patternType="solid">
        <fgColor indexed="11"/>
        <bgColor indexed="17"/>
      </patternFill>
    </fill>
    <fill>
      <patternFill patternType="solid">
        <fgColor indexed="22"/>
        <bgColor indexed="41"/>
      </patternFill>
    </fill>
    <fill>
      <patternFill patternType="solid">
        <fgColor indexed="10"/>
        <bgColor indexed="61"/>
      </patternFill>
    </fill>
    <fill>
      <patternFill patternType="solid">
        <fgColor rgb="FFFFFFFF"/>
        <bgColor rgb="FFFFFFFF"/>
      </patternFill>
    </fill>
    <fill>
      <patternFill patternType="solid">
        <fgColor rgb="FFEFEFEF"/>
        <bgColor rgb="FFEFEFEF"/>
      </patternFill>
    </fill>
    <fill>
      <patternFill patternType="solid">
        <fgColor theme="0"/>
        <bgColor rgb="FFFFFFFF"/>
      </patternFill>
    </fill>
    <fill>
      <patternFill patternType="solid">
        <fgColor theme="0"/>
        <bgColor theme="0"/>
      </patternFill>
    </fill>
    <fill>
      <patternFill patternType="solid">
        <fgColor theme="0"/>
        <bgColor indexed="8"/>
      </patternFill>
    </fill>
  </fills>
  <borders count="129">
    <border>
      <left/>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bottom style="thick">
        <color rgb="FF333399"/>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auto="1"/>
      </left>
      <right/>
      <top style="medium">
        <color auto="1"/>
      </top>
      <bottom style="thin">
        <color auto="1"/>
      </bottom>
      <diagonal/>
    </border>
    <border>
      <left style="medium">
        <color indexed="64"/>
      </left>
      <right/>
      <top style="thin">
        <color auto="1"/>
      </top>
      <bottom style="thin">
        <color auto="1"/>
      </bottom>
      <diagonal/>
    </border>
    <border>
      <left style="medium">
        <color indexed="64"/>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s>
  <cellStyleXfs count="200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4" fillId="0" borderId="0" applyFill="0" applyBorder="0" applyAlignment="0" applyProtection="0"/>
    <xf numFmtId="0" fontId="6" fillId="0" borderId="0"/>
    <xf numFmtId="9" fontId="6" fillId="0" borderId="0"/>
    <xf numFmtId="0" fontId="7" fillId="0" borderId="15"/>
    <xf numFmtId="0" fontId="4" fillId="0" borderId="0"/>
    <xf numFmtId="9" fontId="4" fillId="0" borderId="0" applyFill="0" applyBorder="0" applyAlignment="0" applyProtection="0"/>
    <xf numFmtId="0" fontId="1" fillId="0" borderId="0"/>
    <xf numFmtId="0" fontId="8" fillId="0" borderId="16" applyNumberFormat="0" applyFill="0" applyAlignment="0" applyProtection="0"/>
    <xf numFmtId="164" fontId="4" fillId="0" borderId="0" applyFill="0" applyBorder="0" applyAlignment="0" applyProtection="0"/>
    <xf numFmtId="167" fontId="4" fillId="0" borderId="0" applyFill="0" applyBorder="0" applyAlignment="0" applyProtection="0"/>
    <xf numFmtId="0" fontId="9" fillId="0" borderId="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1" fillId="8" borderId="0" applyNumberFormat="0" applyBorder="0" applyAlignment="0" applyProtection="0"/>
    <xf numFmtId="0" fontId="12" fillId="23" borderId="17" applyNumberFormat="0" applyAlignment="0" applyProtection="0"/>
    <xf numFmtId="0" fontId="12" fillId="23" borderId="17" applyNumberFormat="0" applyAlignment="0" applyProtection="0"/>
    <xf numFmtId="0" fontId="12" fillId="24" borderId="17" applyNumberFormat="0" applyAlignment="0" applyProtection="0"/>
    <xf numFmtId="0" fontId="13" fillId="25" borderId="18" applyNumberFormat="0" applyAlignment="0" applyProtection="0"/>
    <xf numFmtId="0" fontId="14" fillId="0" borderId="19" applyNumberFormat="0" applyFill="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9" borderId="0" applyNumberFormat="0" applyBorder="0" applyAlignment="0" applyProtection="0"/>
    <xf numFmtId="0" fontId="15" fillId="12" borderId="17" applyNumberFormat="0" applyAlignment="0" applyProtection="0"/>
    <xf numFmtId="0" fontId="16" fillId="7" borderId="0" applyNumberFormat="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 fillId="0" borderId="0" applyFill="0" applyBorder="0" applyAlignment="0" applyProtection="0"/>
    <xf numFmtId="0" fontId="17" fillId="30" borderId="0" applyNumberFormat="0" applyBorder="0" applyAlignment="0" applyProtection="0"/>
    <xf numFmtId="0" fontId="4" fillId="0" borderId="0"/>
    <xf numFmtId="0" fontId="4" fillId="0" borderId="0"/>
    <xf numFmtId="0" fontId="1" fillId="0" borderId="0"/>
    <xf numFmtId="0" fontId="4" fillId="0" borderId="0"/>
    <xf numFmtId="0" fontId="9" fillId="31" borderId="20" applyNumberFormat="0" applyAlignment="0" applyProtection="0"/>
    <xf numFmtId="9" fontId="4" fillId="0" borderId="0" applyFill="0" applyBorder="0" applyAlignment="0" applyProtection="0"/>
    <xf numFmtId="9" fontId="4" fillId="0" borderId="0" applyFill="0" applyBorder="0" applyAlignment="0" applyProtection="0"/>
    <xf numFmtId="0" fontId="18" fillId="23" borderId="21" applyNumberFormat="0" applyAlignment="0" applyProtection="0"/>
    <xf numFmtId="0" fontId="18" fillId="23" borderId="21" applyNumberFormat="0" applyAlignment="0" applyProtection="0"/>
    <xf numFmtId="0" fontId="18" fillId="24" borderId="21" applyNumberFormat="0" applyAlignment="0" applyProtection="0"/>
    <xf numFmtId="166" fontId="9" fillId="0" borderId="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0" applyNumberFormat="0" applyFill="0" applyBorder="0" applyAlignment="0" applyProtection="0"/>
    <xf numFmtId="0" fontId="23" fillId="0" borderId="22" applyNumberFormat="0" applyFill="0" applyAlignment="0" applyProtection="0"/>
    <xf numFmtId="0" fontId="24" fillId="0" borderId="23" applyNumberFormat="0" applyFill="0" applyAlignment="0" applyProtection="0"/>
    <xf numFmtId="0" fontId="24" fillId="0" borderId="0" applyNumberFormat="0" applyFill="0" applyBorder="0" applyAlignment="0" applyProtection="0"/>
    <xf numFmtId="0" fontId="21" fillId="0" borderId="24" applyNumberFormat="0" applyFill="0" applyAlignment="0" applyProtection="0"/>
    <xf numFmtId="164" fontId="4" fillId="0" borderId="0" applyFill="0" applyBorder="0" applyAlignment="0" applyProtection="0"/>
    <xf numFmtId="0" fontId="1" fillId="0" borderId="0"/>
    <xf numFmtId="0" fontId="4" fillId="0" borderId="0"/>
    <xf numFmtId="167" fontId="4" fillId="0" borderId="0" applyFill="0" applyBorder="0" applyAlignment="0" applyProtection="0"/>
    <xf numFmtId="0" fontId="1" fillId="0" borderId="0"/>
    <xf numFmtId="9" fontId="4" fillId="0" borderId="0" applyFill="0" applyBorder="0" applyAlignment="0" applyProtection="0"/>
    <xf numFmtId="164" fontId="4" fillId="0" borderId="0" applyFill="0" applyBorder="0" applyAlignment="0" applyProtection="0"/>
    <xf numFmtId="0" fontId="1" fillId="0" borderId="0"/>
    <xf numFmtId="0" fontId="25" fillId="0" borderId="0" applyNumberFormat="0" applyFill="0" applyBorder="0" applyAlignment="0" applyProtection="0">
      <alignment vertical="top"/>
      <protection locked="0"/>
    </xf>
    <xf numFmtId="43" fontId="6" fillId="0" borderId="0" applyFont="0" applyFill="0" applyBorder="0" applyAlignment="0" applyProtection="0"/>
    <xf numFmtId="0" fontId="9" fillId="31" borderId="20" applyNumberFormat="0" applyAlignment="0" applyProtection="0"/>
    <xf numFmtId="0" fontId="21" fillId="0" borderId="24" applyNumberFormat="0" applyFill="0" applyAlignment="0" applyProtection="0"/>
    <xf numFmtId="0" fontId="18" fillId="24" borderId="21" applyNumberFormat="0" applyAlignment="0" applyProtection="0"/>
    <xf numFmtId="0" fontId="12" fillId="24" borderId="17" applyNumberFormat="0" applyAlignment="0" applyProtection="0"/>
    <xf numFmtId="0" fontId="18" fillId="24" borderId="21" applyNumberFormat="0" applyAlignment="0" applyProtection="0"/>
    <xf numFmtId="0" fontId="18" fillId="23" borderId="21" applyNumberFormat="0" applyAlignment="0" applyProtection="0"/>
    <xf numFmtId="0" fontId="18" fillId="23" borderId="21" applyNumberFormat="0" applyAlignment="0" applyProtection="0"/>
    <xf numFmtId="0" fontId="9" fillId="31" borderId="20" applyNumberFormat="0" applyAlignment="0" applyProtection="0"/>
    <xf numFmtId="0" fontId="12" fillId="23" borderId="17" applyNumberFormat="0" applyAlignment="0" applyProtection="0"/>
    <xf numFmtId="0" fontId="12" fillId="23" borderId="17" applyNumberFormat="0" applyAlignment="0" applyProtection="0"/>
    <xf numFmtId="0" fontId="15" fillId="12"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4" borderId="17" applyNumberFormat="0" applyAlignment="0" applyProtection="0"/>
    <xf numFmtId="0" fontId="15" fillId="12" borderId="17" applyNumberFormat="0" applyAlignment="0" applyProtection="0"/>
    <xf numFmtId="0" fontId="12" fillId="24" borderId="17" applyNumberFormat="0" applyAlignment="0" applyProtection="0"/>
    <xf numFmtId="0" fontId="12" fillId="23" borderId="17" applyNumberFormat="0" applyAlignment="0" applyProtection="0"/>
    <xf numFmtId="0" fontId="12" fillId="23" borderId="17" applyNumberFormat="0" applyAlignment="0" applyProtection="0"/>
    <xf numFmtId="0" fontId="15" fillId="12" borderId="17" applyNumberFormat="0" applyAlignment="0" applyProtection="0"/>
    <xf numFmtId="0" fontId="18" fillId="23" borderId="21" applyNumberFormat="0" applyAlignment="0" applyProtection="0"/>
    <xf numFmtId="0" fontId="18" fillId="23" borderId="21" applyNumberFormat="0" applyAlignment="0" applyProtection="0"/>
    <xf numFmtId="0" fontId="9" fillId="31" borderId="20" applyNumberFormat="0" applyAlignment="0" applyProtection="0"/>
    <xf numFmtId="0" fontId="18" fillId="23" borderId="21" applyNumberFormat="0" applyAlignment="0" applyProtection="0"/>
    <xf numFmtId="0" fontId="18" fillId="23" borderId="21" applyNumberFormat="0" applyAlignment="0" applyProtection="0"/>
    <xf numFmtId="0" fontId="18" fillId="24" borderId="21" applyNumberFormat="0" applyAlignment="0" applyProtection="0"/>
    <xf numFmtId="0" fontId="21" fillId="0" borderId="24" applyNumberFormat="0" applyFill="0" applyAlignment="0" applyProtection="0"/>
    <xf numFmtId="0" fontId="21" fillId="0" borderId="24" applyNumberFormat="0" applyFill="0" applyAlignment="0" applyProtection="0"/>
    <xf numFmtId="0" fontId="9" fillId="2" borderId="0" applyNumberFormat="0" applyBorder="0" applyAlignment="0" applyProtection="0"/>
    <xf numFmtId="0" fontId="9" fillId="12" borderId="0" applyNumberFormat="0" applyBorder="0" applyAlignment="0" applyProtection="0"/>
    <xf numFmtId="0" fontId="9" fillId="31" borderId="0" applyNumberFormat="0" applyBorder="0" applyAlignment="0" applyProtection="0"/>
    <xf numFmtId="0" fontId="9" fillId="2" borderId="0" applyNumberFormat="0" applyBorder="0" applyAlignment="0" applyProtection="0"/>
    <xf numFmtId="0" fontId="9" fillId="11" borderId="0" applyNumberFormat="0" applyBorder="0" applyAlignment="0" applyProtection="0"/>
    <xf numFmtId="0" fontId="9" fillId="24" borderId="0" applyNumberFormat="0" applyBorder="0" applyAlignment="0" applyProtection="0"/>
    <xf numFmtId="0" fontId="9" fillId="30" borderId="0" applyNumberFormat="0" applyBorder="0" applyAlignment="0" applyProtection="0"/>
    <xf numFmtId="0" fontId="9" fillId="24" borderId="0" applyNumberFormat="0" applyBorder="0" applyAlignment="0" applyProtection="0"/>
    <xf numFmtId="0" fontId="9" fillId="32" borderId="0" applyNumberFormat="0" applyBorder="0" applyAlignment="0" applyProtection="0"/>
    <xf numFmtId="0" fontId="9" fillId="12" borderId="0" applyNumberFormat="0" applyBorder="0" applyAlignment="0" applyProtection="0"/>
    <xf numFmtId="0" fontId="10" fillId="21" borderId="0" applyNumberFormat="0" applyBorder="0" applyAlignment="0" applyProtection="0"/>
    <xf numFmtId="0" fontId="10" fillId="30" borderId="0" applyNumberFormat="0" applyBorder="0" applyAlignment="0" applyProtection="0"/>
    <xf numFmtId="0" fontId="10" fillId="24" borderId="0" applyNumberFormat="0" applyBorder="0" applyAlignment="0" applyProtection="0"/>
    <xf numFmtId="0" fontId="10" fillId="12" borderId="0" applyNumberFormat="0" applyBorder="0" applyAlignment="0" applyProtection="0"/>
    <xf numFmtId="0" fontId="12" fillId="2" borderId="17" applyNumberFormat="0" applyAlignment="0" applyProtection="0"/>
    <xf numFmtId="0" fontId="26" fillId="0" borderId="0">
      <protection locked="0"/>
    </xf>
    <xf numFmtId="0" fontId="10" fillId="21" borderId="0" applyNumberFormat="0" applyBorder="0" applyAlignment="0" applyProtection="0"/>
    <xf numFmtId="0" fontId="10" fillId="33" borderId="0" applyNumberFormat="0" applyBorder="0" applyAlignment="0" applyProtection="0"/>
    <xf numFmtId="170" fontId="26" fillId="0" borderId="0">
      <protection locked="0"/>
    </xf>
    <xf numFmtId="0" fontId="27" fillId="0" borderId="0">
      <alignment horizontal="center"/>
    </xf>
    <xf numFmtId="0" fontId="27" fillId="0" borderId="0">
      <alignment horizontal="center" textRotation="90"/>
    </xf>
    <xf numFmtId="0" fontId="28" fillId="0" borderId="0" applyNumberFormat="0" applyFill="0" applyBorder="0" applyAlignment="0" applyProtection="0"/>
    <xf numFmtId="171" fontId="4" fillId="0" borderId="0" applyFill="0" applyBorder="0" applyAlignment="0" applyProtection="0"/>
    <xf numFmtId="171" fontId="4" fillId="0" borderId="0" applyFill="0" applyBorder="0" applyAlignment="0" applyProtection="0"/>
    <xf numFmtId="171" fontId="4" fillId="0" borderId="0" applyFill="0" applyBorder="0" applyAlignment="0" applyProtection="0"/>
    <xf numFmtId="171" fontId="4" fillId="0" borderId="0" applyFill="0" applyBorder="0" applyAlignment="0" applyProtection="0"/>
    <xf numFmtId="172" fontId="4"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2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31" borderId="20" applyNumberFormat="0" applyAlignment="0" applyProtection="0"/>
    <xf numFmtId="174" fontId="26" fillId="0" borderId="0">
      <protection locked="0"/>
    </xf>
    <xf numFmtId="175" fontId="26" fillId="0" borderId="0">
      <protection locked="0"/>
    </xf>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0" fontId="30" fillId="0" borderId="0"/>
    <xf numFmtId="176" fontId="30" fillId="0" borderId="0"/>
    <xf numFmtId="0" fontId="18" fillId="2" borderId="21" applyNumberFormat="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0" fontId="32" fillId="0" borderId="26" applyNumberFormat="0" applyFill="0" applyAlignment="0" applyProtection="0"/>
    <xf numFmtId="0" fontId="33" fillId="0" borderId="22" applyNumberFormat="0" applyFill="0" applyAlignment="0" applyProtection="0"/>
    <xf numFmtId="0" fontId="34" fillId="0" borderId="27" applyNumberFormat="0" applyFill="0" applyAlignment="0" applyProtection="0"/>
    <xf numFmtId="0" fontId="34" fillId="0" borderId="0" applyNumberFormat="0" applyFill="0" applyBorder="0" applyAlignment="0" applyProtection="0"/>
    <xf numFmtId="178" fontId="31" fillId="0" borderId="0">
      <protection locked="0"/>
    </xf>
    <xf numFmtId="178" fontId="31" fillId="0" borderId="0">
      <protection locked="0"/>
    </xf>
    <xf numFmtId="0" fontId="21" fillId="0" borderId="28" applyNumberFormat="0" applyFill="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66" fontId="4" fillId="0" borderId="0" applyFill="0" applyBorder="0" applyAlignment="0" applyProtection="0"/>
    <xf numFmtId="166" fontId="9" fillId="0" borderId="0" applyFill="0" applyBorder="0" applyAlignment="0" applyProtection="0"/>
    <xf numFmtId="0" fontId="9" fillId="0" borderId="0"/>
    <xf numFmtId="0" fontId="12" fillId="23" borderId="17" applyNumberFormat="0" applyAlignment="0" applyProtection="0"/>
    <xf numFmtId="0" fontId="12" fillId="23" borderId="17" applyNumberFormat="0" applyAlignment="0" applyProtection="0"/>
    <xf numFmtId="0" fontId="12" fillId="24" borderId="17" applyNumberFormat="0" applyAlignment="0" applyProtection="0"/>
    <xf numFmtId="0" fontId="15" fillId="12" borderId="17" applyNumberFormat="0" applyAlignment="0" applyProtection="0"/>
    <xf numFmtId="0" fontId="9" fillId="31" borderId="20" applyNumberFormat="0" applyAlignment="0" applyProtection="0"/>
    <xf numFmtId="0" fontId="18" fillId="23" borderId="21" applyNumberFormat="0" applyAlignment="0" applyProtection="0"/>
    <xf numFmtId="0" fontId="18" fillId="23" borderId="21" applyNumberFormat="0" applyAlignment="0" applyProtection="0"/>
    <xf numFmtId="0" fontId="18" fillId="24" borderId="21" applyNumberFormat="0" applyAlignment="0" applyProtection="0"/>
    <xf numFmtId="0" fontId="21" fillId="0" borderId="24" applyNumberFormat="0" applyFill="0" applyAlignment="0" applyProtection="0"/>
    <xf numFmtId="0" fontId="9" fillId="31" borderId="20" applyNumberFormat="0" applyAlignment="0" applyProtection="0"/>
    <xf numFmtId="0" fontId="21" fillId="0" borderId="24" applyNumberFormat="0" applyFill="0" applyAlignment="0" applyProtection="0"/>
    <xf numFmtId="0" fontId="18" fillId="24" borderId="21" applyNumberFormat="0" applyAlignment="0" applyProtection="0"/>
    <xf numFmtId="0" fontId="12" fillId="24" borderId="17" applyNumberFormat="0" applyAlignment="0" applyProtection="0"/>
    <xf numFmtId="0" fontId="18" fillId="24" borderId="21" applyNumberFormat="0" applyAlignment="0" applyProtection="0"/>
    <xf numFmtId="0" fontId="18" fillId="23" borderId="21" applyNumberFormat="0" applyAlignment="0" applyProtection="0"/>
    <xf numFmtId="0" fontId="18" fillId="23" borderId="21" applyNumberFormat="0" applyAlignment="0" applyProtection="0"/>
    <xf numFmtId="0" fontId="9" fillId="31" borderId="20" applyNumberFormat="0" applyAlignment="0" applyProtection="0"/>
    <xf numFmtId="0" fontId="12" fillId="23" borderId="17" applyNumberFormat="0" applyAlignment="0" applyProtection="0"/>
    <xf numFmtId="0" fontId="12" fillId="23" borderId="17" applyNumberFormat="0" applyAlignment="0" applyProtection="0"/>
    <xf numFmtId="0" fontId="15" fillId="12"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4" borderId="17" applyNumberFormat="0" applyAlignment="0" applyProtection="0"/>
    <xf numFmtId="0" fontId="15" fillId="12" borderId="17" applyNumberFormat="0" applyAlignment="0" applyProtection="0"/>
    <xf numFmtId="0" fontId="12" fillId="24" borderId="17" applyNumberFormat="0" applyAlignment="0" applyProtection="0"/>
    <xf numFmtId="0" fontId="12" fillId="23" borderId="17" applyNumberFormat="0" applyAlignment="0" applyProtection="0"/>
    <xf numFmtId="0" fontId="12" fillId="23" borderId="17" applyNumberFormat="0" applyAlignment="0" applyProtection="0"/>
    <xf numFmtId="0" fontId="15" fillId="12" borderId="17" applyNumberFormat="0" applyAlignment="0" applyProtection="0"/>
    <xf numFmtId="0" fontId="18" fillId="23" borderId="21" applyNumberFormat="0" applyAlignment="0" applyProtection="0"/>
    <xf numFmtId="0" fontId="18" fillId="23" borderId="21" applyNumberFormat="0" applyAlignment="0" applyProtection="0"/>
    <xf numFmtId="0" fontId="9" fillId="31" borderId="20" applyNumberFormat="0" applyAlignment="0" applyProtection="0"/>
    <xf numFmtId="0" fontId="18" fillId="23" borderId="21" applyNumberFormat="0" applyAlignment="0" applyProtection="0"/>
    <xf numFmtId="0" fontId="18" fillId="23" borderId="21" applyNumberFormat="0" applyAlignment="0" applyProtection="0"/>
    <xf numFmtId="0" fontId="18" fillId="24" borderId="21" applyNumberFormat="0" applyAlignment="0" applyProtection="0"/>
    <xf numFmtId="0" fontId="21" fillId="0" borderId="24" applyNumberFormat="0" applyFill="0" applyAlignment="0" applyProtection="0"/>
    <xf numFmtId="0" fontId="21" fillId="0" borderId="24" applyNumberFormat="0" applyFill="0" applyAlignment="0" applyProtection="0"/>
    <xf numFmtId="0" fontId="12" fillId="2" borderId="17" applyNumberFormat="0" applyAlignment="0" applyProtection="0"/>
    <xf numFmtId="0" fontId="4" fillId="31" borderId="20" applyNumberFormat="0" applyAlignment="0" applyProtection="0"/>
    <xf numFmtId="0" fontId="18" fillId="2" borderId="21" applyNumberFormat="0" applyAlignment="0" applyProtection="0"/>
    <xf numFmtId="0" fontId="21" fillId="0" borderId="28" applyNumberFormat="0" applyFill="0" applyAlignment="0" applyProtection="0"/>
    <xf numFmtId="0" fontId="12" fillId="23" borderId="56"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2" fillId="23" borderId="72" applyNumberFormat="0" applyAlignment="0" applyProtection="0"/>
    <xf numFmtId="0" fontId="18" fillId="23" borderId="58" applyNumberFormat="0" applyAlignment="0" applyProtection="0"/>
    <xf numFmtId="0" fontId="15" fillId="12" borderId="48" applyNumberFormat="0" applyAlignment="0" applyProtection="0"/>
    <xf numFmtId="0" fontId="9" fillId="31" borderId="69" applyNumberFormat="0" applyAlignment="0" applyProtection="0"/>
    <xf numFmtId="0" fontId="12" fillId="23" borderId="52" applyNumberFormat="0" applyAlignment="0" applyProtection="0"/>
    <xf numFmtId="0" fontId="12" fillId="23" borderId="56" applyNumberFormat="0" applyAlignment="0" applyProtection="0"/>
    <xf numFmtId="43" fontId="4" fillId="0" borderId="0" applyFill="0" applyBorder="0" applyAlignment="0" applyProtection="0"/>
    <xf numFmtId="0" fontId="12" fillId="24" borderId="40" applyNumberFormat="0" applyAlignment="0" applyProtection="0"/>
    <xf numFmtId="0" fontId="12" fillId="23" borderId="40" applyNumberFormat="0" applyAlignment="0" applyProtection="0"/>
    <xf numFmtId="0" fontId="9" fillId="31" borderId="41" applyNumberFormat="0" applyAlignment="0" applyProtection="0"/>
    <xf numFmtId="0" fontId="18" fillId="23" borderId="42" applyNumberFormat="0" applyAlignment="0" applyProtection="0"/>
    <xf numFmtId="0" fontId="18" fillId="23" borderId="42" applyNumberFormat="0" applyAlignment="0" applyProtection="0"/>
    <xf numFmtId="0" fontId="18" fillId="24" borderId="42" applyNumberFormat="0" applyAlignment="0" applyProtection="0"/>
    <xf numFmtId="0" fontId="18" fillId="24" borderId="42" applyNumberFormat="0" applyAlignment="0" applyProtection="0"/>
    <xf numFmtId="0" fontId="12" fillId="24" borderId="40" applyNumberFormat="0" applyAlignment="0" applyProtection="0"/>
    <xf numFmtId="0" fontId="21" fillId="0" borderId="43" applyNumberFormat="0" applyFill="0" applyAlignment="0" applyProtection="0"/>
    <xf numFmtId="0" fontId="12" fillId="23" borderId="44" applyNumberFormat="0" applyAlignment="0" applyProtection="0"/>
    <xf numFmtId="0" fontId="9" fillId="31" borderId="41" applyNumberFormat="0" applyAlignment="0" applyProtection="0"/>
    <xf numFmtId="0" fontId="18" fillId="24" borderId="70" applyNumberFormat="0" applyAlignment="0" applyProtection="0"/>
    <xf numFmtId="0" fontId="12" fillId="24" borderId="56" applyNumberFormat="0" applyAlignment="0" applyProtection="0"/>
    <xf numFmtId="0" fontId="18" fillId="23" borderId="70" applyNumberFormat="0" applyAlignment="0" applyProtection="0"/>
    <xf numFmtId="0" fontId="9" fillId="31" borderId="53" applyNumberFormat="0" applyAlignment="0" applyProtection="0"/>
    <xf numFmtId="0" fontId="18" fillId="23" borderId="54" applyNumberFormat="0" applyAlignment="0" applyProtection="0"/>
    <xf numFmtId="0" fontId="21" fillId="0" borderId="43" applyNumberFormat="0" applyFill="0" applyAlignment="0" applyProtection="0"/>
    <xf numFmtId="0" fontId="18" fillId="23" borderId="62" applyNumberFormat="0" applyAlignment="0" applyProtection="0"/>
    <xf numFmtId="0" fontId="18" fillId="23" borderId="70" applyNumberFormat="0" applyAlignment="0" applyProtection="0"/>
    <xf numFmtId="0" fontId="18" fillId="23" borderId="54" applyNumberFormat="0" applyAlignment="0" applyProtection="0"/>
    <xf numFmtId="0" fontId="12" fillId="24" borderId="52" applyNumberFormat="0" applyAlignment="0" applyProtection="0"/>
    <xf numFmtId="0" fontId="18" fillId="23" borderId="66" applyNumberFormat="0" applyAlignment="0" applyProtection="0"/>
    <xf numFmtId="0" fontId="18" fillId="23" borderId="58" applyNumberFormat="0" applyAlignment="0" applyProtection="0"/>
    <xf numFmtId="0" fontId="12" fillId="24" borderId="48" applyNumberFormat="0" applyAlignment="0" applyProtection="0"/>
    <xf numFmtId="0" fontId="18" fillId="24" borderId="42" applyNumberFormat="0" applyAlignment="0" applyProtection="0"/>
    <xf numFmtId="0" fontId="18" fillId="24" borderId="54" applyNumberFormat="0" applyAlignment="0" applyProtection="0"/>
    <xf numFmtId="0" fontId="12" fillId="23" borderId="64" applyNumberFormat="0" applyAlignment="0" applyProtection="0"/>
    <xf numFmtId="0" fontId="18" fillId="24" borderId="58" applyNumberFormat="0" applyAlignment="0" applyProtection="0"/>
    <xf numFmtId="0" fontId="15" fillId="12" borderId="52" applyNumberFormat="0" applyAlignment="0" applyProtection="0"/>
    <xf numFmtId="0" fontId="12" fillId="23" borderId="44" applyNumberFormat="0" applyAlignment="0" applyProtection="0"/>
    <xf numFmtId="0" fontId="15" fillId="12" borderId="40" applyNumberFormat="0" applyAlignment="0" applyProtection="0"/>
    <xf numFmtId="0" fontId="15" fillId="12" borderId="56" applyNumberFormat="0" applyAlignment="0" applyProtection="0"/>
    <xf numFmtId="0" fontId="18" fillId="23" borderId="70" applyNumberFormat="0" applyAlignment="0" applyProtection="0"/>
    <xf numFmtId="0" fontId="18" fillId="23" borderId="79" applyNumberFormat="0" applyAlignment="0" applyProtection="0"/>
    <xf numFmtId="0" fontId="12" fillId="24" borderId="56" applyNumberFormat="0" applyAlignment="0" applyProtection="0"/>
    <xf numFmtId="0" fontId="12" fillId="23" borderId="40" applyNumberFormat="0" applyAlignment="0" applyProtection="0"/>
    <xf numFmtId="0" fontId="12" fillId="23" borderId="40" applyNumberFormat="0" applyAlignment="0" applyProtection="0"/>
    <xf numFmtId="0" fontId="15" fillId="12" borderId="44" applyNumberFormat="0" applyAlignment="0" applyProtection="0"/>
    <xf numFmtId="0" fontId="18" fillId="24" borderId="70" applyNumberFormat="0" applyAlignment="0" applyProtection="0"/>
    <xf numFmtId="0" fontId="15" fillId="12" borderId="56" applyNumberFormat="0" applyAlignment="0" applyProtection="0"/>
    <xf numFmtId="0" fontId="18" fillId="23" borderId="54" applyNumberFormat="0" applyAlignment="0" applyProtection="0"/>
    <xf numFmtId="0" fontId="15" fillId="12" borderId="52" applyNumberFormat="0" applyAlignment="0" applyProtection="0"/>
    <xf numFmtId="0" fontId="9" fillId="31" borderId="45" applyNumberFormat="0" applyAlignment="0" applyProtection="0"/>
    <xf numFmtId="0" fontId="18" fillId="23" borderId="46" applyNumberFormat="0" applyAlignment="0" applyProtection="0"/>
    <xf numFmtId="0" fontId="21" fillId="0" borderId="47" applyNumberFormat="0" applyFill="0" applyAlignment="0" applyProtection="0"/>
    <xf numFmtId="0" fontId="12" fillId="24" borderId="44" applyNumberFormat="0" applyAlignment="0" applyProtection="0"/>
    <xf numFmtId="0" fontId="12" fillId="23" borderId="4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21" fillId="0" borderId="55" applyNumberFormat="0" applyFill="0" applyAlignment="0" applyProtection="0"/>
    <xf numFmtId="0" fontId="18" fillId="23" borderId="58" applyNumberFormat="0" applyAlignment="0" applyProtection="0"/>
    <xf numFmtId="43" fontId="4" fillId="0" borderId="0" applyFill="0" applyBorder="0" applyAlignment="0" applyProtection="0"/>
    <xf numFmtId="0" fontId="12" fillId="24" borderId="56" applyNumberFormat="0" applyAlignment="0" applyProtection="0"/>
    <xf numFmtId="0" fontId="18" fillId="24" borderId="46" applyNumberFormat="0" applyAlignment="0" applyProtection="0"/>
    <xf numFmtId="0" fontId="18" fillId="24" borderId="66" applyNumberFormat="0" applyAlignment="0" applyProtection="0"/>
    <xf numFmtId="0" fontId="12" fillId="23" borderId="68" applyNumberFormat="0" applyAlignment="0" applyProtection="0"/>
    <xf numFmtId="43" fontId="4" fillId="0" borderId="0" applyFill="0" applyBorder="0" applyAlignment="0" applyProtection="0"/>
    <xf numFmtId="0" fontId="18" fillId="23" borderId="46" applyNumberFormat="0" applyAlignment="0" applyProtection="0"/>
    <xf numFmtId="0" fontId="9" fillId="31" borderId="78" applyNumberFormat="0" applyAlignment="0" applyProtection="0"/>
    <xf numFmtId="43" fontId="6" fillId="0" borderId="0" applyFont="0" applyFill="0" applyBorder="0" applyAlignment="0" applyProtection="0"/>
    <xf numFmtId="0" fontId="21" fillId="0" borderId="55" applyNumberFormat="0" applyFill="0" applyAlignment="0" applyProtection="0"/>
    <xf numFmtId="0" fontId="18" fillId="24" borderId="66" applyNumberFormat="0" applyAlignment="0" applyProtection="0"/>
    <xf numFmtId="0" fontId="9" fillId="31" borderId="57" applyNumberFormat="0" applyAlignment="0" applyProtection="0"/>
    <xf numFmtId="0" fontId="18" fillId="24" borderId="54" applyNumberFormat="0" applyAlignment="0" applyProtection="0"/>
    <xf numFmtId="0" fontId="12" fillId="23" borderId="48" applyNumberFormat="0" applyAlignment="0" applyProtection="0"/>
    <xf numFmtId="0" fontId="18" fillId="24" borderId="54" applyNumberFormat="0" applyAlignment="0" applyProtection="0"/>
    <xf numFmtId="0" fontId="9" fillId="31" borderId="57" applyNumberFormat="0" applyAlignment="0" applyProtection="0"/>
    <xf numFmtId="0" fontId="12" fillId="23" borderId="64" applyNumberFormat="0" applyAlignment="0" applyProtection="0"/>
    <xf numFmtId="0" fontId="18" fillId="23" borderId="54" applyNumberFormat="0" applyAlignment="0" applyProtection="0"/>
    <xf numFmtId="0" fontId="18" fillId="23" borderId="42" applyNumberFormat="0" applyAlignment="0" applyProtection="0"/>
    <xf numFmtId="0" fontId="9" fillId="31" borderId="41" applyNumberFormat="0" applyAlignment="0" applyProtection="0"/>
    <xf numFmtId="0" fontId="12" fillId="23" borderId="56" applyNumberFormat="0" applyAlignment="0" applyProtection="0"/>
    <xf numFmtId="0" fontId="21" fillId="0" borderId="80" applyNumberFormat="0" applyFill="0" applyAlignment="0" applyProtection="0"/>
    <xf numFmtId="0" fontId="18" fillId="23" borderId="42" applyNumberFormat="0" applyAlignment="0" applyProtection="0"/>
    <xf numFmtId="0" fontId="21" fillId="0" borderId="59" applyNumberFormat="0" applyFill="0" applyAlignment="0" applyProtection="0"/>
    <xf numFmtId="0" fontId="12" fillId="24" borderId="64" applyNumberFormat="0" applyAlignment="0" applyProtection="0"/>
    <xf numFmtId="0" fontId="9" fillId="31" borderId="53" applyNumberFormat="0" applyAlignment="0" applyProtection="0"/>
    <xf numFmtId="0" fontId="12" fillId="23" borderId="52" applyNumberFormat="0" applyAlignment="0" applyProtection="0"/>
    <xf numFmtId="0" fontId="12" fillId="24" borderId="52" applyNumberFormat="0" applyAlignment="0" applyProtection="0"/>
    <xf numFmtId="0" fontId="12" fillId="23" borderId="40" applyNumberFormat="0" applyAlignment="0" applyProtection="0"/>
    <xf numFmtId="0" fontId="15" fillId="12" borderId="40" applyNumberFormat="0" applyAlignment="0" applyProtection="0"/>
    <xf numFmtId="0" fontId="12" fillId="23" borderId="40" applyNumberFormat="0" applyAlignment="0" applyProtection="0"/>
    <xf numFmtId="0" fontId="12" fillId="23" borderId="40" applyNumberFormat="0" applyAlignment="0" applyProtection="0"/>
    <xf numFmtId="0" fontId="12" fillId="24" borderId="40" applyNumberFormat="0" applyAlignment="0" applyProtection="0"/>
    <xf numFmtId="0" fontId="15" fillId="12" borderId="40" applyNumberFormat="0" applyAlignment="0" applyProtection="0"/>
    <xf numFmtId="0" fontId="12" fillId="24" borderId="40" applyNumberFormat="0" applyAlignment="0" applyProtection="0"/>
    <xf numFmtId="0" fontId="12" fillId="23" borderId="40" applyNumberFormat="0" applyAlignment="0" applyProtection="0"/>
    <xf numFmtId="0" fontId="12" fillId="23" borderId="40" applyNumberFormat="0" applyAlignment="0" applyProtection="0"/>
    <xf numFmtId="0" fontId="15" fillId="12" borderId="40" applyNumberFormat="0" applyAlignment="0" applyProtection="0"/>
    <xf numFmtId="0" fontId="18" fillId="23" borderId="42" applyNumberFormat="0" applyAlignment="0" applyProtection="0"/>
    <xf numFmtId="0" fontId="18" fillId="23" borderId="42" applyNumberFormat="0" applyAlignment="0" applyProtection="0"/>
    <xf numFmtId="0" fontId="9" fillId="31" borderId="41" applyNumberFormat="0" applyAlignment="0" applyProtection="0"/>
    <xf numFmtId="0" fontId="18" fillId="23" borderId="42" applyNumberFormat="0" applyAlignment="0" applyProtection="0"/>
    <xf numFmtId="0" fontId="18" fillId="23" borderId="42" applyNumberFormat="0" applyAlignment="0" applyProtection="0"/>
    <xf numFmtId="0" fontId="18" fillId="24" borderId="42" applyNumberFormat="0" applyAlignment="0" applyProtection="0"/>
    <xf numFmtId="0" fontId="21" fillId="0" borderId="43" applyNumberFormat="0" applyFill="0" applyAlignment="0" applyProtection="0"/>
    <xf numFmtId="0" fontId="21" fillId="0" borderId="43" applyNumberFormat="0" applyFill="0" applyAlignment="0" applyProtection="0"/>
    <xf numFmtId="0" fontId="9" fillId="31" borderId="53" applyNumberFormat="0" applyAlignment="0" applyProtection="0"/>
    <xf numFmtId="0" fontId="18" fillId="23" borderId="54" applyNumberFormat="0" applyAlignment="0" applyProtection="0"/>
    <xf numFmtId="0" fontId="12" fillId="23" borderId="52" applyNumberFormat="0" applyAlignment="0" applyProtection="0"/>
    <xf numFmtId="0" fontId="18" fillId="24" borderId="58" applyNumberFormat="0" applyAlignment="0" applyProtection="0"/>
    <xf numFmtId="0" fontId="18" fillId="24" borderId="54" applyNumberFormat="0" applyAlignment="0" applyProtection="0"/>
    <xf numFmtId="0" fontId="18" fillId="23" borderId="58" applyNumberFormat="0" applyAlignment="0" applyProtection="0"/>
    <xf numFmtId="0" fontId="9" fillId="31" borderId="45" applyNumberFormat="0" applyAlignment="0" applyProtection="0"/>
    <xf numFmtId="0" fontId="21" fillId="0" borderId="47" applyNumberFormat="0" applyFill="0" applyAlignment="0" applyProtection="0"/>
    <xf numFmtId="0" fontId="18" fillId="24" borderId="46" applyNumberFormat="0" applyAlignment="0" applyProtection="0"/>
    <xf numFmtId="0" fontId="12" fillId="24" borderId="44" applyNumberFormat="0" applyAlignment="0" applyProtection="0"/>
    <xf numFmtId="0" fontId="18" fillId="24" borderId="46" applyNumberFormat="0" applyAlignment="0" applyProtection="0"/>
    <xf numFmtId="0" fontId="18" fillId="23" borderId="46" applyNumberFormat="0" applyAlignment="0" applyProtection="0"/>
    <xf numFmtId="0" fontId="18" fillId="23" borderId="46" applyNumberFormat="0" applyAlignment="0" applyProtection="0"/>
    <xf numFmtId="0" fontId="9" fillId="31" borderId="45" applyNumberFormat="0" applyAlignment="0" applyProtection="0"/>
    <xf numFmtId="0" fontId="12" fillId="23" borderId="44" applyNumberFormat="0" applyAlignment="0" applyProtection="0"/>
    <xf numFmtId="0" fontId="12" fillId="23" borderId="44" applyNumberFormat="0" applyAlignment="0" applyProtection="0"/>
    <xf numFmtId="0" fontId="15" fillId="12" borderId="44" applyNumberFormat="0" applyAlignment="0" applyProtection="0"/>
    <xf numFmtId="0" fontId="12" fillId="23" borderId="44" applyNumberFormat="0" applyAlignment="0" applyProtection="0"/>
    <xf numFmtId="0" fontId="12" fillId="23" borderId="44" applyNumberFormat="0" applyAlignment="0" applyProtection="0"/>
    <xf numFmtId="0" fontId="12" fillId="24" borderId="44" applyNumberFormat="0" applyAlignment="0" applyProtection="0"/>
    <xf numFmtId="0" fontId="15" fillId="12" borderId="44" applyNumberFormat="0" applyAlignment="0" applyProtection="0"/>
    <xf numFmtId="0" fontId="12" fillId="24" borderId="44" applyNumberFormat="0" applyAlignment="0" applyProtection="0"/>
    <xf numFmtId="0" fontId="12" fillId="23" borderId="44" applyNumberFormat="0" applyAlignment="0" applyProtection="0"/>
    <xf numFmtId="0" fontId="12" fillId="23" borderId="44" applyNumberFormat="0" applyAlignment="0" applyProtection="0"/>
    <xf numFmtId="0" fontId="15" fillId="12" borderId="44" applyNumberFormat="0" applyAlignment="0" applyProtection="0"/>
    <xf numFmtId="0" fontId="18" fillId="23" borderId="46" applyNumberFormat="0" applyAlignment="0" applyProtection="0"/>
    <xf numFmtId="0" fontId="18" fillId="23" borderId="46" applyNumberFormat="0" applyAlignment="0" applyProtection="0"/>
    <xf numFmtId="0" fontId="9" fillId="31" borderId="45" applyNumberFormat="0" applyAlignment="0" applyProtection="0"/>
    <xf numFmtId="0" fontId="18" fillId="23" borderId="46" applyNumberFormat="0" applyAlignment="0" applyProtection="0"/>
    <xf numFmtId="0" fontId="18" fillId="23" borderId="46" applyNumberFormat="0" applyAlignment="0" applyProtection="0"/>
    <xf numFmtId="0" fontId="18" fillId="24" borderId="46" applyNumberFormat="0" applyAlignment="0" applyProtection="0"/>
    <xf numFmtId="0" fontId="21" fillId="0" borderId="47" applyNumberFormat="0" applyFill="0" applyAlignment="0" applyProtection="0"/>
    <xf numFmtId="0" fontId="21" fillId="0" borderId="47" applyNumberFormat="0" applyFill="0" applyAlignment="0" applyProtection="0"/>
    <xf numFmtId="0" fontId="18" fillId="23" borderId="54" applyNumberFormat="0" applyAlignment="0" applyProtection="0"/>
    <xf numFmtId="0" fontId="12" fillId="23" borderId="52" applyNumberFormat="0" applyAlignment="0" applyProtection="0"/>
    <xf numFmtId="0" fontId="12" fillId="23" borderId="52" applyNumberFormat="0" applyAlignment="0" applyProtection="0"/>
    <xf numFmtId="0" fontId="15" fillId="12" borderId="52" applyNumberFormat="0" applyAlignment="0" applyProtection="0"/>
    <xf numFmtId="0" fontId="15" fillId="12" borderId="52" applyNumberFormat="0" applyAlignment="0" applyProtection="0"/>
    <xf numFmtId="0" fontId="9" fillId="31" borderId="49" applyNumberFormat="0" applyAlignment="0" applyProtection="0"/>
    <xf numFmtId="0" fontId="21" fillId="0" borderId="55" applyNumberFormat="0" applyFill="0" applyAlignment="0" applyProtection="0"/>
    <xf numFmtId="0" fontId="21" fillId="0" borderId="55" applyNumberFormat="0" applyFill="0" applyAlignment="0" applyProtection="0"/>
    <xf numFmtId="0" fontId="18" fillId="23" borderId="50" applyNumberFormat="0" applyAlignment="0" applyProtection="0"/>
    <xf numFmtId="0" fontId="18" fillId="23" borderId="50" applyNumberFormat="0" applyAlignment="0" applyProtection="0"/>
    <xf numFmtId="0" fontId="18" fillId="24" borderId="50" applyNumberFormat="0" applyAlignment="0" applyProtection="0"/>
    <xf numFmtId="0" fontId="18" fillId="23" borderId="58" applyNumberFormat="0" applyAlignment="0" applyProtection="0"/>
    <xf numFmtId="0" fontId="15" fillId="12" borderId="56" applyNumberFormat="0" applyAlignment="0" applyProtection="0"/>
    <xf numFmtId="0" fontId="12" fillId="24" borderId="56" applyNumberFormat="0" applyAlignment="0" applyProtection="0"/>
    <xf numFmtId="0" fontId="12" fillId="24" borderId="60" applyNumberFormat="0" applyAlignment="0" applyProtection="0"/>
    <xf numFmtId="0" fontId="18" fillId="23" borderId="66" applyNumberFormat="0" applyAlignment="0" applyProtection="0"/>
    <xf numFmtId="0" fontId="21" fillId="0" borderId="51" applyNumberFormat="0" applyFill="0" applyAlignment="0" applyProtection="0"/>
    <xf numFmtId="0" fontId="12" fillId="23" borderId="68" applyNumberFormat="0" applyAlignment="0" applyProtection="0"/>
    <xf numFmtId="0" fontId="12" fillId="23" borderId="52" applyNumberFormat="0" applyAlignment="0" applyProtection="0"/>
    <xf numFmtId="0" fontId="18" fillId="23" borderId="54" applyNumberFormat="0" applyAlignment="0" applyProtection="0"/>
    <xf numFmtId="0" fontId="18" fillId="23" borderId="54" applyNumberFormat="0" applyAlignment="0" applyProtection="0"/>
    <xf numFmtId="0" fontId="12" fillId="24" borderId="52" applyNumberFormat="0" applyAlignment="0" applyProtection="0"/>
    <xf numFmtId="0" fontId="9" fillId="31" borderId="57" applyNumberFormat="0" applyAlignment="0" applyProtection="0"/>
    <xf numFmtId="0" fontId="18" fillId="24" borderId="66" applyNumberFormat="0" applyAlignment="0" applyProtection="0"/>
    <xf numFmtId="0" fontId="12" fillId="23" borderId="52" applyNumberFormat="0" applyAlignment="0" applyProtection="0"/>
    <xf numFmtId="0" fontId="15" fillId="12" borderId="56" applyNumberFormat="0" applyAlignment="0" applyProtection="0"/>
    <xf numFmtId="0" fontId="18" fillId="23" borderId="66" applyNumberFormat="0" applyAlignment="0" applyProtection="0"/>
    <xf numFmtId="0" fontId="9" fillId="31" borderId="49" applyNumberFormat="0" applyAlignment="0" applyProtection="0"/>
    <xf numFmtId="0" fontId="21" fillId="0" borderId="51" applyNumberFormat="0" applyFill="0" applyAlignment="0" applyProtection="0"/>
    <xf numFmtId="0" fontId="18" fillId="24" borderId="50" applyNumberFormat="0" applyAlignment="0" applyProtection="0"/>
    <xf numFmtId="0" fontId="12" fillId="24" borderId="48" applyNumberFormat="0" applyAlignment="0" applyProtection="0"/>
    <xf numFmtId="0" fontId="18" fillId="24" borderId="50" applyNumberFormat="0" applyAlignment="0" applyProtection="0"/>
    <xf numFmtId="0" fontId="18" fillId="23" borderId="50" applyNumberFormat="0" applyAlignment="0" applyProtection="0"/>
    <xf numFmtId="0" fontId="18" fillId="23" borderId="50" applyNumberFormat="0" applyAlignment="0" applyProtection="0"/>
    <xf numFmtId="0" fontId="9" fillId="31" borderId="49" applyNumberFormat="0" applyAlignment="0" applyProtection="0"/>
    <xf numFmtId="0" fontId="12" fillId="23" borderId="48" applyNumberFormat="0" applyAlignment="0" applyProtection="0"/>
    <xf numFmtId="0" fontId="12" fillId="23" borderId="48" applyNumberFormat="0" applyAlignment="0" applyProtection="0"/>
    <xf numFmtId="0" fontId="15" fillId="12" borderId="48" applyNumberFormat="0" applyAlignment="0" applyProtection="0"/>
    <xf numFmtId="0" fontId="12" fillId="23" borderId="48" applyNumberFormat="0" applyAlignment="0" applyProtection="0"/>
    <xf numFmtId="0" fontId="12" fillId="23" borderId="48" applyNumberFormat="0" applyAlignment="0" applyProtection="0"/>
    <xf numFmtId="0" fontId="12" fillId="24" borderId="48" applyNumberFormat="0" applyAlignment="0" applyProtection="0"/>
    <xf numFmtId="0" fontId="15" fillId="12" borderId="48" applyNumberFormat="0" applyAlignment="0" applyProtection="0"/>
    <xf numFmtId="0" fontId="12" fillId="24" borderId="48" applyNumberFormat="0" applyAlignment="0" applyProtection="0"/>
    <xf numFmtId="0" fontId="12" fillId="23" borderId="48" applyNumberFormat="0" applyAlignment="0" applyProtection="0"/>
    <xf numFmtId="0" fontId="12" fillId="23" borderId="48" applyNumberFormat="0" applyAlignment="0" applyProtection="0"/>
    <xf numFmtId="0" fontId="15" fillId="12" borderId="48" applyNumberFormat="0" applyAlignment="0" applyProtection="0"/>
    <xf numFmtId="0" fontId="18" fillId="23" borderId="50" applyNumberFormat="0" applyAlignment="0" applyProtection="0"/>
    <xf numFmtId="0" fontId="18" fillId="23" borderId="50" applyNumberFormat="0" applyAlignment="0" applyProtection="0"/>
    <xf numFmtId="0" fontId="9" fillId="31" borderId="49" applyNumberFormat="0" applyAlignment="0" applyProtection="0"/>
    <xf numFmtId="0" fontId="18" fillId="23" borderId="50" applyNumberFormat="0" applyAlignment="0" applyProtection="0"/>
    <xf numFmtId="0" fontId="18" fillId="23" borderId="50" applyNumberFormat="0" applyAlignment="0" applyProtection="0"/>
    <xf numFmtId="0" fontId="18" fillId="24" borderId="50" applyNumberFormat="0" applyAlignment="0" applyProtection="0"/>
    <xf numFmtId="0" fontId="21" fillId="0" borderId="51" applyNumberFormat="0" applyFill="0" applyAlignment="0" applyProtection="0"/>
    <xf numFmtId="0" fontId="21" fillId="0" borderId="51" applyNumberFormat="0" applyFill="0" applyAlignment="0" applyProtection="0"/>
    <xf numFmtId="0" fontId="9" fillId="31" borderId="65" applyNumberFormat="0" applyAlignment="0" applyProtection="0"/>
    <xf numFmtId="0" fontId="21" fillId="0" borderId="80" applyNumberFormat="0" applyFill="0" applyAlignment="0" applyProtection="0"/>
    <xf numFmtId="0" fontId="12" fillId="24" borderId="52" applyNumberFormat="0" applyAlignment="0" applyProtection="0"/>
    <xf numFmtId="0" fontId="12" fillId="24" borderId="64" applyNumberFormat="0" applyAlignment="0" applyProtection="0"/>
    <xf numFmtId="0" fontId="12" fillId="23" borderId="52" applyNumberFormat="0" applyAlignment="0" applyProtection="0"/>
    <xf numFmtId="0" fontId="12" fillId="23" borderId="56" applyNumberFormat="0" applyAlignment="0" applyProtection="0"/>
    <xf numFmtId="0" fontId="18" fillId="24" borderId="58" applyNumberFormat="0" applyAlignment="0" applyProtection="0"/>
    <xf numFmtId="0" fontId="21" fillId="0" borderId="71" applyNumberFormat="0" applyFill="0" applyAlignment="0" applyProtection="0"/>
    <xf numFmtId="0" fontId="18" fillId="23" borderId="58" applyNumberFormat="0" applyAlignment="0" applyProtection="0"/>
    <xf numFmtId="0" fontId="12" fillId="23" borderId="64" applyNumberFormat="0" applyAlignment="0" applyProtection="0"/>
    <xf numFmtId="0" fontId="21" fillId="0" borderId="67" applyNumberFormat="0" applyFill="0" applyAlignment="0" applyProtection="0"/>
    <xf numFmtId="0" fontId="21" fillId="0" borderId="80" applyNumberFormat="0" applyFill="0" applyAlignment="0" applyProtection="0"/>
    <xf numFmtId="0" fontId="9" fillId="31" borderId="61" applyNumberFormat="0" applyAlignment="0" applyProtection="0"/>
    <xf numFmtId="0" fontId="12" fillId="23" borderId="64" applyNumberFormat="0" applyAlignment="0" applyProtection="0"/>
    <xf numFmtId="0" fontId="12" fillId="23" borderId="56" applyNumberFormat="0" applyAlignment="0" applyProtection="0"/>
    <xf numFmtId="0" fontId="15" fillId="12" borderId="68" applyNumberFormat="0" applyAlignment="0" applyProtection="0"/>
    <xf numFmtId="0" fontId="18" fillId="23" borderId="58" applyNumberFormat="0" applyAlignment="0" applyProtection="0"/>
    <xf numFmtId="0" fontId="18" fillId="24" borderId="70" applyNumberFormat="0" applyAlignment="0" applyProtection="0"/>
    <xf numFmtId="0" fontId="12" fillId="23" borderId="56" applyNumberFormat="0" applyAlignment="0" applyProtection="0"/>
    <xf numFmtId="0" fontId="9" fillId="31" borderId="53" applyNumberFormat="0" applyAlignment="0" applyProtection="0"/>
    <xf numFmtId="0" fontId="12" fillId="23" borderId="56" applyNumberFormat="0" applyAlignment="0" applyProtection="0"/>
    <xf numFmtId="0" fontId="18" fillId="23" borderId="66" applyNumberFormat="0" applyAlignment="0" applyProtection="0"/>
    <xf numFmtId="0" fontId="21" fillId="0" borderId="67" applyNumberFormat="0" applyFill="0" applyAlignment="0" applyProtection="0"/>
    <xf numFmtId="0" fontId="18" fillId="23" borderId="58" applyNumberFormat="0" applyAlignment="0" applyProtection="0"/>
    <xf numFmtId="0" fontId="18" fillId="23" borderId="70" applyNumberFormat="0" applyAlignment="0" applyProtection="0"/>
    <xf numFmtId="0" fontId="15" fillId="12" borderId="64" applyNumberFormat="0" applyAlignment="0" applyProtection="0"/>
    <xf numFmtId="0" fontId="18" fillId="23" borderId="70" applyNumberFormat="0" applyAlignment="0" applyProtection="0"/>
    <xf numFmtId="0" fontId="18" fillId="24" borderId="66" applyNumberFormat="0" applyAlignment="0" applyProtection="0"/>
    <xf numFmtId="0" fontId="9" fillId="31" borderId="57" applyNumberFormat="0" applyAlignment="0" applyProtection="0"/>
    <xf numFmtId="0" fontId="12" fillId="23" borderId="56" applyNumberFormat="0" applyAlignment="0" applyProtection="0"/>
    <xf numFmtId="0" fontId="15" fillId="12" borderId="72" applyNumberFormat="0" applyAlignment="0" applyProtection="0"/>
    <xf numFmtId="0" fontId="12" fillId="24" borderId="68" applyNumberFormat="0" applyAlignment="0" applyProtection="0"/>
    <xf numFmtId="0" fontId="12" fillId="23" borderId="60" applyNumberFormat="0" applyAlignment="0" applyProtection="0"/>
    <xf numFmtId="0" fontId="9" fillId="31" borderId="65" applyNumberFormat="0" applyAlignment="0" applyProtection="0"/>
    <xf numFmtId="0" fontId="12" fillId="23" borderId="60" applyNumberFormat="0" applyAlignment="0" applyProtection="0"/>
    <xf numFmtId="0" fontId="15" fillId="12" borderId="60" applyNumberFormat="0" applyAlignment="0" applyProtection="0"/>
    <xf numFmtId="0" fontId="18" fillId="23" borderId="66" applyNumberFormat="0" applyAlignment="0" applyProtection="0"/>
    <xf numFmtId="0" fontId="21" fillId="0" borderId="67" applyNumberFormat="0" applyFill="0" applyAlignment="0" applyProtection="0"/>
    <xf numFmtId="0" fontId="15" fillId="12" borderId="64" applyNumberFormat="0" applyAlignment="0" applyProtection="0"/>
    <xf numFmtId="0" fontId="18" fillId="23" borderId="66" applyNumberFormat="0" applyAlignment="0" applyProtection="0"/>
    <xf numFmtId="0" fontId="18" fillId="24" borderId="62" applyNumberFormat="0" applyAlignment="0" applyProtection="0"/>
    <xf numFmtId="0" fontId="9" fillId="31" borderId="69" applyNumberFormat="0" applyAlignment="0" applyProtection="0"/>
    <xf numFmtId="0" fontId="9" fillId="31" borderId="65" applyNumberFormat="0" applyAlignment="0" applyProtection="0"/>
    <xf numFmtId="0" fontId="12" fillId="23" borderId="68" applyNumberFormat="0" applyAlignment="0" applyProtection="0"/>
    <xf numFmtId="0" fontId="21" fillId="0" borderId="59" applyNumberFormat="0" applyFill="0" applyAlignment="0" applyProtection="0"/>
    <xf numFmtId="0" fontId="18" fillId="23" borderId="74" applyNumberFormat="0" applyAlignment="0" applyProtection="0"/>
    <xf numFmtId="0" fontId="9" fillId="31" borderId="78" applyNumberFormat="0" applyAlignment="0" applyProtection="0"/>
    <xf numFmtId="0" fontId="15" fillId="12" borderId="64" applyNumberFormat="0" applyAlignment="0" applyProtection="0"/>
    <xf numFmtId="0" fontId="18" fillId="23" borderId="79" applyNumberFormat="0" applyAlignment="0" applyProtection="0"/>
    <xf numFmtId="0" fontId="18" fillId="23" borderId="62" applyNumberFormat="0" applyAlignment="0" applyProtection="0"/>
    <xf numFmtId="0" fontId="12" fillId="23" borderId="64" applyNumberFormat="0" applyAlignment="0" applyProtection="0"/>
    <xf numFmtId="0" fontId="21" fillId="0" borderId="67" applyNumberFormat="0" applyFill="0" applyAlignment="0" applyProtection="0"/>
    <xf numFmtId="0" fontId="15" fillId="12" borderId="64" applyNumberFormat="0" applyAlignment="0" applyProtection="0"/>
    <xf numFmtId="0" fontId="18" fillId="24" borderId="58" applyNumberFormat="0" applyAlignment="0" applyProtection="0"/>
    <xf numFmtId="0" fontId="21" fillId="0" borderId="59" applyNumberFormat="0" applyFill="0" applyAlignment="0" applyProtection="0"/>
    <xf numFmtId="0" fontId="21" fillId="0" borderId="59" applyNumberFormat="0" applyFill="0" applyAlignment="0" applyProtection="0"/>
    <xf numFmtId="0" fontId="18" fillId="23" borderId="79" applyNumberFormat="0" applyAlignment="0" applyProtection="0"/>
    <xf numFmtId="0" fontId="12" fillId="24" borderId="68" applyNumberFormat="0" applyAlignment="0" applyProtection="0"/>
    <xf numFmtId="0" fontId="18" fillId="23" borderId="74" applyNumberFormat="0" applyAlignment="0" applyProtection="0"/>
    <xf numFmtId="0" fontId="15" fillId="12" borderId="68" applyNumberFormat="0" applyAlignment="0" applyProtection="0"/>
    <xf numFmtId="0" fontId="12" fillId="23" borderId="68" applyNumberFormat="0" applyAlignment="0" applyProtection="0"/>
    <xf numFmtId="0" fontId="21" fillId="0" borderId="63" applyNumberFormat="0" applyFill="0" applyAlignment="0" applyProtection="0"/>
    <xf numFmtId="0" fontId="12" fillId="23" borderId="64" applyNumberFormat="0" applyAlignment="0" applyProtection="0"/>
    <xf numFmtId="0" fontId="18" fillId="23" borderId="66" applyNumberFormat="0" applyAlignment="0" applyProtection="0"/>
    <xf numFmtId="0" fontId="18" fillId="23" borderId="66" applyNumberFormat="0" applyAlignment="0" applyProtection="0"/>
    <xf numFmtId="0" fontId="12" fillId="24" borderId="64" applyNumberFormat="0" applyAlignment="0" applyProtection="0"/>
    <xf numFmtId="0" fontId="18" fillId="23" borderId="70" applyNumberFormat="0" applyAlignment="0" applyProtection="0"/>
    <xf numFmtId="0" fontId="12" fillId="23" borderId="64" applyNumberFormat="0" applyAlignment="0" applyProtection="0"/>
    <xf numFmtId="0" fontId="12" fillId="23" borderId="68" applyNumberFormat="0" applyAlignment="0" applyProtection="0"/>
    <xf numFmtId="0" fontId="12" fillId="23" borderId="77" applyNumberFormat="0" applyAlignment="0" applyProtection="0"/>
    <xf numFmtId="0" fontId="9" fillId="31" borderId="61" applyNumberFormat="0" applyAlignment="0" applyProtection="0"/>
    <xf numFmtId="0" fontId="21" fillId="0" borderId="63" applyNumberFormat="0" applyFill="0" applyAlignment="0" applyProtection="0"/>
    <xf numFmtId="0" fontId="18" fillId="24" borderId="62" applyNumberFormat="0" applyAlignment="0" applyProtection="0"/>
    <xf numFmtId="0" fontId="12" fillId="24" borderId="60" applyNumberFormat="0" applyAlignment="0" applyProtection="0"/>
    <xf numFmtId="0" fontId="18" fillId="24" borderId="62" applyNumberFormat="0" applyAlignment="0" applyProtection="0"/>
    <xf numFmtId="0" fontId="18" fillId="23" borderId="62" applyNumberFormat="0" applyAlignment="0" applyProtection="0"/>
    <xf numFmtId="0" fontId="18" fillId="23" borderId="62" applyNumberFormat="0" applyAlignment="0" applyProtection="0"/>
    <xf numFmtId="0" fontId="9" fillId="31" borderId="61" applyNumberFormat="0" applyAlignment="0" applyProtection="0"/>
    <xf numFmtId="0" fontId="12" fillId="23" borderId="60" applyNumberFormat="0" applyAlignment="0" applyProtection="0"/>
    <xf numFmtId="0" fontId="12" fillId="23" borderId="60" applyNumberFormat="0" applyAlignment="0" applyProtection="0"/>
    <xf numFmtId="0" fontId="15" fillId="12" borderId="60" applyNumberFormat="0" applyAlignment="0" applyProtection="0"/>
    <xf numFmtId="0" fontId="12" fillId="23" borderId="60" applyNumberFormat="0" applyAlignment="0" applyProtection="0"/>
    <xf numFmtId="0" fontId="12" fillId="23" borderId="60" applyNumberFormat="0" applyAlignment="0" applyProtection="0"/>
    <xf numFmtId="0" fontId="12" fillId="24" borderId="60" applyNumberFormat="0" applyAlignment="0" applyProtection="0"/>
    <xf numFmtId="0" fontId="15" fillId="12" borderId="60" applyNumberFormat="0" applyAlignment="0" applyProtection="0"/>
    <xf numFmtId="0" fontId="12" fillId="24" borderId="60" applyNumberFormat="0" applyAlignment="0" applyProtection="0"/>
    <xf numFmtId="0" fontId="12" fillId="23" borderId="60" applyNumberFormat="0" applyAlignment="0" applyProtection="0"/>
    <xf numFmtId="0" fontId="12" fillId="23" borderId="60" applyNumberFormat="0" applyAlignment="0" applyProtection="0"/>
    <xf numFmtId="0" fontId="15" fillId="12" borderId="60" applyNumberFormat="0" applyAlignment="0" applyProtection="0"/>
    <xf numFmtId="0" fontId="18" fillId="23" borderId="62" applyNumberFormat="0" applyAlignment="0" applyProtection="0"/>
    <xf numFmtId="0" fontId="18" fillId="23" borderId="62" applyNumberFormat="0" applyAlignment="0" applyProtection="0"/>
    <xf numFmtId="0" fontId="9" fillId="31" borderId="61" applyNumberFormat="0" applyAlignment="0" applyProtection="0"/>
    <xf numFmtId="0" fontId="18" fillId="23" borderId="62" applyNumberFormat="0" applyAlignment="0" applyProtection="0"/>
    <xf numFmtId="0" fontId="18" fillId="23" borderId="62" applyNumberFormat="0" applyAlignment="0" applyProtection="0"/>
    <xf numFmtId="0" fontId="18" fillId="24" borderId="62" applyNumberFormat="0" applyAlignment="0" applyProtection="0"/>
    <xf numFmtId="0" fontId="21" fillId="0" borderId="63" applyNumberFormat="0" applyFill="0" applyAlignment="0" applyProtection="0"/>
    <xf numFmtId="0" fontId="21" fillId="0" borderId="63" applyNumberFormat="0" applyFill="0" applyAlignment="0" applyProtection="0"/>
    <xf numFmtId="0" fontId="18" fillId="23" borderId="70" applyNumberFormat="0" applyAlignment="0" applyProtection="0"/>
    <xf numFmtId="0" fontId="12" fillId="23" borderId="77" applyNumberFormat="0" applyAlignment="0" applyProtection="0"/>
    <xf numFmtId="0" fontId="21" fillId="0" borderId="71" applyNumberFormat="0" applyFill="0" applyAlignment="0" applyProtection="0"/>
    <xf numFmtId="0" fontId="12" fillId="24" borderId="64" applyNumberFormat="0" applyAlignment="0" applyProtection="0"/>
    <xf numFmtId="0" fontId="21" fillId="0" borderId="75" applyNumberFormat="0" applyFill="0" applyAlignment="0" applyProtection="0"/>
    <xf numFmtId="0" fontId="12" fillId="23" borderId="64" applyNumberFormat="0" applyAlignment="0" applyProtection="0"/>
    <xf numFmtId="0" fontId="15" fillId="12" borderId="68" applyNumberFormat="0" applyAlignment="0" applyProtection="0"/>
    <xf numFmtId="0" fontId="9" fillId="31" borderId="69" applyNumberFormat="0" applyAlignment="0" applyProtection="0"/>
    <xf numFmtId="0" fontId="15" fillId="12" borderId="68" applyNumberFormat="0" applyAlignment="0" applyProtection="0"/>
    <xf numFmtId="0" fontId="12" fillId="23" borderId="68" applyNumberFormat="0" applyAlignment="0" applyProtection="0"/>
    <xf numFmtId="0" fontId="18" fillId="24" borderId="74" applyNumberFormat="0" applyAlignment="0" applyProtection="0"/>
    <xf numFmtId="0" fontId="18" fillId="23" borderId="74" applyNumberFormat="0" applyAlignment="0" applyProtection="0"/>
    <xf numFmtId="0" fontId="18" fillId="24" borderId="74" applyNumberFormat="0" applyAlignment="0" applyProtection="0"/>
    <xf numFmtId="0" fontId="18" fillId="23" borderId="74" applyNumberFormat="0" applyAlignment="0" applyProtection="0"/>
    <xf numFmtId="0" fontId="18" fillId="24" borderId="79" applyNumberFormat="0" applyAlignment="0" applyProtection="0"/>
    <xf numFmtId="0" fontId="12" fillId="24" borderId="68" applyNumberFormat="0" applyAlignment="0" applyProtection="0"/>
    <xf numFmtId="0" fontId="9" fillId="31" borderId="73" applyNumberFormat="0" applyAlignment="0" applyProtection="0"/>
    <xf numFmtId="0" fontId="21" fillId="0" borderId="71" applyNumberFormat="0" applyFill="0" applyAlignment="0" applyProtection="0"/>
    <xf numFmtId="0" fontId="18" fillId="23" borderId="70" applyNumberFormat="0" applyAlignment="0" applyProtection="0"/>
    <xf numFmtId="0" fontId="9" fillId="31" borderId="65" applyNumberFormat="0" applyAlignment="0" applyProtection="0"/>
    <xf numFmtId="0" fontId="12" fillId="23" borderId="68" applyNumberFormat="0" applyAlignment="0" applyProtection="0"/>
    <xf numFmtId="0" fontId="12" fillId="23" borderId="77" applyNumberFormat="0" applyAlignment="0" applyProtection="0"/>
    <xf numFmtId="0" fontId="21" fillId="0" borderId="71" applyNumberFormat="0" applyFill="0" applyAlignment="0" applyProtection="0"/>
    <xf numFmtId="0" fontId="12" fillId="23" borderId="72" applyNumberFormat="0" applyAlignment="0" applyProtection="0"/>
    <xf numFmtId="0" fontId="21" fillId="0" borderId="80" applyNumberFormat="0" applyFill="0" applyAlignment="0" applyProtection="0"/>
    <xf numFmtId="0" fontId="18" fillId="24" borderId="70" applyNumberFormat="0" applyAlignment="0" applyProtection="0"/>
    <xf numFmtId="0" fontId="15" fillId="12" borderId="77" applyNumberFormat="0" applyAlignment="0" applyProtection="0"/>
    <xf numFmtId="0" fontId="12" fillId="24" borderId="68" applyNumberFormat="0" applyAlignment="0" applyProtection="0"/>
    <xf numFmtId="0" fontId="12" fillId="23" borderId="72" applyNumberFormat="0" applyAlignment="0" applyProtection="0"/>
    <xf numFmtId="0" fontId="12" fillId="23" borderId="68" applyNumberFormat="0" applyAlignment="0" applyProtection="0"/>
    <xf numFmtId="0" fontId="9" fillId="31" borderId="78" applyNumberFormat="0" applyAlignment="0" applyProtection="0"/>
    <xf numFmtId="0" fontId="12" fillId="24" borderId="77" applyNumberFormat="0" applyAlignment="0" applyProtection="0"/>
    <xf numFmtId="0" fontId="18" fillId="24" borderId="74" applyNumberFormat="0" applyAlignment="0" applyProtection="0"/>
    <xf numFmtId="0" fontId="12" fillId="23" borderId="72" applyNumberFormat="0" applyAlignment="0" applyProtection="0"/>
    <xf numFmtId="0" fontId="12" fillId="24" borderId="77" applyNumberFormat="0" applyAlignment="0" applyProtection="0"/>
    <xf numFmtId="0" fontId="21" fillId="0" borderId="75" applyNumberFormat="0" applyFill="0" applyAlignment="0" applyProtection="0"/>
    <xf numFmtId="0" fontId="18" fillId="23" borderId="74" applyNumberFormat="0" applyAlignment="0" applyProtection="0"/>
    <xf numFmtId="0" fontId="9" fillId="31" borderId="69" applyNumberFormat="0" applyAlignment="0" applyProtection="0"/>
    <xf numFmtId="0" fontId="9" fillId="31" borderId="73" applyNumberFormat="0" applyAlignment="0" applyProtection="0"/>
    <xf numFmtId="0" fontId="12" fillId="23" borderId="77" applyNumberFormat="0" applyAlignment="0" applyProtection="0"/>
    <xf numFmtId="0" fontId="18" fillId="23" borderId="74" applyNumberFormat="0" applyAlignment="0" applyProtection="0"/>
    <xf numFmtId="0" fontId="12" fillId="23" borderId="72" applyNumberFormat="0" applyAlignment="0" applyProtection="0"/>
    <xf numFmtId="0" fontId="12" fillId="24" borderId="72" applyNumberFormat="0" applyAlignment="0" applyProtection="0"/>
    <xf numFmtId="0" fontId="12" fillId="24" borderId="72" applyNumberFormat="0" applyAlignment="0" applyProtection="0"/>
    <xf numFmtId="0" fontId="18" fillId="23" borderId="74" applyNumberFormat="0" applyAlignment="0" applyProtection="0"/>
    <xf numFmtId="0" fontId="12" fillId="23" borderId="72" applyNumberFormat="0" applyAlignment="0" applyProtection="0"/>
    <xf numFmtId="0" fontId="12" fillId="24" borderId="72" applyNumberFormat="0" applyAlignment="0" applyProtection="0"/>
    <xf numFmtId="0" fontId="9" fillId="31" borderId="73" applyNumberFormat="0" applyAlignment="0" applyProtection="0"/>
    <xf numFmtId="0" fontId="9" fillId="31" borderId="73" applyNumberFormat="0" applyAlignment="0" applyProtection="0"/>
    <xf numFmtId="0" fontId="12" fillId="23" borderId="72" applyNumberFormat="0" applyAlignment="0" applyProtection="0"/>
    <xf numFmtId="0" fontId="15" fillId="12" borderId="77" applyNumberFormat="0" applyAlignment="0" applyProtection="0"/>
    <xf numFmtId="0" fontId="15" fillId="12" borderId="77" applyNumberFormat="0" applyAlignment="0" applyProtection="0"/>
    <xf numFmtId="0" fontId="12" fillId="23" borderId="72" applyNumberFormat="0" applyAlignment="0" applyProtection="0"/>
    <xf numFmtId="0" fontId="15" fillId="12" borderId="77" applyNumberFormat="0" applyAlignment="0" applyProtection="0"/>
    <xf numFmtId="0" fontId="18" fillId="23" borderId="79" applyNumberFormat="0" applyAlignment="0" applyProtection="0"/>
    <xf numFmtId="0" fontId="12" fillId="24" borderId="72" applyNumberFormat="0" applyAlignment="0" applyProtection="0"/>
    <xf numFmtId="0" fontId="18" fillId="23" borderId="74" applyNumberFormat="0" applyAlignment="0" applyProtection="0"/>
    <xf numFmtId="0" fontId="18" fillId="24" borderId="74" applyNumberFormat="0" applyAlignment="0" applyProtection="0"/>
    <xf numFmtId="0" fontId="15" fillId="12" borderId="72" applyNumberFormat="0" applyAlignment="0" applyProtection="0"/>
    <xf numFmtId="0" fontId="15" fillId="12" borderId="72" applyNumberFormat="0" applyAlignment="0" applyProtection="0"/>
    <xf numFmtId="0" fontId="15" fillId="12" borderId="72" applyNumberFormat="0" applyAlignment="0" applyProtection="0"/>
    <xf numFmtId="0" fontId="21" fillId="0" borderId="75" applyNumberFormat="0" applyFill="0" applyAlignment="0" applyProtection="0"/>
    <xf numFmtId="0" fontId="21" fillId="0" borderId="75" applyNumberFormat="0" applyFill="0" applyAlignment="0" applyProtection="0"/>
    <xf numFmtId="0" fontId="12" fillId="23" borderId="77" applyNumberFormat="0" applyAlignment="0" applyProtection="0"/>
    <xf numFmtId="0" fontId="18" fillId="23" borderId="79" applyNumberFormat="0" applyAlignment="0" applyProtection="0"/>
    <xf numFmtId="0" fontId="9" fillId="31" borderId="78" applyNumberFormat="0" applyAlignment="0" applyProtection="0"/>
    <xf numFmtId="0" fontId="18" fillId="23" borderId="79" applyNumberFormat="0" applyAlignment="0" applyProtection="0"/>
    <xf numFmtId="0" fontId="12" fillId="24" borderId="77" applyNumberFormat="0" applyAlignment="0" applyProtection="0"/>
    <xf numFmtId="0" fontId="18" fillId="23" borderId="79" applyNumberFormat="0" applyAlignment="0" applyProtection="0"/>
    <xf numFmtId="0" fontId="18" fillId="24" borderId="79" applyNumberFormat="0" applyAlignment="0" applyProtection="0"/>
    <xf numFmtId="0" fontId="12" fillId="24" borderId="77" applyNumberFormat="0" applyAlignment="0" applyProtection="0"/>
    <xf numFmtId="0" fontId="12" fillId="23" borderId="77" applyNumberFormat="0" applyAlignment="0" applyProtection="0"/>
    <xf numFmtId="0" fontId="18" fillId="24" borderId="79" applyNumberFormat="0" applyAlignment="0" applyProtection="0"/>
    <xf numFmtId="0" fontId="18" fillId="24" borderId="79" applyNumberFormat="0" applyAlignment="0" applyProtection="0"/>
    <xf numFmtId="0" fontId="18" fillId="23" borderId="79" applyNumberFormat="0" applyAlignment="0" applyProtection="0"/>
    <xf numFmtId="0" fontId="12" fillId="23" borderId="77" applyNumberFormat="0" applyAlignment="0" applyProtection="0"/>
    <xf numFmtId="0" fontId="12" fillId="23" borderId="77" applyNumberFormat="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44"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48"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9"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50"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10" fillId="51" borderId="0" applyNumberFormat="0" applyBorder="0" applyAlignment="0" applyProtection="0"/>
    <xf numFmtId="0" fontId="10" fillId="46" borderId="0" applyNumberFormat="0" applyBorder="0" applyAlignment="0" applyProtection="0"/>
    <xf numFmtId="0" fontId="10" fillId="48"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10" fillId="43" borderId="0" applyNumberFormat="0" applyBorder="0" applyAlignment="0" applyProtection="0"/>
    <xf numFmtId="0" fontId="10" fillId="55" borderId="0" applyNumberFormat="0" applyBorder="0" applyAlignment="0" applyProtection="0"/>
    <xf numFmtId="0" fontId="10" fillId="49"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58"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5" borderId="0" applyNumberFormat="0" applyBorder="0" applyAlignment="0" applyProtection="0"/>
    <xf numFmtId="0" fontId="16" fillId="40" borderId="0" applyNumberFormat="0" applyBorder="0" applyAlignment="0" applyProtection="0"/>
    <xf numFmtId="0" fontId="11" fillId="43" borderId="0" applyNumberFormat="0" applyBorder="0" applyAlignment="0" applyProtection="0"/>
    <xf numFmtId="0" fontId="12" fillId="59" borderId="77" applyNumberFormat="0" applyAlignment="0" applyProtection="0"/>
    <xf numFmtId="0" fontId="44" fillId="60" borderId="77" applyNumberFormat="0" applyAlignment="0" applyProtection="0"/>
    <xf numFmtId="0" fontId="13" fillId="61" borderId="18" applyNumberFormat="0" applyAlignment="0" applyProtection="0"/>
    <xf numFmtId="0" fontId="19" fillId="0" borderId="81" applyNumberFormat="0" applyFill="0" applyAlignment="0" applyProtection="0"/>
    <xf numFmtId="0" fontId="13" fillId="61" borderId="18" applyNumberFormat="0" applyAlignment="0" applyProtection="0"/>
    <xf numFmtId="0" fontId="10" fillId="62" borderId="0" applyNumberFormat="0" applyBorder="0" applyAlignment="0" applyProtection="0"/>
    <xf numFmtId="0" fontId="10" fillId="55" borderId="0" applyNumberFormat="0" applyBorder="0" applyAlignment="0" applyProtection="0"/>
    <xf numFmtId="0" fontId="10" fillId="49" borderId="0" applyNumberFormat="0" applyBorder="0" applyAlignment="0" applyProtection="0"/>
    <xf numFmtId="0" fontId="10" fillId="63" borderId="0" applyNumberFormat="0" applyBorder="0" applyAlignment="0" applyProtection="0"/>
    <xf numFmtId="0" fontId="10" fillId="53" borderId="0" applyNumberFormat="0" applyBorder="0" applyAlignment="0" applyProtection="0"/>
    <xf numFmtId="0" fontId="10" fillId="57" borderId="0" applyNumberFormat="0" applyBorder="0" applyAlignment="0" applyProtection="0"/>
    <xf numFmtId="0" fontId="15" fillId="50" borderId="77" applyNumberFormat="0" applyAlignment="0" applyProtection="0"/>
    <xf numFmtId="0" fontId="20" fillId="0" borderId="0" applyNumberFormat="0" applyFill="0" applyBorder="0" applyAlignment="0" applyProtection="0"/>
    <xf numFmtId="0" fontId="11" fillId="41" borderId="0" applyNumberFormat="0" applyBorder="0" applyAlignment="0" applyProtection="0"/>
    <xf numFmtId="0" fontId="8" fillId="0" borderId="16" applyNumberFormat="0" applyFill="0" applyAlignment="0" applyProtection="0"/>
    <xf numFmtId="0" fontId="23" fillId="0" borderId="22" applyNumberFormat="0" applyFill="0" applyAlignment="0" applyProtection="0"/>
    <xf numFmtId="0" fontId="24" fillId="0" borderId="23" applyNumberFormat="0" applyFill="0" applyAlignment="0" applyProtection="0"/>
    <xf numFmtId="0" fontId="24" fillId="0" borderId="0" applyNumberFormat="0" applyFill="0" applyBorder="0" applyAlignment="0" applyProtection="0"/>
    <xf numFmtId="0" fontId="16" fillId="42" borderId="0" applyNumberFormat="0" applyBorder="0" applyAlignment="0" applyProtection="0"/>
    <xf numFmtId="0" fontId="15" fillId="44" borderId="77" applyNumberFormat="0" applyAlignment="0" applyProtection="0"/>
    <xf numFmtId="0" fontId="14" fillId="0" borderId="19" applyNumberFormat="0" applyFill="0" applyAlignment="0" applyProtection="0"/>
    <xf numFmtId="0" fontId="45" fillId="50" borderId="0" applyNumberFormat="0" applyBorder="0" applyAlignment="0" applyProtection="0"/>
    <xf numFmtId="0" fontId="17" fillId="50" borderId="0" applyNumberFormat="0" applyBorder="0" applyAlignment="0" applyProtection="0"/>
    <xf numFmtId="0" fontId="4" fillId="47" borderId="20" applyNumberFormat="0" applyFont="0" applyAlignment="0" applyProtection="0"/>
    <xf numFmtId="0" fontId="9" fillId="47" borderId="20" applyNumberFormat="0" applyFont="0" applyAlignment="0" applyProtection="0"/>
    <xf numFmtId="0" fontId="18" fillId="59" borderId="79" applyNumberFormat="0" applyAlignment="0" applyProtection="0"/>
    <xf numFmtId="0" fontId="18" fillId="60" borderId="79" applyNumberFormat="0" applyAlignment="0" applyProtection="0"/>
    <xf numFmtId="0" fontId="22" fillId="0" borderId="0" applyNumberFormat="0" applyFill="0" applyBorder="0" applyAlignment="0" applyProtection="0"/>
    <xf numFmtId="0" fontId="46" fillId="0" borderId="0" applyNumberFormat="0" applyFill="0" applyBorder="0" applyAlignment="0" applyProtection="0"/>
    <xf numFmtId="0" fontId="32" fillId="0" borderId="82" applyNumberFormat="0" applyFill="0" applyAlignment="0" applyProtection="0"/>
    <xf numFmtId="0" fontId="33" fillId="0" borderId="83" applyNumberFormat="0" applyFill="0" applyAlignment="0" applyProtection="0"/>
    <xf numFmtId="0" fontId="34" fillId="0" borderId="84" applyNumberFormat="0" applyFill="0" applyAlignment="0" applyProtection="0"/>
    <xf numFmtId="0" fontId="19" fillId="0" borderId="0" applyNumberFormat="0" applyFill="0" applyBorder="0" applyAlignment="0" applyProtection="0"/>
    <xf numFmtId="0" fontId="18" fillId="59" borderId="85" applyNumberFormat="0" applyAlignment="0" applyProtection="0"/>
    <xf numFmtId="0" fontId="18" fillId="60" borderId="85" applyNumberFormat="0" applyAlignment="0" applyProtection="0"/>
    <xf numFmtId="0" fontId="21" fillId="0" borderId="86" applyNumberFormat="0" applyFill="0" applyAlignment="0" applyProtection="0"/>
    <xf numFmtId="0" fontId="52" fillId="0" borderId="0" applyNumberFormat="0" applyBorder="0" applyProtection="0"/>
    <xf numFmtId="180" fontId="4" fillId="0" borderId="0" applyFont="0" applyFill="0" applyBorder="0" applyAlignment="0" applyProtection="0"/>
    <xf numFmtId="0" fontId="53" fillId="0" borderId="0"/>
    <xf numFmtId="9" fontId="4" fillId="0" borderId="0" applyFont="0" applyFill="0" applyBorder="0" applyAlignment="0" applyProtection="0"/>
    <xf numFmtId="43" fontId="4"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100" applyNumberFormat="0" applyFill="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5" fillId="12" borderId="97" applyNumberFormat="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8" fillId="24" borderId="99" applyNumberFormat="0" applyAlignment="0" applyProtection="0"/>
    <xf numFmtId="0" fontId="12" fillId="23" borderId="97" applyNumberFormat="0" applyAlignment="0" applyProtection="0"/>
    <xf numFmtId="0" fontId="12" fillId="24" borderId="97" applyNumberFormat="0" applyAlignment="0" applyProtection="0"/>
    <xf numFmtId="0" fontId="18" fillId="23" borderId="99" applyNumberFormat="0" applyAlignment="0" applyProtection="0"/>
    <xf numFmtId="0" fontId="15" fillId="12" borderId="97" applyNumberFormat="0" applyAlignment="0" applyProtection="0"/>
    <xf numFmtId="0" fontId="12" fillId="23" borderId="97" applyNumberFormat="0" applyAlignment="0" applyProtection="0"/>
    <xf numFmtId="0" fontId="18" fillId="2" borderId="94" applyNumberFormat="0" applyAlignment="0" applyProtection="0"/>
    <xf numFmtId="0" fontId="21" fillId="0" borderId="95" applyNumberFormat="0" applyFill="0" applyAlignment="0" applyProtection="0"/>
    <xf numFmtId="0" fontId="18" fillId="23" borderId="94" applyNumberFormat="0" applyAlignment="0" applyProtection="0"/>
    <xf numFmtId="0" fontId="12" fillId="23" borderId="92" applyNumberFormat="0" applyAlignment="0" applyProtection="0"/>
    <xf numFmtId="0" fontId="12" fillId="23" borderId="92" applyNumberFormat="0" applyAlignment="0" applyProtection="0"/>
    <xf numFmtId="0" fontId="12" fillId="23" borderId="92" applyNumberFormat="0" applyAlignment="0" applyProtection="0"/>
    <xf numFmtId="0" fontId="21" fillId="0" borderId="95" applyNumberFormat="0" applyFill="0" applyAlignment="0" applyProtection="0"/>
    <xf numFmtId="43" fontId="6" fillId="0" borderId="0" applyFont="0" applyFill="0" applyBorder="0" applyAlignment="0" applyProtection="0"/>
    <xf numFmtId="0" fontId="15" fillId="12" borderId="92" applyNumberFormat="0" applyAlignment="0" applyProtection="0"/>
    <xf numFmtId="0" fontId="18" fillId="24" borderId="94" applyNumberFormat="0" applyAlignment="0" applyProtection="0"/>
    <xf numFmtId="0" fontId="12" fillId="23" borderId="92" applyNumberFormat="0" applyAlignment="0" applyProtection="0"/>
    <xf numFmtId="0" fontId="18" fillId="24" borderId="94" applyNumberFormat="0" applyAlignment="0" applyProtection="0"/>
    <xf numFmtId="0" fontId="18" fillId="23" borderId="94" applyNumberFormat="0" applyAlignment="0" applyProtection="0"/>
    <xf numFmtId="0" fontId="18" fillId="23" borderId="94" applyNumberFormat="0" applyAlignment="0" applyProtection="0"/>
    <xf numFmtId="0" fontId="12" fillId="24" borderId="97" applyNumberFormat="0" applyAlignment="0" applyProtection="0"/>
    <xf numFmtId="0" fontId="9" fillId="31" borderId="98" applyNumberFormat="0" applyAlignment="0" applyProtection="0"/>
    <xf numFmtId="0" fontId="15" fillId="12" borderId="97" applyNumberFormat="0" applyAlignment="0" applyProtection="0"/>
    <xf numFmtId="0" fontId="12" fillId="23" borderId="97" applyNumberFormat="0" applyAlignment="0" applyProtection="0"/>
    <xf numFmtId="0" fontId="12" fillId="24" borderId="97" applyNumberFormat="0" applyAlignment="0" applyProtection="0"/>
    <xf numFmtId="0" fontId="21" fillId="0" borderId="100" applyNumberFormat="0" applyFill="0" applyAlignment="0" applyProtection="0"/>
    <xf numFmtId="0" fontId="18" fillId="24"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8" fillId="23" borderId="99" applyNumberFormat="0" applyAlignment="0" applyProtection="0"/>
    <xf numFmtId="0" fontId="21" fillId="0" borderId="96" applyNumberFormat="0" applyFill="0" applyAlignment="0" applyProtection="0"/>
    <xf numFmtId="0" fontId="21" fillId="0" borderId="95" applyNumberFormat="0" applyFill="0" applyAlignment="0" applyProtection="0"/>
    <xf numFmtId="0" fontId="18" fillId="23" borderId="94" applyNumberFormat="0" applyAlignment="0" applyProtection="0"/>
    <xf numFmtId="0" fontId="18" fillId="24" borderId="94" applyNumberFormat="0" applyAlignment="0" applyProtection="0"/>
    <xf numFmtId="0" fontId="18" fillId="2" borderId="94" applyNumberFormat="0" applyAlignment="0" applyProtection="0"/>
    <xf numFmtId="0" fontId="12" fillId="2" borderId="92" applyNumberFormat="0" applyAlignment="0" applyProtection="0"/>
    <xf numFmtId="0" fontId="21" fillId="0" borderId="96" applyNumberFormat="0" applyFill="0" applyAlignment="0" applyProtection="0"/>
    <xf numFmtId="0" fontId="12" fillId="23" borderId="92" applyNumberFormat="0" applyAlignment="0" applyProtection="0"/>
    <xf numFmtId="0" fontId="12" fillId="24" borderId="92" applyNumberFormat="0" applyAlignment="0" applyProtection="0"/>
    <xf numFmtId="0" fontId="12" fillId="24" borderId="92" applyNumberFormat="0" applyAlignment="0" applyProtection="0"/>
    <xf numFmtId="0" fontId="18" fillId="23" borderId="94" applyNumberFormat="0" applyAlignment="0" applyProtection="0"/>
    <xf numFmtId="0" fontId="18" fillId="23" borderId="94" applyNumberFormat="0" applyAlignment="0" applyProtection="0"/>
    <xf numFmtId="0" fontId="21" fillId="0" borderId="95" applyNumberFormat="0" applyFill="0" applyAlignment="0" applyProtection="0"/>
    <xf numFmtId="0" fontId="12" fillId="23" borderId="88"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2" fillId="23" borderId="88" applyNumberFormat="0" applyAlignment="0" applyProtection="0"/>
    <xf numFmtId="0" fontId="18" fillId="23" borderId="90" applyNumberFormat="0" applyAlignment="0" applyProtection="0"/>
    <xf numFmtId="0" fontId="15" fillId="12" borderId="88" applyNumberFormat="0" applyAlignment="0" applyProtection="0"/>
    <xf numFmtId="0" fontId="9" fillId="31" borderId="89" applyNumberFormat="0" applyAlignment="0" applyProtection="0"/>
    <xf numFmtId="0" fontId="12" fillId="23" borderId="88" applyNumberFormat="0" applyAlignment="0" applyProtection="0"/>
    <xf numFmtId="0" fontId="12" fillId="23" borderId="88" applyNumberFormat="0" applyAlignment="0" applyProtection="0"/>
    <xf numFmtId="43" fontId="4" fillId="0" borderId="0" applyFill="0" applyBorder="0" applyAlignment="0" applyProtection="0"/>
    <xf numFmtId="0" fontId="12" fillId="24" borderId="88" applyNumberFormat="0" applyAlignment="0" applyProtection="0"/>
    <xf numFmtId="0" fontId="12" fillId="23" borderId="88" applyNumberFormat="0" applyAlignment="0" applyProtection="0"/>
    <xf numFmtId="0" fontId="9" fillId="31" borderId="89" applyNumberFormat="0" applyAlignment="0" applyProtection="0"/>
    <xf numFmtId="0" fontId="18" fillId="23" borderId="90" applyNumberFormat="0" applyAlignment="0" applyProtection="0"/>
    <xf numFmtId="0" fontId="18" fillId="23" borderId="90" applyNumberFormat="0" applyAlignment="0" applyProtection="0"/>
    <xf numFmtId="0" fontId="18" fillId="24" borderId="90" applyNumberFormat="0" applyAlignment="0" applyProtection="0"/>
    <xf numFmtId="0" fontId="18" fillId="24" borderId="90" applyNumberFormat="0" applyAlignment="0" applyProtection="0"/>
    <xf numFmtId="0" fontId="12" fillId="24" borderId="88" applyNumberFormat="0" applyAlignment="0" applyProtection="0"/>
    <xf numFmtId="0" fontId="21" fillId="0" borderId="91" applyNumberFormat="0" applyFill="0" applyAlignment="0" applyProtection="0"/>
    <xf numFmtId="0" fontId="12" fillId="23" borderId="88" applyNumberFormat="0" applyAlignment="0" applyProtection="0"/>
    <xf numFmtId="0" fontId="9" fillId="31" borderId="89" applyNumberFormat="0" applyAlignment="0" applyProtection="0"/>
    <xf numFmtId="0" fontId="18" fillId="24" borderId="90" applyNumberFormat="0" applyAlignment="0" applyProtection="0"/>
    <xf numFmtId="0" fontId="12" fillId="24" borderId="88" applyNumberFormat="0" applyAlignment="0" applyProtection="0"/>
    <xf numFmtId="0" fontId="18" fillId="23" borderId="90" applyNumberFormat="0" applyAlignment="0" applyProtection="0"/>
    <xf numFmtId="0" fontId="9" fillId="31" borderId="89" applyNumberFormat="0" applyAlignment="0" applyProtection="0"/>
    <xf numFmtId="0" fontId="18" fillId="23" borderId="90" applyNumberFormat="0" applyAlignment="0" applyProtection="0"/>
    <xf numFmtId="0" fontId="21" fillId="0" borderId="91" applyNumberFormat="0" applyFill="0" applyAlignment="0" applyProtection="0"/>
    <xf numFmtId="0" fontId="18" fillId="23" borderId="90" applyNumberFormat="0" applyAlignment="0" applyProtection="0"/>
    <xf numFmtId="0" fontId="18" fillId="23" borderId="90" applyNumberFormat="0" applyAlignment="0" applyProtection="0"/>
    <xf numFmtId="0" fontId="18" fillId="23" borderId="90" applyNumberFormat="0" applyAlignment="0" applyProtection="0"/>
    <xf numFmtId="0" fontId="12" fillId="24" borderId="88" applyNumberFormat="0" applyAlignment="0" applyProtection="0"/>
    <xf numFmtId="0" fontId="18" fillId="23" borderId="90" applyNumberFormat="0" applyAlignment="0" applyProtection="0"/>
    <xf numFmtId="0" fontId="18" fillId="23" borderId="90" applyNumberFormat="0" applyAlignment="0" applyProtection="0"/>
    <xf numFmtId="0" fontId="12" fillId="24" borderId="88" applyNumberFormat="0" applyAlignment="0" applyProtection="0"/>
    <xf numFmtId="0" fontId="18" fillId="24" borderId="90" applyNumberFormat="0" applyAlignment="0" applyProtection="0"/>
    <xf numFmtId="0" fontId="18" fillId="24" borderId="90" applyNumberFormat="0" applyAlignment="0" applyProtection="0"/>
    <xf numFmtId="0" fontId="12" fillId="23" borderId="88" applyNumberFormat="0" applyAlignment="0" applyProtection="0"/>
    <xf numFmtId="0" fontId="18" fillId="24" borderId="90" applyNumberFormat="0" applyAlignment="0" applyProtection="0"/>
    <xf numFmtId="0" fontId="15" fillId="12" borderId="88" applyNumberFormat="0" applyAlignment="0" applyProtection="0"/>
    <xf numFmtId="0" fontId="12" fillId="23" borderId="88" applyNumberFormat="0" applyAlignment="0" applyProtection="0"/>
    <xf numFmtId="0" fontId="15" fillId="12" borderId="88" applyNumberFormat="0" applyAlignment="0" applyProtection="0"/>
    <xf numFmtId="0" fontId="15" fillId="12" borderId="88" applyNumberFormat="0" applyAlignment="0" applyProtection="0"/>
    <xf numFmtId="0" fontId="18" fillId="23" borderId="90" applyNumberFormat="0" applyAlignment="0" applyProtection="0"/>
    <xf numFmtId="0" fontId="18" fillId="23" borderId="94"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8" fillId="24" borderId="90" applyNumberFormat="0" applyAlignment="0" applyProtection="0"/>
    <xf numFmtId="0" fontId="15" fillId="12" borderId="88" applyNumberFormat="0" applyAlignment="0" applyProtection="0"/>
    <xf numFmtId="0" fontId="18" fillId="23" borderId="90" applyNumberFormat="0" applyAlignment="0" applyProtection="0"/>
    <xf numFmtId="0" fontId="15" fillId="12" borderId="88" applyNumberFormat="0" applyAlignment="0" applyProtection="0"/>
    <xf numFmtId="0" fontId="9" fillId="31" borderId="89" applyNumberFormat="0" applyAlignment="0" applyProtection="0"/>
    <xf numFmtId="0" fontId="18" fillId="23" borderId="90" applyNumberFormat="0" applyAlignment="0" applyProtection="0"/>
    <xf numFmtId="0" fontId="21" fillId="0" borderId="91" applyNumberFormat="0" applyFill="0" applyAlignment="0" applyProtection="0"/>
    <xf numFmtId="0" fontId="12" fillId="24" borderId="88" applyNumberFormat="0" applyAlignment="0" applyProtection="0"/>
    <xf numFmtId="0" fontId="12" fillId="23" borderId="8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21" fillId="0" borderId="91" applyNumberFormat="0" applyFill="0" applyAlignment="0" applyProtection="0"/>
    <xf numFmtId="0" fontId="18" fillId="23" borderId="90" applyNumberFormat="0" applyAlignment="0" applyProtection="0"/>
    <xf numFmtId="43" fontId="4" fillId="0" borderId="0" applyFill="0" applyBorder="0" applyAlignment="0" applyProtection="0"/>
    <xf numFmtId="0" fontId="12" fillId="24" borderId="88" applyNumberFormat="0" applyAlignment="0" applyProtection="0"/>
    <xf numFmtId="0" fontId="18" fillId="24" borderId="90" applyNumberFormat="0" applyAlignment="0" applyProtection="0"/>
    <xf numFmtId="0" fontId="18" fillId="24" borderId="90" applyNumberFormat="0" applyAlignment="0" applyProtection="0"/>
    <xf numFmtId="0" fontId="12" fillId="23" borderId="88" applyNumberFormat="0" applyAlignment="0" applyProtection="0"/>
    <xf numFmtId="43" fontId="4" fillId="0" borderId="0" applyFill="0" applyBorder="0" applyAlignment="0" applyProtection="0"/>
    <xf numFmtId="0" fontId="18" fillId="23" borderId="90" applyNumberFormat="0" applyAlignment="0" applyProtection="0"/>
    <xf numFmtId="0" fontId="9" fillId="31" borderId="93" applyNumberFormat="0" applyAlignment="0" applyProtection="0"/>
    <xf numFmtId="43" fontId="6" fillId="0" borderId="0" applyFont="0" applyFill="0" applyBorder="0" applyAlignment="0" applyProtection="0"/>
    <xf numFmtId="0" fontId="21" fillId="0" borderId="91" applyNumberFormat="0" applyFill="0" applyAlignment="0" applyProtection="0"/>
    <xf numFmtId="0" fontId="18" fillId="24" borderId="90" applyNumberFormat="0" applyAlignment="0" applyProtection="0"/>
    <xf numFmtId="0" fontId="9" fillId="31" borderId="89" applyNumberFormat="0" applyAlignment="0" applyProtection="0"/>
    <xf numFmtId="0" fontId="18" fillId="24" borderId="90" applyNumberFormat="0" applyAlignment="0" applyProtection="0"/>
    <xf numFmtId="0" fontId="12" fillId="23" borderId="88" applyNumberFormat="0" applyAlignment="0" applyProtection="0"/>
    <xf numFmtId="0" fontId="18" fillId="24" borderId="90" applyNumberFormat="0" applyAlignment="0" applyProtection="0"/>
    <xf numFmtId="0" fontId="9" fillId="31" borderId="89" applyNumberFormat="0" applyAlignment="0" applyProtection="0"/>
    <xf numFmtId="0" fontId="12" fillId="23" borderId="88"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2" fillId="23" borderId="88" applyNumberFormat="0" applyAlignment="0" applyProtection="0"/>
    <xf numFmtId="0" fontId="21" fillId="0" borderId="95" applyNumberFormat="0" applyFill="0" applyAlignment="0" applyProtection="0"/>
    <xf numFmtId="0" fontId="18" fillId="23" borderId="90" applyNumberFormat="0" applyAlignment="0" applyProtection="0"/>
    <xf numFmtId="0" fontId="21" fillId="0" borderId="91" applyNumberFormat="0" applyFill="0" applyAlignment="0" applyProtection="0"/>
    <xf numFmtId="0" fontId="12" fillId="24" borderId="88" applyNumberFormat="0" applyAlignment="0" applyProtection="0"/>
    <xf numFmtId="0" fontId="9" fillId="31" borderId="89" applyNumberFormat="0" applyAlignment="0" applyProtection="0"/>
    <xf numFmtId="0" fontId="12" fillId="23" borderId="88" applyNumberFormat="0" applyAlignment="0" applyProtection="0"/>
    <xf numFmtId="0" fontId="12" fillId="24" borderId="88" applyNumberFormat="0" applyAlignment="0" applyProtection="0"/>
    <xf numFmtId="0" fontId="12" fillId="23" borderId="88" applyNumberFormat="0" applyAlignment="0" applyProtection="0"/>
    <xf numFmtId="0" fontId="15" fillId="12" borderId="88" applyNumberFormat="0" applyAlignment="0" applyProtection="0"/>
    <xf numFmtId="0" fontId="12" fillId="23" borderId="88" applyNumberFormat="0" applyAlignment="0" applyProtection="0"/>
    <xf numFmtId="0" fontId="12" fillId="23" borderId="88" applyNumberFormat="0" applyAlignment="0" applyProtection="0"/>
    <xf numFmtId="0" fontId="12" fillId="24" borderId="88" applyNumberFormat="0" applyAlignment="0" applyProtection="0"/>
    <xf numFmtId="0" fontId="15" fillId="12" borderId="88"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8" fillId="23" borderId="90" applyNumberFormat="0" applyAlignment="0" applyProtection="0"/>
    <xf numFmtId="0" fontId="18" fillId="23" borderId="90" applyNumberFormat="0" applyAlignment="0" applyProtection="0"/>
    <xf numFmtId="0" fontId="18" fillId="24" borderId="90"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9" fillId="31" borderId="89" applyNumberFormat="0" applyAlignment="0" applyProtection="0"/>
    <xf numFmtId="0" fontId="18" fillId="23" borderId="90" applyNumberFormat="0" applyAlignment="0" applyProtection="0"/>
    <xf numFmtId="0" fontId="12" fillId="23" borderId="88" applyNumberFormat="0" applyAlignment="0" applyProtection="0"/>
    <xf numFmtId="0" fontId="18" fillId="24" borderId="90" applyNumberFormat="0" applyAlignment="0" applyProtection="0"/>
    <xf numFmtId="0" fontId="18" fillId="24" borderId="90" applyNumberFormat="0" applyAlignment="0" applyProtection="0"/>
    <xf numFmtId="0" fontId="18" fillId="23" borderId="90" applyNumberFormat="0" applyAlignment="0" applyProtection="0"/>
    <xf numFmtId="0" fontId="9" fillId="31" borderId="89" applyNumberFormat="0" applyAlignment="0" applyProtection="0"/>
    <xf numFmtId="0" fontId="21" fillId="0" borderId="91" applyNumberFormat="0" applyFill="0" applyAlignment="0" applyProtection="0"/>
    <xf numFmtId="0" fontId="18" fillId="24" borderId="90" applyNumberFormat="0" applyAlignment="0" applyProtection="0"/>
    <xf numFmtId="0" fontId="12" fillId="24" borderId="88" applyNumberFormat="0" applyAlignment="0" applyProtection="0"/>
    <xf numFmtId="0" fontId="18" fillId="24" borderId="90"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2" fillId="23" borderId="88" applyNumberFormat="0" applyAlignment="0" applyProtection="0"/>
    <xf numFmtId="0" fontId="12" fillId="23" borderId="88" applyNumberFormat="0" applyAlignment="0" applyProtection="0"/>
    <xf numFmtId="0" fontId="12" fillId="24" borderId="88" applyNumberFormat="0" applyAlignment="0" applyProtection="0"/>
    <xf numFmtId="0" fontId="15" fillId="12" borderId="88"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8" fillId="23" borderId="90" applyNumberFormat="0" applyAlignment="0" applyProtection="0"/>
    <xf numFmtId="0" fontId="18" fillId="23" borderId="90" applyNumberFormat="0" applyAlignment="0" applyProtection="0"/>
    <xf numFmtId="0" fontId="18" fillId="24" borderId="90"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18" fillId="23" borderId="90"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5" fillId="12" borderId="88" applyNumberFormat="0" applyAlignment="0" applyProtection="0"/>
    <xf numFmtId="0" fontId="9" fillId="31" borderId="89"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18" fillId="23" borderId="90" applyNumberFormat="0" applyAlignment="0" applyProtection="0"/>
    <xf numFmtId="0" fontId="18" fillId="23" borderId="90" applyNumberFormat="0" applyAlignment="0" applyProtection="0"/>
    <xf numFmtId="0" fontId="18" fillId="24" borderId="90" applyNumberFormat="0" applyAlignment="0" applyProtection="0"/>
    <xf numFmtId="0" fontId="18" fillId="23" borderId="90" applyNumberFormat="0" applyAlignment="0" applyProtection="0"/>
    <xf numFmtId="0" fontId="15" fillId="12" borderId="88" applyNumberFormat="0" applyAlignment="0" applyProtection="0"/>
    <xf numFmtId="0" fontId="12" fillId="24" borderId="88" applyNumberFormat="0" applyAlignment="0" applyProtection="0"/>
    <xf numFmtId="0" fontId="12" fillId="24" borderId="88" applyNumberFormat="0" applyAlignment="0" applyProtection="0"/>
    <xf numFmtId="0" fontId="18" fillId="23" borderId="90" applyNumberFormat="0" applyAlignment="0" applyProtection="0"/>
    <xf numFmtId="0" fontId="21" fillId="0" borderId="91" applyNumberFormat="0" applyFill="0" applyAlignment="0" applyProtection="0"/>
    <xf numFmtId="0" fontId="12" fillId="23" borderId="88" applyNumberFormat="0" applyAlignment="0" applyProtection="0"/>
    <xf numFmtId="0" fontId="12" fillId="23" borderId="88" applyNumberFormat="0" applyAlignment="0" applyProtection="0"/>
    <xf numFmtId="0" fontId="18" fillId="23" borderId="90" applyNumberFormat="0" applyAlignment="0" applyProtection="0"/>
    <xf numFmtId="0" fontId="18" fillId="23" borderId="90" applyNumberFormat="0" applyAlignment="0" applyProtection="0"/>
    <xf numFmtId="0" fontId="12" fillId="24" borderId="88" applyNumberFormat="0" applyAlignment="0" applyProtection="0"/>
    <xf numFmtId="0" fontId="9" fillId="31" borderId="89" applyNumberFormat="0" applyAlignment="0" applyProtection="0"/>
    <xf numFmtId="0" fontId="18" fillId="24" borderId="90"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9" fillId="31" borderId="89" applyNumberFormat="0" applyAlignment="0" applyProtection="0"/>
    <xf numFmtId="0" fontId="21" fillId="0" borderId="91" applyNumberFormat="0" applyFill="0" applyAlignment="0" applyProtection="0"/>
    <xf numFmtId="0" fontId="18" fillId="24" borderId="90" applyNumberFormat="0" applyAlignment="0" applyProtection="0"/>
    <xf numFmtId="0" fontId="12" fillId="24" borderId="88" applyNumberFormat="0" applyAlignment="0" applyProtection="0"/>
    <xf numFmtId="0" fontId="18" fillId="24" borderId="90"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2" fillId="23" borderId="88" applyNumberFormat="0" applyAlignment="0" applyProtection="0"/>
    <xf numFmtId="0" fontId="12" fillId="23" borderId="88" applyNumberFormat="0" applyAlignment="0" applyProtection="0"/>
    <xf numFmtId="0" fontId="12" fillId="24" borderId="88" applyNumberFormat="0" applyAlignment="0" applyProtection="0"/>
    <xf numFmtId="0" fontId="15" fillId="12" borderId="88"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8" fillId="23" borderId="90" applyNumberFormat="0" applyAlignment="0" applyProtection="0"/>
    <xf numFmtId="0" fontId="18" fillId="23" borderId="90" applyNumberFormat="0" applyAlignment="0" applyProtection="0"/>
    <xf numFmtId="0" fontId="18" fillId="24" borderId="90"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9" fillId="31" borderId="89" applyNumberFormat="0" applyAlignment="0" applyProtection="0"/>
    <xf numFmtId="0" fontId="21" fillId="0" borderId="95" applyNumberFormat="0" applyFill="0" applyAlignment="0" applyProtection="0"/>
    <xf numFmtId="0" fontId="12" fillId="24" borderId="88"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18" fillId="24" borderId="90" applyNumberFormat="0" applyAlignment="0" applyProtection="0"/>
    <xf numFmtId="0" fontId="21" fillId="0" borderId="91" applyNumberFormat="0" applyFill="0" applyAlignment="0" applyProtection="0"/>
    <xf numFmtId="0" fontId="18" fillId="23" borderId="90" applyNumberFormat="0" applyAlignment="0" applyProtection="0"/>
    <xf numFmtId="0" fontId="12" fillId="23" borderId="88" applyNumberFormat="0" applyAlignment="0" applyProtection="0"/>
    <xf numFmtId="0" fontId="21" fillId="0" borderId="91" applyNumberFormat="0" applyFill="0" applyAlignment="0" applyProtection="0"/>
    <xf numFmtId="0" fontId="21" fillId="0" borderId="95" applyNumberFormat="0" applyFill="0" applyAlignment="0" applyProtection="0"/>
    <xf numFmtId="0" fontId="9" fillId="31" borderId="89"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18" fillId="24" borderId="90" applyNumberFormat="0" applyAlignment="0" applyProtection="0"/>
    <xf numFmtId="0" fontId="12" fillId="23" borderId="88" applyNumberFormat="0" applyAlignment="0" applyProtection="0"/>
    <xf numFmtId="0" fontId="9" fillId="31" borderId="89" applyNumberFormat="0" applyAlignment="0" applyProtection="0"/>
    <xf numFmtId="0" fontId="12" fillId="23" borderId="88" applyNumberFormat="0" applyAlignment="0" applyProtection="0"/>
    <xf numFmtId="0" fontId="18" fillId="23" borderId="90" applyNumberFormat="0" applyAlignment="0" applyProtection="0"/>
    <xf numFmtId="0" fontId="21" fillId="0" borderId="91" applyNumberFormat="0" applyFill="0" applyAlignment="0" applyProtection="0"/>
    <xf numFmtId="0" fontId="18" fillId="23" borderId="90" applyNumberFormat="0" applyAlignment="0" applyProtection="0"/>
    <xf numFmtId="0" fontId="18" fillId="23" borderId="90" applyNumberFormat="0" applyAlignment="0" applyProtection="0"/>
    <xf numFmtId="0" fontId="15" fillId="12" borderId="88" applyNumberFormat="0" applyAlignment="0" applyProtection="0"/>
    <xf numFmtId="0" fontId="18" fillId="23" borderId="90" applyNumberFormat="0" applyAlignment="0" applyProtection="0"/>
    <xf numFmtId="0" fontId="18" fillId="24" borderId="90" applyNumberFormat="0" applyAlignment="0" applyProtection="0"/>
    <xf numFmtId="0" fontId="9" fillId="31" borderId="89" applyNumberFormat="0" applyAlignment="0" applyProtection="0"/>
    <xf numFmtId="0" fontId="12" fillId="23" borderId="88" applyNumberFormat="0" applyAlignment="0" applyProtection="0"/>
    <xf numFmtId="0" fontId="15" fillId="12" borderId="88" applyNumberFormat="0" applyAlignment="0" applyProtection="0"/>
    <xf numFmtId="0" fontId="12" fillId="24" borderId="88" applyNumberFormat="0" applyAlignment="0" applyProtection="0"/>
    <xf numFmtId="0" fontId="12" fillId="23" borderId="88" applyNumberFormat="0" applyAlignment="0" applyProtection="0"/>
    <xf numFmtId="0" fontId="9" fillId="31" borderId="89"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21" fillId="0" borderId="91" applyNumberFormat="0" applyFill="0" applyAlignment="0" applyProtection="0"/>
    <xf numFmtId="0" fontId="15" fillId="12" borderId="88" applyNumberFormat="0" applyAlignment="0" applyProtection="0"/>
    <xf numFmtId="0" fontId="18" fillId="23" borderId="90" applyNumberFormat="0" applyAlignment="0" applyProtection="0"/>
    <xf numFmtId="0" fontId="18" fillId="24" borderId="90" applyNumberFormat="0" applyAlignment="0" applyProtection="0"/>
    <xf numFmtId="0" fontId="9" fillId="31" borderId="89" applyNumberFormat="0" applyAlignment="0" applyProtection="0"/>
    <xf numFmtId="0" fontId="9" fillId="31" borderId="89" applyNumberFormat="0" applyAlignment="0" applyProtection="0"/>
    <xf numFmtId="0" fontId="12" fillId="23" borderId="88" applyNumberFormat="0" applyAlignment="0" applyProtection="0"/>
    <xf numFmtId="0" fontId="21" fillId="0" borderId="91" applyNumberFormat="0" applyFill="0" applyAlignment="0" applyProtection="0"/>
    <xf numFmtId="0" fontId="18" fillId="23" borderId="90" applyNumberFormat="0" applyAlignment="0" applyProtection="0"/>
    <xf numFmtId="0" fontId="9" fillId="31" borderId="93" applyNumberFormat="0" applyAlignment="0" applyProtection="0"/>
    <xf numFmtId="0" fontId="15" fillId="12" borderId="88" applyNumberFormat="0" applyAlignment="0" applyProtection="0"/>
    <xf numFmtId="0" fontId="18" fillId="23" borderId="94" applyNumberFormat="0" applyAlignment="0" applyProtection="0"/>
    <xf numFmtId="0" fontId="18" fillId="23" borderId="90" applyNumberFormat="0" applyAlignment="0" applyProtection="0"/>
    <xf numFmtId="0" fontId="12" fillId="23" borderId="88" applyNumberFormat="0" applyAlignment="0" applyProtection="0"/>
    <xf numFmtId="0" fontId="21" fillId="0" borderId="91" applyNumberFormat="0" applyFill="0" applyAlignment="0" applyProtection="0"/>
    <xf numFmtId="0" fontId="15" fillId="12" borderId="88" applyNumberFormat="0" applyAlignment="0" applyProtection="0"/>
    <xf numFmtId="0" fontId="18" fillId="24" borderId="90"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18" fillId="23" borderId="94" applyNumberFormat="0" applyAlignment="0" applyProtection="0"/>
    <xf numFmtId="0" fontId="12" fillId="24" borderId="88" applyNumberFormat="0" applyAlignment="0" applyProtection="0"/>
    <xf numFmtId="0" fontId="18" fillId="23" borderId="90" applyNumberFormat="0" applyAlignment="0" applyProtection="0"/>
    <xf numFmtId="0" fontId="15" fillId="12" borderId="88" applyNumberFormat="0" applyAlignment="0" applyProtection="0"/>
    <xf numFmtId="0" fontId="12" fillId="23" borderId="88" applyNumberFormat="0" applyAlignment="0" applyProtection="0"/>
    <xf numFmtId="0" fontId="21" fillId="0" borderId="91" applyNumberFormat="0" applyFill="0" applyAlignment="0" applyProtection="0"/>
    <xf numFmtId="0" fontId="12" fillId="23" borderId="88" applyNumberFormat="0" applyAlignment="0" applyProtection="0"/>
    <xf numFmtId="0" fontId="18" fillId="23" borderId="90" applyNumberFormat="0" applyAlignment="0" applyProtection="0"/>
    <xf numFmtId="0" fontId="18" fillId="23" borderId="90" applyNumberFormat="0" applyAlignment="0" applyProtection="0"/>
    <xf numFmtId="0" fontId="12" fillId="24" borderId="88" applyNumberFormat="0" applyAlignment="0" applyProtection="0"/>
    <xf numFmtId="0" fontId="18" fillId="23" borderId="90" applyNumberFormat="0" applyAlignment="0" applyProtection="0"/>
    <xf numFmtId="0" fontId="12" fillId="23" borderId="88" applyNumberFormat="0" applyAlignment="0" applyProtection="0"/>
    <xf numFmtId="0" fontId="12" fillId="23" borderId="88" applyNumberFormat="0" applyAlignment="0" applyProtection="0"/>
    <xf numFmtId="0" fontId="12" fillId="23" borderId="92" applyNumberFormat="0" applyAlignment="0" applyProtection="0"/>
    <xf numFmtId="0" fontId="9" fillId="31" borderId="89" applyNumberFormat="0" applyAlignment="0" applyProtection="0"/>
    <xf numFmtId="0" fontId="21" fillId="0" borderId="91" applyNumberFormat="0" applyFill="0" applyAlignment="0" applyProtection="0"/>
    <xf numFmtId="0" fontId="18" fillId="24" borderId="90" applyNumberFormat="0" applyAlignment="0" applyProtection="0"/>
    <xf numFmtId="0" fontId="12" fillId="24" borderId="88" applyNumberFormat="0" applyAlignment="0" applyProtection="0"/>
    <xf numFmtId="0" fontId="18" fillId="24" borderId="90"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2" fillId="23" borderId="88" applyNumberFormat="0" applyAlignment="0" applyProtection="0"/>
    <xf numFmtId="0" fontId="12" fillId="23" borderId="88" applyNumberFormat="0" applyAlignment="0" applyProtection="0"/>
    <xf numFmtId="0" fontId="12" fillId="24" borderId="88" applyNumberFormat="0" applyAlignment="0" applyProtection="0"/>
    <xf numFmtId="0" fontId="15" fillId="12" borderId="88"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15" fillId="12" borderId="88" applyNumberFormat="0" applyAlignment="0" applyProtection="0"/>
    <xf numFmtId="0" fontId="18" fillId="23" borderId="90" applyNumberFormat="0" applyAlignment="0" applyProtection="0"/>
    <xf numFmtId="0" fontId="18" fillId="23" borderId="90" applyNumberFormat="0" applyAlignment="0" applyProtection="0"/>
    <xf numFmtId="0" fontId="9" fillId="31" borderId="89" applyNumberFormat="0" applyAlignment="0" applyProtection="0"/>
    <xf numFmtId="0" fontId="18" fillId="23" borderId="90" applyNumberFormat="0" applyAlignment="0" applyProtection="0"/>
    <xf numFmtId="0" fontId="18" fillId="23" borderId="90" applyNumberFormat="0" applyAlignment="0" applyProtection="0"/>
    <xf numFmtId="0" fontId="18" fillId="24" borderId="90"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18" fillId="23" borderId="90" applyNumberFormat="0" applyAlignment="0" applyProtection="0"/>
    <xf numFmtId="0" fontId="12" fillId="23" borderId="92" applyNumberFormat="0" applyAlignment="0" applyProtection="0"/>
    <xf numFmtId="0" fontId="21" fillId="0" borderId="91" applyNumberFormat="0" applyFill="0" applyAlignment="0" applyProtection="0"/>
    <xf numFmtId="0" fontId="12" fillId="24" borderId="88" applyNumberFormat="0" applyAlignment="0" applyProtection="0"/>
    <xf numFmtId="0" fontId="21" fillId="0" borderId="91" applyNumberFormat="0" applyFill="0" applyAlignment="0" applyProtection="0"/>
    <xf numFmtId="0" fontId="12" fillId="23" borderId="88" applyNumberFormat="0" applyAlignment="0" applyProtection="0"/>
    <xf numFmtId="0" fontId="15" fillId="12" borderId="88" applyNumberFormat="0" applyAlignment="0" applyProtection="0"/>
    <xf numFmtId="0" fontId="9" fillId="31" borderId="89" applyNumberFormat="0" applyAlignment="0" applyProtection="0"/>
    <xf numFmtId="0" fontId="15" fillId="12" borderId="88" applyNumberFormat="0" applyAlignment="0" applyProtection="0"/>
    <xf numFmtId="0" fontId="12" fillId="23" borderId="88" applyNumberFormat="0" applyAlignment="0" applyProtection="0"/>
    <xf numFmtId="0" fontId="18" fillId="24" borderId="90" applyNumberFormat="0" applyAlignment="0" applyProtection="0"/>
    <xf numFmtId="0" fontId="18" fillId="23" borderId="90" applyNumberFormat="0" applyAlignment="0" applyProtection="0"/>
    <xf numFmtId="0" fontId="18" fillId="24" borderId="90" applyNumberFormat="0" applyAlignment="0" applyProtection="0"/>
    <xf numFmtId="0" fontId="18" fillId="23" borderId="90" applyNumberFormat="0" applyAlignment="0" applyProtection="0"/>
    <xf numFmtId="0" fontId="18" fillId="24" borderId="94" applyNumberFormat="0" applyAlignment="0" applyProtection="0"/>
    <xf numFmtId="0" fontId="12" fillId="24" borderId="88" applyNumberFormat="0" applyAlignment="0" applyProtection="0"/>
    <xf numFmtId="0" fontId="9" fillId="31" borderId="89" applyNumberFormat="0" applyAlignment="0" applyProtection="0"/>
    <xf numFmtId="0" fontId="21" fillId="0" borderId="91" applyNumberFormat="0" applyFill="0" applyAlignment="0" applyProtection="0"/>
    <xf numFmtId="0" fontId="18" fillId="23" borderId="90" applyNumberFormat="0" applyAlignment="0" applyProtection="0"/>
    <xf numFmtId="0" fontId="9" fillId="31" borderId="89" applyNumberFormat="0" applyAlignment="0" applyProtection="0"/>
    <xf numFmtId="0" fontId="12" fillId="23" borderId="88" applyNumberFormat="0" applyAlignment="0" applyProtection="0"/>
    <xf numFmtId="0" fontId="12" fillId="23" borderId="92" applyNumberFormat="0" applyAlignment="0" applyProtection="0"/>
    <xf numFmtId="0" fontId="21" fillId="0" borderId="91" applyNumberFormat="0" applyFill="0" applyAlignment="0" applyProtection="0"/>
    <xf numFmtId="0" fontId="12" fillId="23" borderId="88" applyNumberFormat="0" applyAlignment="0" applyProtection="0"/>
    <xf numFmtId="0" fontId="21" fillId="0" borderId="95" applyNumberFormat="0" applyFill="0" applyAlignment="0" applyProtection="0"/>
    <xf numFmtId="0" fontId="18" fillId="24" borderId="90" applyNumberFormat="0" applyAlignment="0" applyProtection="0"/>
    <xf numFmtId="0" fontId="15" fillId="12" borderId="92" applyNumberFormat="0" applyAlignment="0" applyProtection="0"/>
    <xf numFmtId="0" fontId="12" fillId="24" borderId="88" applyNumberFormat="0" applyAlignment="0" applyProtection="0"/>
    <xf numFmtId="0" fontId="12" fillId="23" borderId="88" applyNumberFormat="0" applyAlignment="0" applyProtection="0"/>
    <xf numFmtId="0" fontId="12" fillId="23" borderId="88" applyNumberFormat="0" applyAlignment="0" applyProtection="0"/>
    <xf numFmtId="0" fontId="9" fillId="31" borderId="93" applyNumberFormat="0" applyAlignment="0" applyProtection="0"/>
    <xf numFmtId="0" fontId="12" fillId="24" borderId="92" applyNumberFormat="0" applyAlignment="0" applyProtection="0"/>
    <xf numFmtId="0" fontId="18" fillId="24" borderId="90" applyNumberFormat="0" applyAlignment="0" applyProtection="0"/>
    <xf numFmtId="0" fontId="12" fillId="23" borderId="88" applyNumberFormat="0" applyAlignment="0" applyProtection="0"/>
    <xf numFmtId="0" fontId="12" fillId="24" borderId="92" applyNumberFormat="0" applyAlignment="0" applyProtection="0"/>
    <xf numFmtId="0" fontId="21" fillId="0" borderId="91" applyNumberFormat="0" applyFill="0" applyAlignment="0" applyProtection="0"/>
    <xf numFmtId="0" fontId="18" fillId="23" borderId="90" applyNumberFormat="0" applyAlignment="0" applyProtection="0"/>
    <xf numFmtId="0" fontId="9" fillId="31" borderId="89" applyNumberFormat="0" applyAlignment="0" applyProtection="0"/>
    <xf numFmtId="0" fontId="9" fillId="31" borderId="89" applyNumberFormat="0" applyAlignment="0" applyProtection="0"/>
    <xf numFmtId="0" fontId="12" fillId="23" borderId="92" applyNumberFormat="0" applyAlignment="0" applyProtection="0"/>
    <xf numFmtId="0" fontId="18" fillId="23" borderId="90" applyNumberFormat="0" applyAlignment="0" applyProtection="0"/>
    <xf numFmtId="0" fontId="12" fillId="23" borderId="88" applyNumberFormat="0" applyAlignment="0" applyProtection="0"/>
    <xf numFmtId="0" fontId="12" fillId="24" borderId="88" applyNumberFormat="0" applyAlignment="0" applyProtection="0"/>
    <xf numFmtId="0" fontId="12" fillId="24" borderId="88" applyNumberFormat="0" applyAlignment="0" applyProtection="0"/>
    <xf numFmtId="0" fontId="18" fillId="23" borderId="90" applyNumberFormat="0" applyAlignment="0" applyProtection="0"/>
    <xf numFmtId="0" fontId="12" fillId="23" borderId="88" applyNumberFormat="0" applyAlignment="0" applyProtection="0"/>
    <xf numFmtId="0" fontId="12" fillId="24" borderId="88" applyNumberFormat="0" applyAlignment="0" applyProtection="0"/>
    <xf numFmtId="0" fontId="9" fillId="31" borderId="89" applyNumberFormat="0" applyAlignment="0" applyProtection="0"/>
    <xf numFmtId="0" fontId="9" fillId="31" borderId="89" applyNumberFormat="0" applyAlignment="0" applyProtection="0"/>
    <xf numFmtId="0" fontId="12" fillId="23" borderId="88" applyNumberFormat="0" applyAlignment="0" applyProtection="0"/>
    <xf numFmtId="0" fontId="15" fillId="12" borderId="92" applyNumberFormat="0" applyAlignment="0" applyProtection="0"/>
    <xf numFmtId="0" fontId="15" fillId="12" borderId="92" applyNumberFormat="0" applyAlignment="0" applyProtection="0"/>
    <xf numFmtId="0" fontId="12" fillId="23" borderId="88" applyNumberFormat="0" applyAlignment="0" applyProtection="0"/>
    <xf numFmtId="0" fontId="15" fillId="12" borderId="92" applyNumberFormat="0" applyAlignment="0" applyProtection="0"/>
    <xf numFmtId="0" fontId="18" fillId="23" borderId="94" applyNumberFormat="0" applyAlignment="0" applyProtection="0"/>
    <xf numFmtId="0" fontId="12" fillId="24" borderId="88" applyNumberFormat="0" applyAlignment="0" applyProtection="0"/>
    <xf numFmtId="0" fontId="18" fillId="23" borderId="90" applyNumberFormat="0" applyAlignment="0" applyProtection="0"/>
    <xf numFmtId="0" fontId="18" fillId="24" borderId="90" applyNumberFormat="0" applyAlignment="0" applyProtection="0"/>
    <xf numFmtId="0" fontId="15" fillId="12" borderId="88" applyNumberFormat="0" applyAlignment="0" applyProtection="0"/>
    <xf numFmtId="0" fontId="15" fillId="12" borderId="88" applyNumberFormat="0" applyAlignment="0" applyProtection="0"/>
    <xf numFmtId="0" fontId="15" fillId="12" borderId="88" applyNumberFormat="0" applyAlignment="0" applyProtection="0"/>
    <xf numFmtId="0" fontId="21" fillId="0" borderId="91" applyNumberFormat="0" applyFill="0" applyAlignment="0" applyProtection="0"/>
    <xf numFmtId="0" fontId="21" fillId="0" borderId="91" applyNumberFormat="0" applyFill="0" applyAlignment="0" applyProtection="0"/>
    <xf numFmtId="0" fontId="12" fillId="23" borderId="92" applyNumberFormat="0" applyAlignment="0" applyProtection="0"/>
    <xf numFmtId="0" fontId="18" fillId="23" borderId="94" applyNumberFormat="0" applyAlignment="0" applyProtection="0"/>
    <xf numFmtId="0" fontId="9" fillId="31" borderId="93" applyNumberFormat="0" applyAlignment="0" applyProtection="0"/>
    <xf numFmtId="0" fontId="18" fillId="23" borderId="94" applyNumberFormat="0" applyAlignment="0" applyProtection="0"/>
    <xf numFmtId="0" fontId="12" fillId="24" borderId="92" applyNumberFormat="0" applyAlignment="0" applyProtection="0"/>
    <xf numFmtId="0" fontId="18" fillId="23" borderId="94" applyNumberFormat="0" applyAlignment="0" applyProtection="0"/>
    <xf numFmtId="0" fontId="18" fillId="24" borderId="94" applyNumberFormat="0" applyAlignment="0" applyProtection="0"/>
    <xf numFmtId="0" fontId="12" fillId="24" borderId="92" applyNumberFormat="0" applyAlignment="0" applyProtection="0"/>
    <xf numFmtId="0" fontId="12" fillId="23" borderId="92" applyNumberFormat="0" applyAlignment="0" applyProtection="0"/>
    <xf numFmtId="0" fontId="18" fillId="24" borderId="94" applyNumberFormat="0" applyAlignment="0" applyProtection="0"/>
    <xf numFmtId="0" fontId="18" fillId="24" borderId="94" applyNumberFormat="0" applyAlignment="0" applyProtection="0"/>
    <xf numFmtId="0" fontId="18" fillId="23" borderId="94" applyNumberFormat="0" applyAlignment="0" applyProtection="0"/>
    <xf numFmtId="0" fontId="12" fillId="23" borderId="92" applyNumberFormat="0" applyAlignment="0" applyProtection="0"/>
    <xf numFmtId="0" fontId="12" fillId="23" borderId="92" applyNumberFormat="0" applyAlignment="0" applyProtection="0"/>
    <xf numFmtId="0" fontId="12" fillId="23" borderId="97" applyNumberFormat="0" applyAlignment="0" applyProtection="0"/>
    <xf numFmtId="0" fontId="18" fillId="24" borderId="99" applyNumberFormat="0" applyAlignment="0" applyProtection="0"/>
    <xf numFmtId="0" fontId="18" fillId="24" borderId="99" applyNumberFormat="0" applyAlignment="0" applyProtection="0"/>
    <xf numFmtId="0" fontId="12" fillId="24"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5" fillId="12" borderId="97" applyNumberFormat="0" applyAlignment="0" applyProtection="0"/>
    <xf numFmtId="0" fontId="18" fillId="24" borderId="99" applyNumberFormat="0" applyAlignment="0" applyProtection="0"/>
    <xf numFmtId="0" fontId="18" fillId="23" borderId="99" applyNumberFormat="0" applyAlignment="0" applyProtection="0"/>
    <xf numFmtId="0" fontId="15" fillId="12" borderId="97" applyNumberFormat="0" applyAlignment="0" applyProtection="0"/>
    <xf numFmtId="0" fontId="15" fillId="12"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4" borderId="99" applyNumberFormat="0" applyAlignment="0" applyProtection="0"/>
    <xf numFmtId="0" fontId="12" fillId="23" borderId="97" applyNumberFormat="0" applyAlignment="0" applyProtection="0"/>
    <xf numFmtId="0" fontId="18" fillId="24" borderId="99" applyNumberFormat="0" applyAlignment="0" applyProtection="0"/>
    <xf numFmtId="0" fontId="12" fillId="24"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4"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9" fillId="31" borderId="98" applyNumberFormat="0" applyAlignment="0" applyProtection="0"/>
    <xf numFmtId="0" fontId="12" fillId="23" borderId="97" applyNumberFormat="0" applyAlignment="0" applyProtection="0"/>
    <xf numFmtId="0" fontId="12" fillId="2" borderId="92" applyNumberFormat="0" applyAlignment="0" applyProtection="0"/>
    <xf numFmtId="0" fontId="18" fillId="24" borderId="94" applyNumberFormat="0" applyAlignment="0" applyProtection="0"/>
    <xf numFmtId="0" fontId="18" fillId="23" borderId="94" applyNumberFormat="0" applyAlignment="0" applyProtection="0"/>
    <xf numFmtId="0" fontId="18" fillId="23" borderId="94" applyNumberFormat="0" applyAlignment="0" applyProtection="0"/>
    <xf numFmtId="0" fontId="15" fillId="12" borderId="92" applyNumberFormat="0" applyAlignment="0" applyProtection="0"/>
    <xf numFmtId="0" fontId="12" fillId="23" borderId="92" applyNumberFormat="0" applyAlignment="0" applyProtection="0"/>
    <xf numFmtId="0" fontId="12" fillId="23" borderId="92" applyNumberFormat="0" applyAlignment="0" applyProtection="0"/>
    <xf numFmtId="0" fontId="12" fillId="24" borderId="92" applyNumberFormat="0" applyAlignment="0" applyProtection="0"/>
    <xf numFmtId="0" fontId="15" fillId="12" borderId="92" applyNumberFormat="0" applyAlignment="0" applyProtection="0"/>
    <xf numFmtId="0" fontId="12" fillId="24" borderId="92" applyNumberFormat="0" applyAlignment="0" applyProtection="0"/>
    <xf numFmtId="0" fontId="12" fillId="23" borderId="92" applyNumberFormat="0" applyAlignment="0" applyProtection="0"/>
    <xf numFmtId="0" fontId="15" fillId="12" borderId="92" applyNumberFormat="0" applyAlignment="0" applyProtection="0"/>
    <xf numFmtId="0" fontId="12" fillId="59" borderId="92" applyNumberFormat="0" applyAlignment="0" applyProtection="0"/>
    <xf numFmtId="0" fontId="44" fillId="60" borderId="92" applyNumberFormat="0" applyAlignment="0" applyProtection="0"/>
    <xf numFmtId="0" fontId="15" fillId="50" borderId="92" applyNumberFormat="0" applyAlignment="0" applyProtection="0"/>
    <xf numFmtId="0" fontId="15" fillId="44" borderId="92" applyNumberFormat="0" applyAlignment="0" applyProtection="0"/>
    <xf numFmtId="0" fontId="18" fillId="59" borderId="94" applyNumberFormat="0" applyAlignment="0" applyProtection="0"/>
    <xf numFmtId="0" fontId="18" fillId="60" borderId="94" applyNumberFormat="0" applyAlignment="0" applyProtection="0"/>
    <xf numFmtId="0" fontId="18" fillId="59" borderId="94" applyNumberFormat="0" applyAlignment="0" applyProtection="0"/>
    <xf numFmtId="0" fontId="18" fillId="60" borderId="94" applyNumberFormat="0" applyAlignment="0" applyProtection="0"/>
    <xf numFmtId="0" fontId="21" fillId="0" borderId="95" applyNumberFormat="0" applyFill="0" applyAlignment="0" applyProtection="0"/>
    <xf numFmtId="43" fontId="4" fillId="0" borderId="0" applyFont="0" applyFill="0" applyBorder="0" applyAlignment="0" applyProtection="0"/>
    <xf numFmtId="43" fontId="51" fillId="0" borderId="0" applyFont="0" applyFill="0" applyBorder="0" applyAlignment="0" applyProtection="0"/>
    <xf numFmtId="0" fontId="18" fillId="23" borderId="99"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9" fillId="31" borderId="98" applyNumberFormat="0" applyAlignment="0" applyProtection="0"/>
    <xf numFmtId="0" fontId="18" fillId="24" borderId="99" applyNumberFormat="0" applyAlignment="0" applyProtection="0"/>
    <xf numFmtId="0" fontId="12" fillId="23" borderId="97" applyNumberFormat="0" applyAlignment="0" applyProtection="0"/>
    <xf numFmtId="0" fontId="18" fillId="24" borderId="99" applyNumberFormat="0" applyAlignment="0" applyProtection="0"/>
    <xf numFmtId="0" fontId="9" fillId="31" borderId="98" applyNumberFormat="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21" fillId="0" borderId="100" applyNumberFormat="0" applyFill="0" applyAlignment="0" applyProtection="0"/>
    <xf numFmtId="0" fontId="12" fillId="24" borderId="97" applyNumberFormat="0" applyAlignment="0" applyProtection="0"/>
    <xf numFmtId="0" fontId="9" fillId="31" borderId="98" applyNumberFormat="0" applyAlignment="0" applyProtection="0"/>
    <xf numFmtId="0" fontId="12" fillId="23" borderId="97" applyNumberFormat="0" applyAlignment="0" applyProtection="0"/>
    <xf numFmtId="0" fontId="12" fillId="24"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9" fillId="31" borderId="98" applyNumberFormat="0" applyAlignment="0" applyProtection="0"/>
    <xf numFmtId="0" fontId="18" fillId="23" borderId="99" applyNumberFormat="0" applyAlignment="0" applyProtection="0"/>
    <xf numFmtId="0" fontId="12" fillId="23" borderId="97" applyNumberFormat="0" applyAlignment="0" applyProtection="0"/>
    <xf numFmtId="0" fontId="18" fillId="24" borderId="99" applyNumberFormat="0" applyAlignment="0" applyProtection="0"/>
    <xf numFmtId="0" fontId="18" fillId="24" borderId="99" applyNumberFormat="0" applyAlignment="0" applyProtection="0"/>
    <xf numFmtId="0" fontId="18" fillId="23" borderId="99"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5" fillId="12" borderId="97" applyNumberFormat="0" applyAlignment="0" applyProtection="0"/>
    <xf numFmtId="0" fontId="9" fillId="31" borderId="98"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18" fillId="23" borderId="99" applyNumberFormat="0" applyAlignment="0" applyProtection="0"/>
    <xf numFmtId="0" fontId="15" fillId="12" borderId="97" applyNumberFormat="0" applyAlignment="0" applyProtection="0"/>
    <xf numFmtId="0" fontId="12" fillId="24" borderId="97" applyNumberFormat="0" applyAlignment="0" applyProtection="0"/>
    <xf numFmtId="0" fontId="12" fillId="24"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2" fillId="23" borderId="97" applyNumberFormat="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9" fillId="31" borderId="98" applyNumberFormat="0" applyAlignment="0" applyProtection="0"/>
    <xf numFmtId="0" fontId="18" fillId="24" borderId="99"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9" fillId="31" borderId="98" applyNumberFormat="0" applyAlignment="0" applyProtection="0"/>
    <xf numFmtId="0" fontId="21" fillId="0" borderId="100" applyNumberFormat="0" applyFill="0" applyAlignment="0" applyProtection="0"/>
    <xf numFmtId="0" fontId="12" fillId="24"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8" fillId="24"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4" borderId="99" applyNumberFormat="0" applyAlignment="0" applyProtection="0"/>
    <xf numFmtId="0" fontId="12" fillId="23" borderId="97" applyNumberFormat="0" applyAlignment="0" applyProtection="0"/>
    <xf numFmtId="0" fontId="9" fillId="31" borderId="98" applyNumberFormat="0" applyAlignment="0" applyProtection="0"/>
    <xf numFmtId="0" fontId="12" fillId="23"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8" fillId="23" borderId="99" applyNumberFormat="0" applyAlignment="0" applyProtection="0"/>
    <xf numFmtId="0" fontId="15" fillId="12" borderId="97" applyNumberFormat="0" applyAlignment="0" applyProtection="0"/>
    <xf numFmtId="0" fontId="18" fillId="23" borderId="99" applyNumberFormat="0" applyAlignment="0" applyProtection="0"/>
    <xf numFmtId="0" fontId="18" fillId="24" borderId="99" applyNumberFormat="0" applyAlignment="0" applyProtection="0"/>
    <xf numFmtId="0" fontId="9" fillId="31" borderId="98" applyNumberFormat="0" applyAlignment="0" applyProtection="0"/>
    <xf numFmtId="0" fontId="12" fillId="23"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9" fillId="31" borderId="98"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5" fillId="12" borderId="97" applyNumberFormat="0" applyAlignment="0" applyProtection="0"/>
    <xf numFmtId="0" fontId="18" fillId="23" borderId="99" applyNumberFormat="0" applyAlignment="0" applyProtection="0"/>
    <xf numFmtId="0" fontId="18" fillId="24" borderId="99" applyNumberFormat="0" applyAlignment="0" applyProtection="0"/>
    <xf numFmtId="0" fontId="9" fillId="31" borderId="98" applyNumberFormat="0" applyAlignment="0" applyProtection="0"/>
    <xf numFmtId="0" fontId="9" fillId="31" borderId="98" applyNumberFormat="0" applyAlignment="0" applyProtection="0"/>
    <xf numFmtId="0" fontId="12" fillId="23"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9" fillId="31" borderId="98"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3" borderId="97" applyNumberFormat="0" applyAlignment="0" applyProtection="0"/>
    <xf numFmtId="0" fontId="21" fillId="0" borderId="100" applyNumberFormat="0" applyFill="0" applyAlignment="0" applyProtection="0"/>
    <xf numFmtId="0" fontId="15" fillId="12" borderId="97"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5" fillId="12" borderId="97" applyNumberFormat="0" applyAlignment="0" applyProtection="0"/>
    <xf numFmtId="0" fontId="12" fillId="23"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12" fillId="23" borderId="97"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21" fillId="0" borderId="100" applyNumberFormat="0" applyFill="0" applyAlignment="0" applyProtection="0"/>
    <xf numFmtId="0" fontId="12" fillId="24"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15" fillId="12" borderId="97" applyNumberFormat="0" applyAlignment="0" applyProtection="0"/>
    <xf numFmtId="0" fontId="9" fillId="31" borderId="98" applyNumberFormat="0" applyAlignment="0" applyProtection="0"/>
    <xf numFmtId="0" fontId="15" fillId="12" borderId="97" applyNumberFormat="0" applyAlignment="0" applyProtection="0"/>
    <xf numFmtId="0" fontId="12" fillId="23"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4" borderId="99" applyNumberFormat="0" applyAlignment="0" applyProtection="0"/>
    <xf numFmtId="0" fontId="18" fillId="23" borderId="99" applyNumberFormat="0" applyAlignment="0" applyProtection="0"/>
    <xf numFmtId="0" fontId="18" fillId="24" borderId="99" applyNumberFormat="0" applyAlignment="0" applyProtection="0"/>
    <xf numFmtId="0" fontId="12" fillId="24" borderId="97"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21" fillId="0" borderId="100" applyNumberFormat="0" applyFill="0" applyAlignment="0" applyProtection="0"/>
    <xf numFmtId="0" fontId="18" fillId="24" borderId="99"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9" fillId="31" borderId="98" applyNumberFormat="0" applyAlignment="0" applyProtection="0"/>
    <xf numFmtId="0" fontId="12" fillId="24" borderId="97" applyNumberFormat="0" applyAlignment="0" applyProtection="0"/>
    <xf numFmtId="0" fontId="18" fillId="24" borderId="99" applyNumberFormat="0" applyAlignment="0" applyProtection="0"/>
    <xf numFmtId="0" fontId="12" fillId="23" borderId="97" applyNumberFormat="0" applyAlignment="0" applyProtection="0"/>
    <xf numFmtId="0" fontId="12" fillId="24"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9" fillId="31" borderId="98" applyNumberFormat="0" applyAlignment="0" applyProtection="0"/>
    <xf numFmtId="0" fontId="9" fillId="31" borderId="98" applyNumberFormat="0" applyAlignment="0" applyProtection="0"/>
    <xf numFmtId="0" fontId="12" fillId="23" borderId="97" applyNumberFormat="0" applyAlignment="0" applyProtection="0"/>
    <xf numFmtId="0" fontId="18" fillId="23" borderId="99" applyNumberFormat="0" applyAlignment="0" applyProtection="0"/>
    <xf numFmtId="0" fontId="12" fillId="23" borderId="97" applyNumberFormat="0" applyAlignment="0" applyProtection="0"/>
    <xf numFmtId="0" fontId="12" fillId="24" borderId="97" applyNumberFormat="0" applyAlignment="0" applyProtection="0"/>
    <xf numFmtId="0" fontId="12" fillId="24" borderId="97" applyNumberFormat="0" applyAlignment="0" applyProtection="0"/>
    <xf numFmtId="0" fontId="18" fillId="23" borderId="99" applyNumberFormat="0" applyAlignment="0" applyProtection="0"/>
    <xf numFmtId="0" fontId="12" fillId="23" borderId="97" applyNumberFormat="0" applyAlignment="0" applyProtection="0"/>
    <xf numFmtId="0" fontId="12" fillId="24" borderId="97" applyNumberFormat="0" applyAlignment="0" applyProtection="0"/>
    <xf numFmtId="0" fontId="9" fillId="31" borderId="98" applyNumberFormat="0" applyAlignment="0" applyProtection="0"/>
    <xf numFmtId="0" fontId="9" fillId="31" borderId="98" applyNumberFormat="0" applyAlignment="0" applyProtection="0"/>
    <xf numFmtId="0" fontId="12" fillId="23" borderId="97" applyNumberFormat="0" applyAlignment="0" applyProtection="0"/>
    <xf numFmtId="0" fontId="15" fillId="12" borderId="97" applyNumberFormat="0" applyAlignment="0" applyProtection="0"/>
    <xf numFmtId="0" fontId="15" fillId="12"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8" fillId="24" borderId="99" applyNumberFormat="0" applyAlignment="0" applyProtection="0"/>
    <xf numFmtId="0" fontId="15" fillId="12" borderId="97" applyNumberFormat="0" applyAlignment="0" applyProtection="0"/>
    <xf numFmtId="0" fontId="15" fillId="12" borderId="97" applyNumberFormat="0" applyAlignment="0" applyProtection="0"/>
    <xf numFmtId="0" fontId="15" fillId="12" borderId="97"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2" fillId="23" borderId="97"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8" fillId="24" borderId="99" applyNumberFormat="0" applyAlignment="0" applyProtection="0"/>
    <xf numFmtId="0" fontId="12" fillId="24" borderId="97" applyNumberFormat="0" applyAlignment="0" applyProtection="0"/>
    <xf numFmtId="0" fontId="12" fillId="23" borderId="97" applyNumberFormat="0" applyAlignment="0" applyProtection="0"/>
    <xf numFmtId="0" fontId="18" fillId="24" borderId="99" applyNumberFormat="0" applyAlignment="0" applyProtection="0"/>
    <xf numFmtId="0" fontId="18" fillId="24" borderId="99" applyNumberFormat="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12" fillId="59" borderId="97" applyNumberFormat="0" applyAlignment="0" applyProtection="0"/>
    <xf numFmtId="0" fontId="44" fillId="60" borderId="97" applyNumberFormat="0" applyAlignment="0" applyProtection="0"/>
    <xf numFmtId="0" fontId="15" fillId="50" borderId="97" applyNumberFormat="0" applyAlignment="0" applyProtection="0"/>
    <xf numFmtId="0" fontId="15" fillId="44" borderId="97" applyNumberFormat="0" applyAlignment="0" applyProtection="0"/>
    <xf numFmtId="0" fontId="18" fillId="59" borderId="99" applyNumberFormat="0" applyAlignment="0" applyProtection="0"/>
    <xf numFmtId="0" fontId="18" fillId="60" borderId="99" applyNumberFormat="0" applyAlignment="0" applyProtection="0"/>
    <xf numFmtId="0" fontId="18" fillId="59" borderId="99" applyNumberFormat="0" applyAlignment="0" applyProtection="0"/>
    <xf numFmtId="0" fontId="18" fillId="60" borderId="99" applyNumberFormat="0" applyAlignment="0" applyProtection="0"/>
    <xf numFmtId="0" fontId="21" fillId="0" borderId="100" applyNumberFormat="0" applyFill="0" applyAlignment="0" applyProtection="0"/>
    <xf numFmtId="0" fontId="52" fillId="0" borderId="0"/>
    <xf numFmtId="0" fontId="1" fillId="0" borderId="0"/>
    <xf numFmtId="0" fontId="12" fillId="2" borderId="97" applyNumberFormat="0" applyAlignment="0" applyProtection="0"/>
    <xf numFmtId="0" fontId="4" fillId="31" borderId="98" applyNumberFormat="0" applyAlignment="0" applyProtection="0"/>
    <xf numFmtId="0" fontId="18" fillId="2" borderId="99"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2" fillId="2" borderId="97" applyNumberFormat="0" applyAlignment="0" applyProtection="0"/>
    <xf numFmtId="0" fontId="4" fillId="31" borderId="98" applyNumberFormat="0" applyAlignment="0" applyProtection="0"/>
    <xf numFmtId="0" fontId="18" fillId="2" borderId="99" applyNumberFormat="0" applyAlignment="0" applyProtection="0"/>
    <xf numFmtId="0" fontId="9" fillId="0" borderId="0"/>
    <xf numFmtId="182" fontId="9" fillId="0" borderId="0" applyFill="0" applyBorder="0" applyAlignment="0" applyProtection="0"/>
    <xf numFmtId="0" fontId="15" fillId="69" borderId="97" applyNumberFormat="0" applyAlignment="0" applyProtection="0"/>
    <xf numFmtId="0" fontId="10" fillId="72" borderId="0" applyNumberFormat="0" applyBorder="0" applyAlignment="0" applyProtection="0"/>
    <xf numFmtId="0" fontId="9" fillId="70" borderId="0" applyNumberFormat="0" applyBorder="0" applyAlignment="0" applyProtection="0"/>
    <xf numFmtId="0" fontId="10" fillId="70" borderId="0" applyNumberFormat="0" applyBorder="0" applyAlignment="0" applyProtection="0"/>
    <xf numFmtId="0" fontId="4" fillId="0" borderId="0"/>
    <xf numFmtId="0" fontId="9" fillId="68" borderId="0" applyNumberFormat="0" applyBorder="0" applyAlignment="0" applyProtection="0"/>
    <xf numFmtId="0" fontId="64" fillId="0" borderId="16"/>
    <xf numFmtId="0" fontId="4" fillId="47" borderId="98" applyNumberFormat="0" applyFont="0" applyAlignment="0" applyProtection="0"/>
    <xf numFmtId="0" fontId="9" fillId="47" borderId="98" applyNumberFormat="0" applyFont="0" applyAlignment="0" applyProtection="0"/>
    <xf numFmtId="0" fontId="18" fillId="2"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12" fillId="23" borderId="97" applyNumberFormat="0" applyAlignment="0" applyProtection="0"/>
    <xf numFmtId="0" fontId="21" fillId="0" borderId="100" applyNumberFormat="0" applyFill="0" applyAlignment="0" applyProtection="0"/>
    <xf numFmtId="0" fontId="15" fillId="12" borderId="97" applyNumberFormat="0" applyAlignment="0" applyProtection="0"/>
    <xf numFmtId="0" fontId="18" fillId="24" borderId="99" applyNumberFormat="0" applyAlignment="0" applyProtection="0"/>
    <xf numFmtId="0" fontId="12" fillId="23"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8" fillId="24" borderId="99" applyNumberFormat="0" applyAlignment="0" applyProtection="0"/>
    <xf numFmtId="0" fontId="18" fillId="2" borderId="99" applyNumberFormat="0" applyAlignment="0" applyProtection="0"/>
    <xf numFmtId="0" fontId="12" fillId="2" borderId="97" applyNumberFormat="0" applyAlignment="0" applyProtection="0"/>
    <xf numFmtId="0" fontId="12" fillId="23" borderId="97" applyNumberFormat="0" applyAlignment="0" applyProtection="0"/>
    <xf numFmtId="0" fontId="12" fillId="24" borderId="97" applyNumberFormat="0" applyAlignment="0" applyProtection="0"/>
    <xf numFmtId="0" fontId="12" fillId="24" borderId="97" applyNumberFormat="0" applyAlignment="0" applyProtection="0"/>
    <xf numFmtId="0" fontId="18" fillId="23" borderId="99" applyNumberFormat="0" applyAlignment="0" applyProtection="0"/>
    <xf numFmtId="0" fontId="18" fillId="23" borderId="99" applyNumberFormat="0" applyAlignment="0" applyProtection="0"/>
    <xf numFmtId="0" fontId="21" fillId="0" borderId="100" applyNumberFormat="0" applyFill="0" applyAlignment="0" applyProtection="0"/>
    <xf numFmtId="0" fontId="12" fillId="23" borderId="97" applyNumberFormat="0" applyAlignment="0" applyProtection="0"/>
    <xf numFmtId="0" fontId="12" fillId="23" borderId="97" applyNumberFormat="0" applyAlignment="0" applyProtection="0"/>
    <xf numFmtId="0" fontId="18" fillId="23" borderId="99" applyNumberFormat="0" applyAlignment="0" applyProtection="0"/>
    <xf numFmtId="0" fontId="15" fillId="12" borderId="97"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2" fillId="23" borderId="97"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18" fillId="24" borderId="99" applyNumberFormat="0" applyAlignment="0" applyProtection="0"/>
    <xf numFmtId="0" fontId="12" fillId="24"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9" fillId="31" borderId="98" applyNumberFormat="0" applyAlignment="0" applyProtection="0"/>
    <xf numFmtId="0" fontId="18" fillId="24" borderId="99" applyNumberFormat="0" applyAlignment="0" applyProtection="0"/>
    <xf numFmtId="0" fontId="12" fillId="24" borderId="97"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4" borderId="99" applyNumberFormat="0" applyAlignment="0" applyProtection="0"/>
    <xf numFmtId="0" fontId="12" fillId="23" borderId="97" applyNumberFormat="0" applyAlignment="0" applyProtection="0"/>
    <xf numFmtId="0" fontId="18" fillId="24" borderId="99" applyNumberFormat="0" applyAlignment="0" applyProtection="0"/>
    <xf numFmtId="0" fontId="15" fillId="12" borderId="97" applyNumberFormat="0" applyAlignment="0" applyProtection="0"/>
    <xf numFmtId="0" fontId="12" fillId="23" borderId="97" applyNumberFormat="0" applyAlignment="0" applyProtection="0"/>
    <xf numFmtId="0" fontId="15" fillId="12"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4" borderId="99" applyNumberFormat="0" applyAlignment="0" applyProtection="0"/>
    <xf numFmtId="0" fontId="15" fillId="12" borderId="97" applyNumberFormat="0" applyAlignment="0" applyProtection="0"/>
    <xf numFmtId="0" fontId="18" fillId="23" borderId="99" applyNumberFormat="0" applyAlignment="0" applyProtection="0"/>
    <xf numFmtId="0" fontId="15" fillId="12" borderId="97" applyNumberFormat="0" applyAlignment="0" applyProtection="0"/>
    <xf numFmtId="0" fontId="9" fillId="31" borderId="98" applyNumberFormat="0" applyAlignment="0" applyProtection="0"/>
    <xf numFmtId="0" fontId="18" fillId="23" borderId="99" applyNumberFormat="0" applyAlignment="0" applyProtection="0"/>
    <xf numFmtId="0" fontId="21" fillId="0" borderId="100" applyNumberFormat="0" applyFill="0" applyAlignment="0" applyProtection="0"/>
    <xf numFmtId="0" fontId="12" fillId="24" borderId="97" applyNumberFormat="0" applyAlignment="0" applyProtection="0"/>
    <xf numFmtId="0" fontId="12" fillId="23"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4" borderId="99" applyNumberFormat="0" applyAlignment="0" applyProtection="0"/>
    <xf numFmtId="0" fontId="12" fillId="23" borderId="97" applyNumberFormat="0" applyAlignment="0" applyProtection="0"/>
    <xf numFmtId="0" fontId="18" fillId="23" borderId="99"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9" fillId="31" borderId="98" applyNumberFormat="0" applyAlignment="0" applyProtection="0"/>
    <xf numFmtId="0" fontId="18" fillId="24" borderId="99" applyNumberFormat="0" applyAlignment="0" applyProtection="0"/>
    <xf numFmtId="0" fontId="12" fillId="23" borderId="97" applyNumberFormat="0" applyAlignment="0" applyProtection="0"/>
    <xf numFmtId="0" fontId="18" fillId="24" borderId="99" applyNumberFormat="0" applyAlignment="0" applyProtection="0"/>
    <xf numFmtId="0" fontId="9" fillId="31" borderId="98" applyNumberFormat="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21" fillId="0" borderId="100" applyNumberFormat="0" applyFill="0" applyAlignment="0" applyProtection="0"/>
    <xf numFmtId="0" fontId="12" fillId="24" borderId="97" applyNumberFormat="0" applyAlignment="0" applyProtection="0"/>
    <xf numFmtId="0" fontId="9" fillId="31" borderId="98" applyNumberFormat="0" applyAlignment="0" applyProtection="0"/>
    <xf numFmtId="0" fontId="12" fillId="23" borderId="97" applyNumberFormat="0" applyAlignment="0" applyProtection="0"/>
    <xf numFmtId="0" fontId="12" fillId="24"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9" fillId="31" borderId="98" applyNumberFormat="0" applyAlignment="0" applyProtection="0"/>
    <xf numFmtId="0" fontId="18" fillId="23" borderId="99" applyNumberFormat="0" applyAlignment="0" applyProtection="0"/>
    <xf numFmtId="0" fontId="12" fillId="23" borderId="97" applyNumberFormat="0" applyAlignment="0" applyProtection="0"/>
    <xf numFmtId="0" fontId="18" fillId="24" borderId="99" applyNumberFormat="0" applyAlignment="0" applyProtection="0"/>
    <xf numFmtId="0" fontId="18" fillId="24" borderId="99" applyNumberFormat="0" applyAlignment="0" applyProtection="0"/>
    <xf numFmtId="0" fontId="18" fillId="23" borderId="99"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5" fillId="12" borderId="97" applyNumberFormat="0" applyAlignment="0" applyProtection="0"/>
    <xf numFmtId="0" fontId="9" fillId="31" borderId="98"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18" fillId="23" borderId="99" applyNumberFormat="0" applyAlignment="0" applyProtection="0"/>
    <xf numFmtId="0" fontId="15" fillId="12" borderId="97" applyNumberFormat="0" applyAlignment="0" applyProtection="0"/>
    <xf numFmtId="0" fontId="12" fillId="24" borderId="97" applyNumberFormat="0" applyAlignment="0" applyProtection="0"/>
    <xf numFmtId="0" fontId="12" fillId="24"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2" fillId="23" borderId="97" applyNumberFormat="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9" fillId="31" borderId="98" applyNumberFormat="0" applyAlignment="0" applyProtection="0"/>
    <xf numFmtId="0" fontId="18" fillId="24" borderId="99"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9" fillId="31" borderId="98" applyNumberFormat="0" applyAlignment="0" applyProtection="0"/>
    <xf numFmtId="0" fontId="21" fillId="0" borderId="100" applyNumberFormat="0" applyFill="0" applyAlignment="0" applyProtection="0"/>
    <xf numFmtId="0" fontId="12" fillId="24"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8" fillId="24"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4" borderId="99" applyNumberFormat="0" applyAlignment="0" applyProtection="0"/>
    <xf numFmtId="0" fontId="12" fillId="23" borderId="97" applyNumberFormat="0" applyAlignment="0" applyProtection="0"/>
    <xf numFmtId="0" fontId="9" fillId="31" borderId="98" applyNumberFormat="0" applyAlignment="0" applyProtection="0"/>
    <xf numFmtId="0" fontId="12" fillId="23"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8" fillId="23" borderId="99" applyNumberFormat="0" applyAlignment="0" applyProtection="0"/>
    <xf numFmtId="0" fontId="18" fillId="23" borderId="99" applyNumberFormat="0" applyAlignment="0" applyProtection="0"/>
    <xf numFmtId="0" fontId="15" fillId="12" borderId="97" applyNumberFormat="0" applyAlignment="0" applyProtection="0"/>
    <xf numFmtId="0" fontId="18" fillId="23" borderId="99" applyNumberFormat="0" applyAlignment="0" applyProtection="0"/>
    <xf numFmtId="0" fontId="18" fillId="24" borderId="99" applyNumberFormat="0" applyAlignment="0" applyProtection="0"/>
    <xf numFmtId="0" fontId="9" fillId="31" borderId="98" applyNumberFormat="0" applyAlignment="0" applyProtection="0"/>
    <xf numFmtId="0" fontId="12" fillId="23"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9" fillId="31" borderId="98"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21" fillId="0" borderId="100" applyNumberFormat="0" applyFill="0" applyAlignment="0" applyProtection="0"/>
    <xf numFmtId="0" fontId="15" fillId="12" borderId="97" applyNumberFormat="0" applyAlignment="0" applyProtection="0"/>
    <xf numFmtId="0" fontId="18" fillId="23" borderId="99" applyNumberFormat="0" applyAlignment="0" applyProtection="0"/>
    <xf numFmtId="0" fontId="18" fillId="24" borderId="99" applyNumberFormat="0" applyAlignment="0" applyProtection="0"/>
    <xf numFmtId="0" fontId="9" fillId="31" borderId="98" applyNumberFormat="0" applyAlignment="0" applyProtection="0"/>
    <xf numFmtId="0" fontId="9" fillId="31" borderId="98" applyNumberFormat="0" applyAlignment="0" applyProtection="0"/>
    <xf numFmtId="0" fontId="12" fillId="23"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9" fillId="31" borderId="98"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3" borderId="97" applyNumberFormat="0" applyAlignment="0" applyProtection="0"/>
    <xf numFmtId="0" fontId="21" fillId="0" borderId="100" applyNumberFormat="0" applyFill="0" applyAlignment="0" applyProtection="0"/>
    <xf numFmtId="0" fontId="15" fillId="12" borderId="97"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5" fillId="12" borderId="97" applyNumberFormat="0" applyAlignment="0" applyProtection="0"/>
    <xf numFmtId="0" fontId="12" fillId="23"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18" fillId="23" borderId="99"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12" fillId="23" borderId="97"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4" borderId="99" applyNumberFormat="0" applyAlignment="0" applyProtection="0"/>
    <xf numFmtId="0" fontId="12" fillId="24"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8" fillId="23" borderId="99" applyNumberFormat="0" applyAlignment="0" applyProtection="0"/>
    <xf numFmtId="0" fontId="18" fillId="24" borderId="99"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8" fillId="23" borderId="99" applyNumberFormat="0" applyAlignment="0" applyProtection="0"/>
    <xf numFmtId="0" fontId="12" fillId="23" borderId="97" applyNumberFormat="0" applyAlignment="0" applyProtection="0"/>
    <xf numFmtId="0" fontId="21" fillId="0" borderId="100" applyNumberFormat="0" applyFill="0" applyAlignment="0" applyProtection="0"/>
    <xf numFmtId="0" fontId="12" fillId="24"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15" fillId="12" borderId="97" applyNumberFormat="0" applyAlignment="0" applyProtection="0"/>
    <xf numFmtId="0" fontId="9" fillId="31" borderId="98" applyNumberFormat="0" applyAlignment="0" applyProtection="0"/>
    <xf numFmtId="0" fontId="15" fillId="12" borderId="97" applyNumberFormat="0" applyAlignment="0" applyProtection="0"/>
    <xf numFmtId="0" fontId="12" fillId="23"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4" borderId="99" applyNumberFormat="0" applyAlignment="0" applyProtection="0"/>
    <xf numFmtId="0" fontId="18" fillId="23" borderId="99" applyNumberFormat="0" applyAlignment="0" applyProtection="0"/>
    <xf numFmtId="0" fontId="18" fillId="24" borderId="99" applyNumberFormat="0" applyAlignment="0" applyProtection="0"/>
    <xf numFmtId="0" fontId="12" fillId="24" borderId="97" applyNumberFormat="0" applyAlignment="0" applyProtection="0"/>
    <xf numFmtId="0" fontId="9" fillId="31" borderId="98" applyNumberFormat="0" applyAlignment="0" applyProtection="0"/>
    <xf numFmtId="0" fontId="21" fillId="0" borderId="100" applyNumberFormat="0" applyFill="0" applyAlignment="0" applyProtection="0"/>
    <xf numFmtId="0" fontId="18" fillId="23" borderId="99" applyNumberFormat="0" applyAlignment="0" applyProtection="0"/>
    <xf numFmtId="0" fontId="9" fillId="31" borderId="98" applyNumberFormat="0" applyAlignment="0" applyProtection="0"/>
    <xf numFmtId="0" fontId="12" fillId="23" borderId="97" applyNumberFormat="0" applyAlignment="0" applyProtection="0"/>
    <xf numFmtId="0" fontId="12" fillId="23" borderId="97" applyNumberFormat="0" applyAlignment="0" applyProtection="0"/>
    <xf numFmtId="0" fontId="21" fillId="0" borderId="100" applyNumberFormat="0" applyFill="0" applyAlignment="0" applyProtection="0"/>
    <xf numFmtId="0" fontId="12" fillId="23" borderId="97" applyNumberFormat="0" applyAlignment="0" applyProtection="0"/>
    <xf numFmtId="0" fontId="21" fillId="0" borderId="100" applyNumberFormat="0" applyFill="0" applyAlignment="0" applyProtection="0"/>
    <xf numFmtId="0" fontId="18" fillId="24" borderId="99"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2" fillId="23" borderId="97" applyNumberFormat="0" applyAlignment="0" applyProtection="0"/>
    <xf numFmtId="0" fontId="9" fillId="31" borderId="98" applyNumberFormat="0" applyAlignment="0" applyProtection="0"/>
    <xf numFmtId="0" fontId="12" fillId="24" borderId="97" applyNumberFormat="0" applyAlignment="0" applyProtection="0"/>
    <xf numFmtId="0" fontId="18" fillId="24" borderId="99" applyNumberFormat="0" applyAlignment="0" applyProtection="0"/>
    <xf numFmtId="0" fontId="12" fillId="23" borderId="97" applyNumberFormat="0" applyAlignment="0" applyProtection="0"/>
    <xf numFmtId="0" fontId="12" fillId="24" borderId="97" applyNumberFormat="0" applyAlignment="0" applyProtection="0"/>
    <xf numFmtId="0" fontId="21" fillId="0" borderId="100" applyNumberFormat="0" applyFill="0" applyAlignment="0" applyProtection="0"/>
    <xf numFmtId="0" fontId="18" fillId="23" borderId="99" applyNumberFormat="0" applyAlignment="0" applyProtection="0"/>
    <xf numFmtId="0" fontId="9" fillId="31" borderId="98" applyNumberFormat="0" applyAlignment="0" applyProtection="0"/>
    <xf numFmtId="0" fontId="9" fillId="31" borderId="98" applyNumberFormat="0" applyAlignment="0" applyProtection="0"/>
    <xf numFmtId="0" fontId="12" fillId="23" borderId="97" applyNumberFormat="0" applyAlignment="0" applyProtection="0"/>
    <xf numFmtId="0" fontId="18" fillId="23" borderId="99" applyNumberFormat="0" applyAlignment="0" applyProtection="0"/>
    <xf numFmtId="0" fontId="12" fillId="23" borderId="97" applyNumberFormat="0" applyAlignment="0" applyProtection="0"/>
    <xf numFmtId="0" fontId="12" fillId="24" borderId="97" applyNumberFormat="0" applyAlignment="0" applyProtection="0"/>
    <xf numFmtId="0" fontId="12" fillId="24" borderId="97" applyNumberFormat="0" applyAlignment="0" applyProtection="0"/>
    <xf numFmtId="0" fontId="18" fillId="23" borderId="99" applyNumberFormat="0" applyAlignment="0" applyProtection="0"/>
    <xf numFmtId="0" fontId="12" fillId="23" borderId="97" applyNumberFormat="0" applyAlignment="0" applyProtection="0"/>
    <xf numFmtId="0" fontId="12" fillId="24" borderId="97" applyNumberFormat="0" applyAlignment="0" applyProtection="0"/>
    <xf numFmtId="0" fontId="9" fillId="31" borderId="98" applyNumberFormat="0" applyAlignment="0" applyProtection="0"/>
    <xf numFmtId="0" fontId="9" fillId="31" borderId="98" applyNumberFormat="0" applyAlignment="0" applyProtection="0"/>
    <xf numFmtId="0" fontId="12" fillId="23" borderId="97" applyNumberFormat="0" applyAlignment="0" applyProtection="0"/>
    <xf numFmtId="0" fontId="15" fillId="12" borderId="97" applyNumberFormat="0" applyAlignment="0" applyProtection="0"/>
    <xf numFmtId="0" fontId="15" fillId="12" borderId="97" applyNumberFormat="0" applyAlignment="0" applyProtection="0"/>
    <xf numFmtId="0" fontId="12" fillId="23" borderId="97" applyNumberFormat="0" applyAlignment="0" applyProtection="0"/>
    <xf numFmtId="0" fontId="15" fillId="12" borderId="97"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8" fillId="24" borderId="99" applyNumberFormat="0" applyAlignment="0" applyProtection="0"/>
    <xf numFmtId="0" fontId="15" fillId="12" borderId="97" applyNumberFormat="0" applyAlignment="0" applyProtection="0"/>
    <xf numFmtId="0" fontId="15" fillId="12" borderId="97" applyNumberFormat="0" applyAlignment="0" applyProtection="0"/>
    <xf numFmtId="0" fontId="15" fillId="12" borderId="97" applyNumberFormat="0" applyAlignment="0" applyProtection="0"/>
    <xf numFmtId="0" fontId="21" fillId="0" borderId="100" applyNumberFormat="0" applyFill="0" applyAlignment="0" applyProtection="0"/>
    <xf numFmtId="0" fontId="21" fillId="0" borderId="100" applyNumberFormat="0" applyFill="0" applyAlignment="0" applyProtection="0"/>
    <xf numFmtId="0" fontId="12" fillId="23" borderId="97" applyNumberFormat="0" applyAlignment="0" applyProtection="0"/>
    <xf numFmtId="0" fontId="18" fillId="23" borderId="99" applyNumberFormat="0" applyAlignment="0" applyProtection="0"/>
    <xf numFmtId="0" fontId="9" fillId="31" borderId="98" applyNumberFormat="0" applyAlignment="0" applyProtection="0"/>
    <xf numFmtId="0" fontId="18" fillId="23" borderId="99" applyNumberFormat="0" applyAlignment="0" applyProtection="0"/>
    <xf numFmtId="0" fontId="12" fillId="24" borderId="97" applyNumberFormat="0" applyAlignment="0" applyProtection="0"/>
    <xf numFmtId="0" fontId="18" fillId="23" borderId="99" applyNumberFormat="0" applyAlignment="0" applyProtection="0"/>
    <xf numFmtId="0" fontId="18" fillId="24" borderId="99" applyNumberFormat="0" applyAlignment="0" applyProtection="0"/>
    <xf numFmtId="0" fontId="12" fillId="24" borderId="97" applyNumberFormat="0" applyAlignment="0" applyProtection="0"/>
    <xf numFmtId="0" fontId="12" fillId="23" borderId="97" applyNumberFormat="0" applyAlignment="0" applyProtection="0"/>
    <xf numFmtId="0" fontId="18" fillId="24" borderId="99" applyNumberFormat="0" applyAlignment="0" applyProtection="0"/>
    <xf numFmtId="0" fontId="18" fillId="24" borderId="99" applyNumberFormat="0" applyAlignment="0" applyProtection="0"/>
    <xf numFmtId="0" fontId="18" fillId="23" borderId="99" applyNumberFormat="0" applyAlignment="0" applyProtection="0"/>
    <xf numFmtId="0" fontId="12" fillId="23" borderId="97" applyNumberFormat="0" applyAlignment="0" applyProtection="0"/>
    <xf numFmtId="0" fontId="12" fillId="23" borderId="97" applyNumberFormat="0" applyAlignment="0" applyProtection="0"/>
    <xf numFmtId="0" fontId="62" fillId="8" borderId="0" applyNumberFormat="0" applyBorder="0" applyAlignment="0" applyProtection="0"/>
    <xf numFmtId="0" fontId="12" fillId="2" borderId="97" applyNumberFormat="0" applyAlignment="0" applyProtection="0"/>
    <xf numFmtId="0" fontId="18" fillId="24" borderId="99" applyNumberFormat="0" applyAlignment="0" applyProtection="0"/>
    <xf numFmtId="0" fontId="18" fillId="23" borderId="99" applyNumberFormat="0" applyAlignment="0" applyProtection="0"/>
    <xf numFmtId="0" fontId="18" fillId="23" borderId="99" applyNumberFormat="0" applyAlignment="0" applyProtection="0"/>
    <xf numFmtId="0" fontId="15" fillId="12" borderId="97" applyNumberFormat="0" applyAlignment="0" applyProtection="0"/>
    <xf numFmtId="0" fontId="12" fillId="23" borderId="97" applyNumberFormat="0" applyAlignment="0" applyProtection="0"/>
    <xf numFmtId="0" fontId="12" fillId="23" borderId="97" applyNumberFormat="0" applyAlignment="0" applyProtection="0"/>
    <xf numFmtId="0" fontId="12" fillId="24" borderId="97" applyNumberFormat="0" applyAlignment="0" applyProtection="0"/>
    <xf numFmtId="0" fontId="15" fillId="12" borderId="97" applyNumberFormat="0" applyAlignment="0" applyProtection="0"/>
    <xf numFmtId="0" fontId="12" fillId="24" borderId="97" applyNumberFormat="0" applyAlignment="0" applyProtection="0"/>
    <xf numFmtId="0" fontId="12" fillId="23" borderId="97" applyNumberFormat="0" applyAlignment="0" applyProtection="0"/>
    <xf numFmtId="0" fontId="15" fillId="12" borderId="97" applyNumberFormat="0" applyAlignment="0" applyProtection="0"/>
    <xf numFmtId="0" fontId="12" fillId="59" borderId="97" applyNumberFormat="0" applyAlignment="0" applyProtection="0"/>
    <xf numFmtId="0" fontId="44" fillId="60" borderId="97" applyNumberFormat="0" applyAlignment="0" applyProtection="0"/>
    <xf numFmtId="0" fontId="15" fillId="50" borderId="97" applyNumberFormat="0" applyAlignment="0" applyProtection="0"/>
    <xf numFmtId="0" fontId="15" fillId="44" borderId="97" applyNumberFormat="0" applyAlignment="0" applyProtection="0"/>
    <xf numFmtId="0" fontId="18" fillId="59" borderId="99" applyNumberFormat="0" applyAlignment="0" applyProtection="0"/>
    <xf numFmtId="0" fontId="18" fillId="60" borderId="99" applyNumberFormat="0" applyAlignment="0" applyProtection="0"/>
    <xf numFmtId="0" fontId="18" fillId="59" borderId="99" applyNumberFormat="0" applyAlignment="0" applyProtection="0"/>
    <xf numFmtId="0" fontId="18" fillId="60" borderId="99" applyNumberFormat="0" applyAlignment="0" applyProtection="0"/>
    <xf numFmtId="0" fontId="21" fillId="0" borderId="100" applyNumberFormat="0" applyFill="0" applyAlignment="0" applyProtection="0"/>
    <xf numFmtId="0" fontId="61" fillId="0" borderId="0"/>
    <xf numFmtId="0" fontId="9" fillId="69" borderId="0" applyNumberFormat="0" applyBorder="0" applyAlignment="0" applyProtection="0"/>
    <xf numFmtId="166" fontId="9" fillId="0" borderId="0" applyFill="0" applyBorder="0" applyAlignment="0" applyProtection="0"/>
    <xf numFmtId="0" fontId="12" fillId="71" borderId="97" applyNumberFormat="0" applyAlignment="0" applyProtection="0"/>
    <xf numFmtId="44" fontId="61" fillId="0" borderId="0" applyFont="0" applyFill="0" applyBorder="0" applyAlignment="0" applyProtection="0"/>
    <xf numFmtId="0" fontId="9" fillId="32" borderId="0" applyNumberFormat="0" applyBorder="0" applyAlignment="0" applyProtection="0"/>
    <xf numFmtId="0" fontId="61" fillId="0" borderId="0"/>
    <xf numFmtId="0" fontId="63" fillId="0" borderId="0" applyNumberFormat="0" applyFill="0" applyBorder="0" applyAlignment="0" applyProtection="0"/>
    <xf numFmtId="9" fontId="9" fillId="0" borderId="0" applyFill="0" applyBorder="0" applyAlignment="0" applyProtection="0"/>
    <xf numFmtId="0" fontId="18" fillId="71" borderId="99" applyNumberFormat="0" applyAlignment="0" applyProtection="0"/>
    <xf numFmtId="0" fontId="65" fillId="0" borderId="0"/>
    <xf numFmtId="0" fontId="52" fillId="0" borderId="0"/>
    <xf numFmtId="0" fontId="1" fillId="0" borderId="0"/>
  </cellStyleXfs>
  <cellXfs count="694">
    <xf numFmtId="0" fontId="0" fillId="0" borderId="0" xfId="0"/>
    <xf numFmtId="0" fontId="4" fillId="0" borderId="0" xfId="5" applyBorder="1"/>
    <xf numFmtId="0" fontId="2" fillId="0" borderId="0" xfId="0" applyFont="1"/>
    <xf numFmtId="0" fontId="4" fillId="0" borderId="0" xfId="5" applyFill="1"/>
    <xf numFmtId="0" fontId="40" fillId="0" borderId="0" xfId="5" applyFont="1"/>
    <xf numFmtId="0" fontId="2" fillId="34" borderId="0" xfId="0" applyFont="1" applyFill="1"/>
    <xf numFmtId="0" fontId="0" fillId="0" borderId="0" xfId="0"/>
    <xf numFmtId="0" fontId="35" fillId="0" borderId="0" xfId="0" applyFont="1" applyBorder="1"/>
    <xf numFmtId="0" fontId="35" fillId="0" borderId="0" xfId="0" applyFont="1" applyFill="1" applyBorder="1"/>
    <xf numFmtId="0" fontId="36" fillId="4" borderId="0" xfId="0" applyFont="1" applyFill="1" applyBorder="1"/>
    <xf numFmtId="0" fontId="36" fillId="34" borderId="0" xfId="0" applyFont="1" applyFill="1" applyBorder="1"/>
    <xf numFmtId="0" fontId="36" fillId="0" borderId="0" xfId="0" applyFont="1" applyBorder="1"/>
    <xf numFmtId="0" fontId="0" fillId="0" borderId="0" xfId="0"/>
    <xf numFmtId="165" fontId="36" fillId="0" borderId="0" xfId="5" applyNumberFormat="1" applyFont="1" applyBorder="1" applyAlignment="1">
      <alignment horizontal="right" vertical="center"/>
    </xf>
    <xf numFmtId="0" fontId="37" fillId="0" borderId="0" xfId="0" applyFont="1"/>
    <xf numFmtId="4" fontId="37" fillId="0" borderId="0" xfId="0" applyNumberFormat="1" applyFont="1"/>
    <xf numFmtId="165" fontId="37" fillId="0" borderId="0" xfId="0" applyNumberFormat="1" applyFont="1"/>
    <xf numFmtId="0" fontId="2" fillId="0" borderId="0" xfId="0" applyFont="1"/>
    <xf numFmtId="0" fontId="2" fillId="37" borderId="0" xfId="0" applyFont="1" applyFill="1"/>
    <xf numFmtId="0" fontId="0" fillId="0" borderId="0" xfId="0" applyFill="1"/>
    <xf numFmtId="0" fontId="0" fillId="0" borderId="0" xfId="0"/>
    <xf numFmtId="0" fontId="43" fillId="0" borderId="0" xfId="0" applyFont="1"/>
    <xf numFmtId="0" fontId="42" fillId="0" borderId="0" xfId="0" applyFont="1"/>
    <xf numFmtId="0" fontId="0" fillId="0" borderId="0" xfId="0"/>
    <xf numFmtId="0" fontId="47" fillId="0" borderId="0" xfId="0" applyFont="1"/>
    <xf numFmtId="165" fontId="47" fillId="0" borderId="0" xfId="0" applyNumberFormat="1" applyFont="1"/>
    <xf numFmtId="0" fontId="48" fillId="0" borderId="0" xfId="0" applyFont="1"/>
    <xf numFmtId="0" fontId="50" fillId="0" borderId="0" xfId="5" applyFont="1" applyBorder="1" applyAlignment="1">
      <alignment horizontal="center" vertical="center"/>
    </xf>
    <xf numFmtId="0" fontId="50" fillId="0" borderId="0" xfId="5" applyFont="1" applyBorder="1" applyAlignment="1">
      <alignment horizontal="left" vertical="center"/>
    </xf>
    <xf numFmtId="2" fontId="50" fillId="0" borderId="0" xfId="0" applyNumberFormat="1" applyFont="1" applyFill="1" applyBorder="1" applyAlignment="1">
      <alignment horizontal="center" vertical="center"/>
    </xf>
    <xf numFmtId="4" fontId="47" fillId="0" borderId="0" xfId="0" applyNumberFormat="1" applyFont="1" applyAlignment="1">
      <alignment horizontal="center" vertical="center"/>
    </xf>
    <xf numFmtId="0" fontId="0" fillId="64" borderId="0" xfId="0" applyFill="1"/>
    <xf numFmtId="0" fontId="0" fillId="0" borderId="0" xfId="0"/>
    <xf numFmtId="0" fontId="35" fillId="0" borderId="0" xfId="0" applyFont="1" applyBorder="1"/>
    <xf numFmtId="0" fontId="5" fillId="0" borderId="0" xfId="0" applyFont="1"/>
    <xf numFmtId="0" fontId="50" fillId="0" borderId="0" xfId="0" applyFont="1"/>
    <xf numFmtId="0" fontId="48" fillId="0" borderId="0" xfId="0" applyFont="1" applyBorder="1" applyAlignment="1">
      <alignment vertical="center"/>
    </xf>
    <xf numFmtId="0" fontId="48" fillId="0" borderId="0" xfId="0" applyFont="1" applyBorder="1" applyAlignment="1">
      <alignment horizontal="center" vertical="center"/>
    </xf>
    <xf numFmtId="0" fontId="48" fillId="0" borderId="0" xfId="0" applyFont="1" applyBorder="1" applyAlignment="1">
      <alignment wrapText="1"/>
    </xf>
    <xf numFmtId="4" fontId="49" fillId="0" borderId="0" xfId="0" applyNumberFormat="1" applyFont="1" applyBorder="1" applyAlignment="1">
      <alignment vertical="center"/>
    </xf>
    <xf numFmtId="165" fontId="48" fillId="0" borderId="0" xfId="0" applyNumberFormat="1"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47" fillId="0" borderId="0" xfId="0" applyFont="1" applyBorder="1" applyAlignment="1">
      <alignment wrapText="1"/>
    </xf>
    <xf numFmtId="4" fontId="50" fillId="0" borderId="0" xfId="0" applyNumberFormat="1" applyFont="1" applyBorder="1" applyAlignment="1">
      <alignment vertical="center"/>
    </xf>
    <xf numFmtId="165" fontId="47" fillId="0" borderId="0" xfId="0" applyNumberFormat="1" applyFont="1" applyBorder="1" applyAlignment="1">
      <alignment vertical="center"/>
    </xf>
    <xf numFmtId="0" fontId="47" fillId="0" borderId="0" xfId="0" applyFont="1" applyBorder="1" applyAlignment="1">
      <alignment horizontal="left" vertical="center"/>
    </xf>
    <xf numFmtId="0" fontId="50" fillId="0" borderId="0" xfId="0" applyFont="1" applyBorder="1" applyAlignment="1">
      <alignment vertical="center"/>
    </xf>
    <xf numFmtId="0" fontId="50" fillId="0" borderId="101" xfId="0" applyFont="1" applyBorder="1" applyAlignment="1">
      <alignment horizontal="center" vertical="center"/>
    </xf>
    <xf numFmtId="0" fontId="50" fillId="0" borderId="101" xfId="0" applyFont="1" applyFill="1" applyBorder="1" applyAlignment="1">
      <alignment horizontal="center" vertical="center"/>
    </xf>
    <xf numFmtId="0" fontId="47" fillId="0" borderId="0" xfId="0" applyFont="1" applyBorder="1" applyAlignment="1">
      <alignment horizontal="left" wrapText="1"/>
    </xf>
    <xf numFmtId="4" fontId="50" fillId="0" borderId="0" xfId="0" applyNumberFormat="1" applyFont="1" applyBorder="1" applyAlignment="1">
      <alignment horizontal="left" vertical="center"/>
    </xf>
    <xf numFmtId="165" fontId="47" fillId="0" borderId="0" xfId="0" applyNumberFormat="1" applyFont="1" applyBorder="1" applyAlignment="1">
      <alignment horizontal="left" vertical="center"/>
    </xf>
    <xf numFmtId="0" fontId="50" fillId="0" borderId="0" xfId="0" applyFont="1" applyBorder="1" applyAlignment="1">
      <alignment horizontal="left" vertical="center"/>
    </xf>
    <xf numFmtId="0" fontId="50" fillId="0" borderId="0" xfId="0" applyFont="1" applyBorder="1" applyAlignment="1">
      <alignment horizontal="left" wrapText="1"/>
    </xf>
    <xf numFmtId="165" fontId="50" fillId="0" borderId="0" xfId="0" applyNumberFormat="1" applyFont="1" applyBorder="1" applyAlignment="1">
      <alignment horizontal="left" vertical="center"/>
    </xf>
    <xf numFmtId="165" fontId="50" fillId="0" borderId="0" xfId="0" applyNumberFormat="1" applyFont="1" applyBorder="1" applyAlignment="1">
      <alignment vertical="center"/>
    </xf>
    <xf numFmtId="0" fontId="47" fillId="0" borderId="0" xfId="0" applyFont="1" applyFill="1" applyBorder="1" applyAlignment="1">
      <alignment vertical="center"/>
    </xf>
    <xf numFmtId="165" fontId="47" fillId="0" borderId="0" xfId="0" applyNumberFormat="1" applyFont="1" applyFill="1" applyBorder="1" applyAlignment="1">
      <alignment vertical="center"/>
    </xf>
    <xf numFmtId="0" fontId="48" fillId="0" borderId="0" xfId="0" applyFont="1" applyBorder="1" applyAlignment="1">
      <alignment horizontal="left" vertical="center"/>
    </xf>
    <xf numFmtId="0" fontId="50" fillId="0" borderId="0" xfId="0" applyFont="1" applyAlignment="1">
      <alignment horizontal="right" vertical="top"/>
    </xf>
    <xf numFmtId="0" fontId="47" fillId="0" borderId="0" xfId="0" applyNumberFormat="1" applyFont="1" applyAlignment="1">
      <alignment horizontal="left" vertical="top"/>
    </xf>
    <xf numFmtId="4" fontId="47" fillId="0" borderId="0" xfId="0" applyNumberFormat="1" applyFont="1" applyAlignment="1">
      <alignment horizontal="right" vertical="center"/>
    </xf>
    <xf numFmtId="43" fontId="50" fillId="0" borderId="0" xfId="1" applyFont="1" applyFill="1" applyBorder="1" applyAlignment="1">
      <alignment horizontal="right" vertical="center" wrapText="1"/>
    </xf>
    <xf numFmtId="165" fontId="50" fillId="0" borderId="0" xfId="1" applyNumberFormat="1" applyFont="1" applyFill="1" applyBorder="1" applyAlignment="1">
      <alignment horizontal="right" vertical="center" wrapText="1"/>
    </xf>
    <xf numFmtId="43" fontId="49" fillId="0" borderId="0" xfId="1" applyFont="1" applyFill="1" applyBorder="1" applyAlignment="1">
      <alignment horizontal="right" vertical="center" wrapText="1"/>
    </xf>
    <xf numFmtId="0" fontId="49" fillId="0" borderId="0" xfId="0" applyFont="1" applyBorder="1" applyAlignment="1">
      <alignment horizontal="left" vertical="center"/>
    </xf>
    <xf numFmtId="49" fontId="49" fillId="0" borderId="0" xfId="0" applyNumberFormat="1" applyFont="1" applyBorder="1" applyAlignment="1">
      <alignment horizontal="center" vertical="center" wrapText="1"/>
    </xf>
    <xf numFmtId="165" fontId="49" fillId="0" borderId="102" xfId="1" applyNumberFormat="1" applyFont="1" applyFill="1" applyBorder="1" applyAlignment="1">
      <alignment vertical="center"/>
    </xf>
    <xf numFmtId="165" fontId="50" fillId="0" borderId="30" xfId="1" applyNumberFormat="1" applyFont="1" applyFill="1" applyBorder="1" applyAlignment="1">
      <alignment vertical="center"/>
    </xf>
    <xf numFmtId="165" fontId="47" fillId="0" borderId="30" xfId="0" applyNumberFormat="1" applyFont="1" applyBorder="1"/>
    <xf numFmtId="10" fontId="50" fillId="0" borderId="30" xfId="3" applyNumberFormat="1" applyFont="1" applyFill="1" applyBorder="1" applyAlignment="1">
      <alignment vertical="center"/>
    </xf>
    <xf numFmtId="10" fontId="47" fillId="0" borderId="30" xfId="3" applyNumberFormat="1" applyFont="1" applyFill="1" applyBorder="1"/>
    <xf numFmtId="165" fontId="47" fillId="0" borderId="30" xfId="0" applyNumberFormat="1" applyFont="1" applyFill="1" applyBorder="1"/>
    <xf numFmtId="10" fontId="50" fillId="0" borderId="102" xfId="1" applyNumberFormat="1" applyFont="1" applyFill="1" applyBorder="1" applyAlignment="1">
      <alignment vertical="center"/>
    </xf>
    <xf numFmtId="169" fontId="50" fillId="0" borderId="30" xfId="3" applyNumberFormat="1" applyFont="1" applyFill="1" applyBorder="1" applyAlignment="1">
      <alignment vertical="center"/>
    </xf>
    <xf numFmtId="165" fontId="49" fillId="0" borderId="4" xfId="1" applyNumberFormat="1" applyFont="1" applyFill="1" applyBorder="1" applyAlignment="1">
      <alignment vertical="center"/>
    </xf>
    <xf numFmtId="165" fontId="49" fillId="0" borderId="29" xfId="1" applyNumberFormat="1" applyFont="1" applyFill="1" applyBorder="1" applyAlignment="1">
      <alignment vertical="center"/>
    </xf>
    <xf numFmtId="10" fontId="50" fillId="0" borderId="6" xfId="3" applyNumberFormat="1" applyFont="1" applyFill="1" applyBorder="1" applyAlignment="1">
      <alignment horizontal="right" vertical="center"/>
    </xf>
    <xf numFmtId="10" fontId="50" fillId="0" borderId="31" xfId="3" applyNumberFormat="1" applyFont="1" applyFill="1" applyBorder="1" applyAlignment="1">
      <alignment horizontal="right" vertical="center"/>
    </xf>
    <xf numFmtId="0" fontId="49" fillId="0" borderId="0" xfId="0" applyFont="1" applyFill="1" applyBorder="1" applyAlignment="1">
      <alignment horizontal="center" vertical="center" wrapText="1"/>
    </xf>
    <xf numFmtId="44" fontId="50" fillId="0" borderId="0" xfId="2" applyNumberFormat="1" applyFont="1" applyFill="1" applyBorder="1" applyAlignment="1">
      <alignment vertical="center"/>
    </xf>
    <xf numFmtId="10" fontId="50" fillId="0" borderId="0" xfId="3" applyNumberFormat="1" applyFont="1" applyFill="1" applyBorder="1" applyAlignment="1">
      <alignment horizontal="right" vertical="center"/>
    </xf>
    <xf numFmtId="0" fontId="50" fillId="0" borderId="0" xfId="0" applyFont="1" applyFill="1" applyBorder="1" applyAlignment="1">
      <alignment vertical="center" wrapText="1"/>
    </xf>
    <xf numFmtId="0" fontId="50" fillId="0" borderId="0" xfId="0" applyFont="1" applyFill="1" applyBorder="1" applyAlignment="1">
      <alignment horizontal="center" vertical="center" wrapText="1"/>
    </xf>
    <xf numFmtId="165" fontId="50" fillId="0" borderId="0" xfId="3" applyNumberFormat="1" applyFont="1" applyFill="1" applyBorder="1" applyAlignment="1">
      <alignment horizontal="right" vertical="center" wrapText="1"/>
    </xf>
    <xf numFmtId="0" fontId="47" fillId="0" borderId="0" xfId="0" applyFont="1" applyFill="1" applyAlignment="1">
      <alignment horizontal="left" vertical="top"/>
    </xf>
    <xf numFmtId="4" fontId="50" fillId="0" borderId="0" xfId="0" applyNumberFormat="1" applyFont="1" applyFill="1" applyBorder="1" applyAlignment="1">
      <alignment horizontal="center" vertical="center" wrapText="1"/>
    </xf>
    <xf numFmtId="10" fontId="47" fillId="0" borderId="0" xfId="0" applyNumberFormat="1" applyFont="1"/>
    <xf numFmtId="4" fontId="50" fillId="0" borderId="0" xfId="5" applyNumberFormat="1" applyFont="1" applyBorder="1" applyAlignment="1">
      <alignment horizontal="center" vertical="center"/>
    </xf>
    <xf numFmtId="165" fontId="50" fillId="0" borderId="0" xfId="5" applyNumberFormat="1" applyFont="1" applyBorder="1" applyAlignment="1">
      <alignment horizontal="right" vertical="center"/>
    </xf>
    <xf numFmtId="0" fontId="47" fillId="0" borderId="0" xfId="0" applyFont="1" applyBorder="1" applyAlignment="1">
      <alignment vertical="center"/>
    </xf>
    <xf numFmtId="0" fontId="49" fillId="0" borderId="0" xfId="0" applyFont="1" applyBorder="1" applyAlignment="1">
      <alignment vertical="center" wrapText="1"/>
    </xf>
    <xf numFmtId="165" fontId="49" fillId="65" borderId="102" xfId="1" applyNumberFormat="1" applyFont="1" applyFill="1" applyBorder="1" applyAlignment="1">
      <alignment vertical="center"/>
    </xf>
    <xf numFmtId="165" fontId="50" fillId="65" borderId="30" xfId="1" applyNumberFormat="1" applyFont="1" applyFill="1" applyBorder="1" applyAlignment="1">
      <alignment vertical="center"/>
    </xf>
    <xf numFmtId="165" fontId="47" fillId="65" borderId="30" xfId="0" applyNumberFormat="1" applyFont="1" applyFill="1" applyBorder="1"/>
    <xf numFmtId="0" fontId="0" fillId="65" borderId="0" xfId="0" applyFill="1"/>
    <xf numFmtId="10" fontId="50" fillId="65" borderId="102" xfId="1" applyNumberFormat="1" applyFont="1" applyFill="1" applyBorder="1" applyAlignment="1">
      <alignment vertical="center"/>
    </xf>
    <xf numFmtId="10" fontId="50" fillId="65" borderId="30" xfId="3" applyNumberFormat="1" applyFont="1" applyFill="1" applyBorder="1" applyAlignment="1">
      <alignment vertical="center"/>
    </xf>
    <xf numFmtId="169" fontId="50" fillId="65" borderId="30" xfId="3" applyNumberFormat="1" applyFont="1" applyFill="1" applyBorder="1" applyAlignment="1">
      <alignment vertical="center"/>
    </xf>
    <xf numFmtId="10" fontId="47" fillId="65" borderId="30" xfId="3" applyNumberFormat="1" applyFont="1" applyFill="1" applyBorder="1"/>
    <xf numFmtId="181" fontId="47" fillId="0" borderId="0" xfId="0" applyNumberFormat="1" applyFont="1"/>
    <xf numFmtId="0" fontId="50" fillId="0" borderId="76" xfId="0" applyFont="1" applyBorder="1" applyAlignment="1">
      <alignment horizontal="center" vertical="center"/>
    </xf>
    <xf numFmtId="0" fontId="36" fillId="0" borderId="0" xfId="0" applyFont="1" applyFill="1" applyBorder="1"/>
    <xf numFmtId="0" fontId="42" fillId="0" borderId="0" xfId="0" applyFont="1" applyFill="1"/>
    <xf numFmtId="0" fontId="5" fillId="0" borderId="0" xfId="0" applyFont="1" applyFill="1"/>
    <xf numFmtId="165" fontId="2" fillId="37" borderId="0" xfId="0" applyNumberFormat="1" applyFont="1" applyFill="1"/>
    <xf numFmtId="4" fontId="50" fillId="0" borderId="0" xfId="0" applyNumberFormat="1" applyFont="1" applyFill="1" applyBorder="1" applyAlignment="1">
      <alignment vertical="center"/>
    </xf>
    <xf numFmtId="0" fontId="56" fillId="34" borderId="0" xfId="0" applyFont="1" applyFill="1"/>
    <xf numFmtId="0" fontId="50" fillId="0" borderId="76" xfId="0" applyFont="1" applyFill="1" applyBorder="1" applyAlignment="1">
      <alignment horizontal="center" vertical="center"/>
    </xf>
    <xf numFmtId="0" fontId="56" fillId="37" borderId="0" xfId="0" applyFont="1" applyFill="1"/>
    <xf numFmtId="0" fontId="38" fillId="0" borderId="0" xfId="0" applyFont="1" applyBorder="1"/>
    <xf numFmtId="0" fontId="38" fillId="0" borderId="0" xfId="0" applyFont="1"/>
    <xf numFmtId="0" fontId="49" fillId="0" borderId="101" xfId="0" applyFont="1" applyBorder="1" applyAlignment="1">
      <alignment horizontal="center" vertical="center"/>
    </xf>
    <xf numFmtId="0" fontId="56" fillId="0" borderId="0" xfId="0" applyFont="1"/>
    <xf numFmtId="0" fontId="49" fillId="0" borderId="0" xfId="0" applyFont="1" applyBorder="1" applyAlignment="1">
      <alignment vertical="center"/>
    </xf>
    <xf numFmtId="0" fontId="0" fillId="0" borderId="0" xfId="0"/>
    <xf numFmtId="0" fontId="0" fillId="0" borderId="0" xfId="0"/>
    <xf numFmtId="0" fontId="0" fillId="0" borderId="0" xfId="0"/>
    <xf numFmtId="4" fontId="56" fillId="37" borderId="0" xfId="0" applyNumberFormat="1" applyFont="1" applyFill="1"/>
    <xf numFmtId="0" fontId="4" fillId="0" borderId="0" xfId="5" applyAlignment="1">
      <alignment horizontal="left" wrapText="1"/>
    </xf>
    <xf numFmtId="0" fontId="50" fillId="0" borderId="0" xfId="5" applyFont="1" applyBorder="1" applyAlignment="1">
      <alignment horizontal="center" vertical="center"/>
    </xf>
    <xf numFmtId="0" fontId="4" fillId="0" borderId="0" xfId="5"/>
    <xf numFmtId="0" fontId="59" fillId="0" borderId="0" xfId="5" applyFont="1"/>
    <xf numFmtId="10" fontId="50" fillId="0" borderId="0" xfId="11" applyNumberFormat="1" applyFont="1"/>
    <xf numFmtId="0" fontId="50" fillId="0" borderId="0" xfId="5" applyFont="1"/>
    <xf numFmtId="0" fontId="50" fillId="0" borderId="0" xfId="5" applyFont="1" applyFill="1" applyBorder="1"/>
    <xf numFmtId="0" fontId="50" fillId="0" borderId="0" xfId="5" applyFont="1" applyFill="1"/>
    <xf numFmtId="10" fontId="50" fillId="0" borderId="0" xfId="11" applyNumberFormat="1" applyFont="1" applyFill="1"/>
    <xf numFmtId="0" fontId="60" fillId="0" borderId="8" xfId="5" applyFont="1" applyFill="1" applyBorder="1" applyAlignment="1">
      <alignment horizontal="center"/>
    </xf>
    <xf numFmtId="0" fontId="49" fillId="0" borderId="35" xfId="5" applyFont="1" applyFill="1" applyBorder="1"/>
    <xf numFmtId="10" fontId="49" fillId="0" borderId="36" xfId="11" applyNumberFormat="1" applyFont="1" applyFill="1" applyBorder="1" applyAlignment="1">
      <alignment horizontal="center"/>
    </xf>
    <xf numFmtId="0" fontId="60" fillId="0" borderId="9" xfId="5" applyFont="1" applyFill="1" applyBorder="1" applyAlignment="1">
      <alignment horizontal="center"/>
    </xf>
    <xf numFmtId="0" fontId="49" fillId="0" borderId="0" xfId="5" applyFont="1" applyFill="1" applyBorder="1"/>
    <xf numFmtId="10" fontId="49" fillId="0" borderId="10" xfId="11" applyNumberFormat="1" applyFont="1" applyFill="1" applyBorder="1" applyAlignment="1">
      <alignment horizontal="center"/>
    </xf>
    <xf numFmtId="0" fontId="59" fillId="0" borderId="9" xfId="5" applyFont="1" applyFill="1" applyBorder="1"/>
    <xf numFmtId="0" fontId="50" fillId="0" borderId="0" xfId="5" applyFont="1" applyFill="1" applyBorder="1" applyAlignment="1">
      <alignment horizontal="right"/>
    </xf>
    <xf numFmtId="10" fontId="50" fillId="0" borderId="10" xfId="11" applyNumberFormat="1" applyFont="1" applyFill="1" applyBorder="1" applyAlignment="1">
      <alignment horizontal="center"/>
    </xf>
    <xf numFmtId="0" fontId="59" fillId="0" borderId="13" xfId="5" applyFont="1" applyFill="1" applyBorder="1"/>
    <xf numFmtId="0" fontId="50" fillId="0" borderId="14" xfId="5" applyFont="1" applyFill="1" applyBorder="1" applyAlignment="1">
      <alignment horizontal="right"/>
    </xf>
    <xf numFmtId="10" fontId="50" fillId="0" borderId="1" xfId="11" applyNumberFormat="1" applyFont="1" applyFill="1" applyBorder="1" applyAlignment="1">
      <alignment horizontal="center"/>
    </xf>
    <xf numFmtId="0" fontId="59" fillId="0" borderId="0" xfId="5" applyFont="1" applyFill="1" applyBorder="1"/>
    <xf numFmtId="10" fontId="50" fillId="0" borderId="0" xfId="11" applyNumberFormat="1" applyFont="1" applyFill="1" applyBorder="1" applyAlignment="1">
      <alignment horizontal="center"/>
    </xf>
    <xf numFmtId="0" fontId="50" fillId="0" borderId="0" xfId="5" applyFont="1" applyBorder="1"/>
    <xf numFmtId="0" fontId="49" fillId="36" borderId="37" xfId="5" applyFont="1" applyFill="1" applyBorder="1" applyAlignment="1">
      <alignment horizontal="center"/>
    </xf>
    <xf numFmtId="0" fontId="49" fillId="36" borderId="32" xfId="5" applyFont="1" applyFill="1" applyBorder="1"/>
    <xf numFmtId="0" fontId="50" fillId="0" borderId="38" xfId="5" applyFont="1" applyFill="1" applyBorder="1" applyAlignment="1">
      <alignment horizontal="right"/>
    </xf>
    <xf numFmtId="10" fontId="50" fillId="0" borderId="33" xfId="3" applyNumberFormat="1" applyFont="1" applyFill="1" applyBorder="1"/>
    <xf numFmtId="0" fontId="49" fillId="36" borderId="39" xfId="5" applyFont="1" applyFill="1" applyBorder="1" applyAlignment="1">
      <alignment horizontal="right"/>
    </xf>
    <xf numFmtId="10" fontId="49" fillId="36" borderId="34" xfId="5" applyNumberFormat="1" applyFont="1" applyFill="1" applyBorder="1"/>
    <xf numFmtId="0" fontId="60" fillId="0" borderId="104" xfId="5" applyFont="1" applyFill="1" applyBorder="1" applyAlignment="1">
      <alignment horizontal="center"/>
    </xf>
    <xf numFmtId="0" fontId="49" fillId="0" borderId="105" xfId="5" applyFont="1" applyFill="1" applyBorder="1"/>
    <xf numFmtId="10" fontId="49" fillId="0" borderId="106" xfId="11" applyNumberFormat="1" applyFont="1" applyFill="1" applyBorder="1" applyAlignment="1">
      <alignment horizontal="center"/>
    </xf>
    <xf numFmtId="10" fontId="50" fillId="0" borderId="0" xfId="11" applyNumberFormat="1" applyFont="1" applyBorder="1"/>
    <xf numFmtId="0" fontId="50" fillId="0" borderId="0" xfId="5" applyFont="1" applyFill="1" applyBorder="1" applyAlignment="1">
      <alignment horizontal="left" wrapText="1"/>
    </xf>
    <xf numFmtId="0" fontId="5" fillId="0" borderId="0" xfId="0" applyFont="1"/>
    <xf numFmtId="0" fontId="0" fillId="0" borderId="0" xfId="0"/>
    <xf numFmtId="0" fontId="43" fillId="0" borderId="0" xfId="0" applyFont="1"/>
    <xf numFmtId="165" fontId="38" fillId="0" borderId="0" xfId="0" applyNumberFormat="1" applyFont="1"/>
    <xf numFmtId="0" fontId="0" fillId="0" borderId="0" xfId="0" applyFont="1"/>
    <xf numFmtId="0" fontId="49" fillId="65" borderId="101" xfId="0" applyFont="1" applyFill="1" applyBorder="1" applyAlignment="1">
      <alignment horizontal="center" vertical="center"/>
    </xf>
    <xf numFmtId="0" fontId="56" fillId="65" borderId="0" xfId="0" applyFont="1" applyFill="1"/>
    <xf numFmtId="43" fontId="43" fillId="0" borderId="0" xfId="0" applyNumberFormat="1" applyFont="1"/>
    <xf numFmtId="165" fontId="56" fillId="37" borderId="0" xfId="0" applyNumberFormat="1" applyFont="1" applyFill="1"/>
    <xf numFmtId="0" fontId="47" fillId="0" borderId="0" xfId="0" applyFont="1" applyBorder="1" applyAlignment="1">
      <alignment horizontal="left" wrapText="1"/>
    </xf>
    <xf numFmtId="0" fontId="49" fillId="5" borderId="101" xfId="0" applyFont="1" applyFill="1" applyBorder="1" applyAlignment="1">
      <alignment horizontal="center" vertical="center" wrapText="1"/>
    </xf>
    <xf numFmtId="0" fontId="47" fillId="0" borderId="0" xfId="0" applyFont="1" applyFill="1" applyBorder="1" applyAlignment="1">
      <alignment horizontal="left" vertical="center"/>
    </xf>
    <xf numFmtId="0" fontId="47" fillId="0" borderId="0" xfId="0" applyFont="1" applyFill="1" applyBorder="1" applyAlignment="1">
      <alignment horizontal="center" vertical="center"/>
    </xf>
    <xf numFmtId="0" fontId="47" fillId="0" borderId="0" xfId="0" applyFont="1" applyFill="1" applyBorder="1" applyAlignment="1">
      <alignment wrapText="1"/>
    </xf>
    <xf numFmtId="0" fontId="54" fillId="0" borderId="0" xfId="0" applyFont="1" applyFill="1"/>
    <xf numFmtId="0" fontId="48" fillId="0" borderId="0" xfId="0" applyFont="1" applyFill="1" applyBorder="1" applyAlignment="1">
      <alignment horizontal="center" vertical="center"/>
    </xf>
    <xf numFmtId="0" fontId="48" fillId="0" borderId="0" xfId="0" applyFont="1" applyFill="1" applyBorder="1" applyAlignment="1">
      <alignment wrapText="1"/>
    </xf>
    <xf numFmtId="4" fontId="49" fillId="0" borderId="0" xfId="0" applyNumberFormat="1" applyFont="1" applyFill="1" applyBorder="1" applyAlignment="1">
      <alignment vertical="center"/>
    </xf>
    <xf numFmtId="0" fontId="2" fillId="0" borderId="0" xfId="0" applyFont="1" applyFill="1"/>
    <xf numFmtId="0" fontId="49" fillId="0" borderId="0" xfId="0" applyFont="1" applyFill="1" applyBorder="1" applyAlignment="1">
      <alignment vertical="center"/>
    </xf>
    <xf numFmtId="10" fontId="49" fillId="0" borderId="0" xfId="0" applyNumberFormat="1" applyFont="1" applyFill="1" applyBorder="1" applyAlignment="1">
      <alignment vertical="center"/>
    </xf>
    <xf numFmtId="0" fontId="66" fillId="0" borderId="0" xfId="0" applyFont="1" applyBorder="1" applyAlignment="1">
      <alignment vertical="center"/>
    </xf>
    <xf numFmtId="0" fontId="39" fillId="0" borderId="0" xfId="0" applyFont="1" applyBorder="1" applyAlignment="1">
      <alignment vertical="center"/>
    </xf>
    <xf numFmtId="0" fontId="38" fillId="0" borderId="0" xfId="0" applyFont="1" applyBorder="1" applyAlignment="1">
      <alignment vertical="center"/>
    </xf>
    <xf numFmtId="0" fontId="66" fillId="0" borderId="0" xfId="0" applyFont="1"/>
    <xf numFmtId="0" fontId="66" fillId="0" borderId="2" xfId="0" applyFont="1" applyBorder="1" applyAlignment="1">
      <alignment horizontal="center"/>
    </xf>
    <xf numFmtId="0" fontId="66" fillId="0" borderId="25" xfId="0" applyFont="1" applyBorder="1" applyAlignment="1">
      <alignment horizontal="center"/>
    </xf>
    <xf numFmtId="165" fontId="66" fillId="0" borderId="3" xfId="0" applyNumberFormat="1" applyFont="1" applyBorder="1" applyAlignment="1">
      <alignment horizontal="center"/>
    </xf>
    <xf numFmtId="0" fontId="38" fillId="0" borderId="2" xfId="0" applyFont="1" applyFill="1" applyBorder="1" applyAlignment="1">
      <alignment horizontal="center"/>
    </xf>
    <xf numFmtId="0" fontId="38" fillId="0" borderId="25" xfId="0" applyFont="1" applyFill="1" applyBorder="1"/>
    <xf numFmtId="165" fontId="38" fillId="0" borderId="3" xfId="0" applyNumberFormat="1" applyFont="1" applyFill="1" applyBorder="1"/>
    <xf numFmtId="0" fontId="38" fillId="0" borderId="76" xfId="0" applyFont="1" applyFill="1" applyBorder="1"/>
    <xf numFmtId="165" fontId="39" fillId="0" borderId="6" xfId="0" applyNumberFormat="1" applyFont="1" applyBorder="1"/>
    <xf numFmtId="0" fontId="38" fillId="0" borderId="0" xfId="5" applyFont="1" applyBorder="1" applyAlignment="1">
      <alignment horizontal="left" vertical="center"/>
    </xf>
    <xf numFmtId="0" fontId="38" fillId="0" borderId="0" xfId="5" applyFont="1" applyBorder="1" applyAlignment="1">
      <alignment horizontal="center" vertical="center"/>
    </xf>
    <xf numFmtId="165" fontId="37" fillId="0" borderId="0" xfId="0" applyNumberFormat="1" applyFont="1" applyAlignment="1">
      <alignment horizontal="center" vertical="center"/>
    </xf>
    <xf numFmtId="4" fontId="47" fillId="0" borderId="0" xfId="0" applyNumberFormat="1" applyFont="1"/>
    <xf numFmtId="4" fontId="50" fillId="0" borderId="0" xfId="0" applyNumberFormat="1" applyFont="1"/>
    <xf numFmtId="2" fontId="0" fillId="0" borderId="0" xfId="0" applyNumberFormat="1"/>
    <xf numFmtId="2" fontId="5" fillId="0" borderId="0" xfId="0" applyNumberFormat="1" applyFont="1"/>
    <xf numFmtId="165" fontId="5" fillId="0" borderId="0" xfId="0" applyNumberFormat="1" applyFont="1"/>
    <xf numFmtId="168" fontId="0" fillId="0" borderId="0" xfId="0" applyNumberFormat="1"/>
    <xf numFmtId="168" fontId="5" fillId="0" borderId="0" xfId="0" applyNumberFormat="1" applyFont="1"/>
    <xf numFmtId="179" fontId="50" fillId="0" borderId="0" xfId="0" applyNumberFormat="1" applyFont="1"/>
    <xf numFmtId="185" fontId="50" fillId="0" borderId="0" xfId="0" applyNumberFormat="1" applyFont="1"/>
    <xf numFmtId="0" fontId="48" fillId="0" borderId="124" xfId="0" applyFont="1" applyBorder="1" applyAlignment="1">
      <alignment horizontal="center" vertical="center" wrapText="1"/>
    </xf>
    <xf numFmtId="4" fontId="49" fillId="0" borderId="124" xfId="0" applyNumberFormat="1" applyFont="1" applyBorder="1" applyAlignment="1">
      <alignment horizontal="center" vertical="center" wrapText="1"/>
    </xf>
    <xf numFmtId="165" fontId="48" fillId="0" borderId="124" xfId="0" applyNumberFormat="1" applyFont="1" applyBorder="1" applyAlignment="1">
      <alignment horizontal="center" vertical="center" wrapText="1"/>
    </xf>
    <xf numFmtId="0" fontId="48" fillId="34" borderId="124" xfId="0" applyFont="1" applyFill="1" applyBorder="1" applyAlignment="1">
      <alignment horizontal="center" vertical="center"/>
    </xf>
    <xf numFmtId="0" fontId="48" fillId="34" borderId="124" xfId="0" applyFont="1" applyFill="1" applyBorder="1" applyAlignment="1">
      <alignment wrapText="1"/>
    </xf>
    <xf numFmtId="4" fontId="49" fillId="34" borderId="124" xfId="0" applyNumberFormat="1" applyFont="1" applyFill="1" applyBorder="1" applyAlignment="1">
      <alignment vertical="center"/>
    </xf>
    <xf numFmtId="165" fontId="48" fillId="34" borderId="124" xfId="0" applyNumberFormat="1" applyFont="1" applyFill="1" applyBorder="1" applyAlignment="1">
      <alignment vertical="center"/>
    </xf>
    <xf numFmtId="0" fontId="50" fillId="0" borderId="124" xfId="0" applyFont="1" applyBorder="1" applyAlignment="1">
      <alignment horizontal="center" vertical="center"/>
    </xf>
    <xf numFmtId="0" fontId="50" fillId="0" borderId="124" xfId="0" applyFont="1" applyBorder="1" applyAlignment="1">
      <alignment wrapText="1"/>
    </xf>
    <xf numFmtId="0" fontId="50" fillId="0" borderId="124" xfId="0" applyFont="1" applyBorder="1" applyAlignment="1">
      <alignment horizontal="center" vertical="center" wrapText="1"/>
    </xf>
    <xf numFmtId="0" fontId="50" fillId="0" borderId="124" xfId="0" applyFont="1" applyFill="1" applyBorder="1" applyAlignment="1">
      <alignment horizontal="center" vertical="center"/>
    </xf>
    <xf numFmtId="0" fontId="50" fillId="0" borderId="124" xfId="0" applyFont="1" applyFill="1" applyBorder="1" applyAlignment="1">
      <alignment wrapText="1"/>
    </xf>
    <xf numFmtId="0" fontId="49" fillId="34" borderId="124" xfId="0" applyFont="1" applyFill="1" applyBorder="1" applyAlignment="1">
      <alignment horizontal="center" vertical="center"/>
    </xf>
    <xf numFmtId="0" fontId="49" fillId="34" borderId="124" xfId="0" applyFont="1" applyFill="1" applyBorder="1" applyAlignment="1">
      <alignment wrapText="1"/>
    </xf>
    <xf numFmtId="165" fontId="49" fillId="34" borderId="124" xfId="0" applyNumberFormat="1" applyFont="1" applyFill="1" applyBorder="1" applyAlignment="1">
      <alignment vertical="center"/>
    </xf>
    <xf numFmtId="0" fontId="48" fillId="37" borderId="124" xfId="0" applyFont="1" applyFill="1" applyBorder="1" applyAlignment="1">
      <alignment horizontal="center" vertical="center"/>
    </xf>
    <xf numFmtId="0" fontId="48" fillId="37" borderId="124" xfId="0" applyFont="1" applyFill="1" applyBorder="1" applyAlignment="1">
      <alignment wrapText="1"/>
    </xf>
    <xf numFmtId="4" fontId="49" fillId="37" borderId="124" xfId="0" applyNumberFormat="1" applyFont="1" applyFill="1" applyBorder="1" applyAlignment="1">
      <alignment vertical="center"/>
    </xf>
    <xf numFmtId="165" fontId="48" fillId="37" borderId="124" xfId="0" applyNumberFormat="1" applyFont="1" applyFill="1" applyBorder="1" applyAlignment="1">
      <alignment vertical="center"/>
    </xf>
    <xf numFmtId="0" fontId="49" fillId="37" borderId="124" xfId="0" applyFont="1" applyFill="1" applyBorder="1" applyAlignment="1">
      <alignment horizontal="center" vertical="center"/>
    </xf>
    <xf numFmtId="0" fontId="49" fillId="37" borderId="124" xfId="0" applyFont="1" applyFill="1" applyBorder="1" applyAlignment="1">
      <alignment wrapText="1"/>
    </xf>
    <xf numFmtId="165" fontId="49" fillId="37" borderId="124" xfId="0" applyNumberFormat="1" applyFont="1" applyFill="1" applyBorder="1" applyAlignment="1">
      <alignment vertical="center"/>
    </xf>
    <xf numFmtId="0" fontId="49" fillId="0" borderId="124" xfId="0" applyFont="1" applyBorder="1" applyAlignment="1">
      <alignment horizontal="center" vertical="center"/>
    </xf>
    <xf numFmtId="0" fontId="49" fillId="0" borderId="124" xfId="0" applyFont="1" applyBorder="1" applyAlignment="1">
      <alignment wrapText="1"/>
    </xf>
    <xf numFmtId="4" fontId="49" fillId="0" borderId="124" xfId="0" applyNumberFormat="1" applyFont="1" applyBorder="1" applyAlignment="1">
      <alignment vertical="center"/>
    </xf>
    <xf numFmtId="165" fontId="49" fillId="0" borderId="124" xfId="0" applyNumberFormat="1" applyFont="1" applyBorder="1" applyAlignment="1">
      <alignment vertical="center"/>
    </xf>
    <xf numFmtId="0" fontId="49" fillId="34" borderId="0" xfId="0" applyFont="1" applyFill="1" applyBorder="1" applyAlignment="1">
      <alignment vertical="center"/>
    </xf>
    <xf numFmtId="0" fontId="50" fillId="34" borderId="0" xfId="0" applyFont="1" applyFill="1" applyBorder="1" applyAlignment="1">
      <alignment vertical="center"/>
    </xf>
    <xf numFmtId="179" fontId="50" fillId="34" borderId="0" xfId="0" applyNumberFormat="1" applyFont="1" applyFill="1" applyBorder="1" applyAlignment="1">
      <alignment horizontal="center" vertical="center"/>
    </xf>
    <xf numFmtId="4" fontId="50" fillId="34" borderId="0" xfId="0" applyNumberFormat="1" applyFont="1" applyFill="1" applyBorder="1" applyAlignment="1">
      <alignment horizontal="center" vertical="center"/>
    </xf>
    <xf numFmtId="165" fontId="50" fillId="34" borderId="0" xfId="0" applyNumberFormat="1" applyFont="1" applyFill="1" applyBorder="1" applyAlignment="1">
      <alignment horizontal="center" vertical="center"/>
    </xf>
    <xf numFmtId="0" fontId="50" fillId="0" borderId="0" xfId="0" applyFont="1" applyFill="1" applyBorder="1" applyAlignment="1">
      <alignment vertical="center"/>
    </xf>
    <xf numFmtId="179" fontId="50" fillId="0" borderId="0" xfId="0" applyNumberFormat="1" applyFont="1" applyFill="1" applyBorder="1" applyAlignment="1">
      <alignment horizontal="center" vertical="center"/>
    </xf>
    <xf numFmtId="4" fontId="50" fillId="0" borderId="0" xfId="0" applyNumberFormat="1" applyFont="1" applyFill="1" applyBorder="1" applyAlignment="1">
      <alignment horizontal="center" vertical="center"/>
    </xf>
    <xf numFmtId="165" fontId="50" fillId="0" borderId="0" xfId="0" applyNumberFormat="1" applyFont="1" applyFill="1" applyBorder="1" applyAlignment="1">
      <alignment horizontal="center" vertical="center"/>
    </xf>
    <xf numFmtId="0" fontId="49" fillId="5" borderId="101" xfId="0" applyFont="1" applyFill="1" applyBorder="1" applyAlignment="1">
      <alignment horizontal="center" vertical="center"/>
    </xf>
    <xf numFmtId="0" fontId="49" fillId="0" borderId="101" xfId="0" applyNumberFormat="1" applyFont="1" applyBorder="1" applyAlignment="1">
      <alignment horizontal="center" vertical="center"/>
    </xf>
    <xf numFmtId="179" fontId="49" fillId="0" borderId="101" xfId="0" applyNumberFormat="1" applyFont="1" applyBorder="1" applyAlignment="1">
      <alignment horizontal="center" vertical="center"/>
    </xf>
    <xf numFmtId="4" fontId="49" fillId="0" borderId="101" xfId="0" applyNumberFormat="1" applyFont="1" applyBorder="1" applyAlignment="1">
      <alignment horizontal="center" vertical="center"/>
    </xf>
    <xf numFmtId="165" fontId="49" fillId="0" borderId="101" xfId="0" applyNumberFormat="1" applyFont="1" applyBorder="1" applyAlignment="1">
      <alignment horizontal="center" vertical="center"/>
    </xf>
    <xf numFmtId="0" fontId="50" fillId="0" borderId="101" xfId="0" applyFont="1" applyFill="1" applyBorder="1" applyAlignment="1">
      <alignment vertical="center" wrapText="1"/>
    </xf>
    <xf numFmtId="179" fontId="50" fillId="0" borderId="101" xfId="0" applyNumberFormat="1" applyFont="1" applyFill="1" applyBorder="1" applyAlignment="1">
      <alignment horizontal="center" vertical="center"/>
    </xf>
    <xf numFmtId="4" fontId="50" fillId="0" borderId="101" xfId="0" applyNumberFormat="1" applyFont="1" applyFill="1" applyBorder="1" applyAlignment="1">
      <alignment horizontal="center" vertical="center"/>
    </xf>
    <xf numFmtId="165" fontId="50" fillId="0" borderId="101" xfId="0" applyNumberFormat="1" applyFont="1" applyBorder="1" applyAlignment="1">
      <alignment horizontal="center" vertical="center"/>
    </xf>
    <xf numFmtId="0" fontId="50" fillId="0" borderId="101" xfId="0" applyFont="1" applyBorder="1" applyAlignment="1">
      <alignment vertical="center" wrapText="1"/>
    </xf>
    <xf numFmtId="165" fontId="49" fillId="0" borderId="101" xfId="0" applyNumberFormat="1" applyFont="1" applyFill="1" applyBorder="1" applyAlignment="1">
      <alignment horizontal="center" vertical="center"/>
    </xf>
    <xf numFmtId="0" fontId="49" fillId="0" borderId="0" xfId="0" applyFont="1" applyFill="1" applyBorder="1" applyAlignment="1">
      <alignment horizontal="right" vertical="center" wrapText="1"/>
    </xf>
    <xf numFmtId="179" fontId="49" fillId="0" borderId="0" xfId="0" applyNumberFormat="1" applyFont="1" applyFill="1" applyBorder="1" applyAlignment="1">
      <alignment horizontal="center" vertical="center" wrapText="1"/>
    </xf>
    <xf numFmtId="165" fontId="49" fillId="0" borderId="0" xfId="0" applyNumberFormat="1" applyFont="1" applyFill="1" applyBorder="1" applyAlignment="1">
      <alignment horizontal="center" vertical="center"/>
    </xf>
    <xf numFmtId="0" fontId="50" fillId="0" borderId="0" xfId="0" applyFont="1" applyBorder="1"/>
    <xf numFmtId="179" fontId="49" fillId="0" borderId="0" xfId="0" applyNumberFormat="1" applyFont="1" applyBorder="1" applyAlignment="1">
      <alignment horizontal="center" vertical="center"/>
    </xf>
    <xf numFmtId="165" fontId="49" fillId="0" borderId="0" xfId="0" applyNumberFormat="1" applyFont="1" applyBorder="1" applyAlignment="1">
      <alignment horizontal="center" vertical="center"/>
    </xf>
    <xf numFmtId="0" fontId="50" fillId="0" borderId="101" xfId="243" applyFont="1" applyBorder="1" applyAlignment="1">
      <alignment horizontal="center" vertical="center" wrapText="1"/>
    </xf>
    <xf numFmtId="0" fontId="50" fillId="0" borderId="101" xfId="243" applyFont="1" applyBorder="1" applyAlignment="1">
      <alignment horizontal="left" vertical="center" wrapText="1"/>
    </xf>
    <xf numFmtId="165" fontId="50" fillId="0" borderId="0" xfId="0" applyNumberFormat="1" applyFont="1"/>
    <xf numFmtId="179" fontId="50" fillId="0" borderId="0" xfId="0" applyNumberFormat="1" applyFont="1" applyBorder="1" applyAlignment="1">
      <alignment horizontal="center" vertical="center"/>
    </xf>
    <xf numFmtId="4" fontId="49" fillId="0" borderId="0" xfId="0" applyNumberFormat="1" applyFont="1" applyBorder="1" applyAlignment="1">
      <alignment horizontal="center" vertical="center"/>
    </xf>
    <xf numFmtId="0" fontId="49" fillId="74" borderId="110" xfId="1998" applyFont="1" applyFill="1" applyBorder="1" applyAlignment="1">
      <alignment horizontal="center" vertical="center"/>
    </xf>
    <xf numFmtId="40" fontId="49" fillId="74" borderId="110" xfId="1998" applyNumberFormat="1" applyFont="1" applyFill="1" applyBorder="1" applyAlignment="1">
      <alignment horizontal="center" vertical="center"/>
    </xf>
    <xf numFmtId="0" fontId="50" fillId="0" borderId="110" xfId="1998" applyFont="1" applyBorder="1" applyAlignment="1">
      <alignment horizontal="center" vertical="center"/>
    </xf>
    <xf numFmtId="0" fontId="50" fillId="0" borderId="110" xfId="1998" applyFont="1" applyBorder="1" applyAlignment="1">
      <alignment horizontal="left" vertical="center" wrapText="1"/>
    </xf>
    <xf numFmtId="179" fontId="50" fillId="0" borderId="110" xfId="1998" applyNumberFormat="1" applyFont="1" applyBorder="1" applyAlignment="1">
      <alignment horizontal="center" vertical="center"/>
    </xf>
    <xf numFmtId="4" fontId="50" fillId="0" borderId="110" xfId="1998" applyNumberFormat="1" applyFont="1" applyBorder="1" applyAlignment="1">
      <alignment horizontal="center" vertical="center"/>
    </xf>
    <xf numFmtId="165" fontId="50" fillId="0" borderId="110" xfId="1998" applyNumberFormat="1" applyFont="1" applyBorder="1" applyAlignment="1">
      <alignment horizontal="center" vertical="center"/>
    </xf>
    <xf numFmtId="165" fontId="49" fillId="0" borderId="110" xfId="1998" applyNumberFormat="1" applyFont="1" applyBorder="1" applyAlignment="1">
      <alignment horizontal="center" vertical="center"/>
    </xf>
    <xf numFmtId="0" fontId="50" fillId="0" borderId="0" xfId="1998" applyFont="1" applyAlignment="1">
      <alignment vertical="center"/>
    </xf>
    <xf numFmtId="40" fontId="50" fillId="0" borderId="0" xfId="1998" applyNumberFormat="1" applyFont="1" applyAlignment="1">
      <alignment vertical="center"/>
    </xf>
    <xf numFmtId="0" fontId="50" fillId="0" borderId="110" xfId="1998" applyFont="1" applyBorder="1" applyAlignment="1">
      <alignment vertical="center" wrapText="1"/>
    </xf>
    <xf numFmtId="2" fontId="50" fillId="0" borderId="110" xfId="1998" applyNumberFormat="1" applyFont="1" applyBorder="1" applyAlignment="1">
      <alignment horizontal="center" vertical="center"/>
    </xf>
    <xf numFmtId="40" fontId="50" fillId="0" borderId="110" xfId="1998" applyNumberFormat="1" applyFont="1" applyBorder="1" applyAlignment="1">
      <alignment horizontal="center" vertical="center"/>
    </xf>
    <xf numFmtId="40" fontId="49" fillId="0" borderId="110" xfId="1998" applyNumberFormat="1" applyFont="1" applyBorder="1" applyAlignment="1">
      <alignment horizontal="center" vertical="center"/>
    </xf>
    <xf numFmtId="0" fontId="49" fillId="5" borderId="101" xfId="4" applyNumberFormat="1" applyFont="1" applyFill="1" applyBorder="1" applyAlignment="1" applyProtection="1">
      <alignment horizontal="left" vertical="center" wrapText="1"/>
      <protection locked="0"/>
    </xf>
    <xf numFmtId="0" fontId="50" fillId="0" borderId="0" xfId="1998" applyFont="1"/>
    <xf numFmtId="0" fontId="50" fillId="0" borderId="110" xfId="1998" applyFont="1" applyBorder="1" applyAlignment="1">
      <alignment wrapText="1"/>
    </xf>
    <xf numFmtId="40" fontId="50" fillId="0" borderId="110" xfId="1998" applyNumberFormat="1" applyFont="1" applyFill="1" applyBorder="1" applyAlignment="1">
      <alignment horizontal="center" vertical="center"/>
    </xf>
    <xf numFmtId="0" fontId="50" fillId="0" borderId="0" xfId="1998" applyFont="1" applyAlignment="1"/>
    <xf numFmtId="40" fontId="49" fillId="0" borderId="110" xfId="1998" applyNumberFormat="1" applyFont="1" applyBorder="1" applyAlignment="1">
      <alignment horizontal="center"/>
    </xf>
    <xf numFmtId="40" fontId="50" fillId="0" borderId="110" xfId="1998" applyNumberFormat="1" applyFont="1" applyBorder="1" applyAlignment="1">
      <alignment horizontal="center"/>
    </xf>
    <xf numFmtId="40" fontId="50" fillId="0" borderId="0" xfId="1998" applyNumberFormat="1" applyFont="1"/>
    <xf numFmtId="0" fontId="50" fillId="76" borderId="110" xfId="1998" applyFont="1" applyFill="1" applyBorder="1" applyAlignment="1">
      <alignment wrapText="1"/>
    </xf>
    <xf numFmtId="2" fontId="50" fillId="76" borderId="110" xfId="1998" applyNumberFormat="1" applyFont="1" applyFill="1" applyBorder="1" applyAlignment="1">
      <alignment horizontal="center" vertical="center"/>
    </xf>
    <xf numFmtId="2" fontId="50" fillId="73" borderId="110" xfId="1998" applyNumberFormat="1" applyFont="1" applyFill="1" applyBorder="1" applyAlignment="1">
      <alignment horizontal="center" vertical="center"/>
    </xf>
    <xf numFmtId="40" fontId="50" fillId="0" borderId="116" xfId="1998" applyNumberFormat="1" applyFont="1" applyBorder="1" applyAlignment="1">
      <alignment horizontal="center"/>
    </xf>
    <xf numFmtId="40" fontId="49" fillId="0" borderId="120" xfId="1998" applyNumberFormat="1" applyFont="1" applyBorder="1" applyAlignment="1">
      <alignment horizontal="center"/>
    </xf>
    <xf numFmtId="0" fontId="50" fillId="73" borderId="110" xfId="1998" applyFont="1" applyFill="1" applyBorder="1" applyAlignment="1">
      <alignment horizontal="left" wrapText="1"/>
    </xf>
    <xf numFmtId="179" fontId="49" fillId="34" borderId="0" xfId="0" applyNumberFormat="1" applyFont="1" applyFill="1" applyBorder="1" applyAlignment="1">
      <alignment horizontal="center" vertical="center"/>
    </xf>
    <xf numFmtId="4" fontId="49" fillId="34" borderId="0" xfId="0" applyNumberFormat="1" applyFont="1" applyFill="1" applyBorder="1" applyAlignment="1">
      <alignment horizontal="center" vertical="center"/>
    </xf>
    <xf numFmtId="165" fontId="49" fillId="34" borderId="0" xfId="0" applyNumberFormat="1" applyFont="1" applyFill="1" applyBorder="1" applyAlignment="1">
      <alignment horizontal="center" vertical="center"/>
    </xf>
    <xf numFmtId="4" fontId="50" fillId="0" borderId="0" xfId="0" applyNumberFormat="1" applyFont="1" applyBorder="1" applyAlignment="1">
      <alignment horizontal="center" vertical="center"/>
    </xf>
    <xf numFmtId="0" fontId="50" fillId="66" borderId="76" xfId="1527" applyFont="1" applyFill="1" applyBorder="1" applyAlignment="1">
      <alignment horizontal="center" vertical="center" wrapText="1"/>
    </xf>
    <xf numFmtId="0" fontId="50" fillId="66" borderId="76" xfId="1527" applyFont="1" applyFill="1" applyBorder="1" applyAlignment="1">
      <alignment horizontal="left" vertical="center" wrapText="1"/>
    </xf>
    <xf numFmtId="179" fontId="50" fillId="66" borderId="76" xfId="1527" applyNumberFormat="1" applyFont="1" applyFill="1" applyBorder="1" applyAlignment="1">
      <alignment horizontal="center" vertical="center" wrapText="1"/>
    </xf>
    <xf numFmtId="4" fontId="50" fillId="0" borderId="76" xfId="0" applyNumberFormat="1" applyFont="1" applyFill="1" applyBorder="1" applyAlignment="1">
      <alignment horizontal="center" vertical="center"/>
    </xf>
    <xf numFmtId="165" fontId="50" fillId="0" borderId="76" xfId="0" applyNumberFormat="1" applyFont="1" applyBorder="1" applyAlignment="1">
      <alignment horizontal="center" vertical="center"/>
    </xf>
    <xf numFmtId="0" fontId="49" fillId="5" borderId="76" xfId="0" applyFont="1" applyFill="1" applyBorder="1" applyAlignment="1">
      <alignment horizontal="center" vertical="center"/>
    </xf>
    <xf numFmtId="0" fontId="49" fillId="0" borderId="76" xfId="0" applyFont="1" applyBorder="1" applyAlignment="1">
      <alignment horizontal="center" vertical="center"/>
    </xf>
    <xf numFmtId="0" fontId="49" fillId="0" borderId="76" xfId="0" applyNumberFormat="1" applyFont="1" applyBorder="1" applyAlignment="1">
      <alignment horizontal="center" vertical="center"/>
    </xf>
    <xf numFmtId="179" fontId="49" fillId="0" borderId="76" xfId="0" applyNumberFormat="1" applyFont="1" applyBorder="1" applyAlignment="1">
      <alignment horizontal="center" vertical="center"/>
    </xf>
    <xf numFmtId="4" fontId="49" fillId="0" borderId="76" xfId="0" applyNumberFormat="1" applyFont="1" applyBorder="1" applyAlignment="1">
      <alignment horizontal="center" vertical="center"/>
    </xf>
    <xf numFmtId="165" fontId="49" fillId="0" borderId="76" xfId="0" applyNumberFormat="1" applyFont="1" applyBorder="1" applyAlignment="1">
      <alignment horizontal="center" vertical="center"/>
    </xf>
    <xf numFmtId="0" fontId="50" fillId="0" borderId="76" xfId="243" applyFont="1" applyBorder="1" applyAlignment="1">
      <alignment horizontal="center" vertical="center" wrapText="1"/>
    </xf>
    <xf numFmtId="0" fontId="50" fillId="0" borderId="76" xfId="243" applyFont="1" applyBorder="1" applyAlignment="1">
      <alignment horizontal="left" vertical="center" wrapText="1"/>
    </xf>
    <xf numFmtId="4" fontId="50" fillId="0" borderId="76" xfId="0" applyNumberFormat="1" applyFont="1" applyBorder="1" applyAlignment="1">
      <alignment horizontal="center" vertical="center"/>
    </xf>
    <xf numFmtId="165" fontId="49" fillId="0" borderId="76" xfId="0" applyNumberFormat="1" applyFont="1" applyFill="1" applyBorder="1" applyAlignment="1">
      <alignment horizontal="center" vertical="center"/>
    </xf>
    <xf numFmtId="179" fontId="50" fillId="0" borderId="101" xfId="243" applyNumberFormat="1" applyFont="1" applyBorder="1" applyAlignment="1">
      <alignment horizontal="center" vertical="center" wrapText="1"/>
    </xf>
    <xf numFmtId="4" fontId="50" fillId="0" borderId="101" xfId="0" applyNumberFormat="1" applyFont="1" applyBorder="1" applyAlignment="1">
      <alignment horizontal="center" vertical="center"/>
    </xf>
    <xf numFmtId="0" fontId="50" fillId="3" borderId="101" xfId="0" applyFont="1" applyFill="1" applyBorder="1" applyAlignment="1">
      <alignment horizontal="center" vertical="center"/>
    </xf>
    <xf numFmtId="0" fontId="50" fillId="0" borderId="101" xfId="0" applyNumberFormat="1" applyFont="1" applyBorder="1" applyAlignment="1">
      <alignment horizontal="left" vertical="center" wrapText="1"/>
    </xf>
    <xf numFmtId="179" fontId="50" fillId="3" borderId="101" xfId="0" applyNumberFormat="1" applyFont="1" applyFill="1" applyBorder="1" applyAlignment="1">
      <alignment horizontal="center" vertical="center"/>
    </xf>
    <xf numFmtId="165" fontId="50" fillId="0" borderId="101" xfId="0" applyNumberFormat="1" applyFont="1" applyFill="1" applyBorder="1" applyAlignment="1">
      <alignment horizontal="center" vertical="center"/>
    </xf>
    <xf numFmtId="0" fontId="50" fillId="0" borderId="0" xfId="0" applyFont="1" applyBorder="1" applyAlignment="1">
      <alignment horizontal="center" vertical="center"/>
    </xf>
    <xf numFmtId="0" fontId="50" fillId="0" borderId="0" xfId="0" applyFont="1" applyFill="1"/>
    <xf numFmtId="0" fontId="50" fillId="0" borderId="76" xfId="0" applyFont="1" applyFill="1" applyBorder="1" applyAlignment="1">
      <alignment vertical="center" wrapText="1"/>
    </xf>
    <xf numFmtId="179" fontId="50" fillId="0" borderId="76" xfId="0" applyNumberFormat="1" applyFont="1" applyFill="1" applyBorder="1" applyAlignment="1">
      <alignment horizontal="center" vertical="center"/>
    </xf>
    <xf numFmtId="179" fontId="50" fillId="0" borderId="0" xfId="0" applyNumberFormat="1" applyFont="1" applyAlignment="1">
      <alignment horizontal="center"/>
    </xf>
    <xf numFmtId="0" fontId="49" fillId="5" borderId="124" xfId="0" applyFont="1" applyFill="1" applyBorder="1" applyAlignment="1">
      <alignment horizontal="center" vertical="center"/>
    </xf>
    <xf numFmtId="0" fontId="49" fillId="0" borderId="124" xfId="0" applyNumberFormat="1" applyFont="1" applyBorder="1" applyAlignment="1">
      <alignment horizontal="center" vertical="center"/>
    </xf>
    <xf numFmtId="179" fontId="49" fillId="0" borderId="124" xfId="0" applyNumberFormat="1" applyFont="1" applyBorder="1" applyAlignment="1">
      <alignment horizontal="center" vertical="center"/>
    </xf>
    <xf numFmtId="4" fontId="49" fillId="0" borderId="124" xfId="0" applyNumberFormat="1" applyFont="1" applyBorder="1" applyAlignment="1">
      <alignment horizontal="center" vertical="center"/>
    </xf>
    <xf numFmtId="165" fontId="49" fillId="0" borderId="124" xfId="0" applyNumberFormat="1" applyFont="1" applyBorder="1" applyAlignment="1">
      <alignment horizontal="center" vertical="center"/>
    </xf>
    <xf numFmtId="0" fontId="50" fillId="0" borderId="124" xfId="0" applyFont="1" applyBorder="1"/>
    <xf numFmtId="179" fontId="50" fillId="0" borderId="124" xfId="0" applyNumberFormat="1" applyFont="1" applyBorder="1" applyAlignment="1">
      <alignment horizontal="center" vertical="center"/>
    </xf>
    <xf numFmtId="165" fontId="50" fillId="0" borderId="124" xfId="0" applyNumberFormat="1" applyFont="1" applyBorder="1" applyAlignment="1">
      <alignment horizontal="center" vertical="center"/>
    </xf>
    <xf numFmtId="0" fontId="49" fillId="0" borderId="124" xfId="0" applyNumberFormat="1" applyFont="1" applyBorder="1" applyAlignment="1">
      <alignment horizontal="center" vertical="center" wrapText="1"/>
    </xf>
    <xf numFmtId="0" fontId="49" fillId="0" borderId="124" xfId="0" applyFont="1" applyBorder="1" applyAlignment="1">
      <alignment horizontal="center" vertical="center" wrapText="1"/>
    </xf>
    <xf numFmtId="179" fontId="49" fillId="0" borderId="124" xfId="0" applyNumberFormat="1" applyFont="1" applyBorder="1" applyAlignment="1">
      <alignment horizontal="center" vertical="center" wrapText="1"/>
    </xf>
    <xf numFmtId="165" fontId="49" fillId="0" borderId="124" xfId="0" applyNumberFormat="1" applyFont="1" applyBorder="1" applyAlignment="1">
      <alignment horizontal="center" vertical="center" wrapText="1"/>
    </xf>
    <xf numFmtId="179" fontId="50" fillId="0" borderId="124" xfId="0" applyNumberFormat="1" applyFont="1" applyBorder="1" applyAlignment="1">
      <alignment horizontal="center" vertical="center" wrapText="1"/>
    </xf>
    <xf numFmtId="165" fontId="50" fillId="0" borderId="124" xfId="0" applyNumberFormat="1" applyFont="1" applyBorder="1" applyAlignment="1">
      <alignment horizontal="center" vertical="center" wrapText="1"/>
    </xf>
    <xf numFmtId="0" fontId="50" fillId="0" borderId="124" xfId="1999" applyFont="1" applyBorder="1" applyAlignment="1"/>
    <xf numFmtId="0" fontId="50" fillId="0" borderId="0" xfId="1999" applyFont="1" applyAlignment="1"/>
    <xf numFmtId="0" fontId="50" fillId="0" borderId="76" xfId="1999" applyFont="1" applyBorder="1" applyAlignment="1">
      <alignment horizontal="center" vertical="center"/>
    </xf>
    <xf numFmtId="0" fontId="50" fillId="0" borderId="76" xfId="1999" applyFont="1" applyBorder="1" applyAlignment="1">
      <alignment vertical="center" wrapText="1"/>
    </xf>
    <xf numFmtId="184" fontId="50" fillId="0" borderId="76" xfId="1999" applyNumberFormat="1" applyFont="1" applyBorder="1" applyAlignment="1">
      <alignment horizontal="center" vertical="center"/>
    </xf>
    <xf numFmtId="2" fontId="50" fillId="0" borderId="76" xfId="1999" applyNumberFormat="1" applyFont="1" applyBorder="1" applyAlignment="1">
      <alignment horizontal="center" vertical="center"/>
    </xf>
    <xf numFmtId="0" fontId="50" fillId="0" borderId="76" xfId="1999" applyFont="1" applyBorder="1" applyAlignment="1">
      <alignment horizontal="left" vertical="center" wrapText="1"/>
    </xf>
    <xf numFmtId="164" fontId="50" fillId="38" borderId="76" xfId="1999" applyNumberFormat="1" applyFont="1" applyFill="1" applyBorder="1" applyAlignment="1">
      <alignment horizontal="center" vertical="center"/>
    </xf>
    <xf numFmtId="2" fontId="50" fillId="38" borderId="76" xfId="1999" applyNumberFormat="1" applyFont="1" applyFill="1" applyBorder="1" applyAlignment="1">
      <alignment horizontal="center" vertical="center"/>
    </xf>
    <xf numFmtId="2" fontId="49" fillId="0" borderId="76" xfId="1999" applyNumberFormat="1" applyFont="1" applyBorder="1" applyAlignment="1">
      <alignment horizontal="center" vertical="center"/>
    </xf>
    <xf numFmtId="0" fontId="49" fillId="38" borderId="0" xfId="1999" applyFont="1" applyFill="1" applyBorder="1" applyAlignment="1">
      <alignment horizontal="center" vertical="center"/>
    </xf>
    <xf numFmtId="2" fontId="49" fillId="0" borderId="0" xfId="1999" applyNumberFormat="1" applyFont="1" applyBorder="1" applyAlignment="1">
      <alignment horizontal="center" vertical="center"/>
    </xf>
    <xf numFmtId="184" fontId="50" fillId="0" borderId="76" xfId="1999" applyNumberFormat="1" applyFont="1" applyBorder="1" applyAlignment="1">
      <alignment horizontal="center" vertical="center" wrapText="1"/>
    </xf>
    <xf numFmtId="0" fontId="50" fillId="0" borderId="76" xfId="1999" applyFont="1" applyBorder="1" applyAlignment="1">
      <alignment horizontal="center" vertical="center" wrapText="1"/>
    </xf>
    <xf numFmtId="2" fontId="50" fillId="0" borderId="76" xfId="1999" applyNumberFormat="1" applyFont="1" applyBorder="1" applyAlignment="1">
      <alignment horizontal="center" vertical="center" wrapText="1"/>
    </xf>
    <xf numFmtId="0" fontId="50" fillId="73" borderId="76" xfId="1999" applyFont="1" applyFill="1" applyBorder="1" applyAlignment="1">
      <alignment horizontal="left" vertical="center" wrapText="1"/>
    </xf>
    <xf numFmtId="0" fontId="50" fillId="0" borderId="35" xfId="1999" applyFont="1" applyBorder="1" applyAlignment="1">
      <alignment horizontal="center" vertical="center"/>
    </xf>
    <xf numFmtId="0" fontId="50" fillId="73" borderId="110" xfId="1999" applyFont="1" applyFill="1" applyBorder="1" applyAlignment="1">
      <alignment horizontal="left" vertical="center" wrapText="1"/>
    </xf>
    <xf numFmtId="184" fontId="50" fillId="0" borderId="110" xfId="1999" applyNumberFormat="1" applyFont="1" applyBorder="1" applyAlignment="1">
      <alignment horizontal="center" vertical="center"/>
    </xf>
    <xf numFmtId="0" fontId="50" fillId="0" borderId="110" xfId="1999" applyFont="1" applyBorder="1" applyAlignment="1">
      <alignment horizontal="center" vertical="center"/>
    </xf>
    <xf numFmtId="2" fontId="50" fillId="0" borderId="110" xfId="1999" applyNumberFormat="1" applyFont="1" applyBorder="1" applyAlignment="1">
      <alignment horizontal="center" vertical="center"/>
    </xf>
    <xf numFmtId="184" fontId="50" fillId="0" borderId="112" xfId="1999" applyNumberFormat="1" applyFont="1" applyBorder="1" applyAlignment="1">
      <alignment horizontal="center" vertical="center"/>
    </xf>
    <xf numFmtId="0" fontId="50" fillId="0" borderId="112" xfId="1999" applyFont="1" applyBorder="1" applyAlignment="1">
      <alignment horizontal="center" vertical="center"/>
    </xf>
    <xf numFmtId="2" fontId="50" fillId="38" borderId="112" xfId="1999" applyNumberFormat="1" applyFont="1" applyFill="1" applyBorder="1" applyAlignment="1">
      <alignment horizontal="center" vertical="center"/>
    </xf>
    <xf numFmtId="0" fontId="50" fillId="75" borderId="111" xfId="1999" applyFont="1" applyFill="1" applyBorder="1" applyAlignment="1">
      <alignment horizontal="left" vertical="center" wrapText="1"/>
    </xf>
    <xf numFmtId="184" fontId="50" fillId="38" borderId="76" xfId="1999" applyNumberFormat="1" applyFont="1" applyFill="1" applyBorder="1" applyAlignment="1">
      <alignment horizontal="center" vertical="center"/>
    </xf>
    <xf numFmtId="0" fontId="50" fillId="38" borderId="76" xfId="1999" applyFont="1" applyFill="1" applyBorder="1" applyAlignment="1">
      <alignment horizontal="center" vertical="center"/>
    </xf>
    <xf numFmtId="0" fontId="50" fillId="0" borderId="0" xfId="1999" applyFont="1" applyBorder="1" applyAlignment="1">
      <alignment horizontal="center" vertical="center"/>
    </xf>
    <xf numFmtId="0" fontId="49" fillId="38" borderId="122" xfId="1999" applyFont="1" applyFill="1" applyBorder="1" applyAlignment="1">
      <alignment horizontal="center" vertical="center"/>
    </xf>
    <xf numFmtId="2" fontId="49" fillId="0" borderId="123" xfId="1999" applyNumberFormat="1" applyFont="1" applyBorder="1" applyAlignment="1">
      <alignment horizontal="center" vertical="center"/>
    </xf>
    <xf numFmtId="0" fontId="50" fillId="0" borderId="0" xfId="1999" applyFont="1" applyBorder="1" applyAlignment="1">
      <alignment horizontal="left" vertical="center" wrapText="1"/>
    </xf>
    <xf numFmtId="2" fontId="50" fillId="0" borderId="0" xfId="1999" applyNumberFormat="1" applyFont="1" applyBorder="1" applyAlignment="1">
      <alignment horizontal="center" vertical="center"/>
    </xf>
    <xf numFmtId="0" fontId="50" fillId="0" borderId="110" xfId="1999" applyFont="1" applyFill="1" applyBorder="1" applyAlignment="1">
      <alignment horizontal="left" vertical="center" wrapText="1"/>
    </xf>
    <xf numFmtId="184" fontId="50" fillId="0" borderId="110" xfId="1999" applyNumberFormat="1" applyFont="1" applyFill="1" applyBorder="1" applyAlignment="1">
      <alignment horizontal="center" vertical="center"/>
    </xf>
    <xf numFmtId="0" fontId="50" fillId="0" borderId="110" xfId="1999" applyFont="1" applyFill="1" applyBorder="1" applyAlignment="1">
      <alignment horizontal="center" vertical="center"/>
    </xf>
    <xf numFmtId="2" fontId="50" fillId="0" borderId="110" xfId="1999" applyNumberFormat="1" applyFont="1" applyFill="1" applyBorder="1" applyAlignment="1">
      <alignment horizontal="center" vertical="center"/>
    </xf>
    <xf numFmtId="2" fontId="49" fillId="0" borderId="110" xfId="1999" applyNumberFormat="1" applyFont="1" applyBorder="1" applyAlignment="1">
      <alignment horizontal="center" vertical="center"/>
    </xf>
    <xf numFmtId="0" fontId="50" fillId="75" borderId="110" xfId="1999" applyFont="1" applyFill="1" applyBorder="1" applyAlignment="1">
      <alignment horizontal="left" vertical="center" wrapText="1"/>
    </xf>
    <xf numFmtId="0" fontId="50" fillId="0" borderId="0" xfId="1999" applyFont="1" applyBorder="1" applyAlignment="1">
      <alignment vertical="center"/>
    </xf>
    <xf numFmtId="2" fontId="49" fillId="0" borderId="118" xfId="1999" applyNumberFormat="1" applyFont="1" applyBorder="1" applyAlignment="1">
      <alignment horizontal="center" vertical="center"/>
    </xf>
    <xf numFmtId="2" fontId="50" fillId="0" borderId="119" xfId="1999" applyNumberFormat="1" applyFont="1" applyBorder="1" applyAlignment="1">
      <alignment horizontal="center" vertical="center"/>
    </xf>
    <xf numFmtId="2" fontId="50" fillId="0" borderId="116" xfId="1999" applyNumberFormat="1" applyFont="1" applyBorder="1" applyAlignment="1">
      <alignment horizontal="center" vertical="center"/>
    </xf>
    <xf numFmtId="0" fontId="50" fillId="0" borderId="0" xfId="1999" applyFont="1" applyBorder="1" applyAlignment="1">
      <alignment vertical="center" wrapText="1"/>
    </xf>
    <xf numFmtId="2" fontId="50" fillId="0" borderId="0" xfId="1999" applyNumberFormat="1" applyFont="1" applyBorder="1" applyAlignment="1">
      <alignment horizontal="center" vertical="center" wrapText="1"/>
    </xf>
    <xf numFmtId="0" fontId="50" fillId="0" borderId="0" xfId="1999" applyFont="1" applyBorder="1" applyAlignment="1">
      <alignment horizontal="center" vertical="center" wrapText="1"/>
    </xf>
    <xf numFmtId="184" fontId="50" fillId="0" borderId="116" xfId="1999" applyNumberFormat="1" applyFont="1" applyBorder="1" applyAlignment="1">
      <alignment horizontal="center" vertical="center"/>
    </xf>
    <xf numFmtId="2" fontId="50" fillId="38" borderId="110" xfId="1999" applyNumberFormat="1" applyFont="1" applyFill="1" applyBorder="1" applyAlignment="1">
      <alignment horizontal="center" vertical="center"/>
    </xf>
    <xf numFmtId="179" fontId="50" fillId="0" borderId="76" xfId="243" applyNumberFormat="1" applyFont="1" applyBorder="1" applyAlignment="1">
      <alignment horizontal="center" vertical="center" wrapText="1"/>
    </xf>
    <xf numFmtId="165" fontId="49" fillId="65" borderId="101" xfId="0" applyNumberFormat="1" applyFont="1" applyFill="1" applyBorder="1" applyAlignment="1">
      <alignment vertical="center"/>
    </xf>
    <xf numFmtId="0" fontId="49" fillId="65" borderId="0" xfId="0" applyFont="1" applyFill="1"/>
    <xf numFmtId="0" fontId="50" fillId="0" borderId="101" xfId="243" applyFont="1" applyFill="1" applyBorder="1" applyAlignment="1">
      <alignment horizontal="center" vertical="center" wrapText="1"/>
    </xf>
    <xf numFmtId="0" fontId="50" fillId="0" borderId="101" xfId="243" applyFont="1" applyFill="1" applyBorder="1" applyAlignment="1">
      <alignment horizontal="left" vertical="center" wrapText="1"/>
    </xf>
    <xf numFmtId="179" fontId="50" fillId="0" borderId="101" xfId="243" applyNumberFormat="1" applyFont="1" applyFill="1" applyBorder="1" applyAlignment="1">
      <alignment horizontal="center" vertical="center" wrapText="1"/>
    </xf>
    <xf numFmtId="179" fontId="50" fillId="0" borderId="101" xfId="0" applyNumberFormat="1" applyFont="1" applyBorder="1" applyAlignment="1">
      <alignment horizontal="center" vertical="center"/>
    </xf>
    <xf numFmtId="179" fontId="50" fillId="0" borderId="76" xfId="0" applyNumberFormat="1" applyFont="1" applyBorder="1" applyAlignment="1">
      <alignment horizontal="center" vertical="center"/>
    </xf>
    <xf numFmtId="4" fontId="50" fillId="38" borderId="76" xfId="0" applyNumberFormat="1" applyFont="1" applyFill="1" applyBorder="1" applyAlignment="1">
      <alignment horizontal="center" vertical="center"/>
    </xf>
    <xf numFmtId="4" fontId="50" fillId="38" borderId="101" xfId="0" applyNumberFormat="1" applyFont="1" applyFill="1" applyBorder="1" applyAlignment="1">
      <alignment horizontal="center" vertical="center"/>
    </xf>
    <xf numFmtId="179" fontId="50" fillId="0" borderId="0" xfId="0" applyNumberFormat="1" applyFont="1" applyBorder="1" applyAlignment="1">
      <alignment horizontal="center"/>
    </xf>
    <xf numFmtId="4" fontId="49" fillId="67" borderId="124" xfId="1994" applyNumberFormat="1" applyFont="1" applyFill="1" applyBorder="1" applyAlignment="1">
      <alignment horizontal="center" vertical="top" wrapText="1"/>
    </xf>
    <xf numFmtId="0" fontId="50" fillId="0" borderId="124" xfId="171" applyFont="1" applyBorder="1" applyAlignment="1">
      <alignment horizontal="center"/>
    </xf>
    <xf numFmtId="0" fontId="50" fillId="0" borderId="124" xfId="171" applyFont="1" applyBorder="1"/>
    <xf numFmtId="0" fontId="50" fillId="0" borderId="124" xfId="171" applyFont="1" applyFill="1" applyBorder="1" applyAlignment="1">
      <alignment horizontal="center" vertical="center"/>
    </xf>
    <xf numFmtId="179" fontId="50" fillId="0" borderId="124" xfId="171" applyNumberFormat="1" applyFont="1" applyBorder="1" applyAlignment="1">
      <alignment horizontal="center"/>
    </xf>
    <xf numFmtId="166" fontId="50" fillId="0" borderId="124" xfId="171" applyNumberFormat="1" applyFont="1" applyFill="1" applyBorder="1" applyAlignment="1">
      <alignment horizontal="center" vertical="center"/>
    </xf>
    <xf numFmtId="183" fontId="50" fillId="0" borderId="124" xfId="10" applyNumberFormat="1" applyFont="1" applyFill="1" applyBorder="1" applyAlignment="1">
      <alignment horizontal="center" vertical="center"/>
    </xf>
    <xf numFmtId="0" fontId="50" fillId="0" borderId="124" xfId="171" applyFont="1" applyBorder="1" applyAlignment="1"/>
    <xf numFmtId="0" fontId="50" fillId="0" borderId="124" xfId="171" applyFont="1" applyFill="1" applyBorder="1" applyAlignment="1">
      <alignment vertical="center"/>
    </xf>
    <xf numFmtId="0" fontId="50" fillId="0" borderId="124" xfId="171" applyFont="1" applyFill="1" applyBorder="1" applyAlignment="1"/>
    <xf numFmtId="179" fontId="50" fillId="0" borderId="124" xfId="171" applyNumberFormat="1" applyFont="1" applyFill="1" applyBorder="1" applyAlignment="1">
      <alignment horizontal="center" vertical="center"/>
    </xf>
    <xf numFmtId="166" fontId="50" fillId="0" borderId="124" xfId="171" applyNumberFormat="1" applyFont="1" applyFill="1" applyBorder="1" applyAlignment="1">
      <alignment vertical="center"/>
    </xf>
    <xf numFmtId="166" fontId="49" fillId="0" borderId="124" xfId="171" applyNumberFormat="1" applyFont="1" applyFill="1" applyBorder="1" applyAlignment="1">
      <alignment horizontal="right" vertical="center"/>
    </xf>
    <xf numFmtId="166" fontId="49" fillId="0" borderId="124" xfId="171" applyNumberFormat="1" applyFont="1" applyFill="1" applyBorder="1" applyAlignment="1">
      <alignment horizontal="center" vertical="center"/>
    </xf>
    <xf numFmtId="0" fontId="50" fillId="25" borderId="124" xfId="171" applyFont="1" applyFill="1" applyBorder="1" applyAlignment="1">
      <alignment vertical="center"/>
    </xf>
    <xf numFmtId="179" fontId="50" fillId="25" borderId="124" xfId="171" applyNumberFormat="1" applyFont="1" applyFill="1" applyBorder="1" applyAlignment="1">
      <alignment horizontal="center" vertical="center"/>
    </xf>
    <xf numFmtId="0" fontId="50" fillId="0" borderId="124" xfId="171" applyFont="1" applyFill="1" applyBorder="1" applyAlignment="1">
      <alignment vertical="center" wrapText="1"/>
    </xf>
    <xf numFmtId="183" fontId="50" fillId="0" borderId="124" xfId="171" applyNumberFormat="1" applyFont="1" applyFill="1" applyBorder="1" applyAlignment="1">
      <alignment horizontal="center" vertical="center"/>
    </xf>
    <xf numFmtId="0" fontId="50" fillId="0" borderId="124" xfId="171" applyFont="1" applyFill="1" applyBorder="1" applyAlignment="1">
      <alignment horizontal="left" vertical="center" wrapText="1"/>
    </xf>
    <xf numFmtId="183" fontId="49" fillId="0" borderId="124" xfId="171" applyNumberFormat="1" applyFont="1" applyFill="1" applyBorder="1" applyAlignment="1">
      <alignment horizontal="center" vertical="center"/>
    </xf>
    <xf numFmtId="0" fontId="50" fillId="71" borderId="124" xfId="171" applyFont="1" applyFill="1" applyBorder="1" applyAlignment="1">
      <alignment vertical="center"/>
    </xf>
    <xf numFmtId="179" fontId="50" fillId="71" borderId="124" xfId="171" applyNumberFormat="1" applyFont="1" applyFill="1" applyBorder="1" applyAlignment="1">
      <alignment horizontal="center" vertical="center"/>
    </xf>
    <xf numFmtId="4" fontId="49" fillId="71" borderId="124" xfId="171" applyNumberFormat="1" applyFont="1" applyFill="1" applyBorder="1" applyAlignment="1">
      <alignment horizontal="center" vertical="center"/>
    </xf>
    <xf numFmtId="4" fontId="49" fillId="71" borderId="124" xfId="171" applyNumberFormat="1" applyFont="1" applyFill="1" applyBorder="1" applyAlignment="1">
      <alignment vertical="center"/>
    </xf>
    <xf numFmtId="0" fontId="50" fillId="0" borderId="0" xfId="171" applyFont="1" applyBorder="1" applyAlignment="1">
      <alignment vertical="center"/>
    </xf>
    <xf numFmtId="179" fontId="50" fillId="0" borderId="0" xfId="171" applyNumberFormat="1" applyFont="1" applyBorder="1" applyAlignment="1">
      <alignment horizontal="center" vertical="center"/>
    </xf>
    <xf numFmtId="4" fontId="50" fillId="0" borderId="0" xfId="171" applyNumberFormat="1" applyFont="1" applyBorder="1" applyAlignment="1">
      <alignment vertical="center"/>
    </xf>
    <xf numFmtId="4" fontId="50" fillId="0" borderId="0" xfId="171" applyNumberFormat="1" applyFont="1" applyBorder="1" applyAlignment="1">
      <alignment horizontal="center" vertical="center"/>
    </xf>
    <xf numFmtId="0" fontId="50" fillId="0" borderId="124" xfId="171" applyFont="1" applyBorder="1" applyAlignment="1">
      <alignment wrapText="1"/>
    </xf>
    <xf numFmtId="179" fontId="50" fillId="0" borderId="124" xfId="171" applyNumberFormat="1" applyFont="1" applyBorder="1" applyAlignment="1">
      <alignment horizontal="center" vertical="center"/>
    </xf>
    <xf numFmtId="4" fontId="49" fillId="25" borderId="124" xfId="171" applyNumberFormat="1" applyFont="1" applyFill="1" applyBorder="1" applyAlignment="1">
      <alignment vertical="center"/>
    </xf>
    <xf numFmtId="0" fontId="50" fillId="0" borderId="124" xfId="1994" applyFont="1" applyBorder="1" applyAlignment="1">
      <alignment horizontal="center" vertical="top" wrapText="1"/>
    </xf>
    <xf numFmtId="0" fontId="50" fillId="0" borderId="124" xfId="1994" applyFont="1" applyBorder="1" applyAlignment="1">
      <alignment horizontal="left" vertical="top" wrapText="1"/>
    </xf>
    <xf numFmtId="179" fontId="50" fillId="0" borderId="124" xfId="1994" applyNumberFormat="1" applyFont="1" applyBorder="1" applyAlignment="1">
      <alignment horizontal="center" vertical="top" wrapText="1"/>
    </xf>
    <xf numFmtId="164" fontId="50" fillId="0" borderId="124" xfId="1994" applyNumberFormat="1" applyFont="1" applyBorder="1" applyAlignment="1">
      <alignment horizontal="center" vertical="top" wrapText="1"/>
    </xf>
    <xf numFmtId="0" fontId="50" fillId="0" borderId="124" xfId="1994" applyFont="1" applyBorder="1" applyAlignment="1">
      <alignment vertical="top" wrapText="1"/>
    </xf>
    <xf numFmtId="164" fontId="49" fillId="0" borderId="124" xfId="1994" applyNumberFormat="1" applyFont="1" applyBorder="1" applyAlignment="1">
      <alignment horizontal="right" vertical="top" wrapText="1"/>
    </xf>
    <xf numFmtId="164" fontId="49" fillId="0" borderId="124" xfId="1994" applyNumberFormat="1" applyFont="1" applyBorder="1" applyAlignment="1">
      <alignment horizontal="center" vertical="top" wrapText="1"/>
    </xf>
    <xf numFmtId="0" fontId="50" fillId="67" borderId="124" xfId="1994" applyFont="1" applyFill="1" applyBorder="1" applyAlignment="1">
      <alignment horizontal="center" vertical="top" wrapText="1"/>
    </xf>
    <xf numFmtId="0" fontId="50" fillId="67" borderId="124" xfId="1994" applyFont="1" applyFill="1" applyBorder="1" applyAlignment="1">
      <alignment vertical="top" wrapText="1"/>
    </xf>
    <xf numFmtId="179" fontId="50" fillId="67" borderId="124" xfId="1994" applyNumberFormat="1" applyFont="1" applyFill="1" applyBorder="1" applyAlignment="1">
      <alignment horizontal="center" vertical="top" wrapText="1"/>
    </xf>
    <xf numFmtId="4" fontId="49" fillId="67" borderId="124" xfId="1994" applyNumberFormat="1" applyFont="1" applyFill="1" applyBorder="1" applyAlignment="1">
      <alignment vertical="top" wrapText="1"/>
    </xf>
    <xf numFmtId="0" fontId="50" fillId="0" borderId="0" xfId="1994" applyFont="1" applyAlignment="1">
      <alignment horizontal="center" vertical="top" wrapText="1"/>
    </xf>
    <xf numFmtId="0" fontId="50" fillId="0" borderId="0" xfId="1994" applyFont="1" applyAlignment="1">
      <alignment vertical="top" wrapText="1"/>
    </xf>
    <xf numFmtId="179" fontId="50" fillId="0" borderId="0" xfId="1994" applyNumberFormat="1" applyFont="1" applyAlignment="1">
      <alignment horizontal="center" vertical="top" wrapText="1"/>
    </xf>
    <xf numFmtId="4" fontId="49" fillId="0" borderId="0" xfId="1994" applyNumberFormat="1" applyFont="1" applyAlignment="1">
      <alignment horizontal="center" vertical="top" wrapText="1"/>
    </xf>
    <xf numFmtId="4" fontId="49" fillId="0" borderId="0" xfId="1994" applyNumberFormat="1" applyFont="1" applyAlignment="1">
      <alignment vertical="top" wrapText="1"/>
    </xf>
    <xf numFmtId="2" fontId="50" fillId="0" borderId="124" xfId="1994" applyNumberFormat="1" applyFont="1" applyBorder="1" applyAlignment="1">
      <alignment vertical="top" wrapText="1"/>
    </xf>
    <xf numFmtId="4" fontId="50" fillId="0" borderId="0" xfId="1994" applyNumberFormat="1" applyFont="1" applyAlignment="1">
      <alignment vertical="top" wrapText="1"/>
    </xf>
    <xf numFmtId="4" fontId="50" fillId="0" borderId="0" xfId="1994" applyNumberFormat="1" applyFont="1" applyAlignment="1">
      <alignment horizontal="center" vertical="top" wrapText="1"/>
    </xf>
    <xf numFmtId="164" fontId="50" fillId="0" borderId="124" xfId="1994" applyNumberFormat="1" applyFont="1" applyBorder="1" applyAlignment="1">
      <alignment vertical="top" wrapText="1"/>
    </xf>
    <xf numFmtId="2" fontId="50" fillId="0" borderId="124" xfId="1994" applyNumberFormat="1" applyFont="1" applyBorder="1" applyAlignment="1">
      <alignment horizontal="center" vertical="top" wrapText="1"/>
    </xf>
    <xf numFmtId="0" fontId="50" fillId="3" borderId="101" xfId="0" applyFont="1" applyFill="1" applyBorder="1" applyAlignment="1">
      <alignment vertical="center" wrapText="1"/>
    </xf>
    <xf numFmtId="4" fontId="50" fillId="0" borderId="101" xfId="224" applyNumberFormat="1" applyFont="1" applyFill="1" applyBorder="1" applyAlignment="1">
      <alignment horizontal="center" vertical="center"/>
    </xf>
    <xf numFmtId="0" fontId="49" fillId="34" borderId="0" xfId="0" applyFont="1" applyFill="1" applyBorder="1" applyAlignment="1">
      <alignment vertical="center"/>
    </xf>
    <xf numFmtId="0" fontId="49" fillId="5" borderId="101" xfId="0" applyFont="1" applyFill="1" applyBorder="1" applyAlignment="1">
      <alignment horizontal="center" vertical="center" wrapText="1"/>
    </xf>
    <xf numFmtId="0" fontId="50" fillId="0" borderId="0" xfId="0" applyFont="1" applyFill="1" applyBorder="1" applyAlignment="1">
      <alignment horizontal="center" vertical="center"/>
    </xf>
    <xf numFmtId="165" fontId="50" fillId="0" borderId="0" xfId="0" applyNumberFormat="1" applyFont="1" applyBorder="1" applyAlignment="1">
      <alignment horizontal="center" vertical="center"/>
    </xf>
    <xf numFmtId="165" fontId="2" fillId="34" borderId="0" xfId="0" applyNumberFormat="1" applyFont="1" applyFill="1"/>
    <xf numFmtId="0" fontId="49" fillId="34" borderId="0" xfId="0" applyFont="1" applyFill="1" applyBorder="1" applyAlignment="1">
      <alignment vertical="center"/>
    </xf>
    <xf numFmtId="0" fontId="49" fillId="5" borderId="101" xfId="0" applyFont="1" applyFill="1" applyBorder="1" applyAlignment="1">
      <alignment horizontal="center" vertical="center" wrapText="1"/>
    </xf>
    <xf numFmtId="0" fontId="50" fillId="0" borderId="0" xfId="1998" applyFont="1" applyFill="1" applyAlignment="1">
      <alignment vertical="center"/>
    </xf>
    <xf numFmtId="40" fontId="50" fillId="0" borderId="0" xfId="1998" applyNumberFormat="1" applyFont="1" applyFill="1" applyAlignment="1">
      <alignment vertical="center"/>
    </xf>
    <xf numFmtId="0" fontId="43" fillId="0" borderId="0" xfId="0" applyFont="1" applyFill="1"/>
    <xf numFmtId="0" fontId="50" fillId="0" borderId="0" xfId="1998" applyFont="1" applyFill="1"/>
    <xf numFmtId="40" fontId="50" fillId="0" borderId="0" xfId="1998" applyNumberFormat="1" applyFont="1" applyFill="1"/>
    <xf numFmtId="0" fontId="50" fillId="0" borderId="0" xfId="1998" applyFont="1" applyFill="1" applyAlignment="1"/>
    <xf numFmtId="0" fontId="50" fillId="0" borderId="110" xfId="1998" applyFont="1" applyFill="1" applyBorder="1" applyAlignment="1">
      <alignment horizontal="center" vertical="center"/>
    </xf>
    <xf numFmtId="0" fontId="50" fillId="0" borderId="110" xfId="1998" applyFont="1" applyFill="1" applyBorder="1" applyAlignment="1">
      <alignment horizontal="left" wrapText="1"/>
    </xf>
    <xf numFmtId="0" fontId="50" fillId="0" borderId="124" xfId="243" applyFont="1" applyBorder="1" applyAlignment="1">
      <alignment horizontal="center" vertical="center" wrapText="1"/>
    </xf>
    <xf numFmtId="0" fontId="50" fillId="0" borderId="124" xfId="243" applyFont="1" applyBorder="1" applyAlignment="1">
      <alignment horizontal="left" vertical="center" wrapText="1"/>
    </xf>
    <xf numFmtId="4" fontId="50" fillId="0" borderId="124" xfId="0" applyNumberFormat="1" applyFont="1" applyBorder="1" applyAlignment="1">
      <alignment horizontal="center" vertical="center"/>
    </xf>
    <xf numFmtId="44" fontId="56" fillId="34" borderId="0" xfId="2" applyFont="1" applyFill="1"/>
    <xf numFmtId="44" fontId="2" fillId="34" borderId="0" xfId="2" applyFont="1" applyFill="1"/>
    <xf numFmtId="179" fontId="50" fillId="0" borderId="124" xfId="243" applyNumberFormat="1" applyFont="1" applyBorder="1" applyAlignment="1">
      <alignment horizontal="center" vertical="center" wrapText="1"/>
    </xf>
    <xf numFmtId="0" fontId="36" fillId="0" borderId="0" xfId="0" applyFont="1" applyBorder="1" applyAlignment="1">
      <alignment horizontal="left"/>
    </xf>
    <xf numFmtId="0" fontId="49" fillId="34" borderId="0" xfId="0" applyFont="1" applyFill="1" applyBorder="1" applyAlignment="1">
      <alignment horizontal="left" vertical="center"/>
    </xf>
    <xf numFmtId="179" fontId="49" fillId="34" borderId="0" xfId="0" applyNumberFormat="1" applyFont="1" applyFill="1" applyBorder="1" applyAlignment="1">
      <alignment horizontal="left" vertical="center"/>
    </xf>
    <xf numFmtId="4" fontId="49" fillId="34" borderId="0" xfId="0" applyNumberFormat="1" applyFont="1" applyFill="1" applyBorder="1" applyAlignment="1">
      <alignment horizontal="left" vertical="center"/>
    </xf>
    <xf numFmtId="165" fontId="49" fillId="34" borderId="0" xfId="0" applyNumberFormat="1" applyFont="1" applyFill="1" applyBorder="1" applyAlignment="1">
      <alignment horizontal="left" vertical="center"/>
    </xf>
    <xf numFmtId="0" fontId="50" fillId="0" borderId="0" xfId="0" applyFont="1" applyAlignment="1">
      <alignment horizontal="left"/>
    </xf>
    <xf numFmtId="0" fontId="42" fillId="0" borderId="0" xfId="0" applyFont="1" applyAlignment="1">
      <alignment horizontal="left"/>
    </xf>
    <xf numFmtId="0" fontId="5" fillId="0" borderId="0" xfId="0" applyFont="1" applyAlignment="1">
      <alignment horizontal="left"/>
    </xf>
    <xf numFmtId="4" fontId="50" fillId="0" borderId="124" xfId="0" applyNumberFormat="1" applyFont="1" applyFill="1" applyBorder="1" applyAlignment="1">
      <alignment horizontal="center" vertical="center"/>
    </xf>
    <xf numFmtId="0" fontId="50" fillId="0" borderId="124" xfId="0" applyFont="1" applyBorder="1" applyAlignment="1">
      <alignment horizontal="center"/>
    </xf>
    <xf numFmtId="0" fontId="50" fillId="34" borderId="0" xfId="0" applyFont="1" applyFill="1" applyBorder="1" applyAlignment="1">
      <alignment horizontal="center" vertical="center"/>
    </xf>
    <xf numFmtId="0" fontId="50" fillId="0" borderId="0" xfId="0" applyFont="1" applyBorder="1" applyAlignment="1">
      <alignment horizontal="center"/>
    </xf>
    <xf numFmtId="0" fontId="50" fillId="0" borderId="0" xfId="1998" applyFont="1" applyAlignment="1">
      <alignment horizontal="center" vertical="center"/>
    </xf>
    <xf numFmtId="0" fontId="50" fillId="0" borderId="0" xfId="1998" applyFont="1" applyFill="1" applyAlignment="1">
      <alignment horizontal="center" vertical="center"/>
    </xf>
    <xf numFmtId="0" fontId="49" fillId="5" borderId="101" xfId="4" applyNumberFormat="1" applyFont="1" applyFill="1" applyBorder="1" applyAlignment="1" applyProtection="1">
      <alignment horizontal="center" vertical="center" wrapText="1"/>
      <protection locked="0"/>
    </xf>
    <xf numFmtId="0" fontId="50" fillId="0" borderId="0" xfId="1998" applyFont="1" applyAlignment="1">
      <alignment horizontal="center"/>
    </xf>
    <xf numFmtId="0" fontId="50" fillId="0" borderId="0" xfId="1998" applyFont="1" applyFill="1" applyAlignment="1">
      <alignment horizontal="center"/>
    </xf>
    <xf numFmtId="0" fontId="49" fillId="34" borderId="0" xfId="0" applyFont="1" applyFill="1" applyBorder="1" applyAlignment="1">
      <alignment horizontal="center" vertical="center"/>
    </xf>
    <xf numFmtId="0" fontId="50" fillId="0" borderId="0" xfId="0" applyFont="1" applyAlignment="1">
      <alignment horizontal="center"/>
    </xf>
    <xf numFmtId="0" fontId="50" fillId="0" borderId="124" xfId="0" applyFont="1" applyBorder="1" applyAlignment="1">
      <alignment horizontal="center" wrapText="1"/>
    </xf>
    <xf numFmtId="0" fontId="50" fillId="0" borderId="0" xfId="1999" applyFont="1" applyAlignment="1">
      <alignment horizontal="center"/>
    </xf>
    <xf numFmtId="0" fontId="50" fillId="25" borderId="124" xfId="171" applyFont="1" applyFill="1" applyBorder="1" applyAlignment="1">
      <alignment horizontal="center" vertical="center"/>
    </xf>
    <xf numFmtId="0" fontId="50" fillId="71" borderId="124" xfId="171" applyFont="1" applyFill="1" applyBorder="1" applyAlignment="1">
      <alignment horizontal="center" vertical="center"/>
    </xf>
    <xf numFmtId="0" fontId="50" fillId="0" borderId="0" xfId="171" applyFont="1" applyBorder="1" applyAlignment="1">
      <alignment horizontal="center" vertical="center"/>
    </xf>
    <xf numFmtId="179" fontId="50" fillId="0" borderId="124" xfId="0" applyNumberFormat="1" applyFont="1" applyFill="1" applyBorder="1" applyAlignment="1">
      <alignment horizontal="center" vertical="center"/>
    </xf>
    <xf numFmtId="165" fontId="50" fillId="0" borderId="124" xfId="0" applyNumberFormat="1" applyFont="1" applyFill="1" applyBorder="1" applyAlignment="1">
      <alignment horizontal="center" vertical="center"/>
    </xf>
    <xf numFmtId="0" fontId="50" fillId="0" borderId="124" xfId="0" applyFont="1" applyFill="1" applyBorder="1"/>
    <xf numFmtId="0" fontId="50" fillId="0" borderId="124" xfId="0" applyFont="1" applyFill="1" applyBorder="1" applyAlignment="1">
      <alignment horizontal="center"/>
    </xf>
    <xf numFmtId="2" fontId="50" fillId="0" borderId="124" xfId="0" applyNumberFormat="1" applyFont="1" applyFill="1" applyBorder="1" applyAlignment="1">
      <alignment horizontal="center" vertical="center"/>
    </xf>
    <xf numFmtId="0" fontId="49" fillId="0" borderId="124" xfId="0" applyFont="1" applyFill="1" applyBorder="1" applyAlignment="1">
      <alignment horizontal="center" vertical="center"/>
    </xf>
    <xf numFmtId="0" fontId="49" fillId="0" borderId="124" xfId="0" applyNumberFormat="1" applyFont="1" applyFill="1" applyBorder="1" applyAlignment="1">
      <alignment horizontal="center" vertical="center"/>
    </xf>
    <xf numFmtId="179" fontId="49" fillId="0" borderId="124" xfId="0" applyNumberFormat="1" applyFont="1" applyFill="1" applyBorder="1" applyAlignment="1">
      <alignment horizontal="center" vertical="center"/>
    </xf>
    <xf numFmtId="4" fontId="49" fillId="0" borderId="124" xfId="0" applyNumberFormat="1" applyFont="1" applyFill="1" applyBorder="1" applyAlignment="1">
      <alignment horizontal="center" vertical="center"/>
    </xf>
    <xf numFmtId="165" fontId="49" fillId="0" borderId="124" xfId="0" applyNumberFormat="1" applyFont="1" applyFill="1" applyBorder="1" applyAlignment="1">
      <alignment horizontal="center" vertical="center"/>
    </xf>
    <xf numFmtId="2" fontId="50" fillId="0" borderId="124" xfId="0" applyNumberFormat="1" applyFont="1" applyBorder="1" applyAlignment="1">
      <alignment horizontal="center"/>
    </xf>
    <xf numFmtId="2" fontId="50" fillId="0" borderId="124" xfId="0" applyNumberFormat="1" applyFont="1" applyBorder="1" applyAlignment="1">
      <alignment horizontal="center" vertical="center"/>
    </xf>
    <xf numFmtId="0" fontId="50" fillId="0" borderId="0" xfId="0" applyFont="1" applyFill="1" applyBorder="1"/>
    <xf numFmtId="0" fontId="50" fillId="0" borderId="0" xfId="0" applyFont="1" applyFill="1" applyBorder="1" applyAlignment="1">
      <alignment horizontal="center"/>
    </xf>
    <xf numFmtId="179" fontId="49" fillId="0" borderId="0" xfId="0" applyNumberFormat="1" applyFont="1" applyFill="1" applyBorder="1" applyAlignment="1">
      <alignment horizontal="center" vertical="center"/>
    </xf>
    <xf numFmtId="0" fontId="50" fillId="0" borderId="124" xfId="1999" applyFont="1" applyBorder="1" applyAlignment="1">
      <alignment wrapText="1"/>
    </xf>
    <xf numFmtId="2" fontId="50" fillId="0" borderId="124" xfId="0" applyNumberFormat="1" applyFont="1" applyBorder="1" applyAlignment="1">
      <alignment horizontal="center" vertical="center" wrapText="1"/>
    </xf>
    <xf numFmtId="2" fontId="50" fillId="0" borderId="101" xfId="243" applyNumberFormat="1" applyFont="1" applyBorder="1" applyAlignment="1">
      <alignment horizontal="center" vertical="center" wrapText="1"/>
    </xf>
    <xf numFmtId="2" fontId="50" fillId="0" borderId="124" xfId="243" applyNumberFormat="1" applyFont="1" applyBorder="1" applyAlignment="1">
      <alignment horizontal="center" vertical="center" wrapText="1"/>
    </xf>
    <xf numFmtId="2" fontId="50" fillId="0" borderId="101" xfId="0" applyNumberFormat="1" applyFont="1" applyBorder="1" applyAlignment="1">
      <alignment horizontal="center" vertical="center"/>
    </xf>
    <xf numFmtId="40" fontId="49" fillId="0" borderId="110" xfId="1998" applyNumberFormat="1" applyFont="1" applyFill="1" applyBorder="1" applyAlignment="1">
      <alignment horizontal="center"/>
    </xf>
    <xf numFmtId="40" fontId="50" fillId="0" borderId="110" xfId="1998" applyNumberFormat="1" applyFont="1" applyFill="1" applyBorder="1" applyAlignment="1">
      <alignment horizontal="center"/>
    </xf>
    <xf numFmtId="4" fontId="50" fillId="0" borderId="127" xfId="1998" applyNumberFormat="1" applyFont="1" applyBorder="1" applyAlignment="1">
      <alignment horizontal="center" vertical="center"/>
    </xf>
    <xf numFmtId="2" fontId="50" fillId="0" borderId="128" xfId="1998" applyNumberFormat="1" applyFont="1" applyBorder="1" applyAlignment="1">
      <alignment horizontal="center" vertical="center"/>
    </xf>
    <xf numFmtId="0" fontId="50" fillId="0" borderId="124" xfId="1998" applyFont="1" applyFill="1" applyBorder="1" applyAlignment="1">
      <alignment horizontal="center" vertical="center"/>
    </xf>
    <xf numFmtId="186" fontId="43" fillId="0" borderId="0" xfId="0" applyNumberFormat="1" applyFont="1"/>
    <xf numFmtId="0" fontId="50" fillId="0" borderId="124" xfId="1994" applyFont="1" applyFill="1" applyBorder="1" applyAlignment="1">
      <alignment horizontal="center" vertical="top" wrapText="1"/>
    </xf>
    <xf numFmtId="0" fontId="50" fillId="0" borderId="124" xfId="1994" applyFont="1" applyFill="1" applyBorder="1" applyAlignment="1">
      <alignment vertical="top" wrapText="1"/>
    </xf>
    <xf numFmtId="179" fontId="50" fillId="0" borderId="124" xfId="1994" applyNumberFormat="1" applyFont="1" applyFill="1" applyBorder="1" applyAlignment="1">
      <alignment horizontal="center" vertical="top" wrapText="1"/>
    </xf>
    <xf numFmtId="164" fontId="50" fillId="0" borderId="124" xfId="1994" applyNumberFormat="1" applyFont="1" applyFill="1" applyBorder="1" applyAlignment="1">
      <alignment horizontal="center" vertical="top" wrapText="1"/>
    </xf>
    <xf numFmtId="2" fontId="50" fillId="0" borderId="124" xfId="1994" applyNumberFormat="1" applyFont="1" applyFill="1" applyBorder="1" applyAlignment="1">
      <alignment vertical="top" wrapText="1"/>
    </xf>
    <xf numFmtId="164" fontId="50" fillId="0" borderId="124" xfId="1994" applyNumberFormat="1" applyFont="1" applyBorder="1" applyAlignment="1">
      <alignment horizontal="center" vertical="center" wrapText="1"/>
    </xf>
    <xf numFmtId="164" fontId="50" fillId="0" borderId="124" xfId="1994" applyNumberFormat="1" applyFont="1" applyBorder="1" applyAlignment="1">
      <alignment vertical="center" wrapText="1"/>
    </xf>
    <xf numFmtId="0" fontId="38" fillId="0" borderId="0" xfId="0" applyFont="1" applyFill="1" applyBorder="1"/>
    <xf numFmtId="0" fontId="50" fillId="0" borderId="76" xfId="1527" applyFont="1" applyFill="1" applyBorder="1" applyAlignment="1">
      <alignment horizontal="center" vertical="center" wrapText="1"/>
    </xf>
    <xf numFmtId="0" fontId="50" fillId="0" borderId="76" xfId="1527" applyFont="1" applyFill="1" applyBorder="1" applyAlignment="1">
      <alignment horizontal="left" vertical="center" wrapText="1"/>
    </xf>
    <xf numFmtId="179" fontId="50" fillId="0" borderId="76" xfId="1527" applyNumberFormat="1" applyFont="1" applyFill="1" applyBorder="1" applyAlignment="1">
      <alignment horizontal="center" vertical="center" wrapText="1"/>
    </xf>
    <xf numFmtId="0" fontId="38" fillId="0" borderId="0" xfId="0" applyFont="1" applyFill="1"/>
    <xf numFmtId="0" fontId="49" fillId="5" borderId="101" xfId="0" applyFont="1" applyFill="1" applyBorder="1" applyAlignment="1">
      <alignment horizontal="center" vertical="center" wrapText="1"/>
    </xf>
    <xf numFmtId="4" fontId="50" fillId="0" borderId="124" xfId="0" applyNumberFormat="1" applyFont="1" applyFill="1" applyBorder="1" applyAlignment="1">
      <alignment vertical="center"/>
    </xf>
    <xf numFmtId="165" fontId="50" fillId="0" borderId="124" xfId="0" applyNumberFormat="1" applyFont="1" applyFill="1" applyBorder="1" applyAlignment="1">
      <alignment vertical="center"/>
    </xf>
    <xf numFmtId="0" fontId="50" fillId="0" borderId="76" xfId="1999" applyFont="1" applyFill="1" applyBorder="1" applyAlignment="1">
      <alignment vertical="center" wrapText="1"/>
    </xf>
    <xf numFmtId="184" fontId="50" fillId="0" borderId="76" xfId="1999" applyNumberFormat="1" applyFont="1" applyFill="1" applyBorder="1" applyAlignment="1">
      <alignment horizontal="center" vertical="center"/>
    </xf>
    <xf numFmtId="0" fontId="50" fillId="0" borderId="113" xfId="1999" applyFont="1" applyFill="1" applyBorder="1" applyAlignment="1">
      <alignment horizontal="center" vertical="center"/>
    </xf>
    <xf numFmtId="2" fontId="50" fillId="0" borderId="76" xfId="1999" applyNumberFormat="1" applyFont="1" applyFill="1" applyBorder="1" applyAlignment="1">
      <alignment horizontal="center" vertical="center"/>
    </xf>
    <xf numFmtId="0" fontId="50" fillId="0" borderId="76" xfId="1999" applyFont="1" applyFill="1" applyBorder="1" applyAlignment="1">
      <alignment horizontal="center" vertical="center" wrapText="1"/>
    </xf>
    <xf numFmtId="0" fontId="50" fillId="0" borderId="76" xfId="1999" applyFont="1" applyFill="1" applyBorder="1" applyAlignment="1">
      <alignment horizontal="left" vertical="center" wrapText="1"/>
    </xf>
    <xf numFmtId="184" fontId="50" fillId="0" borderId="117" xfId="1999" applyNumberFormat="1" applyFont="1" applyFill="1" applyBorder="1" applyAlignment="1">
      <alignment horizontal="center" vertical="center"/>
    </xf>
    <xf numFmtId="0" fontId="50" fillId="0" borderId="112" xfId="1999" applyFont="1" applyFill="1" applyBorder="1" applyAlignment="1">
      <alignment horizontal="center" vertical="center"/>
    </xf>
    <xf numFmtId="2" fontId="50" fillId="0" borderId="112" xfId="1999" applyNumberFormat="1" applyFont="1" applyFill="1" applyBorder="1" applyAlignment="1">
      <alignment horizontal="center" vertical="center"/>
    </xf>
    <xf numFmtId="0" fontId="50" fillId="0" borderId="0" xfId="1999" applyFont="1" applyFill="1" applyAlignment="1"/>
    <xf numFmtId="184" fontId="50" fillId="0" borderId="115" xfId="1999" applyNumberFormat="1" applyFont="1" applyFill="1" applyBorder="1" applyAlignment="1">
      <alignment horizontal="center" vertical="center" wrapText="1"/>
    </xf>
    <xf numFmtId="0" fontId="50" fillId="0" borderId="76" xfId="1999" applyFont="1" applyFill="1" applyBorder="1" applyAlignment="1">
      <alignment horizontal="center" vertical="center"/>
    </xf>
    <xf numFmtId="0" fontId="41" fillId="0" borderId="0" xfId="0" applyFont="1" applyFill="1"/>
    <xf numFmtId="165" fontId="5" fillId="0" borderId="0" xfId="0" applyNumberFormat="1" applyFont="1" applyFill="1"/>
    <xf numFmtId="0" fontId="47" fillId="0" borderId="124" xfId="0" applyFont="1" applyFill="1" applyBorder="1" applyAlignment="1">
      <alignment horizontal="center" vertical="center"/>
    </xf>
    <xf numFmtId="0" fontId="47" fillId="0" borderId="124" xfId="0" applyFont="1" applyFill="1" applyBorder="1" applyAlignment="1">
      <alignment wrapText="1"/>
    </xf>
    <xf numFmtId="4" fontId="47" fillId="0" borderId="124" xfId="0" applyNumberFormat="1" applyFont="1" applyFill="1" applyBorder="1" applyAlignment="1">
      <alignment vertical="center"/>
    </xf>
    <xf numFmtId="0" fontId="50" fillId="0" borderId="124" xfId="0" applyFont="1" applyFill="1" applyBorder="1" applyAlignment="1">
      <alignment horizontal="center" vertical="center" wrapText="1"/>
    </xf>
    <xf numFmtId="0" fontId="50" fillId="0" borderId="124" xfId="5" applyFont="1" applyFill="1" applyBorder="1" applyAlignment="1">
      <alignment horizontal="left" vertical="top" wrapText="1"/>
    </xf>
    <xf numFmtId="0" fontId="0" fillId="0" borderId="0" xfId="0" applyFont="1" applyFill="1"/>
    <xf numFmtId="165" fontId="47" fillId="0" borderId="124" xfId="0" applyNumberFormat="1" applyFont="1" applyFill="1" applyBorder="1" applyAlignment="1">
      <alignment vertical="center"/>
    </xf>
    <xf numFmtId="165" fontId="0" fillId="0" borderId="0" xfId="0" applyNumberFormat="1" applyFont="1" applyFill="1"/>
    <xf numFmtId="4" fontId="0" fillId="0" borderId="0" xfId="0" applyNumberFormat="1" applyFont="1" applyFill="1"/>
    <xf numFmtId="0" fontId="50" fillId="0" borderId="110" xfId="1998" applyFont="1" applyFill="1" applyBorder="1" applyAlignment="1">
      <alignment horizontal="left" vertical="center" wrapText="1"/>
    </xf>
    <xf numFmtId="168" fontId="50" fillId="0" borderId="110" xfId="1998" applyNumberFormat="1" applyFont="1" applyFill="1" applyBorder="1" applyAlignment="1">
      <alignment horizontal="center" vertical="center"/>
    </xf>
    <xf numFmtId="4" fontId="50" fillId="0" borderId="110" xfId="1998" applyNumberFormat="1" applyFont="1" applyFill="1" applyBorder="1" applyAlignment="1">
      <alignment horizontal="center" vertical="center"/>
    </xf>
    <xf numFmtId="165" fontId="50" fillId="0" borderId="110" xfId="1998" applyNumberFormat="1" applyFont="1" applyFill="1" applyBorder="1" applyAlignment="1">
      <alignment horizontal="center" vertical="center"/>
    </xf>
    <xf numFmtId="0" fontId="50" fillId="0" borderId="110" xfId="1998" applyFont="1" applyFill="1" applyBorder="1" applyAlignment="1">
      <alignment vertical="center" wrapText="1"/>
    </xf>
    <xf numFmtId="2" fontId="50" fillId="0" borderId="110" xfId="1998" applyNumberFormat="1" applyFont="1" applyFill="1" applyBorder="1" applyAlignment="1">
      <alignment horizontal="center" vertical="center"/>
    </xf>
    <xf numFmtId="0" fontId="50" fillId="0" borderId="110" xfId="1998" applyFont="1" applyFill="1" applyBorder="1" applyAlignment="1">
      <alignment wrapText="1"/>
    </xf>
    <xf numFmtId="165" fontId="0" fillId="0" borderId="0" xfId="0" applyNumberFormat="1" applyFill="1"/>
    <xf numFmtId="4" fontId="0" fillId="0" borderId="0" xfId="0" applyNumberFormat="1" applyFill="1"/>
    <xf numFmtId="4" fontId="5" fillId="0" borderId="0" xfId="0" applyNumberFormat="1" applyFont="1" applyFill="1"/>
    <xf numFmtId="44" fontId="56" fillId="0" borderId="0" xfId="2" applyFont="1" applyFill="1"/>
    <xf numFmtId="0" fontId="41" fillId="0" borderId="0" xfId="0" applyFont="1" applyFill="1" applyAlignment="1">
      <alignment horizontal="center"/>
    </xf>
    <xf numFmtId="0" fontId="50" fillId="0" borderId="101" xfId="0" applyNumberFormat="1" applyFont="1" applyFill="1" applyBorder="1" applyAlignment="1">
      <alignment horizontal="left" vertical="center" wrapText="1"/>
    </xf>
    <xf numFmtId="0" fontId="50" fillId="0" borderId="124" xfId="0" applyNumberFormat="1" applyFont="1" applyFill="1" applyBorder="1" applyAlignment="1">
      <alignment horizontal="left" vertical="center" wrapText="1"/>
    </xf>
    <xf numFmtId="0" fontId="50" fillId="0" borderId="124" xfId="0" applyFont="1" applyFill="1" applyBorder="1" applyAlignment="1">
      <alignment vertical="center" wrapText="1"/>
    </xf>
    <xf numFmtId="0" fontId="49" fillId="5" borderId="124" xfId="0" applyFont="1" applyFill="1" applyBorder="1" applyAlignment="1">
      <alignment horizontal="center" vertical="center" wrapText="1"/>
    </xf>
    <xf numFmtId="4" fontId="50" fillId="38" borderId="124" xfId="0" applyNumberFormat="1" applyFont="1" applyFill="1" applyBorder="1" applyAlignment="1">
      <alignment horizontal="center" vertical="center"/>
    </xf>
    <xf numFmtId="0" fontId="2" fillId="0" borderId="0" xfId="0" applyFont="1" applyFill="1" applyAlignment="1">
      <alignment horizontal="right"/>
    </xf>
    <xf numFmtId="4" fontId="50" fillId="0" borderId="124" xfId="0" applyNumberFormat="1" applyFont="1" applyFill="1" applyBorder="1" applyAlignment="1">
      <alignment horizontal="right" vertical="center"/>
    </xf>
    <xf numFmtId="0" fontId="0" fillId="0" borderId="0" xfId="0" applyFill="1" applyAlignment="1">
      <alignment horizontal="right"/>
    </xf>
    <xf numFmtId="4" fontId="50" fillId="0" borderId="101" xfId="243" applyNumberFormat="1" applyFont="1" applyBorder="1" applyAlignment="1">
      <alignment horizontal="center" vertical="center" wrapText="1"/>
    </xf>
    <xf numFmtId="0" fontId="50" fillId="38" borderId="124" xfId="0" applyFont="1" applyFill="1" applyBorder="1" applyAlignment="1">
      <alignment horizontal="center" vertical="center" wrapText="1"/>
    </xf>
    <xf numFmtId="2" fontId="50" fillId="0" borderId="124" xfId="1998" applyNumberFormat="1" applyFont="1" applyBorder="1" applyAlignment="1">
      <alignment horizontal="center" vertical="center"/>
    </xf>
    <xf numFmtId="0" fontId="50" fillId="38" borderId="124" xfId="0" applyFont="1" applyFill="1" applyBorder="1" applyAlignment="1">
      <alignment horizontal="center" vertical="center"/>
    </xf>
    <xf numFmtId="0" fontId="50" fillId="38" borderId="124" xfId="1994" applyFont="1" applyFill="1" applyBorder="1" applyAlignment="1">
      <alignment horizontal="center" vertical="top" wrapText="1"/>
    </xf>
    <xf numFmtId="0" fontId="47" fillId="0" borderId="124" xfId="0" applyFont="1" applyFill="1" applyBorder="1" applyAlignment="1">
      <alignment vertical="center" wrapText="1"/>
    </xf>
    <xf numFmtId="0" fontId="49" fillId="37" borderId="124" xfId="0" applyFont="1" applyFill="1" applyBorder="1" applyAlignment="1">
      <alignment vertical="center" wrapText="1"/>
    </xf>
    <xf numFmtId="0" fontId="49" fillId="34" borderId="124" xfId="0" applyFont="1" applyFill="1" applyBorder="1" applyAlignment="1">
      <alignment vertical="center" wrapText="1"/>
    </xf>
    <xf numFmtId="0" fontId="48" fillId="37" borderId="124" xfId="0" applyFont="1" applyFill="1" applyBorder="1" applyAlignment="1">
      <alignment vertical="center" wrapText="1"/>
    </xf>
    <xf numFmtId="0" fontId="48" fillId="34" borderId="124" xfId="0" applyFont="1" applyFill="1" applyBorder="1" applyAlignment="1">
      <alignment vertical="center" wrapText="1"/>
    </xf>
    <xf numFmtId="0" fontId="47" fillId="38" borderId="124" xfId="0" applyFont="1" applyFill="1" applyBorder="1" applyAlignment="1">
      <alignment horizontal="center" vertical="center"/>
    </xf>
    <xf numFmtId="0" fontId="47" fillId="38" borderId="124" xfId="0" applyFont="1" applyFill="1" applyBorder="1" applyAlignment="1">
      <alignment horizontal="center" vertical="center" wrapText="1"/>
    </xf>
    <xf numFmtId="0" fontId="50" fillId="38" borderId="124" xfId="5" applyFont="1" applyFill="1" applyBorder="1" applyAlignment="1">
      <alignment horizontal="center" vertical="top"/>
    </xf>
    <xf numFmtId="0" fontId="50" fillId="38" borderId="101" xfId="0" applyFont="1" applyFill="1" applyBorder="1" applyAlignment="1">
      <alignment horizontal="center" vertical="center"/>
    </xf>
    <xf numFmtId="0" fontId="50" fillId="38" borderId="101" xfId="0" applyFont="1" applyFill="1" applyBorder="1" applyAlignment="1">
      <alignment horizontal="center" vertical="center" wrapText="1"/>
    </xf>
    <xf numFmtId="0" fontId="50" fillId="38" borderId="101" xfId="243" applyFont="1" applyFill="1" applyBorder="1" applyAlignment="1">
      <alignment horizontal="center" vertical="center" wrapText="1"/>
    </xf>
    <xf numFmtId="0" fontId="50" fillId="38" borderId="110" xfId="1998" applyFont="1" applyFill="1" applyBorder="1" applyAlignment="1">
      <alignment horizontal="center" vertical="center"/>
    </xf>
    <xf numFmtId="0" fontId="50" fillId="38" borderId="110" xfId="1998" applyFont="1" applyFill="1" applyBorder="1" applyAlignment="1">
      <alignment horizontal="center" vertical="center" wrapText="1"/>
    </xf>
    <xf numFmtId="0" fontId="50" fillId="75" borderId="110" xfId="1998" applyFont="1" applyFill="1" applyBorder="1" applyAlignment="1">
      <alignment horizontal="center" vertical="center" wrapText="1"/>
    </xf>
    <xf numFmtId="49" fontId="50" fillId="38" borderId="110" xfId="1998" applyNumberFormat="1" applyFont="1" applyFill="1" applyBorder="1" applyAlignment="1">
      <alignment horizontal="center" vertical="center"/>
    </xf>
    <xf numFmtId="0" fontId="50" fillId="73" borderId="110" xfId="1998" applyFont="1" applyFill="1" applyBorder="1" applyAlignment="1">
      <alignment horizontal="left" vertical="center" wrapText="1"/>
    </xf>
    <xf numFmtId="0" fontId="50" fillId="38" borderId="76" xfId="1527" applyFont="1" applyFill="1" applyBorder="1" applyAlignment="1">
      <alignment horizontal="center" vertical="center" wrapText="1"/>
    </xf>
    <xf numFmtId="0" fontId="50" fillId="77" borderId="76" xfId="1527" applyFont="1" applyFill="1" applyBorder="1" applyAlignment="1">
      <alignment horizontal="center" vertical="center" wrapText="1"/>
    </xf>
    <xf numFmtId="0" fontId="50" fillId="38" borderId="76" xfId="243" applyFont="1" applyFill="1" applyBorder="1" applyAlignment="1">
      <alignment horizontal="center" vertical="center" wrapText="1"/>
    </xf>
    <xf numFmtId="0" fontId="50" fillId="38" borderId="124" xfId="243" applyFont="1" applyFill="1" applyBorder="1" applyAlignment="1">
      <alignment horizontal="center" vertical="center" wrapText="1"/>
    </xf>
    <xf numFmtId="0" fontId="50" fillId="38" borderId="124" xfId="1994" applyFont="1" applyFill="1" applyBorder="1" applyAlignment="1">
      <alignment horizontal="center" vertical="center" wrapText="1"/>
    </xf>
    <xf numFmtId="0" fontId="50" fillId="38" borderId="124" xfId="171" applyFont="1" applyFill="1" applyBorder="1" applyAlignment="1">
      <alignment horizontal="center" vertical="center" wrapText="1"/>
    </xf>
    <xf numFmtId="0" fontId="50" fillId="38" borderId="124" xfId="171" applyFont="1" applyFill="1" applyBorder="1" applyAlignment="1">
      <alignment horizontal="center"/>
    </xf>
    <xf numFmtId="0" fontId="50" fillId="38" borderId="124" xfId="171" applyFont="1" applyFill="1" applyBorder="1" applyAlignment="1">
      <alignment horizontal="center" vertical="center"/>
    </xf>
    <xf numFmtId="0" fontId="50" fillId="38" borderId="76" xfId="0" applyFont="1" applyFill="1" applyBorder="1" applyAlignment="1">
      <alignment horizontal="center" vertical="center"/>
    </xf>
    <xf numFmtId="0" fontId="50" fillId="75" borderId="76" xfId="1999" applyFont="1" applyFill="1" applyBorder="1" applyAlignment="1">
      <alignment horizontal="center" vertical="center" wrapText="1"/>
    </xf>
    <xf numFmtId="0" fontId="50" fillId="75" borderId="110" xfId="1999" applyFont="1" applyFill="1" applyBorder="1" applyAlignment="1">
      <alignment horizontal="center" vertical="center" wrapText="1"/>
    </xf>
    <xf numFmtId="0" fontId="50" fillId="38" borderId="110" xfId="1999" applyFont="1" applyFill="1" applyBorder="1" applyAlignment="1">
      <alignment horizontal="center" vertical="center" wrapText="1"/>
    </xf>
    <xf numFmtId="0" fontId="50" fillId="38" borderId="76" xfId="1999" applyFont="1" applyFill="1" applyBorder="1" applyAlignment="1">
      <alignment horizontal="center" vertical="center" wrapText="1"/>
    </xf>
    <xf numFmtId="0" fontId="50" fillId="38" borderId="124" xfId="0" applyFont="1" applyFill="1" applyBorder="1" applyAlignment="1">
      <alignment horizontal="center"/>
    </xf>
    <xf numFmtId="166" fontId="50" fillId="38" borderId="76" xfId="0" applyNumberFormat="1" applyFont="1" applyFill="1" applyBorder="1" applyAlignment="1">
      <alignment horizontal="center" vertical="center"/>
    </xf>
    <xf numFmtId="166" fontId="50" fillId="38" borderId="101" xfId="0" applyNumberFormat="1" applyFont="1" applyFill="1" applyBorder="1" applyAlignment="1">
      <alignment horizontal="center" vertical="center"/>
    </xf>
    <xf numFmtId="0" fontId="47" fillId="38" borderId="124" xfId="0" applyFont="1" applyFill="1" applyBorder="1" applyAlignment="1">
      <alignment wrapText="1"/>
    </xf>
    <xf numFmtId="4" fontId="50" fillId="38" borderId="124" xfId="0" applyNumberFormat="1" applyFont="1" applyFill="1" applyBorder="1" applyAlignment="1">
      <alignment vertical="center"/>
    </xf>
    <xf numFmtId="165" fontId="47" fillId="38" borderId="124" xfId="0" applyNumberFormat="1" applyFont="1" applyFill="1" applyBorder="1" applyAlignment="1">
      <alignment vertical="center"/>
    </xf>
    <xf numFmtId="0" fontId="48" fillId="0" borderId="121" xfId="0" applyFont="1" applyBorder="1" applyAlignment="1">
      <alignment horizontal="center" vertical="center"/>
    </xf>
    <xf numFmtId="0" fontId="48" fillId="0" borderId="122" xfId="0" applyFont="1" applyBorder="1" applyAlignment="1">
      <alignment horizontal="center" vertical="center"/>
    </xf>
    <xf numFmtId="0" fontId="48" fillId="0" borderId="123" xfId="0" applyFont="1" applyBorder="1" applyAlignment="1">
      <alignment horizontal="center" vertical="center"/>
    </xf>
    <xf numFmtId="0" fontId="47" fillId="0" borderId="0" xfId="0" applyFont="1" applyFill="1" applyBorder="1" applyAlignment="1">
      <alignment vertical="center"/>
    </xf>
    <xf numFmtId="0" fontId="55" fillId="0" borderId="9" xfId="0" applyFont="1" applyFill="1" applyBorder="1" applyAlignment="1">
      <alignment wrapText="1"/>
    </xf>
    <xf numFmtId="0" fontId="55" fillId="0" borderId="0" xfId="0" applyFont="1" applyFill="1" applyBorder="1" applyAlignment="1">
      <alignment wrapText="1"/>
    </xf>
    <xf numFmtId="0" fontId="47" fillId="0" borderId="0" xfId="0" applyFont="1" applyBorder="1" applyAlignment="1">
      <alignment horizontal="center"/>
    </xf>
    <xf numFmtId="0" fontId="47" fillId="0" borderId="0" xfId="0" applyFont="1" applyBorder="1" applyAlignment="1">
      <alignment horizontal="left" wrapText="1"/>
    </xf>
    <xf numFmtId="0" fontId="49" fillId="5" borderId="124" xfId="4" applyNumberFormat="1" applyFont="1" applyFill="1" applyBorder="1" applyAlignment="1" applyProtection="1">
      <alignment horizontal="left" vertical="center" wrapText="1"/>
      <protection locked="0"/>
    </xf>
    <xf numFmtId="0" fontId="49" fillId="0" borderId="121" xfId="0" applyFont="1" applyFill="1" applyBorder="1" applyAlignment="1">
      <alignment horizontal="right" vertical="center" wrapText="1"/>
    </xf>
    <xf numFmtId="0" fontId="49" fillId="0" borderId="125" xfId="0" applyFont="1" applyFill="1" applyBorder="1" applyAlignment="1">
      <alignment horizontal="right" vertical="center" wrapText="1"/>
    </xf>
    <xf numFmtId="0" fontId="49" fillId="0" borderId="126" xfId="0" applyFont="1" applyFill="1" applyBorder="1" applyAlignment="1">
      <alignment horizontal="right" vertical="center" wrapText="1"/>
    </xf>
    <xf numFmtId="0" fontId="49" fillId="5" borderId="101" xfId="4" applyNumberFormat="1" applyFont="1" applyFill="1" applyBorder="1" applyAlignment="1" applyProtection="1">
      <alignment horizontal="left" vertical="center" wrapText="1"/>
      <protection locked="0"/>
    </xf>
    <xf numFmtId="0" fontId="49" fillId="0" borderId="101" xfId="0" applyFont="1" applyFill="1" applyBorder="1" applyAlignment="1">
      <alignment horizontal="right" vertical="center" wrapText="1"/>
    </xf>
    <xf numFmtId="0" fontId="49" fillId="0" borderId="124" xfId="0" applyFont="1" applyBorder="1" applyAlignment="1">
      <alignment horizontal="right"/>
    </xf>
    <xf numFmtId="0" fontId="49" fillId="0" borderId="124" xfId="0" applyFont="1" applyFill="1" applyBorder="1" applyAlignment="1">
      <alignment horizontal="right"/>
    </xf>
    <xf numFmtId="0" fontId="49" fillId="65" borderId="113" xfId="0" applyFont="1" applyFill="1" applyBorder="1" applyAlignment="1">
      <alignment wrapText="1"/>
    </xf>
    <xf numFmtId="0" fontId="49" fillId="65" borderId="114" xfId="0" applyFont="1" applyFill="1" applyBorder="1" applyAlignment="1">
      <alignment wrapText="1"/>
    </xf>
    <xf numFmtId="0" fontId="49" fillId="65" borderId="115" xfId="0" applyFont="1" applyFill="1" applyBorder="1" applyAlignment="1">
      <alignment wrapText="1"/>
    </xf>
    <xf numFmtId="0" fontId="49" fillId="34" borderId="0" xfId="0" applyFont="1" applyFill="1" applyBorder="1" applyAlignment="1">
      <alignment vertical="center"/>
    </xf>
    <xf numFmtId="0" fontId="49" fillId="0" borderId="121" xfId="0" applyFont="1" applyBorder="1" applyAlignment="1">
      <alignment horizontal="right"/>
    </xf>
    <xf numFmtId="0" fontId="49" fillId="0" borderId="122" xfId="0" applyFont="1" applyBorder="1" applyAlignment="1">
      <alignment horizontal="right"/>
    </xf>
    <xf numFmtId="0" fontId="49" fillId="0" borderId="123" xfId="0" applyFont="1" applyBorder="1" applyAlignment="1">
      <alignment horizontal="right"/>
    </xf>
    <xf numFmtId="0" fontId="49" fillId="5" borderId="113" xfId="4" applyNumberFormat="1" applyFont="1" applyFill="1" applyBorder="1" applyAlignment="1" applyProtection="1">
      <alignment horizontal="left" vertical="center" wrapText="1"/>
      <protection locked="0"/>
    </xf>
    <xf numFmtId="0" fontId="49" fillId="5" borderId="114" xfId="4" applyNumberFormat="1" applyFont="1" applyFill="1" applyBorder="1" applyAlignment="1" applyProtection="1">
      <alignment horizontal="left" vertical="center" wrapText="1"/>
      <protection locked="0"/>
    </xf>
    <xf numFmtId="0" fontId="49" fillId="5" borderId="115" xfId="4" applyNumberFormat="1" applyFont="1" applyFill="1" applyBorder="1" applyAlignment="1" applyProtection="1">
      <alignment horizontal="left" vertical="center" wrapText="1"/>
      <protection locked="0"/>
    </xf>
    <xf numFmtId="0" fontId="49" fillId="0" borderId="107" xfId="0" applyFont="1" applyFill="1" applyBorder="1" applyAlignment="1">
      <alignment horizontal="right" vertical="center" wrapText="1"/>
    </xf>
    <xf numFmtId="0" fontId="49" fillId="0" borderId="108" xfId="0" applyFont="1" applyFill="1" applyBorder="1" applyAlignment="1">
      <alignment horizontal="right" vertical="center" wrapText="1"/>
    </xf>
    <xf numFmtId="0" fontId="49" fillId="0" borderId="109" xfId="0" applyFont="1" applyFill="1" applyBorder="1" applyAlignment="1">
      <alignment horizontal="right" vertical="center" wrapText="1"/>
    </xf>
    <xf numFmtId="0" fontId="49" fillId="0" borderId="113" xfId="0" applyFont="1" applyFill="1" applyBorder="1" applyAlignment="1">
      <alignment horizontal="right" vertical="center" wrapText="1"/>
    </xf>
    <xf numFmtId="0" fontId="49" fillId="0" borderId="114" xfId="0" applyFont="1" applyFill="1" applyBorder="1" applyAlignment="1">
      <alignment horizontal="right" vertical="center" wrapText="1"/>
    </xf>
    <xf numFmtId="0" fontId="49" fillId="0" borderId="115" xfId="0" applyFont="1" applyFill="1" applyBorder="1" applyAlignment="1">
      <alignment horizontal="right" vertical="center" wrapText="1"/>
    </xf>
    <xf numFmtId="4" fontId="49" fillId="25" borderId="124" xfId="171" applyNumberFormat="1" applyFont="1" applyFill="1" applyBorder="1" applyAlignment="1">
      <alignment horizontal="center" vertical="center"/>
    </xf>
    <xf numFmtId="0" fontId="49" fillId="67" borderId="124" xfId="1994" applyFont="1" applyFill="1" applyBorder="1" applyAlignment="1">
      <alignment horizontal="center" vertical="center" wrapText="1"/>
    </xf>
    <xf numFmtId="0" fontId="50" fillId="0" borderId="124" xfId="1994" applyFont="1" applyBorder="1" applyAlignment="1">
      <alignment vertical="center" wrapText="1"/>
    </xf>
    <xf numFmtId="0" fontId="50" fillId="0" borderId="124" xfId="1994" applyFont="1" applyBorder="1" applyAlignment="1">
      <alignment horizontal="center" vertical="center" wrapText="1"/>
    </xf>
    <xf numFmtId="179" fontId="49" fillId="67" borderId="124" xfId="1994" applyNumberFormat="1" applyFont="1" applyFill="1" applyBorder="1" applyAlignment="1">
      <alignment horizontal="center" vertical="center" wrapText="1"/>
    </xf>
    <xf numFmtId="179" fontId="50" fillId="0" borderId="124" xfId="1994" applyNumberFormat="1" applyFont="1" applyBorder="1" applyAlignment="1">
      <alignment horizontal="center" vertical="center" wrapText="1"/>
    </xf>
    <xf numFmtId="4" fontId="49" fillId="67" borderId="124" xfId="1994" applyNumberFormat="1" applyFont="1" applyFill="1" applyBorder="1" applyAlignment="1">
      <alignment horizontal="center" vertical="top" wrapText="1"/>
    </xf>
    <xf numFmtId="0" fontId="50" fillId="0" borderId="124" xfId="1994" applyFont="1" applyBorder="1" applyAlignment="1">
      <alignment vertical="top" wrapText="1"/>
    </xf>
    <xf numFmtId="0" fontId="49" fillId="5" borderId="107" xfId="4" applyNumberFormat="1" applyFont="1" applyFill="1" applyBorder="1" applyAlignment="1" applyProtection="1">
      <alignment horizontal="left" vertical="center" wrapText="1"/>
      <protection locked="0"/>
    </xf>
    <xf numFmtId="0" fontId="49" fillId="5" borderId="108" xfId="4" applyNumberFormat="1" applyFont="1" applyFill="1" applyBorder="1" applyAlignment="1" applyProtection="1">
      <alignment horizontal="left" vertical="center" wrapText="1"/>
      <protection locked="0"/>
    </xf>
    <xf numFmtId="0" fontId="49" fillId="5" borderId="109" xfId="4" applyNumberFormat="1" applyFont="1" applyFill="1" applyBorder="1" applyAlignment="1" applyProtection="1">
      <alignment horizontal="left" vertical="center" wrapText="1"/>
      <protection locked="0"/>
    </xf>
    <xf numFmtId="0" fontId="49" fillId="4" borderId="0" xfId="0" applyFont="1" applyFill="1" applyBorder="1" applyAlignment="1">
      <alignment horizontal="center" vertical="center"/>
    </xf>
    <xf numFmtId="0" fontId="49" fillId="0" borderId="111" xfId="1998" applyFont="1" applyBorder="1" applyAlignment="1">
      <alignment horizontal="right" vertical="center" wrapText="1"/>
    </xf>
    <xf numFmtId="0" fontId="50" fillId="0" borderId="120" xfId="1998" applyFont="1" applyBorder="1"/>
    <xf numFmtId="0" fontId="50" fillId="0" borderId="116" xfId="1998" applyFont="1" applyBorder="1"/>
    <xf numFmtId="4" fontId="49" fillId="5" borderId="101" xfId="4" applyNumberFormat="1" applyFont="1" applyFill="1" applyBorder="1" applyAlignment="1" applyProtection="1">
      <alignment horizontal="left" vertical="center" wrapText="1"/>
      <protection locked="0"/>
    </xf>
    <xf numFmtId="0" fontId="49" fillId="5" borderId="121" xfId="4" applyNumberFormat="1" applyFont="1" applyFill="1" applyBorder="1" applyAlignment="1" applyProtection="1">
      <alignment horizontal="center" vertical="center" wrapText="1"/>
      <protection locked="0"/>
    </xf>
    <xf numFmtId="0" fontId="49" fillId="5" borderId="125" xfId="4" applyNumberFormat="1" applyFont="1" applyFill="1" applyBorder="1" applyAlignment="1" applyProtection="1">
      <alignment horizontal="center" vertical="center" wrapText="1"/>
      <protection locked="0"/>
    </xf>
    <xf numFmtId="0" fontId="49" fillId="5" borderId="126" xfId="4" applyNumberFormat="1" applyFont="1" applyFill="1" applyBorder="1" applyAlignment="1" applyProtection="1">
      <alignment horizontal="center" vertical="center" wrapText="1"/>
      <protection locked="0"/>
    </xf>
    <xf numFmtId="4" fontId="49" fillId="5" borderId="76" xfId="4" applyNumberFormat="1" applyFont="1" applyFill="1" applyBorder="1" applyAlignment="1" applyProtection="1">
      <alignment horizontal="left" vertical="center" wrapText="1"/>
      <protection locked="0"/>
    </xf>
    <xf numFmtId="0" fontId="49" fillId="5" borderId="76" xfId="4" applyNumberFormat="1" applyFont="1" applyFill="1" applyBorder="1" applyAlignment="1" applyProtection="1">
      <alignment horizontal="left" vertical="center" wrapText="1"/>
      <protection locked="0"/>
    </xf>
    <xf numFmtId="0" fontId="49" fillId="0" borderId="76" xfId="0" applyFont="1" applyFill="1" applyBorder="1" applyAlignment="1">
      <alignment horizontal="right" vertical="center" wrapText="1"/>
    </xf>
    <xf numFmtId="0" fontId="49" fillId="0" borderId="12" xfId="0" applyFont="1" applyFill="1" applyBorder="1" applyAlignment="1">
      <alignment horizontal="center" vertical="center" wrapText="1"/>
    </xf>
    <xf numFmtId="0" fontId="49" fillId="0" borderId="7"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49" fillId="0" borderId="101" xfId="0" applyNumberFormat="1" applyFont="1" applyFill="1" applyBorder="1" applyAlignment="1">
      <alignment horizontal="left" vertical="center" wrapText="1"/>
    </xf>
    <xf numFmtId="0" fontId="49" fillId="65" borderId="2" xfId="0" applyFont="1" applyFill="1" applyBorder="1" applyAlignment="1">
      <alignment horizontal="center" vertical="center" wrapText="1"/>
    </xf>
    <xf numFmtId="0" fontId="49" fillId="65" borderId="101" xfId="0" applyNumberFormat="1" applyFont="1" applyFill="1" applyBorder="1" applyAlignment="1">
      <alignment horizontal="left" vertical="center" wrapText="1"/>
    </xf>
    <xf numFmtId="0" fontId="49" fillId="0" borderId="37" xfId="0" applyFont="1" applyFill="1" applyBorder="1" applyAlignment="1">
      <alignment horizontal="center" vertical="center" wrapText="1"/>
    </xf>
    <xf numFmtId="0" fontId="49" fillId="0" borderId="103" xfId="0" applyFont="1" applyFill="1" applyBorder="1" applyAlignment="1">
      <alignment horizontal="center" vertical="center" wrapText="1"/>
    </xf>
    <xf numFmtId="0" fontId="49" fillId="0" borderId="0" xfId="0" applyFont="1" applyBorder="1" applyAlignment="1">
      <alignment vertical="center" wrapText="1"/>
    </xf>
    <xf numFmtId="0" fontId="49" fillId="5" borderId="1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5" xfId="0" applyFont="1" applyFill="1" applyBorder="1" applyAlignment="1">
      <alignment horizontal="center" vertical="center" wrapText="1"/>
    </xf>
    <xf numFmtId="0" fontId="49" fillId="5" borderId="101" xfId="0" applyFont="1" applyFill="1" applyBorder="1" applyAlignment="1">
      <alignment horizontal="center" vertical="center" wrapText="1"/>
    </xf>
    <xf numFmtId="44" fontId="49" fillId="5" borderId="4" xfId="2" applyNumberFormat="1" applyFont="1" applyFill="1" applyBorder="1" applyAlignment="1">
      <alignment horizontal="center" vertical="center" wrapText="1"/>
    </xf>
    <xf numFmtId="44" fontId="49" fillId="5" borderId="102" xfId="2" applyNumberFormat="1" applyFont="1" applyFill="1" applyBorder="1" applyAlignment="1">
      <alignment horizontal="center" vertical="center" wrapText="1"/>
    </xf>
    <xf numFmtId="0" fontId="49" fillId="5" borderId="29" xfId="0" applyFont="1" applyFill="1" applyBorder="1" applyAlignment="1">
      <alignment horizontal="center" vertical="center" wrapText="1"/>
    </xf>
    <xf numFmtId="0" fontId="49" fillId="5" borderId="30" xfId="0" applyFont="1" applyFill="1" applyBorder="1" applyAlignment="1">
      <alignment horizontal="center" vertical="center" wrapText="1"/>
    </xf>
    <xf numFmtId="2" fontId="36" fillId="0" borderId="0" xfId="0" applyNumberFormat="1" applyFont="1" applyFill="1" applyBorder="1" applyAlignment="1">
      <alignment horizontal="center" vertical="center"/>
    </xf>
    <xf numFmtId="0" fontId="50" fillId="0" borderId="0" xfId="5" applyFont="1" applyBorder="1" applyAlignment="1">
      <alignment horizontal="center" vertical="center"/>
    </xf>
    <xf numFmtId="2" fontId="50" fillId="0" borderId="0" xfId="0" applyNumberFormat="1" applyFont="1" applyFill="1" applyBorder="1" applyAlignment="1">
      <alignment horizontal="center" vertical="center"/>
    </xf>
    <xf numFmtId="43" fontId="50" fillId="0" borderId="0" xfId="1" applyFont="1" applyFill="1" applyBorder="1" applyAlignment="1">
      <alignment horizontal="left" vertical="center" wrapText="1"/>
    </xf>
    <xf numFmtId="0" fontId="66" fillId="0" borderId="37" xfId="0" applyFont="1" applyBorder="1" applyAlignment="1">
      <alignment horizontal="center"/>
    </xf>
    <xf numFmtId="0" fontId="66" fillId="0" borderId="87" xfId="0" applyFont="1" applyBorder="1" applyAlignment="1">
      <alignment horizontal="center"/>
    </xf>
    <xf numFmtId="0" fontId="66" fillId="0" borderId="32" xfId="0" applyFont="1" applyBorder="1" applyAlignment="1">
      <alignment horizontal="center"/>
    </xf>
    <xf numFmtId="2" fontId="38" fillId="0" borderId="0" xfId="0" applyNumberFormat="1" applyFont="1" applyFill="1" applyBorder="1" applyAlignment="1">
      <alignment horizontal="center" vertical="center"/>
    </xf>
    <xf numFmtId="0" fontId="39" fillId="0" borderId="12" xfId="0" applyFont="1" applyBorder="1" applyAlignment="1">
      <alignment horizontal="center"/>
    </xf>
    <xf numFmtId="0" fontId="39" fillId="0" borderId="7" xfId="0" applyFont="1" applyBorder="1" applyAlignment="1">
      <alignment horizontal="center"/>
    </xf>
    <xf numFmtId="0" fontId="3" fillId="35" borderId="0" xfId="5" applyFont="1" applyFill="1" applyAlignment="1">
      <alignment horizontal="center"/>
    </xf>
    <xf numFmtId="0" fontId="4" fillId="0" borderId="0" xfId="5" applyAlignment="1">
      <alignment horizontal="left" wrapText="1"/>
    </xf>
    <xf numFmtId="0" fontId="50" fillId="0" borderId="0" xfId="5" applyFont="1" applyFill="1" applyBorder="1" applyAlignment="1">
      <alignment horizontal="left" wrapText="1"/>
    </xf>
  </cellXfs>
  <cellStyles count="2001">
    <cellStyle name="20% - Accent1" xfId="652" xr:uid="{00000000-0005-0000-0000-000000000000}"/>
    <cellStyle name="20% - Accent2" xfId="653" xr:uid="{00000000-0005-0000-0000-000001000000}"/>
    <cellStyle name="20% - Accent3" xfId="654" xr:uid="{00000000-0005-0000-0000-000002000000}"/>
    <cellStyle name="20% - Accent4" xfId="655" xr:uid="{00000000-0005-0000-0000-000003000000}"/>
    <cellStyle name="20% - Accent5" xfId="656" xr:uid="{00000000-0005-0000-0000-000004000000}"/>
    <cellStyle name="20% - Accent6" xfId="657" xr:uid="{00000000-0005-0000-0000-000005000000}"/>
    <cellStyle name="20% - Ênfase1 2" xfId="17" xr:uid="{00000000-0005-0000-0000-000006000000}"/>
    <cellStyle name="20% - Ênfase1 2 2" xfId="122" xr:uid="{00000000-0005-0000-0000-000007000000}"/>
    <cellStyle name="20% - Ênfase1 2 3" xfId="1578" xr:uid="{00000000-0005-0000-0000-000008000000}"/>
    <cellStyle name="20% - Ênfase1 3" xfId="658" xr:uid="{00000000-0005-0000-0000-000009000000}"/>
    <cellStyle name="20% - Ênfase2 2" xfId="18" xr:uid="{00000000-0005-0000-0000-00000A000000}"/>
    <cellStyle name="20% - Ênfase2 2 2" xfId="123" xr:uid="{00000000-0005-0000-0000-00000B000000}"/>
    <cellStyle name="20% - Ênfase2 3" xfId="659" xr:uid="{00000000-0005-0000-0000-00000C000000}"/>
    <cellStyle name="20% - Ênfase3 2" xfId="19" xr:uid="{00000000-0005-0000-0000-00000D000000}"/>
    <cellStyle name="20% - Ênfase3 2 2" xfId="124" xr:uid="{00000000-0005-0000-0000-00000E000000}"/>
    <cellStyle name="20% - Ênfase3 3" xfId="660" xr:uid="{00000000-0005-0000-0000-00000F000000}"/>
    <cellStyle name="20% - Ênfase4 2" xfId="20" xr:uid="{00000000-0005-0000-0000-000010000000}"/>
    <cellStyle name="20% - Ênfase4 2 2" xfId="125" xr:uid="{00000000-0005-0000-0000-000011000000}"/>
    <cellStyle name="20% - Ênfase4 3" xfId="661" xr:uid="{00000000-0005-0000-0000-000012000000}"/>
    <cellStyle name="20% - Ênfase5 2" xfId="22" xr:uid="{00000000-0005-0000-0000-000013000000}"/>
    <cellStyle name="20% - Ênfase5 2 2" xfId="126" xr:uid="{00000000-0005-0000-0000-000014000000}"/>
    <cellStyle name="20% - Ênfase5 3" xfId="23" xr:uid="{00000000-0005-0000-0000-000015000000}"/>
    <cellStyle name="20% - Ênfase5 4" xfId="21" xr:uid="{00000000-0005-0000-0000-000016000000}"/>
    <cellStyle name="20% - Ênfase5 5" xfId="662" xr:uid="{00000000-0005-0000-0000-000017000000}"/>
    <cellStyle name="20% - Ênfase6 2" xfId="24" xr:uid="{00000000-0005-0000-0000-000018000000}"/>
    <cellStyle name="20% - Ênfase6 2 2" xfId="1989" xr:uid="{00000000-0005-0000-0000-000019000000}"/>
    <cellStyle name="20% - Ênfase6 3" xfId="663" xr:uid="{00000000-0005-0000-0000-00001A000000}"/>
    <cellStyle name="40% - Accent1" xfId="664" xr:uid="{00000000-0005-0000-0000-00001B000000}"/>
    <cellStyle name="40% - Accent2" xfId="665" xr:uid="{00000000-0005-0000-0000-00001C000000}"/>
    <cellStyle name="40% - Accent3" xfId="666" xr:uid="{00000000-0005-0000-0000-00001D000000}"/>
    <cellStyle name="40% - Accent4" xfId="667" xr:uid="{00000000-0005-0000-0000-00001E000000}"/>
    <cellStyle name="40% - Accent5" xfId="668" xr:uid="{00000000-0005-0000-0000-00001F000000}"/>
    <cellStyle name="40% - Accent6" xfId="669" xr:uid="{00000000-0005-0000-0000-000020000000}"/>
    <cellStyle name="40% - Ênfase1 2" xfId="26" xr:uid="{00000000-0005-0000-0000-000021000000}"/>
    <cellStyle name="40% - Ênfase1 2 2" xfId="127" xr:uid="{00000000-0005-0000-0000-000022000000}"/>
    <cellStyle name="40% - Ênfase1 2 3" xfId="1993" xr:uid="{00000000-0005-0000-0000-000023000000}"/>
    <cellStyle name="40% - Ênfase1 3" xfId="27" xr:uid="{00000000-0005-0000-0000-000024000000}"/>
    <cellStyle name="40% - Ênfase1 4" xfId="25" xr:uid="{00000000-0005-0000-0000-000025000000}"/>
    <cellStyle name="40% - Ênfase1 5" xfId="670" xr:uid="{00000000-0005-0000-0000-000026000000}"/>
    <cellStyle name="40% - Ênfase2 2" xfId="28" xr:uid="{00000000-0005-0000-0000-000027000000}"/>
    <cellStyle name="40% - Ênfase2 3" xfId="671" xr:uid="{00000000-0005-0000-0000-000028000000}"/>
    <cellStyle name="40% - Ênfase3 2" xfId="30" xr:uid="{00000000-0005-0000-0000-000029000000}"/>
    <cellStyle name="40% - Ênfase3 2 2" xfId="128" xr:uid="{00000000-0005-0000-0000-00002A000000}"/>
    <cellStyle name="40% - Ênfase3 2 3" xfId="1575" xr:uid="{00000000-0005-0000-0000-00002B000000}"/>
    <cellStyle name="40% - Ênfase3 3" xfId="31" xr:uid="{00000000-0005-0000-0000-00002C000000}"/>
    <cellStyle name="40% - Ênfase3 4" xfId="29" xr:uid="{00000000-0005-0000-0000-00002D000000}"/>
    <cellStyle name="40% - Ênfase3 5" xfId="672" xr:uid="{00000000-0005-0000-0000-00002E000000}"/>
    <cellStyle name="40% - Ênfase4 2" xfId="32" xr:uid="{00000000-0005-0000-0000-00002F000000}"/>
    <cellStyle name="40% - Ênfase4 2 2" xfId="129" xr:uid="{00000000-0005-0000-0000-000030000000}"/>
    <cellStyle name="40% - Ênfase4 3" xfId="673" xr:uid="{00000000-0005-0000-0000-000031000000}"/>
    <cellStyle name="40% - Ênfase5 2" xfId="34" xr:uid="{00000000-0005-0000-0000-000032000000}"/>
    <cellStyle name="40% - Ênfase5 2 2" xfId="130" xr:uid="{00000000-0005-0000-0000-000033000000}"/>
    <cellStyle name="40% - Ênfase5 3" xfId="35" xr:uid="{00000000-0005-0000-0000-000034000000}"/>
    <cellStyle name="40% - Ênfase5 4" xfId="33" xr:uid="{00000000-0005-0000-0000-000035000000}"/>
    <cellStyle name="40% - Ênfase5 5" xfId="674" xr:uid="{00000000-0005-0000-0000-000036000000}"/>
    <cellStyle name="40% - Ênfase6 2" xfId="36" xr:uid="{00000000-0005-0000-0000-000037000000}"/>
    <cellStyle name="40% - Ênfase6 2 2" xfId="131" xr:uid="{00000000-0005-0000-0000-000038000000}"/>
    <cellStyle name="40% - Ênfase6 3" xfId="675" xr:uid="{00000000-0005-0000-0000-000039000000}"/>
    <cellStyle name="60% - Accent1" xfId="676" xr:uid="{00000000-0005-0000-0000-00003A000000}"/>
    <cellStyle name="60% - Accent2" xfId="677" xr:uid="{00000000-0005-0000-0000-00003B000000}"/>
    <cellStyle name="60% - Accent3" xfId="678" xr:uid="{00000000-0005-0000-0000-00003C000000}"/>
    <cellStyle name="60% - Accent4" xfId="679" xr:uid="{00000000-0005-0000-0000-00003D000000}"/>
    <cellStyle name="60% - Accent5" xfId="680" xr:uid="{00000000-0005-0000-0000-00003E000000}"/>
    <cellStyle name="60% - Accent6" xfId="681" xr:uid="{00000000-0005-0000-0000-00003F000000}"/>
    <cellStyle name="60% - Ênfase1 2" xfId="37" xr:uid="{00000000-0005-0000-0000-000040000000}"/>
    <cellStyle name="60% - Ênfase1 2 2" xfId="132" xr:uid="{00000000-0005-0000-0000-000041000000}"/>
    <cellStyle name="60% - Ênfase1 3" xfId="682" xr:uid="{00000000-0005-0000-0000-000042000000}"/>
    <cellStyle name="60% - Ênfase2 2" xfId="38" xr:uid="{00000000-0005-0000-0000-000043000000}"/>
    <cellStyle name="60% - Ênfase2 3" xfId="683" xr:uid="{00000000-0005-0000-0000-000044000000}"/>
    <cellStyle name="60% - Ênfase3 2" xfId="40" xr:uid="{00000000-0005-0000-0000-000045000000}"/>
    <cellStyle name="60% - Ênfase3 2 2" xfId="133" xr:uid="{00000000-0005-0000-0000-000046000000}"/>
    <cellStyle name="60% - Ênfase3 2 3" xfId="1576" xr:uid="{00000000-0005-0000-0000-000047000000}"/>
    <cellStyle name="60% - Ênfase3 3" xfId="41" xr:uid="{00000000-0005-0000-0000-000048000000}"/>
    <cellStyle name="60% - Ênfase3 4" xfId="39" xr:uid="{00000000-0005-0000-0000-000049000000}"/>
    <cellStyle name="60% - Ênfase3 5" xfId="684" xr:uid="{00000000-0005-0000-0000-00004A000000}"/>
    <cellStyle name="60% - Ênfase4 2" xfId="42" xr:uid="{00000000-0005-0000-0000-00004B000000}"/>
    <cellStyle name="60% - Ênfase4 2 2" xfId="134" xr:uid="{00000000-0005-0000-0000-00004C000000}"/>
    <cellStyle name="60% - Ênfase4 3" xfId="685" xr:uid="{00000000-0005-0000-0000-00004D000000}"/>
    <cellStyle name="60% - Ênfase5 2" xfId="43" xr:uid="{00000000-0005-0000-0000-00004E000000}"/>
    <cellStyle name="60% - Ênfase5 3" xfId="686" xr:uid="{00000000-0005-0000-0000-00004F000000}"/>
    <cellStyle name="60% - Ênfase6 2" xfId="44" xr:uid="{00000000-0005-0000-0000-000050000000}"/>
    <cellStyle name="60% - Ênfase6 2 2" xfId="135" xr:uid="{00000000-0005-0000-0000-000051000000}"/>
    <cellStyle name="60% - Ênfase6 3" xfId="687" xr:uid="{00000000-0005-0000-0000-000052000000}"/>
    <cellStyle name="Accent1" xfId="688" xr:uid="{00000000-0005-0000-0000-000053000000}"/>
    <cellStyle name="Accent2" xfId="689" xr:uid="{00000000-0005-0000-0000-000054000000}"/>
    <cellStyle name="Accent3" xfId="690" xr:uid="{00000000-0005-0000-0000-000055000000}"/>
    <cellStyle name="Accent4" xfId="691" xr:uid="{00000000-0005-0000-0000-000056000000}"/>
    <cellStyle name="Accent5" xfId="692" xr:uid="{00000000-0005-0000-0000-000057000000}"/>
    <cellStyle name="Accent6" xfId="693" xr:uid="{00000000-0005-0000-0000-000058000000}"/>
    <cellStyle name="Bad" xfId="694" xr:uid="{00000000-0005-0000-0000-000059000000}"/>
    <cellStyle name="Bom 2" xfId="45" xr:uid="{00000000-0005-0000-0000-00005A000000}"/>
    <cellStyle name="Bom 2 2" xfId="1966" xr:uid="{00000000-0005-0000-0000-00005B000000}"/>
    <cellStyle name="Bom 3" xfId="695" xr:uid="{00000000-0005-0000-0000-00005C000000}"/>
    <cellStyle name="Calculation" xfId="696" xr:uid="{00000000-0005-0000-0000-00005D000000}"/>
    <cellStyle name="Calculation 2" xfId="1207" xr:uid="{00000000-0005-0000-0000-00005E000000}"/>
    <cellStyle name="Calculation 2 2" xfId="1979" xr:uid="{00000000-0005-0000-0000-00005F000000}"/>
    <cellStyle name="Calculation 3" xfId="1518" xr:uid="{00000000-0005-0000-0000-000060000000}"/>
    <cellStyle name="Cálculo 2" xfId="47" xr:uid="{00000000-0005-0000-0000-000061000000}"/>
    <cellStyle name="Cálculo 2 10" xfId="482" xr:uid="{00000000-0005-0000-0000-000062000000}"/>
    <cellStyle name="Cálculo 2 10 2" xfId="997" xr:uid="{00000000-0005-0000-0000-000063000000}"/>
    <cellStyle name="Cálculo 2 10 2 2" xfId="1796" xr:uid="{00000000-0005-0000-0000-000064000000}"/>
    <cellStyle name="Cálculo 2 10 3" xfId="1348" xr:uid="{00000000-0005-0000-0000-000065000000}"/>
    <cellStyle name="Cálculo 2 11" xfId="365" xr:uid="{00000000-0005-0000-0000-000066000000}"/>
    <cellStyle name="Cálculo 2 11 2" xfId="880" xr:uid="{00000000-0005-0000-0000-000067000000}"/>
    <cellStyle name="Cálculo 2 11 2 2" xfId="1679" xr:uid="{00000000-0005-0000-0000-000068000000}"/>
    <cellStyle name="Cálculo 2 11 3" xfId="1231" xr:uid="{00000000-0005-0000-0000-000069000000}"/>
    <cellStyle name="Cálculo 2 12" xfId="512" xr:uid="{00000000-0005-0000-0000-00006A000000}"/>
    <cellStyle name="Cálculo 2 12 2" xfId="1027" xr:uid="{00000000-0005-0000-0000-00006B000000}"/>
    <cellStyle name="Cálculo 2 12 2 2" xfId="1826" xr:uid="{00000000-0005-0000-0000-00006C000000}"/>
    <cellStyle name="Cálculo 2 12 3" xfId="1378" xr:uid="{00000000-0005-0000-0000-00006D000000}"/>
    <cellStyle name="Cálculo 2 13" xfId="580" xr:uid="{00000000-0005-0000-0000-00006E000000}"/>
    <cellStyle name="Cálculo 2 13 2" xfId="1095" xr:uid="{00000000-0005-0000-0000-00006F000000}"/>
    <cellStyle name="Cálculo 2 13 2 2" xfId="1894" xr:uid="{00000000-0005-0000-0000-000070000000}"/>
    <cellStyle name="Cálculo 2 13 3" xfId="1446" xr:uid="{00000000-0005-0000-0000-000071000000}"/>
    <cellStyle name="Cálculo 2 14" xfId="604" xr:uid="{00000000-0005-0000-0000-000072000000}"/>
    <cellStyle name="Cálculo 2 14 2" xfId="1119" xr:uid="{00000000-0005-0000-0000-000073000000}"/>
    <cellStyle name="Cálculo 2 14 2 2" xfId="1918" xr:uid="{00000000-0005-0000-0000-000074000000}"/>
    <cellStyle name="Cálculo 2 14 3" xfId="1470" xr:uid="{00000000-0005-0000-0000-000075000000}"/>
    <cellStyle name="Cálculo 2 15" xfId="627" xr:uid="{00000000-0005-0000-0000-000076000000}"/>
    <cellStyle name="Cálculo 2 15 2" xfId="1142" xr:uid="{00000000-0005-0000-0000-000077000000}"/>
    <cellStyle name="Cálculo 2 15 2 2" xfId="1941" xr:uid="{00000000-0005-0000-0000-000078000000}"/>
    <cellStyle name="Cálculo 2 15 3" xfId="1493" xr:uid="{00000000-0005-0000-0000-000079000000}"/>
    <cellStyle name="Cálculo 2 16" xfId="547" xr:uid="{00000000-0005-0000-0000-00007A000000}"/>
    <cellStyle name="Cálculo 2 16 2" xfId="1062" xr:uid="{00000000-0005-0000-0000-00007B000000}"/>
    <cellStyle name="Cálculo 2 16 2 2" xfId="1861" xr:uid="{00000000-0005-0000-0000-00007C000000}"/>
    <cellStyle name="Cálculo 2 16 3" xfId="1413" xr:uid="{00000000-0005-0000-0000-00007D000000}"/>
    <cellStyle name="Cálculo 2 17" xfId="1991" xr:uid="{00000000-0005-0000-0000-00007E000000}"/>
    <cellStyle name="Cálculo 2 2" xfId="107" xr:uid="{00000000-0005-0000-0000-00007F000000}"/>
    <cellStyle name="Cálculo 2 2 10" xfId="595" xr:uid="{00000000-0005-0000-0000-000080000000}"/>
    <cellStyle name="Cálculo 2 2 10 2" xfId="1110" xr:uid="{00000000-0005-0000-0000-000081000000}"/>
    <cellStyle name="Cálculo 2 2 10 2 2" xfId="1909" xr:uid="{00000000-0005-0000-0000-000082000000}"/>
    <cellStyle name="Cálculo 2 2 10 3" xfId="1461" xr:uid="{00000000-0005-0000-0000-000083000000}"/>
    <cellStyle name="Cálculo 2 2 11" xfId="287" xr:uid="{00000000-0005-0000-0000-000084000000}"/>
    <cellStyle name="Cálculo 2 2 11 2" xfId="802" xr:uid="{00000000-0005-0000-0000-000085000000}"/>
    <cellStyle name="Cálculo 2 2 11 2 2" xfId="1607" xr:uid="{00000000-0005-0000-0000-000086000000}"/>
    <cellStyle name="Cálculo 2 2 11 3" xfId="1194" xr:uid="{00000000-0005-0000-0000-000087000000}"/>
    <cellStyle name="Cálculo 2 2 12" xfId="650" xr:uid="{00000000-0005-0000-0000-000088000000}"/>
    <cellStyle name="Cálculo 2 2 12 2" xfId="1165" xr:uid="{00000000-0005-0000-0000-000089000000}"/>
    <cellStyle name="Cálculo 2 2 12 2 2" xfId="1964" xr:uid="{00000000-0005-0000-0000-00008A000000}"/>
    <cellStyle name="Cálculo 2 2 12 3" xfId="1516" xr:uid="{00000000-0005-0000-0000-00008B000000}"/>
    <cellStyle name="Cálculo 2 2 2" xfId="265" xr:uid="{00000000-0005-0000-0000-00008C000000}"/>
    <cellStyle name="Cálculo 2 2 2 2" xfId="1205" xr:uid="{00000000-0005-0000-0000-00008D000000}"/>
    <cellStyle name="Cálculo 2 2 2 2 2" xfId="1977" xr:uid="{00000000-0005-0000-0000-00008E000000}"/>
    <cellStyle name="Cálculo 2 2 2 3" xfId="1553" xr:uid="{00000000-0005-0000-0000-00008F000000}"/>
    <cellStyle name="Cálculo 2 2 3" xfId="376" xr:uid="{00000000-0005-0000-0000-000090000000}"/>
    <cellStyle name="Cálculo 2 2 3 2" xfId="891" xr:uid="{00000000-0005-0000-0000-000091000000}"/>
    <cellStyle name="Cálculo 2 2 3 2 2" xfId="1690" xr:uid="{00000000-0005-0000-0000-000092000000}"/>
    <cellStyle name="Cálculo 2 2 3 3" xfId="1242" xr:uid="{00000000-0005-0000-0000-000093000000}"/>
    <cellStyle name="Cálculo 2 2 4" xfId="409" xr:uid="{00000000-0005-0000-0000-000094000000}"/>
    <cellStyle name="Cálculo 2 2 4 2" xfId="924" xr:uid="{00000000-0005-0000-0000-000095000000}"/>
    <cellStyle name="Cálculo 2 2 4 2 2" xfId="1723" xr:uid="{00000000-0005-0000-0000-000096000000}"/>
    <cellStyle name="Cálculo 2 2 4 3" xfId="1275" xr:uid="{00000000-0005-0000-0000-000097000000}"/>
    <cellStyle name="Cálculo 2 2 5" xfId="463" xr:uid="{00000000-0005-0000-0000-000098000000}"/>
    <cellStyle name="Cálculo 2 2 5 2" xfId="978" xr:uid="{00000000-0005-0000-0000-000099000000}"/>
    <cellStyle name="Cálculo 2 2 5 2 2" xfId="1777" xr:uid="{00000000-0005-0000-0000-00009A000000}"/>
    <cellStyle name="Cálculo 2 2 5 3" xfId="1329" xr:uid="{00000000-0005-0000-0000-00009B000000}"/>
    <cellStyle name="Cálculo 2 2 6" xfId="442" xr:uid="{00000000-0005-0000-0000-00009C000000}"/>
    <cellStyle name="Cálculo 2 2 6 2" xfId="957" xr:uid="{00000000-0005-0000-0000-00009D000000}"/>
    <cellStyle name="Cálculo 2 2 6 2 2" xfId="1756" xr:uid="{00000000-0005-0000-0000-00009E000000}"/>
    <cellStyle name="Cálculo 2 2 6 3" xfId="1308" xr:uid="{00000000-0005-0000-0000-00009F000000}"/>
    <cellStyle name="Cálculo 2 2 7" xfId="492" xr:uid="{00000000-0005-0000-0000-0000A0000000}"/>
    <cellStyle name="Cálculo 2 2 7 2" xfId="1007" xr:uid="{00000000-0005-0000-0000-0000A1000000}"/>
    <cellStyle name="Cálculo 2 2 7 2 2" xfId="1806" xr:uid="{00000000-0005-0000-0000-0000A2000000}"/>
    <cellStyle name="Cálculo 2 2 7 3" xfId="1358" xr:uid="{00000000-0005-0000-0000-0000A3000000}"/>
    <cellStyle name="Cálculo 2 2 8" xfId="560" xr:uid="{00000000-0005-0000-0000-0000A4000000}"/>
    <cellStyle name="Cálculo 2 2 8 2" xfId="1075" xr:uid="{00000000-0005-0000-0000-0000A5000000}"/>
    <cellStyle name="Cálculo 2 2 8 2 2" xfId="1874" xr:uid="{00000000-0005-0000-0000-0000A6000000}"/>
    <cellStyle name="Cálculo 2 2 8 3" xfId="1426" xr:uid="{00000000-0005-0000-0000-0000A7000000}"/>
    <cellStyle name="Cálculo 2 2 9" xfId="540" xr:uid="{00000000-0005-0000-0000-0000A8000000}"/>
    <cellStyle name="Cálculo 2 2 9 2" xfId="1055" xr:uid="{00000000-0005-0000-0000-0000A9000000}"/>
    <cellStyle name="Cálculo 2 2 9 2 2" xfId="1854" xr:uid="{00000000-0005-0000-0000-0000AA000000}"/>
    <cellStyle name="Cálculo 2 2 9 3" xfId="1406" xr:uid="{00000000-0005-0000-0000-0000AB000000}"/>
    <cellStyle name="Cálculo 2 3" xfId="111" xr:uid="{00000000-0005-0000-0000-0000AC000000}"/>
    <cellStyle name="Cálculo 2 3 10" xfId="521" xr:uid="{00000000-0005-0000-0000-0000AD000000}"/>
    <cellStyle name="Cálculo 2 3 10 2" xfId="1036" xr:uid="{00000000-0005-0000-0000-0000AE000000}"/>
    <cellStyle name="Cálculo 2 3 10 2 2" xfId="1835" xr:uid="{00000000-0005-0000-0000-0000AF000000}"/>
    <cellStyle name="Cálculo 2 3 10 3" xfId="1387" xr:uid="{00000000-0005-0000-0000-0000B0000000}"/>
    <cellStyle name="Cálculo 2 3 11" xfId="608" xr:uid="{00000000-0005-0000-0000-0000B1000000}"/>
    <cellStyle name="Cálculo 2 3 11 2" xfId="1123" xr:uid="{00000000-0005-0000-0000-0000B2000000}"/>
    <cellStyle name="Cálculo 2 3 11 2 2" xfId="1922" xr:uid="{00000000-0005-0000-0000-0000B3000000}"/>
    <cellStyle name="Cálculo 2 3 11 3" xfId="1474" xr:uid="{00000000-0005-0000-0000-0000B4000000}"/>
    <cellStyle name="Cálculo 2 3 12" xfId="651" xr:uid="{00000000-0005-0000-0000-0000B5000000}"/>
    <cellStyle name="Cálculo 2 3 12 2" xfId="1166" xr:uid="{00000000-0005-0000-0000-0000B6000000}"/>
    <cellStyle name="Cálculo 2 3 12 2 2" xfId="1965" xr:uid="{00000000-0005-0000-0000-0000B7000000}"/>
    <cellStyle name="Cálculo 2 3 12 3" xfId="1517" xr:uid="{00000000-0005-0000-0000-0000B8000000}"/>
    <cellStyle name="Cálculo 2 3 2" xfId="269" xr:uid="{00000000-0005-0000-0000-0000B9000000}"/>
    <cellStyle name="Cálculo 2 3 2 2" xfId="1201" xr:uid="{00000000-0005-0000-0000-0000BA000000}"/>
    <cellStyle name="Cálculo 2 3 2 2 2" xfId="1973" xr:uid="{00000000-0005-0000-0000-0000BB000000}"/>
    <cellStyle name="Cálculo 2 3 2 3" xfId="1557" xr:uid="{00000000-0005-0000-0000-0000BC000000}"/>
    <cellStyle name="Cálculo 2 3 3" xfId="380" xr:uid="{00000000-0005-0000-0000-0000BD000000}"/>
    <cellStyle name="Cálculo 2 3 3 2" xfId="895" xr:uid="{00000000-0005-0000-0000-0000BE000000}"/>
    <cellStyle name="Cálculo 2 3 3 2 2" xfId="1694" xr:uid="{00000000-0005-0000-0000-0000BF000000}"/>
    <cellStyle name="Cálculo 2 3 3 3" xfId="1246" xr:uid="{00000000-0005-0000-0000-0000C0000000}"/>
    <cellStyle name="Cálculo 2 3 4" xfId="413" xr:uid="{00000000-0005-0000-0000-0000C1000000}"/>
    <cellStyle name="Cálculo 2 3 4 2" xfId="928" xr:uid="{00000000-0005-0000-0000-0000C2000000}"/>
    <cellStyle name="Cálculo 2 3 4 2 2" xfId="1727" xr:uid="{00000000-0005-0000-0000-0000C3000000}"/>
    <cellStyle name="Cálculo 2 3 4 3" xfId="1279" xr:uid="{00000000-0005-0000-0000-0000C4000000}"/>
    <cellStyle name="Cálculo 2 3 5" xfId="467" xr:uid="{00000000-0005-0000-0000-0000C5000000}"/>
    <cellStyle name="Cálculo 2 3 5 2" xfId="982" xr:uid="{00000000-0005-0000-0000-0000C6000000}"/>
    <cellStyle name="Cálculo 2 3 5 2 2" xfId="1781" xr:uid="{00000000-0005-0000-0000-0000C7000000}"/>
    <cellStyle name="Cálculo 2 3 5 3" xfId="1333" xr:uid="{00000000-0005-0000-0000-0000C8000000}"/>
    <cellStyle name="Cálculo 2 3 6" xfId="393" xr:uid="{00000000-0005-0000-0000-0000C9000000}"/>
    <cellStyle name="Cálculo 2 3 6 2" xfId="908" xr:uid="{00000000-0005-0000-0000-0000CA000000}"/>
    <cellStyle name="Cálculo 2 3 6 2 2" xfId="1707" xr:uid="{00000000-0005-0000-0000-0000CB000000}"/>
    <cellStyle name="Cálculo 2 3 6 3" xfId="1259" xr:uid="{00000000-0005-0000-0000-0000CC000000}"/>
    <cellStyle name="Cálculo 2 3 7" xfId="496" xr:uid="{00000000-0005-0000-0000-0000CD000000}"/>
    <cellStyle name="Cálculo 2 3 7 2" xfId="1011" xr:uid="{00000000-0005-0000-0000-0000CE000000}"/>
    <cellStyle name="Cálculo 2 3 7 2 2" xfId="1810" xr:uid="{00000000-0005-0000-0000-0000CF000000}"/>
    <cellStyle name="Cálculo 2 3 7 3" xfId="1362" xr:uid="{00000000-0005-0000-0000-0000D0000000}"/>
    <cellStyle name="Cálculo 2 3 8" xfId="564" xr:uid="{00000000-0005-0000-0000-0000D1000000}"/>
    <cellStyle name="Cálculo 2 3 8 2" xfId="1079" xr:uid="{00000000-0005-0000-0000-0000D2000000}"/>
    <cellStyle name="Cálculo 2 3 8 2 2" xfId="1878" xr:uid="{00000000-0005-0000-0000-0000D3000000}"/>
    <cellStyle name="Cálculo 2 3 8 3" xfId="1430" xr:uid="{00000000-0005-0000-0000-0000D4000000}"/>
    <cellStyle name="Cálculo 2 3 9" xfId="320" xr:uid="{00000000-0005-0000-0000-0000D5000000}"/>
    <cellStyle name="Cálculo 2 3 9 2" xfId="835" xr:uid="{00000000-0005-0000-0000-0000D6000000}"/>
    <cellStyle name="Cálculo 2 3 9 2 2" xfId="1639" xr:uid="{00000000-0005-0000-0000-0000D7000000}"/>
    <cellStyle name="Cálculo 2 3 9 3" xfId="1181" xr:uid="{00000000-0005-0000-0000-0000D8000000}"/>
    <cellStyle name="Cálculo 2 4" xfId="103" xr:uid="{00000000-0005-0000-0000-0000D9000000}"/>
    <cellStyle name="Cálculo 2 4 10" xfId="349" xr:uid="{00000000-0005-0000-0000-0000DA000000}"/>
    <cellStyle name="Cálculo 2 4 10 2" xfId="864" xr:uid="{00000000-0005-0000-0000-0000DB000000}"/>
    <cellStyle name="Cálculo 2 4 10 2 2" xfId="1665" xr:uid="{00000000-0005-0000-0000-0000DC000000}"/>
    <cellStyle name="Cálculo 2 4 10 3" xfId="1167" xr:uid="{00000000-0005-0000-0000-0000DD000000}"/>
    <cellStyle name="Cálculo 2 4 11" xfId="603" xr:uid="{00000000-0005-0000-0000-0000DE000000}"/>
    <cellStyle name="Cálculo 2 4 11 2" xfId="1118" xr:uid="{00000000-0005-0000-0000-0000DF000000}"/>
    <cellStyle name="Cálculo 2 4 11 2 2" xfId="1917" xr:uid="{00000000-0005-0000-0000-0000E0000000}"/>
    <cellStyle name="Cálculo 2 4 11 3" xfId="1469" xr:uid="{00000000-0005-0000-0000-0000E1000000}"/>
    <cellStyle name="Cálculo 2 4 12" xfId="614" xr:uid="{00000000-0005-0000-0000-0000E2000000}"/>
    <cellStyle name="Cálculo 2 4 12 2" xfId="1129" xr:uid="{00000000-0005-0000-0000-0000E3000000}"/>
    <cellStyle name="Cálculo 2 4 12 2 2" xfId="1928" xr:uid="{00000000-0005-0000-0000-0000E4000000}"/>
    <cellStyle name="Cálculo 2 4 12 3" xfId="1480" xr:uid="{00000000-0005-0000-0000-0000E5000000}"/>
    <cellStyle name="Cálculo 2 4 2" xfId="261" xr:uid="{00000000-0005-0000-0000-0000E6000000}"/>
    <cellStyle name="Cálculo 2 4 2 2" xfId="772" xr:uid="{00000000-0005-0000-0000-0000E7000000}"/>
    <cellStyle name="Cálculo 2 4 2 2 2" xfId="1591" xr:uid="{00000000-0005-0000-0000-0000E8000000}"/>
    <cellStyle name="Cálculo 2 4 2 3" xfId="1549" xr:uid="{00000000-0005-0000-0000-0000E9000000}"/>
    <cellStyle name="Cálculo 2 4 3" xfId="295" xr:uid="{00000000-0005-0000-0000-0000EA000000}"/>
    <cellStyle name="Cálculo 2 4 3 2" xfId="810" xr:uid="{00000000-0005-0000-0000-0000EB000000}"/>
    <cellStyle name="Cálculo 2 4 3 2 2" xfId="1614" xr:uid="{00000000-0005-0000-0000-0000EC000000}"/>
    <cellStyle name="Cálculo 2 4 3 3" xfId="1189" xr:uid="{00000000-0005-0000-0000-0000ED000000}"/>
    <cellStyle name="Cálculo 2 4 4" xfId="405" xr:uid="{00000000-0005-0000-0000-0000EE000000}"/>
    <cellStyle name="Cálculo 2 4 4 2" xfId="920" xr:uid="{00000000-0005-0000-0000-0000EF000000}"/>
    <cellStyle name="Cálculo 2 4 4 2 2" xfId="1719" xr:uid="{00000000-0005-0000-0000-0000F0000000}"/>
    <cellStyle name="Cálculo 2 4 4 3" xfId="1271" xr:uid="{00000000-0005-0000-0000-0000F1000000}"/>
    <cellStyle name="Cálculo 2 4 5" xfId="459" xr:uid="{00000000-0005-0000-0000-0000F2000000}"/>
    <cellStyle name="Cálculo 2 4 5 2" xfId="974" xr:uid="{00000000-0005-0000-0000-0000F3000000}"/>
    <cellStyle name="Cálculo 2 4 5 2 2" xfId="1773" xr:uid="{00000000-0005-0000-0000-0000F4000000}"/>
    <cellStyle name="Cálculo 2 4 5 3" xfId="1325" xr:uid="{00000000-0005-0000-0000-0000F5000000}"/>
    <cellStyle name="Cálculo 2 4 6" xfId="425" xr:uid="{00000000-0005-0000-0000-0000F6000000}"/>
    <cellStyle name="Cálculo 2 4 6 2" xfId="940" xr:uid="{00000000-0005-0000-0000-0000F7000000}"/>
    <cellStyle name="Cálculo 2 4 6 2 2" xfId="1739" xr:uid="{00000000-0005-0000-0000-0000F8000000}"/>
    <cellStyle name="Cálculo 2 4 6 3" xfId="1291" xr:uid="{00000000-0005-0000-0000-0000F9000000}"/>
    <cellStyle name="Cálculo 2 4 7" xfId="292" xr:uid="{00000000-0005-0000-0000-0000FA000000}"/>
    <cellStyle name="Cálculo 2 4 7 2" xfId="807" xr:uid="{00000000-0005-0000-0000-0000FB000000}"/>
    <cellStyle name="Cálculo 2 4 7 2 2" xfId="1612" xr:uid="{00000000-0005-0000-0000-0000FC000000}"/>
    <cellStyle name="Cálculo 2 4 7 3" xfId="1191" xr:uid="{00000000-0005-0000-0000-0000FD000000}"/>
    <cellStyle name="Cálculo 2 4 8" xfId="556" xr:uid="{00000000-0005-0000-0000-0000FE000000}"/>
    <cellStyle name="Cálculo 2 4 8 2" xfId="1071" xr:uid="{00000000-0005-0000-0000-0000FF000000}"/>
    <cellStyle name="Cálculo 2 4 8 2 2" xfId="1870" xr:uid="{00000000-0005-0000-0000-000000010000}"/>
    <cellStyle name="Cálculo 2 4 8 3" xfId="1422" xr:uid="{00000000-0005-0000-0000-000001010000}"/>
    <cellStyle name="Cálculo 2 4 9" xfId="361" xr:uid="{00000000-0005-0000-0000-000002010000}"/>
    <cellStyle name="Cálculo 2 4 9 2" xfId="876" xr:uid="{00000000-0005-0000-0000-000003010000}"/>
    <cellStyle name="Cálculo 2 4 9 2 2" xfId="1675" xr:uid="{00000000-0005-0000-0000-000004010000}"/>
    <cellStyle name="Cálculo 2 4 9 3" xfId="1227" xr:uid="{00000000-0005-0000-0000-000005010000}"/>
    <cellStyle name="Cálculo 2 5" xfId="136" xr:uid="{00000000-0005-0000-0000-000006010000}"/>
    <cellStyle name="Cálculo 2 5 2" xfId="280" xr:uid="{00000000-0005-0000-0000-000007010000}"/>
    <cellStyle name="Cálculo 2 5 2 2" xfId="1195" xr:uid="{00000000-0005-0000-0000-000008010000}"/>
    <cellStyle name="Cálculo 2 5 2 2 2" xfId="1967" xr:uid="{00000000-0005-0000-0000-000009010000}"/>
    <cellStyle name="Cálculo 2 5 2 3" xfId="1568" xr:uid="{00000000-0005-0000-0000-00000A010000}"/>
    <cellStyle name="Cálculo 2 5 3" xfId="791" xr:uid="{00000000-0005-0000-0000-00000B010000}"/>
    <cellStyle name="Cálculo 2 5 3 2" xfId="1599" xr:uid="{00000000-0005-0000-0000-00000C010000}"/>
    <cellStyle name="Cálculo 2 5 4" xfId="1529" xr:uid="{00000000-0005-0000-0000-00000D010000}"/>
    <cellStyle name="Cálculo 2 6" xfId="245" xr:uid="{00000000-0005-0000-0000-00000E010000}"/>
    <cellStyle name="Cálculo 2 6 2" xfId="793" xr:uid="{00000000-0005-0000-0000-00000F010000}"/>
    <cellStyle name="Cálculo 2 6 2 2" xfId="1600" xr:uid="{00000000-0005-0000-0000-000010010000}"/>
    <cellStyle name="Cálculo 2 6 3" xfId="1533" xr:uid="{00000000-0005-0000-0000-000011010000}"/>
    <cellStyle name="Cálculo 2 7" xfId="330" xr:uid="{00000000-0005-0000-0000-000012010000}"/>
    <cellStyle name="Cálculo 2 7 2" xfId="845" xr:uid="{00000000-0005-0000-0000-000013010000}"/>
    <cellStyle name="Cálculo 2 7 2 2" xfId="1649" xr:uid="{00000000-0005-0000-0000-000014010000}"/>
    <cellStyle name="Cálculo 2 7 3" xfId="779" xr:uid="{00000000-0005-0000-0000-000015010000}"/>
    <cellStyle name="Cálculo 2 8" xfId="303" xr:uid="{00000000-0005-0000-0000-000016010000}"/>
    <cellStyle name="Cálculo 2 8 2" xfId="818" xr:uid="{00000000-0005-0000-0000-000017010000}"/>
    <cellStyle name="Cálculo 2 8 2 2" xfId="1622" xr:uid="{00000000-0005-0000-0000-000018010000}"/>
    <cellStyle name="Cálculo 2 8 3" xfId="757" xr:uid="{00000000-0005-0000-0000-000019010000}"/>
    <cellStyle name="Cálculo 2 9" xfId="340" xr:uid="{00000000-0005-0000-0000-00001A010000}"/>
    <cellStyle name="Cálculo 2 9 2" xfId="855" xr:uid="{00000000-0005-0000-0000-00001B010000}"/>
    <cellStyle name="Cálculo 2 9 2 2" xfId="1659" xr:uid="{00000000-0005-0000-0000-00001C010000}"/>
    <cellStyle name="Cálculo 2 9 3" xfId="741" xr:uid="{00000000-0005-0000-0000-00001D010000}"/>
    <cellStyle name="Cálculo 3" xfId="48" xr:uid="{00000000-0005-0000-0000-00001E010000}"/>
    <cellStyle name="Cálculo 3 10" xfId="306" xr:uid="{00000000-0005-0000-0000-00001F010000}"/>
    <cellStyle name="Cálculo 3 10 2" xfId="821" xr:uid="{00000000-0005-0000-0000-000020010000}"/>
    <cellStyle name="Cálculo 3 10 2 2" xfId="1625" xr:uid="{00000000-0005-0000-0000-000021010000}"/>
    <cellStyle name="Cálculo 3 10 3" xfId="755" xr:uid="{00000000-0005-0000-0000-000022010000}"/>
    <cellStyle name="Cálculo 3 11" xfId="438" xr:uid="{00000000-0005-0000-0000-000023010000}"/>
    <cellStyle name="Cálculo 3 11 2" xfId="953" xr:uid="{00000000-0005-0000-0000-000024010000}"/>
    <cellStyle name="Cálculo 3 11 2 2" xfId="1752" xr:uid="{00000000-0005-0000-0000-000025010000}"/>
    <cellStyle name="Cálculo 3 11 3" xfId="1304" xr:uid="{00000000-0005-0000-0000-000026010000}"/>
    <cellStyle name="Cálculo 3 12" xfId="578" xr:uid="{00000000-0005-0000-0000-000027010000}"/>
    <cellStyle name="Cálculo 3 12 2" xfId="1093" xr:uid="{00000000-0005-0000-0000-000028010000}"/>
    <cellStyle name="Cálculo 3 12 2 2" xfId="1892" xr:uid="{00000000-0005-0000-0000-000029010000}"/>
    <cellStyle name="Cálculo 3 12 3" xfId="1444" xr:uid="{00000000-0005-0000-0000-00002A010000}"/>
    <cellStyle name="Cálculo 3 13" xfId="602" xr:uid="{00000000-0005-0000-0000-00002B010000}"/>
    <cellStyle name="Cálculo 3 13 2" xfId="1117" xr:uid="{00000000-0005-0000-0000-00002C010000}"/>
    <cellStyle name="Cálculo 3 13 2 2" xfId="1916" xr:uid="{00000000-0005-0000-0000-00002D010000}"/>
    <cellStyle name="Cálculo 3 13 3" xfId="1468" xr:uid="{00000000-0005-0000-0000-00002E010000}"/>
    <cellStyle name="Cálculo 3 14" xfId="617" xr:uid="{00000000-0005-0000-0000-00002F010000}"/>
    <cellStyle name="Cálculo 3 14 2" xfId="1132" xr:uid="{00000000-0005-0000-0000-000030010000}"/>
    <cellStyle name="Cálculo 3 14 2 2" xfId="1931" xr:uid="{00000000-0005-0000-0000-000031010000}"/>
    <cellStyle name="Cálculo 3 14 3" xfId="1483" xr:uid="{00000000-0005-0000-0000-000032010000}"/>
    <cellStyle name="Cálculo 3 15" xfId="645" xr:uid="{00000000-0005-0000-0000-000033010000}"/>
    <cellStyle name="Cálculo 3 15 2" xfId="1160" xr:uid="{00000000-0005-0000-0000-000034010000}"/>
    <cellStyle name="Cálculo 3 15 2 2" xfId="1959" xr:uid="{00000000-0005-0000-0000-000035010000}"/>
    <cellStyle name="Cálculo 3 15 3" xfId="1511" xr:uid="{00000000-0005-0000-0000-000036010000}"/>
    <cellStyle name="Cálculo 3 2" xfId="108" xr:uid="{00000000-0005-0000-0000-000037010000}"/>
    <cellStyle name="Cálculo 3 2 10" xfId="535" xr:uid="{00000000-0005-0000-0000-000038010000}"/>
    <cellStyle name="Cálculo 3 2 10 2" xfId="1050" xr:uid="{00000000-0005-0000-0000-000039010000}"/>
    <cellStyle name="Cálculo 3 2 10 2 2" xfId="1849" xr:uid="{00000000-0005-0000-0000-00003A010000}"/>
    <cellStyle name="Cálculo 3 2 10 3" xfId="1401" xr:uid="{00000000-0005-0000-0000-00003B010000}"/>
    <cellStyle name="Cálculo 3 2 11" xfId="621" xr:uid="{00000000-0005-0000-0000-00003C010000}"/>
    <cellStyle name="Cálculo 3 2 11 2" xfId="1136" xr:uid="{00000000-0005-0000-0000-00003D010000}"/>
    <cellStyle name="Cálculo 3 2 11 2 2" xfId="1935" xr:uid="{00000000-0005-0000-0000-00003E010000}"/>
    <cellStyle name="Cálculo 3 2 11 3" xfId="1487" xr:uid="{00000000-0005-0000-0000-00003F010000}"/>
    <cellStyle name="Cálculo 3 2 12" xfId="609" xr:uid="{00000000-0005-0000-0000-000040010000}"/>
    <cellStyle name="Cálculo 3 2 12 2" xfId="1124" xr:uid="{00000000-0005-0000-0000-000041010000}"/>
    <cellStyle name="Cálculo 3 2 12 2 2" xfId="1923" xr:uid="{00000000-0005-0000-0000-000042010000}"/>
    <cellStyle name="Cálculo 3 2 12 3" xfId="1475" xr:uid="{00000000-0005-0000-0000-000043010000}"/>
    <cellStyle name="Cálculo 3 2 2" xfId="266" xr:uid="{00000000-0005-0000-0000-000044010000}"/>
    <cellStyle name="Cálculo 3 2 2 2" xfId="1204" xr:uid="{00000000-0005-0000-0000-000045010000}"/>
    <cellStyle name="Cálculo 3 2 2 2 2" xfId="1976" xr:uid="{00000000-0005-0000-0000-000046010000}"/>
    <cellStyle name="Cálculo 3 2 2 3" xfId="1554" xr:uid="{00000000-0005-0000-0000-000047010000}"/>
    <cellStyle name="Cálculo 3 2 3" xfId="377" xr:uid="{00000000-0005-0000-0000-000048010000}"/>
    <cellStyle name="Cálculo 3 2 3 2" xfId="892" xr:uid="{00000000-0005-0000-0000-000049010000}"/>
    <cellStyle name="Cálculo 3 2 3 2 2" xfId="1691" xr:uid="{00000000-0005-0000-0000-00004A010000}"/>
    <cellStyle name="Cálculo 3 2 3 3" xfId="1243" xr:uid="{00000000-0005-0000-0000-00004B010000}"/>
    <cellStyle name="Cálculo 3 2 4" xfId="410" xr:uid="{00000000-0005-0000-0000-00004C010000}"/>
    <cellStyle name="Cálculo 3 2 4 2" xfId="925" xr:uid="{00000000-0005-0000-0000-00004D010000}"/>
    <cellStyle name="Cálculo 3 2 4 2 2" xfId="1724" xr:uid="{00000000-0005-0000-0000-00004E010000}"/>
    <cellStyle name="Cálculo 3 2 4 3" xfId="1276" xr:uid="{00000000-0005-0000-0000-00004F010000}"/>
    <cellStyle name="Cálculo 3 2 5" xfId="464" xr:uid="{00000000-0005-0000-0000-000050010000}"/>
    <cellStyle name="Cálculo 3 2 5 2" xfId="979" xr:uid="{00000000-0005-0000-0000-000051010000}"/>
    <cellStyle name="Cálculo 3 2 5 2 2" xfId="1778" xr:uid="{00000000-0005-0000-0000-000052010000}"/>
    <cellStyle name="Cálculo 3 2 5 3" xfId="1330" xr:uid="{00000000-0005-0000-0000-000053010000}"/>
    <cellStyle name="Cálculo 3 2 6" xfId="314" xr:uid="{00000000-0005-0000-0000-000054010000}"/>
    <cellStyle name="Cálculo 3 2 6 2" xfId="829" xr:uid="{00000000-0005-0000-0000-000055010000}"/>
    <cellStyle name="Cálculo 3 2 6 2 2" xfId="1633" xr:uid="{00000000-0005-0000-0000-000056010000}"/>
    <cellStyle name="Cálculo 3 2 6 3" xfId="1183" xr:uid="{00000000-0005-0000-0000-000057010000}"/>
    <cellStyle name="Cálculo 3 2 7" xfId="328" xr:uid="{00000000-0005-0000-0000-000058010000}"/>
    <cellStyle name="Cálculo 3 2 7 2" xfId="843" xr:uid="{00000000-0005-0000-0000-000059010000}"/>
    <cellStyle name="Cálculo 3 2 7 2 2" xfId="1647" xr:uid="{00000000-0005-0000-0000-00005A010000}"/>
    <cellStyle name="Cálculo 3 2 7 3" xfId="744" xr:uid="{00000000-0005-0000-0000-00005B010000}"/>
    <cellStyle name="Cálculo 3 2 8" xfId="561" xr:uid="{00000000-0005-0000-0000-00005C010000}"/>
    <cellStyle name="Cálculo 3 2 8 2" xfId="1076" xr:uid="{00000000-0005-0000-0000-00005D010000}"/>
    <cellStyle name="Cálculo 3 2 8 2 2" xfId="1875" xr:uid="{00000000-0005-0000-0000-00005E010000}"/>
    <cellStyle name="Cálculo 3 2 8 3" xfId="1427" xr:uid="{00000000-0005-0000-0000-00005F010000}"/>
    <cellStyle name="Cálculo 3 2 9" xfId="369" xr:uid="{00000000-0005-0000-0000-000060010000}"/>
    <cellStyle name="Cálculo 3 2 9 2" xfId="884" xr:uid="{00000000-0005-0000-0000-000061010000}"/>
    <cellStyle name="Cálculo 3 2 9 2 2" xfId="1683" xr:uid="{00000000-0005-0000-0000-000062010000}"/>
    <cellStyle name="Cálculo 3 2 9 3" xfId="1235" xr:uid="{00000000-0005-0000-0000-000063010000}"/>
    <cellStyle name="Cálculo 3 3" xfId="110" xr:uid="{00000000-0005-0000-0000-000064010000}"/>
    <cellStyle name="Cálculo 3 3 10" xfId="590" xr:uid="{00000000-0005-0000-0000-000065010000}"/>
    <cellStyle name="Cálculo 3 3 10 2" xfId="1105" xr:uid="{00000000-0005-0000-0000-000066010000}"/>
    <cellStyle name="Cálculo 3 3 10 2 2" xfId="1904" xr:uid="{00000000-0005-0000-0000-000067010000}"/>
    <cellStyle name="Cálculo 3 3 10 3" xfId="1456" xr:uid="{00000000-0005-0000-0000-000068010000}"/>
    <cellStyle name="Cálculo 3 3 11" xfId="630" xr:uid="{00000000-0005-0000-0000-000069010000}"/>
    <cellStyle name="Cálculo 3 3 11 2" xfId="1145" xr:uid="{00000000-0005-0000-0000-00006A010000}"/>
    <cellStyle name="Cálculo 3 3 11 2 2" xfId="1944" xr:uid="{00000000-0005-0000-0000-00006B010000}"/>
    <cellStyle name="Cálculo 3 3 11 3" xfId="1496" xr:uid="{00000000-0005-0000-0000-00006C010000}"/>
    <cellStyle name="Cálculo 3 3 12" xfId="642" xr:uid="{00000000-0005-0000-0000-00006D010000}"/>
    <cellStyle name="Cálculo 3 3 12 2" xfId="1157" xr:uid="{00000000-0005-0000-0000-00006E010000}"/>
    <cellStyle name="Cálculo 3 3 12 2 2" xfId="1956" xr:uid="{00000000-0005-0000-0000-00006F010000}"/>
    <cellStyle name="Cálculo 3 3 12 3" xfId="1508" xr:uid="{00000000-0005-0000-0000-000070010000}"/>
    <cellStyle name="Cálculo 3 3 2" xfId="268" xr:uid="{00000000-0005-0000-0000-000071010000}"/>
    <cellStyle name="Cálculo 3 3 2 2" xfId="1202" xr:uid="{00000000-0005-0000-0000-000072010000}"/>
    <cellStyle name="Cálculo 3 3 2 2 2" xfId="1974" xr:uid="{00000000-0005-0000-0000-000073010000}"/>
    <cellStyle name="Cálculo 3 3 2 3" xfId="1556" xr:uid="{00000000-0005-0000-0000-000074010000}"/>
    <cellStyle name="Cálculo 3 3 3" xfId="379" xr:uid="{00000000-0005-0000-0000-000075010000}"/>
    <cellStyle name="Cálculo 3 3 3 2" xfId="894" xr:uid="{00000000-0005-0000-0000-000076010000}"/>
    <cellStyle name="Cálculo 3 3 3 2 2" xfId="1693" xr:uid="{00000000-0005-0000-0000-000077010000}"/>
    <cellStyle name="Cálculo 3 3 3 3" xfId="1245" xr:uid="{00000000-0005-0000-0000-000078010000}"/>
    <cellStyle name="Cálculo 3 3 4" xfId="412" xr:uid="{00000000-0005-0000-0000-000079010000}"/>
    <cellStyle name="Cálculo 3 3 4 2" xfId="927" xr:uid="{00000000-0005-0000-0000-00007A010000}"/>
    <cellStyle name="Cálculo 3 3 4 2 2" xfId="1726" xr:uid="{00000000-0005-0000-0000-00007B010000}"/>
    <cellStyle name="Cálculo 3 3 4 3" xfId="1278" xr:uid="{00000000-0005-0000-0000-00007C010000}"/>
    <cellStyle name="Cálculo 3 3 5" xfId="466" xr:uid="{00000000-0005-0000-0000-00007D010000}"/>
    <cellStyle name="Cálculo 3 3 5 2" xfId="981" xr:uid="{00000000-0005-0000-0000-00007E010000}"/>
    <cellStyle name="Cálculo 3 3 5 2 2" xfId="1780" xr:uid="{00000000-0005-0000-0000-00007F010000}"/>
    <cellStyle name="Cálculo 3 3 5 3" xfId="1332" xr:uid="{00000000-0005-0000-0000-000080010000}"/>
    <cellStyle name="Cálculo 3 3 6" xfId="445" xr:uid="{00000000-0005-0000-0000-000081010000}"/>
    <cellStyle name="Cálculo 3 3 6 2" xfId="960" xr:uid="{00000000-0005-0000-0000-000082010000}"/>
    <cellStyle name="Cálculo 3 3 6 2 2" xfId="1759" xr:uid="{00000000-0005-0000-0000-000083010000}"/>
    <cellStyle name="Cálculo 3 3 6 3" xfId="1311" xr:uid="{00000000-0005-0000-0000-000084010000}"/>
    <cellStyle name="Cálculo 3 3 7" xfId="437" xr:uid="{00000000-0005-0000-0000-000085010000}"/>
    <cellStyle name="Cálculo 3 3 7 2" xfId="952" xr:uid="{00000000-0005-0000-0000-000086010000}"/>
    <cellStyle name="Cálculo 3 3 7 2 2" xfId="1751" xr:uid="{00000000-0005-0000-0000-000087010000}"/>
    <cellStyle name="Cálculo 3 3 7 3" xfId="1303" xr:uid="{00000000-0005-0000-0000-000088010000}"/>
    <cellStyle name="Cálculo 3 3 8" xfId="563" xr:uid="{00000000-0005-0000-0000-000089010000}"/>
    <cellStyle name="Cálculo 3 3 8 2" xfId="1078" xr:uid="{00000000-0005-0000-0000-00008A010000}"/>
    <cellStyle name="Cálculo 3 3 8 2 2" xfId="1877" xr:uid="{00000000-0005-0000-0000-00008B010000}"/>
    <cellStyle name="Cálculo 3 3 8 3" xfId="1429" xr:uid="{00000000-0005-0000-0000-00008C010000}"/>
    <cellStyle name="Cálculo 3 3 9" xfId="543" xr:uid="{00000000-0005-0000-0000-00008D010000}"/>
    <cellStyle name="Cálculo 3 3 9 2" xfId="1058" xr:uid="{00000000-0005-0000-0000-00008E010000}"/>
    <cellStyle name="Cálculo 3 3 9 2 2" xfId="1857" xr:uid="{00000000-0005-0000-0000-00008F010000}"/>
    <cellStyle name="Cálculo 3 3 9 3" xfId="1409" xr:uid="{00000000-0005-0000-0000-000090010000}"/>
    <cellStyle name="Cálculo 3 4" xfId="98" xr:uid="{00000000-0005-0000-0000-000091010000}"/>
    <cellStyle name="Cálculo 3 4 10" xfId="509" xr:uid="{00000000-0005-0000-0000-000092010000}"/>
    <cellStyle name="Cálculo 3 4 10 2" xfId="1024" xr:uid="{00000000-0005-0000-0000-000093010000}"/>
    <cellStyle name="Cálculo 3 4 10 2 2" xfId="1823" xr:uid="{00000000-0005-0000-0000-000094010000}"/>
    <cellStyle name="Cálculo 3 4 10 3" xfId="1375" xr:uid="{00000000-0005-0000-0000-000095010000}"/>
    <cellStyle name="Cálculo 3 4 11" xfId="618" xr:uid="{00000000-0005-0000-0000-000096010000}"/>
    <cellStyle name="Cálculo 3 4 11 2" xfId="1133" xr:uid="{00000000-0005-0000-0000-000097010000}"/>
    <cellStyle name="Cálculo 3 4 11 2 2" xfId="1932" xr:uid="{00000000-0005-0000-0000-000098010000}"/>
    <cellStyle name="Cálculo 3 4 11 3" xfId="1484" xr:uid="{00000000-0005-0000-0000-000099010000}"/>
    <cellStyle name="Cálculo 3 4 12" xfId="606" xr:uid="{00000000-0005-0000-0000-00009A010000}"/>
    <cellStyle name="Cálculo 3 4 12 2" xfId="1121" xr:uid="{00000000-0005-0000-0000-00009B010000}"/>
    <cellStyle name="Cálculo 3 4 12 2 2" xfId="1920" xr:uid="{00000000-0005-0000-0000-00009C010000}"/>
    <cellStyle name="Cálculo 3 4 12 3" xfId="1472" xr:uid="{00000000-0005-0000-0000-00009D010000}"/>
    <cellStyle name="Cálculo 3 4 2" xfId="256" xr:uid="{00000000-0005-0000-0000-00009E010000}"/>
    <cellStyle name="Cálculo 3 4 2 2" xfId="795" xr:uid="{00000000-0005-0000-0000-00009F010000}"/>
    <cellStyle name="Cálculo 3 4 2 2 2" xfId="1602" xr:uid="{00000000-0005-0000-0000-0000A0010000}"/>
    <cellStyle name="Cálculo 3 4 2 3" xfId="1544" xr:uid="{00000000-0005-0000-0000-0000A1010000}"/>
    <cellStyle name="Cálculo 3 4 3" xfId="301" xr:uid="{00000000-0005-0000-0000-0000A2010000}"/>
    <cellStyle name="Cálculo 3 4 3 2" xfId="816" xr:uid="{00000000-0005-0000-0000-0000A3010000}"/>
    <cellStyle name="Cálculo 3 4 3 2 2" xfId="1620" xr:uid="{00000000-0005-0000-0000-0000A4010000}"/>
    <cellStyle name="Cálculo 3 4 3 3" xfId="758" xr:uid="{00000000-0005-0000-0000-0000A5010000}"/>
    <cellStyle name="Cálculo 3 4 4" xfId="400" xr:uid="{00000000-0005-0000-0000-0000A6010000}"/>
    <cellStyle name="Cálculo 3 4 4 2" xfId="915" xr:uid="{00000000-0005-0000-0000-0000A7010000}"/>
    <cellStyle name="Cálculo 3 4 4 2 2" xfId="1714" xr:uid="{00000000-0005-0000-0000-0000A8010000}"/>
    <cellStyle name="Cálculo 3 4 4 3" xfId="1266" xr:uid="{00000000-0005-0000-0000-0000A9010000}"/>
    <cellStyle name="Cálculo 3 4 5" xfId="454" xr:uid="{00000000-0005-0000-0000-0000AA010000}"/>
    <cellStyle name="Cálculo 3 4 5 2" xfId="969" xr:uid="{00000000-0005-0000-0000-0000AB010000}"/>
    <cellStyle name="Cálculo 3 4 5 2 2" xfId="1768" xr:uid="{00000000-0005-0000-0000-0000AC010000}"/>
    <cellStyle name="Cálculo 3 4 5 3" xfId="1320" xr:uid="{00000000-0005-0000-0000-0000AD010000}"/>
    <cellStyle name="Cálculo 3 4 6" xfId="372" xr:uid="{00000000-0005-0000-0000-0000AE010000}"/>
    <cellStyle name="Cálculo 3 4 6 2" xfId="887" xr:uid="{00000000-0005-0000-0000-0000AF010000}"/>
    <cellStyle name="Cálculo 3 4 6 2 2" xfId="1686" xr:uid="{00000000-0005-0000-0000-0000B0010000}"/>
    <cellStyle name="Cálculo 3 4 6 3" xfId="1238" xr:uid="{00000000-0005-0000-0000-0000B1010000}"/>
    <cellStyle name="Cálculo 3 4 7" xfId="346" xr:uid="{00000000-0005-0000-0000-0000B2010000}"/>
    <cellStyle name="Cálculo 3 4 7 2" xfId="861" xr:uid="{00000000-0005-0000-0000-0000B3010000}"/>
    <cellStyle name="Cálculo 3 4 7 2 2" xfId="1662" xr:uid="{00000000-0005-0000-0000-0000B4010000}"/>
    <cellStyle name="Cálculo 3 4 7 3" xfId="1170" xr:uid="{00000000-0005-0000-0000-0000B5010000}"/>
    <cellStyle name="Cálculo 3 4 8" xfId="551" xr:uid="{00000000-0005-0000-0000-0000B6010000}"/>
    <cellStyle name="Cálculo 3 4 8 2" xfId="1066" xr:uid="{00000000-0005-0000-0000-0000B7010000}"/>
    <cellStyle name="Cálculo 3 4 8 2 2" xfId="1865" xr:uid="{00000000-0005-0000-0000-0000B8010000}"/>
    <cellStyle name="Cálculo 3 4 8 3" xfId="1417" xr:uid="{00000000-0005-0000-0000-0000B9010000}"/>
    <cellStyle name="Cálculo 3 4 9" xfId="481" xr:uid="{00000000-0005-0000-0000-0000BA010000}"/>
    <cellStyle name="Cálculo 3 4 9 2" xfId="996" xr:uid="{00000000-0005-0000-0000-0000BB010000}"/>
    <cellStyle name="Cálculo 3 4 9 2 2" xfId="1795" xr:uid="{00000000-0005-0000-0000-0000BC010000}"/>
    <cellStyle name="Cálculo 3 4 9 3" xfId="1347" xr:uid="{00000000-0005-0000-0000-0000BD010000}"/>
    <cellStyle name="Cálculo 3 5" xfId="246" xr:uid="{00000000-0005-0000-0000-0000BE010000}"/>
    <cellStyle name="Cálculo 3 5 2" xfId="794" xr:uid="{00000000-0005-0000-0000-0000BF010000}"/>
    <cellStyle name="Cálculo 3 5 2 2" xfId="1601" xr:uid="{00000000-0005-0000-0000-0000C0010000}"/>
    <cellStyle name="Cálculo 3 5 3" xfId="1534" xr:uid="{00000000-0005-0000-0000-0000C1010000}"/>
    <cellStyle name="Cálculo 3 6" xfId="294" xr:uid="{00000000-0005-0000-0000-0000C2010000}"/>
    <cellStyle name="Cálculo 3 6 2" xfId="809" xr:uid="{00000000-0005-0000-0000-0000C3010000}"/>
    <cellStyle name="Cálculo 3 6 2 2" xfId="1613" xr:uid="{00000000-0005-0000-0000-0000C4010000}"/>
    <cellStyle name="Cálculo 3 6 3" xfId="1190" xr:uid="{00000000-0005-0000-0000-0000C5010000}"/>
    <cellStyle name="Cálculo 3 7" xfId="339" xr:uid="{00000000-0005-0000-0000-0000C6010000}"/>
    <cellStyle name="Cálculo 3 7 2" xfId="854" xr:uid="{00000000-0005-0000-0000-0000C7010000}"/>
    <cellStyle name="Cálculo 3 7 2 2" xfId="1658" xr:uid="{00000000-0005-0000-0000-0000C8010000}"/>
    <cellStyle name="Cálculo 3 7 3" xfId="776" xr:uid="{00000000-0005-0000-0000-0000C9010000}"/>
    <cellStyle name="Cálculo 3 8" xfId="317" xr:uid="{00000000-0005-0000-0000-0000CA010000}"/>
    <cellStyle name="Cálculo 3 8 2" xfId="832" xr:uid="{00000000-0005-0000-0000-0000CB010000}"/>
    <cellStyle name="Cálculo 3 8 2 2" xfId="1636" xr:uid="{00000000-0005-0000-0000-0000CC010000}"/>
    <cellStyle name="Cálculo 3 8 3" xfId="780" xr:uid="{00000000-0005-0000-0000-0000CD010000}"/>
    <cellStyle name="Cálculo 3 9" xfId="480" xr:uid="{00000000-0005-0000-0000-0000CE010000}"/>
    <cellStyle name="Cálculo 3 9 2" xfId="995" xr:uid="{00000000-0005-0000-0000-0000CF010000}"/>
    <cellStyle name="Cálculo 3 9 2 2" xfId="1794" xr:uid="{00000000-0005-0000-0000-0000D0010000}"/>
    <cellStyle name="Cálculo 3 9 3" xfId="1346" xr:uid="{00000000-0005-0000-0000-0000D1010000}"/>
    <cellStyle name="Cálculo 4" xfId="46" xr:uid="{00000000-0005-0000-0000-0000D2010000}"/>
    <cellStyle name="Cálculo 4 10" xfId="507" xr:uid="{00000000-0005-0000-0000-0000D3010000}"/>
    <cellStyle name="Cálculo 4 10 2" xfId="1022" xr:uid="{00000000-0005-0000-0000-0000D4010000}"/>
    <cellStyle name="Cálculo 4 10 2 2" xfId="1821" xr:uid="{00000000-0005-0000-0000-0000D5010000}"/>
    <cellStyle name="Cálculo 4 10 3" xfId="1373" xr:uid="{00000000-0005-0000-0000-0000D6010000}"/>
    <cellStyle name="Cálculo 4 11" xfId="510" xr:uid="{00000000-0005-0000-0000-0000D7010000}"/>
    <cellStyle name="Cálculo 4 11 2" xfId="1025" xr:uid="{00000000-0005-0000-0000-0000D8010000}"/>
    <cellStyle name="Cálculo 4 11 2 2" xfId="1824" xr:uid="{00000000-0005-0000-0000-0000D9010000}"/>
    <cellStyle name="Cálculo 4 11 3" xfId="1376" xr:uid="{00000000-0005-0000-0000-0000DA010000}"/>
    <cellStyle name="Cálculo 4 12" xfId="491" xr:uid="{00000000-0005-0000-0000-0000DB010000}"/>
    <cellStyle name="Cálculo 4 12 2" xfId="1006" xr:uid="{00000000-0005-0000-0000-0000DC010000}"/>
    <cellStyle name="Cálculo 4 12 2 2" xfId="1805" xr:uid="{00000000-0005-0000-0000-0000DD010000}"/>
    <cellStyle name="Cálculo 4 12 3" xfId="1357" xr:uid="{00000000-0005-0000-0000-0000DE010000}"/>
    <cellStyle name="Cálculo 4 13" xfId="538" xr:uid="{00000000-0005-0000-0000-0000DF010000}"/>
    <cellStyle name="Cálculo 4 13 2" xfId="1053" xr:uid="{00000000-0005-0000-0000-0000E0010000}"/>
    <cellStyle name="Cálculo 4 13 2 2" xfId="1852" xr:uid="{00000000-0005-0000-0000-0000E1010000}"/>
    <cellStyle name="Cálculo 4 13 3" xfId="1404" xr:uid="{00000000-0005-0000-0000-0000E2010000}"/>
    <cellStyle name="Cálculo 4 14" xfId="624" xr:uid="{00000000-0005-0000-0000-0000E3010000}"/>
    <cellStyle name="Cálculo 4 14 2" xfId="1139" xr:uid="{00000000-0005-0000-0000-0000E4010000}"/>
    <cellStyle name="Cálculo 4 14 2 2" xfId="1938" xr:uid="{00000000-0005-0000-0000-0000E5010000}"/>
    <cellStyle name="Cálculo 4 14 3" xfId="1490" xr:uid="{00000000-0005-0000-0000-0000E6010000}"/>
    <cellStyle name="Cálculo 4 15" xfId="576" xr:uid="{00000000-0005-0000-0000-0000E7010000}"/>
    <cellStyle name="Cálculo 4 15 2" xfId="1091" xr:uid="{00000000-0005-0000-0000-0000E8010000}"/>
    <cellStyle name="Cálculo 4 15 2 2" xfId="1890" xr:uid="{00000000-0005-0000-0000-0000E9010000}"/>
    <cellStyle name="Cálculo 4 15 3" xfId="1442" xr:uid="{00000000-0005-0000-0000-0000EA010000}"/>
    <cellStyle name="Cálculo 4 2" xfId="106" xr:uid="{00000000-0005-0000-0000-0000EB010000}"/>
    <cellStyle name="Cálculo 4 2 10" xfId="441" xr:uid="{00000000-0005-0000-0000-0000EC010000}"/>
    <cellStyle name="Cálculo 4 2 10 2" xfId="956" xr:uid="{00000000-0005-0000-0000-0000ED010000}"/>
    <cellStyle name="Cálculo 4 2 10 2 2" xfId="1755" xr:uid="{00000000-0005-0000-0000-0000EE010000}"/>
    <cellStyle name="Cálculo 4 2 10 3" xfId="1307" xr:uid="{00000000-0005-0000-0000-0000EF010000}"/>
    <cellStyle name="Cálculo 4 2 11" xfId="598" xr:uid="{00000000-0005-0000-0000-0000F0010000}"/>
    <cellStyle name="Cálculo 4 2 11 2" xfId="1113" xr:uid="{00000000-0005-0000-0000-0000F1010000}"/>
    <cellStyle name="Cálculo 4 2 11 2 2" xfId="1912" xr:uid="{00000000-0005-0000-0000-0000F2010000}"/>
    <cellStyle name="Cálculo 4 2 11 3" xfId="1464" xr:uid="{00000000-0005-0000-0000-0000F3010000}"/>
    <cellStyle name="Cálculo 4 2 12" xfId="638" xr:uid="{00000000-0005-0000-0000-0000F4010000}"/>
    <cellStyle name="Cálculo 4 2 12 2" xfId="1153" xr:uid="{00000000-0005-0000-0000-0000F5010000}"/>
    <cellStyle name="Cálculo 4 2 12 2 2" xfId="1952" xr:uid="{00000000-0005-0000-0000-0000F6010000}"/>
    <cellStyle name="Cálculo 4 2 12 3" xfId="1504" xr:uid="{00000000-0005-0000-0000-0000F7010000}"/>
    <cellStyle name="Cálculo 4 2 2" xfId="264" xr:uid="{00000000-0005-0000-0000-0000F8010000}"/>
    <cellStyle name="Cálculo 4 2 2 2" xfId="765" xr:uid="{00000000-0005-0000-0000-0000F9010000}"/>
    <cellStyle name="Cálculo 4 2 2 2 2" xfId="1585" xr:uid="{00000000-0005-0000-0000-0000FA010000}"/>
    <cellStyle name="Cálculo 4 2 2 3" xfId="1552" xr:uid="{00000000-0005-0000-0000-0000FB010000}"/>
    <cellStyle name="Cálculo 4 2 3" xfId="375" xr:uid="{00000000-0005-0000-0000-0000FC010000}"/>
    <cellStyle name="Cálculo 4 2 3 2" xfId="890" xr:uid="{00000000-0005-0000-0000-0000FD010000}"/>
    <cellStyle name="Cálculo 4 2 3 2 2" xfId="1689" xr:uid="{00000000-0005-0000-0000-0000FE010000}"/>
    <cellStyle name="Cálculo 4 2 3 3" xfId="1241" xr:uid="{00000000-0005-0000-0000-0000FF010000}"/>
    <cellStyle name="Cálculo 4 2 4" xfId="408" xr:uid="{00000000-0005-0000-0000-000000020000}"/>
    <cellStyle name="Cálculo 4 2 4 2" xfId="923" xr:uid="{00000000-0005-0000-0000-000001020000}"/>
    <cellStyle name="Cálculo 4 2 4 2 2" xfId="1722" xr:uid="{00000000-0005-0000-0000-000002020000}"/>
    <cellStyle name="Cálculo 4 2 4 3" xfId="1274" xr:uid="{00000000-0005-0000-0000-000003020000}"/>
    <cellStyle name="Cálculo 4 2 5" xfId="462" xr:uid="{00000000-0005-0000-0000-000004020000}"/>
    <cellStyle name="Cálculo 4 2 5 2" xfId="977" xr:uid="{00000000-0005-0000-0000-000005020000}"/>
    <cellStyle name="Cálculo 4 2 5 2 2" xfId="1776" xr:uid="{00000000-0005-0000-0000-000006020000}"/>
    <cellStyle name="Cálculo 4 2 5 3" xfId="1328" xr:uid="{00000000-0005-0000-0000-000007020000}"/>
    <cellStyle name="Cálculo 4 2 6" xfId="426" xr:uid="{00000000-0005-0000-0000-000008020000}"/>
    <cellStyle name="Cálculo 4 2 6 2" xfId="941" xr:uid="{00000000-0005-0000-0000-000009020000}"/>
    <cellStyle name="Cálculo 4 2 6 2 2" xfId="1740" xr:uid="{00000000-0005-0000-0000-00000A020000}"/>
    <cellStyle name="Cálculo 4 2 6 3" xfId="1292" xr:uid="{00000000-0005-0000-0000-00000B020000}"/>
    <cellStyle name="Cálculo 4 2 7" xfId="483" xr:uid="{00000000-0005-0000-0000-00000C020000}"/>
    <cellStyle name="Cálculo 4 2 7 2" xfId="998" xr:uid="{00000000-0005-0000-0000-00000D020000}"/>
    <cellStyle name="Cálculo 4 2 7 2 2" xfId="1797" xr:uid="{00000000-0005-0000-0000-00000E020000}"/>
    <cellStyle name="Cálculo 4 2 7 3" xfId="1349" xr:uid="{00000000-0005-0000-0000-00000F020000}"/>
    <cellStyle name="Cálculo 4 2 8" xfId="559" xr:uid="{00000000-0005-0000-0000-000010020000}"/>
    <cellStyle name="Cálculo 4 2 8 2" xfId="1074" xr:uid="{00000000-0005-0000-0000-000011020000}"/>
    <cellStyle name="Cálculo 4 2 8 2 2" xfId="1873" xr:uid="{00000000-0005-0000-0000-000012020000}"/>
    <cellStyle name="Cálculo 4 2 8 3" xfId="1425" xr:uid="{00000000-0005-0000-0000-000013020000}"/>
    <cellStyle name="Cálculo 4 2 9" xfId="528" xr:uid="{00000000-0005-0000-0000-000014020000}"/>
    <cellStyle name="Cálculo 4 2 9 2" xfId="1043" xr:uid="{00000000-0005-0000-0000-000015020000}"/>
    <cellStyle name="Cálculo 4 2 9 2 2" xfId="1842" xr:uid="{00000000-0005-0000-0000-000016020000}"/>
    <cellStyle name="Cálculo 4 2 9 3" xfId="1394" xr:uid="{00000000-0005-0000-0000-000017020000}"/>
    <cellStyle name="Cálculo 4 3" xfId="112" xr:uid="{00000000-0005-0000-0000-000018020000}"/>
    <cellStyle name="Cálculo 4 3 10" xfId="546" xr:uid="{00000000-0005-0000-0000-000019020000}"/>
    <cellStyle name="Cálculo 4 3 10 2" xfId="1061" xr:uid="{00000000-0005-0000-0000-00001A020000}"/>
    <cellStyle name="Cálculo 4 3 10 2 2" xfId="1860" xr:uid="{00000000-0005-0000-0000-00001B020000}"/>
    <cellStyle name="Cálculo 4 3 10 3" xfId="1412" xr:uid="{00000000-0005-0000-0000-00001C020000}"/>
    <cellStyle name="Cálculo 4 3 11" xfId="620" xr:uid="{00000000-0005-0000-0000-00001D020000}"/>
    <cellStyle name="Cálculo 4 3 11 2" xfId="1135" xr:uid="{00000000-0005-0000-0000-00001E020000}"/>
    <cellStyle name="Cálculo 4 3 11 2 2" xfId="1934" xr:uid="{00000000-0005-0000-0000-00001F020000}"/>
    <cellStyle name="Cálculo 4 3 11 3" xfId="1486" xr:uid="{00000000-0005-0000-0000-000020020000}"/>
    <cellStyle name="Cálculo 4 3 12" xfId="646" xr:uid="{00000000-0005-0000-0000-000021020000}"/>
    <cellStyle name="Cálculo 4 3 12 2" xfId="1161" xr:uid="{00000000-0005-0000-0000-000022020000}"/>
    <cellStyle name="Cálculo 4 3 12 2 2" xfId="1960" xr:uid="{00000000-0005-0000-0000-000023020000}"/>
    <cellStyle name="Cálculo 4 3 12 3" xfId="1512" xr:uid="{00000000-0005-0000-0000-000024020000}"/>
    <cellStyle name="Cálculo 4 3 2" xfId="270" xr:uid="{00000000-0005-0000-0000-000025020000}"/>
    <cellStyle name="Cálculo 4 3 2 2" xfId="1200" xr:uid="{00000000-0005-0000-0000-000026020000}"/>
    <cellStyle name="Cálculo 4 3 2 2 2" xfId="1972" xr:uid="{00000000-0005-0000-0000-000027020000}"/>
    <cellStyle name="Cálculo 4 3 2 3" xfId="1558" xr:uid="{00000000-0005-0000-0000-000028020000}"/>
    <cellStyle name="Cálculo 4 3 3" xfId="381" xr:uid="{00000000-0005-0000-0000-000029020000}"/>
    <cellStyle name="Cálculo 4 3 3 2" xfId="896" xr:uid="{00000000-0005-0000-0000-00002A020000}"/>
    <cellStyle name="Cálculo 4 3 3 2 2" xfId="1695" xr:uid="{00000000-0005-0000-0000-00002B020000}"/>
    <cellStyle name="Cálculo 4 3 3 3" xfId="1247" xr:uid="{00000000-0005-0000-0000-00002C020000}"/>
    <cellStyle name="Cálculo 4 3 4" xfId="414" xr:uid="{00000000-0005-0000-0000-00002D020000}"/>
    <cellStyle name="Cálculo 4 3 4 2" xfId="929" xr:uid="{00000000-0005-0000-0000-00002E020000}"/>
    <cellStyle name="Cálculo 4 3 4 2 2" xfId="1728" xr:uid="{00000000-0005-0000-0000-00002F020000}"/>
    <cellStyle name="Cálculo 4 3 4 3" xfId="1280" xr:uid="{00000000-0005-0000-0000-000030020000}"/>
    <cellStyle name="Cálculo 4 3 5" xfId="468" xr:uid="{00000000-0005-0000-0000-000031020000}"/>
    <cellStyle name="Cálculo 4 3 5 2" xfId="983" xr:uid="{00000000-0005-0000-0000-000032020000}"/>
    <cellStyle name="Cálculo 4 3 5 2 2" xfId="1782" xr:uid="{00000000-0005-0000-0000-000033020000}"/>
    <cellStyle name="Cálculo 4 3 5 3" xfId="1334" xr:uid="{00000000-0005-0000-0000-000034020000}"/>
    <cellStyle name="Cálculo 4 3 6" xfId="448" xr:uid="{00000000-0005-0000-0000-000035020000}"/>
    <cellStyle name="Cálculo 4 3 6 2" xfId="963" xr:uid="{00000000-0005-0000-0000-000036020000}"/>
    <cellStyle name="Cálculo 4 3 6 2 2" xfId="1762" xr:uid="{00000000-0005-0000-0000-000037020000}"/>
    <cellStyle name="Cálculo 4 3 6 3" xfId="1314" xr:uid="{00000000-0005-0000-0000-000038020000}"/>
    <cellStyle name="Cálculo 4 3 7" xfId="284" xr:uid="{00000000-0005-0000-0000-000039020000}"/>
    <cellStyle name="Cálculo 4 3 7 2" xfId="799" xr:uid="{00000000-0005-0000-0000-00003A020000}"/>
    <cellStyle name="Cálculo 4 3 7 2 2" xfId="1606" xr:uid="{00000000-0005-0000-0000-00003B020000}"/>
    <cellStyle name="Cálculo 4 3 7 3" xfId="761" xr:uid="{00000000-0005-0000-0000-00003C020000}"/>
    <cellStyle name="Cálculo 4 3 8" xfId="565" xr:uid="{00000000-0005-0000-0000-00003D020000}"/>
    <cellStyle name="Cálculo 4 3 8 2" xfId="1080" xr:uid="{00000000-0005-0000-0000-00003E020000}"/>
    <cellStyle name="Cálculo 4 3 8 2 2" xfId="1879" xr:uid="{00000000-0005-0000-0000-00003F020000}"/>
    <cellStyle name="Cálculo 4 3 8 3" xfId="1431" xr:uid="{00000000-0005-0000-0000-000040020000}"/>
    <cellStyle name="Cálculo 4 3 9" xfId="545" xr:uid="{00000000-0005-0000-0000-000041020000}"/>
    <cellStyle name="Cálculo 4 3 9 2" xfId="1060" xr:uid="{00000000-0005-0000-0000-000042020000}"/>
    <cellStyle name="Cálculo 4 3 9 2 2" xfId="1859" xr:uid="{00000000-0005-0000-0000-000043020000}"/>
    <cellStyle name="Cálculo 4 3 9 3" xfId="1411" xr:uid="{00000000-0005-0000-0000-000044020000}"/>
    <cellStyle name="Cálculo 4 4" xfId="104" xr:uid="{00000000-0005-0000-0000-000045020000}"/>
    <cellStyle name="Cálculo 4 4 10" xfId="584" xr:uid="{00000000-0005-0000-0000-000046020000}"/>
    <cellStyle name="Cálculo 4 4 10 2" xfId="1099" xr:uid="{00000000-0005-0000-0000-000047020000}"/>
    <cellStyle name="Cálculo 4 4 10 2 2" xfId="1898" xr:uid="{00000000-0005-0000-0000-000048020000}"/>
    <cellStyle name="Cálculo 4 4 10 3" xfId="1450" xr:uid="{00000000-0005-0000-0000-000049020000}"/>
    <cellStyle name="Cálculo 4 4 11" xfId="616" xr:uid="{00000000-0005-0000-0000-00004A020000}"/>
    <cellStyle name="Cálculo 4 4 11 2" xfId="1131" xr:uid="{00000000-0005-0000-0000-00004B020000}"/>
    <cellStyle name="Cálculo 4 4 11 2 2" xfId="1930" xr:uid="{00000000-0005-0000-0000-00004C020000}"/>
    <cellStyle name="Cálculo 4 4 11 3" xfId="1482" xr:uid="{00000000-0005-0000-0000-00004D020000}"/>
    <cellStyle name="Cálculo 4 4 12" xfId="596" xr:uid="{00000000-0005-0000-0000-00004E020000}"/>
    <cellStyle name="Cálculo 4 4 12 2" xfId="1111" xr:uid="{00000000-0005-0000-0000-00004F020000}"/>
    <cellStyle name="Cálculo 4 4 12 2 2" xfId="1910" xr:uid="{00000000-0005-0000-0000-000050020000}"/>
    <cellStyle name="Cálculo 4 4 12 3" xfId="1462" xr:uid="{00000000-0005-0000-0000-000051020000}"/>
    <cellStyle name="Cálculo 4 4 2" xfId="262" xr:uid="{00000000-0005-0000-0000-000052020000}"/>
    <cellStyle name="Cálculo 4 4 2 2" xfId="767" xr:uid="{00000000-0005-0000-0000-000053020000}"/>
    <cellStyle name="Cálculo 4 4 2 2 2" xfId="1587" xr:uid="{00000000-0005-0000-0000-000054020000}"/>
    <cellStyle name="Cálculo 4 4 2 3" xfId="1550" xr:uid="{00000000-0005-0000-0000-000055020000}"/>
    <cellStyle name="Cálculo 4 4 3" xfId="373" xr:uid="{00000000-0005-0000-0000-000056020000}"/>
    <cellStyle name="Cálculo 4 4 3 2" xfId="888" xr:uid="{00000000-0005-0000-0000-000057020000}"/>
    <cellStyle name="Cálculo 4 4 3 2 2" xfId="1687" xr:uid="{00000000-0005-0000-0000-000058020000}"/>
    <cellStyle name="Cálculo 4 4 3 3" xfId="1239" xr:uid="{00000000-0005-0000-0000-000059020000}"/>
    <cellStyle name="Cálculo 4 4 4" xfId="406" xr:uid="{00000000-0005-0000-0000-00005A020000}"/>
    <cellStyle name="Cálculo 4 4 4 2" xfId="921" xr:uid="{00000000-0005-0000-0000-00005B020000}"/>
    <cellStyle name="Cálculo 4 4 4 2 2" xfId="1720" xr:uid="{00000000-0005-0000-0000-00005C020000}"/>
    <cellStyle name="Cálculo 4 4 4 3" xfId="1272" xr:uid="{00000000-0005-0000-0000-00005D020000}"/>
    <cellStyle name="Cálculo 4 4 5" xfId="460" xr:uid="{00000000-0005-0000-0000-00005E020000}"/>
    <cellStyle name="Cálculo 4 4 5 2" xfId="975" xr:uid="{00000000-0005-0000-0000-00005F020000}"/>
    <cellStyle name="Cálculo 4 4 5 2 2" xfId="1774" xr:uid="{00000000-0005-0000-0000-000060020000}"/>
    <cellStyle name="Cálculo 4 4 5 3" xfId="1326" xr:uid="{00000000-0005-0000-0000-000061020000}"/>
    <cellStyle name="Cálculo 4 4 6" xfId="291" xr:uid="{00000000-0005-0000-0000-000062020000}"/>
    <cellStyle name="Cálculo 4 4 6 2" xfId="806" xr:uid="{00000000-0005-0000-0000-000063020000}"/>
    <cellStyle name="Cálculo 4 4 6 2 2" xfId="1611" xr:uid="{00000000-0005-0000-0000-000064020000}"/>
    <cellStyle name="Cálculo 4 4 6 3" xfId="1192" xr:uid="{00000000-0005-0000-0000-000065020000}"/>
    <cellStyle name="Cálculo 4 4 7" xfId="498" xr:uid="{00000000-0005-0000-0000-000066020000}"/>
    <cellStyle name="Cálculo 4 4 7 2" xfId="1013" xr:uid="{00000000-0005-0000-0000-000067020000}"/>
    <cellStyle name="Cálculo 4 4 7 2 2" xfId="1812" xr:uid="{00000000-0005-0000-0000-000068020000}"/>
    <cellStyle name="Cálculo 4 4 7 3" xfId="1364" xr:uid="{00000000-0005-0000-0000-000069020000}"/>
    <cellStyle name="Cálculo 4 4 8" xfId="557" xr:uid="{00000000-0005-0000-0000-00006A020000}"/>
    <cellStyle name="Cálculo 4 4 8 2" xfId="1072" xr:uid="{00000000-0005-0000-0000-00006B020000}"/>
    <cellStyle name="Cálculo 4 4 8 2 2" xfId="1871" xr:uid="{00000000-0005-0000-0000-00006C020000}"/>
    <cellStyle name="Cálculo 4 4 8 3" xfId="1423" xr:uid="{00000000-0005-0000-0000-00006D020000}"/>
    <cellStyle name="Cálculo 4 4 9" xfId="487" xr:uid="{00000000-0005-0000-0000-00006E020000}"/>
    <cellStyle name="Cálculo 4 4 9 2" xfId="1002" xr:uid="{00000000-0005-0000-0000-00006F020000}"/>
    <cellStyle name="Cálculo 4 4 9 2 2" xfId="1801" xr:uid="{00000000-0005-0000-0000-000070020000}"/>
    <cellStyle name="Cálculo 4 4 9 3" xfId="1353" xr:uid="{00000000-0005-0000-0000-000071020000}"/>
    <cellStyle name="Cálculo 4 5" xfId="244" xr:uid="{00000000-0005-0000-0000-000072020000}"/>
    <cellStyle name="Cálculo 4 5 2" xfId="766" xr:uid="{00000000-0005-0000-0000-000073020000}"/>
    <cellStyle name="Cálculo 4 5 2 2" xfId="1586" xr:uid="{00000000-0005-0000-0000-000074020000}"/>
    <cellStyle name="Cálculo 4 5 3" xfId="1532" xr:uid="{00000000-0005-0000-0000-000075020000}"/>
    <cellStyle name="Cálculo 4 6" xfId="329" xr:uid="{00000000-0005-0000-0000-000076020000}"/>
    <cellStyle name="Cálculo 4 6 2" xfId="844" xr:uid="{00000000-0005-0000-0000-000077020000}"/>
    <cellStyle name="Cálculo 4 6 2 2" xfId="1648" xr:uid="{00000000-0005-0000-0000-000078020000}"/>
    <cellStyle name="Cálculo 4 6 3" xfId="746" xr:uid="{00000000-0005-0000-0000-000079020000}"/>
    <cellStyle name="Cálculo 4 7" xfId="323" xr:uid="{00000000-0005-0000-0000-00007A020000}"/>
    <cellStyle name="Cálculo 4 7 2" xfId="838" xr:uid="{00000000-0005-0000-0000-00007B020000}"/>
    <cellStyle name="Cálculo 4 7 2 2" xfId="1642" xr:uid="{00000000-0005-0000-0000-00007C020000}"/>
    <cellStyle name="Cálculo 4 7 3" xfId="1178" xr:uid="{00000000-0005-0000-0000-00007D020000}"/>
    <cellStyle name="Cálculo 4 8" xfId="358" xr:uid="{00000000-0005-0000-0000-00007E020000}"/>
    <cellStyle name="Cálculo 4 8 2" xfId="873" xr:uid="{00000000-0005-0000-0000-00007F020000}"/>
    <cellStyle name="Cálculo 4 8 2 2" xfId="1672" xr:uid="{00000000-0005-0000-0000-000080020000}"/>
    <cellStyle name="Cálculo 4 8 3" xfId="1224" xr:uid="{00000000-0005-0000-0000-000081020000}"/>
    <cellStyle name="Cálculo 4 9" xfId="371" xr:uid="{00000000-0005-0000-0000-000082020000}"/>
    <cellStyle name="Cálculo 4 9 2" xfId="886" xr:uid="{00000000-0005-0000-0000-000083020000}"/>
    <cellStyle name="Cálculo 4 9 2 2" xfId="1685" xr:uid="{00000000-0005-0000-0000-000084020000}"/>
    <cellStyle name="Cálculo 4 9 3" xfId="1237" xr:uid="{00000000-0005-0000-0000-000085020000}"/>
    <cellStyle name="Cálculo 5" xfId="697" xr:uid="{00000000-0005-0000-0000-000086020000}"/>
    <cellStyle name="Cálculo 5 2" xfId="1208" xr:uid="{00000000-0005-0000-0000-000087020000}"/>
    <cellStyle name="Cálculo 5 2 2" xfId="1980" xr:uid="{00000000-0005-0000-0000-000088020000}"/>
    <cellStyle name="Cálculo 5 3" xfId="1519" xr:uid="{00000000-0005-0000-0000-000089020000}"/>
    <cellStyle name="Célula de Verificação 2" xfId="49" xr:uid="{00000000-0005-0000-0000-00008A020000}"/>
    <cellStyle name="Célula de Verificação 3" xfId="698" xr:uid="{00000000-0005-0000-0000-00008B020000}"/>
    <cellStyle name="Célula Vinculada 2" xfId="50" xr:uid="{00000000-0005-0000-0000-00008C020000}"/>
    <cellStyle name="Célula Vinculada 3" xfId="699" xr:uid="{00000000-0005-0000-0000-00008D020000}"/>
    <cellStyle name="Check Cell" xfId="700" xr:uid="{00000000-0005-0000-0000-00008E020000}"/>
    <cellStyle name="Data" xfId="137" xr:uid="{00000000-0005-0000-0000-00008F020000}"/>
    <cellStyle name="Ênfase1 2" xfId="51" xr:uid="{00000000-0005-0000-0000-000090020000}"/>
    <cellStyle name="Ênfase1 2 2" xfId="138" xr:uid="{00000000-0005-0000-0000-000091020000}"/>
    <cellStyle name="Ênfase1 3" xfId="701" xr:uid="{00000000-0005-0000-0000-000092020000}"/>
    <cellStyle name="Ênfase2 2" xfId="52" xr:uid="{00000000-0005-0000-0000-000093020000}"/>
    <cellStyle name="Ênfase2 2 2" xfId="1574" xr:uid="{00000000-0005-0000-0000-000094020000}"/>
    <cellStyle name="Ênfase2 3" xfId="702" xr:uid="{00000000-0005-0000-0000-000095020000}"/>
    <cellStyle name="Ênfase3 2" xfId="53" xr:uid="{00000000-0005-0000-0000-000096020000}"/>
    <cellStyle name="Ênfase3 3" xfId="703" xr:uid="{00000000-0005-0000-0000-000097020000}"/>
    <cellStyle name="Ênfase4 2" xfId="54" xr:uid="{00000000-0005-0000-0000-000098020000}"/>
    <cellStyle name="Ênfase4 2 2" xfId="139" xr:uid="{00000000-0005-0000-0000-000099020000}"/>
    <cellStyle name="Ênfase4 3" xfId="704" xr:uid="{00000000-0005-0000-0000-00009A020000}"/>
    <cellStyle name="Ênfase5 2" xfId="55" xr:uid="{00000000-0005-0000-0000-00009B020000}"/>
    <cellStyle name="Ênfase5 3" xfId="705" xr:uid="{00000000-0005-0000-0000-00009C020000}"/>
    <cellStyle name="Ênfase6 2" xfId="56" xr:uid="{00000000-0005-0000-0000-00009D020000}"/>
    <cellStyle name="Ênfase6 3" xfId="706" xr:uid="{00000000-0005-0000-0000-00009E020000}"/>
    <cellStyle name="Entrada 2" xfId="57" xr:uid="{00000000-0005-0000-0000-00009F020000}"/>
    <cellStyle name="Entrada 2 10" xfId="325" xr:uid="{00000000-0005-0000-0000-0000A0020000}"/>
    <cellStyle name="Entrada 2 10 2" xfId="840" xr:uid="{00000000-0005-0000-0000-0000A1020000}"/>
    <cellStyle name="Entrada 2 10 2 2" xfId="1644" xr:uid="{00000000-0005-0000-0000-0000A2020000}"/>
    <cellStyle name="Entrada 2 10 3" xfId="1176" xr:uid="{00000000-0005-0000-0000-0000A3020000}"/>
    <cellStyle name="Entrada 2 11" xfId="513" xr:uid="{00000000-0005-0000-0000-0000A4020000}"/>
    <cellStyle name="Entrada 2 11 2" xfId="1028" xr:uid="{00000000-0005-0000-0000-0000A5020000}"/>
    <cellStyle name="Entrada 2 11 2 2" xfId="1827" xr:uid="{00000000-0005-0000-0000-0000A6020000}"/>
    <cellStyle name="Entrada 2 11 3" xfId="1379" xr:uid="{00000000-0005-0000-0000-0000A7020000}"/>
    <cellStyle name="Entrada 2 12" xfId="503" xr:uid="{00000000-0005-0000-0000-0000A8020000}"/>
    <cellStyle name="Entrada 2 12 2" xfId="1018" xr:uid="{00000000-0005-0000-0000-0000A9020000}"/>
    <cellStyle name="Entrada 2 12 2 2" xfId="1817" xr:uid="{00000000-0005-0000-0000-0000AA020000}"/>
    <cellStyle name="Entrada 2 12 3" xfId="1369" xr:uid="{00000000-0005-0000-0000-0000AB020000}"/>
    <cellStyle name="Entrada 2 13" xfId="583" xr:uid="{00000000-0005-0000-0000-0000AC020000}"/>
    <cellStyle name="Entrada 2 13 2" xfId="1098" xr:uid="{00000000-0005-0000-0000-0000AD020000}"/>
    <cellStyle name="Entrada 2 13 2 2" xfId="1897" xr:uid="{00000000-0005-0000-0000-0000AE020000}"/>
    <cellStyle name="Entrada 2 13 3" xfId="1449" xr:uid="{00000000-0005-0000-0000-0000AF020000}"/>
    <cellStyle name="Entrada 2 14" xfId="508" xr:uid="{00000000-0005-0000-0000-0000B0020000}"/>
    <cellStyle name="Entrada 2 14 2" xfId="1023" xr:uid="{00000000-0005-0000-0000-0000B1020000}"/>
    <cellStyle name="Entrada 2 14 2 2" xfId="1822" xr:uid="{00000000-0005-0000-0000-0000B2020000}"/>
    <cellStyle name="Entrada 2 14 3" xfId="1374" xr:uid="{00000000-0005-0000-0000-0000B3020000}"/>
    <cellStyle name="Entrada 2 15" xfId="625" xr:uid="{00000000-0005-0000-0000-0000B4020000}"/>
    <cellStyle name="Entrada 2 15 2" xfId="1140" xr:uid="{00000000-0005-0000-0000-0000B5020000}"/>
    <cellStyle name="Entrada 2 15 2 2" xfId="1939" xr:uid="{00000000-0005-0000-0000-0000B6020000}"/>
    <cellStyle name="Entrada 2 15 3" xfId="1491" xr:uid="{00000000-0005-0000-0000-0000B7020000}"/>
    <cellStyle name="Entrada 2 16" xfId="1573" xr:uid="{00000000-0005-0000-0000-0000B8020000}"/>
    <cellStyle name="Entrada 2 2" xfId="113" xr:uid="{00000000-0005-0000-0000-0000B9020000}"/>
    <cellStyle name="Entrada 2 2 10" xfId="537" xr:uid="{00000000-0005-0000-0000-0000BA020000}"/>
    <cellStyle name="Entrada 2 2 10 2" xfId="1052" xr:uid="{00000000-0005-0000-0000-0000BB020000}"/>
    <cellStyle name="Entrada 2 2 10 2 2" xfId="1851" xr:uid="{00000000-0005-0000-0000-0000BC020000}"/>
    <cellStyle name="Entrada 2 2 10 3" xfId="1403" xr:uid="{00000000-0005-0000-0000-0000BD020000}"/>
    <cellStyle name="Entrada 2 2 11" xfId="633" xr:uid="{00000000-0005-0000-0000-0000BE020000}"/>
    <cellStyle name="Entrada 2 2 11 2" xfId="1148" xr:uid="{00000000-0005-0000-0000-0000BF020000}"/>
    <cellStyle name="Entrada 2 2 11 2 2" xfId="1947" xr:uid="{00000000-0005-0000-0000-0000C0020000}"/>
    <cellStyle name="Entrada 2 2 11 3" xfId="1499" xr:uid="{00000000-0005-0000-0000-0000C1020000}"/>
    <cellStyle name="Entrada 2 2 12" xfId="601" xr:uid="{00000000-0005-0000-0000-0000C2020000}"/>
    <cellStyle name="Entrada 2 2 12 2" xfId="1116" xr:uid="{00000000-0005-0000-0000-0000C3020000}"/>
    <cellStyle name="Entrada 2 2 12 2 2" xfId="1915" xr:uid="{00000000-0005-0000-0000-0000C4020000}"/>
    <cellStyle name="Entrada 2 2 12 3" xfId="1467" xr:uid="{00000000-0005-0000-0000-0000C5020000}"/>
    <cellStyle name="Entrada 2 2 2" xfId="271" xr:uid="{00000000-0005-0000-0000-0000C6020000}"/>
    <cellStyle name="Entrada 2 2 2 2" xfId="1199" xr:uid="{00000000-0005-0000-0000-0000C7020000}"/>
    <cellStyle name="Entrada 2 2 2 2 2" xfId="1971" xr:uid="{00000000-0005-0000-0000-0000C8020000}"/>
    <cellStyle name="Entrada 2 2 2 3" xfId="1559" xr:uid="{00000000-0005-0000-0000-0000C9020000}"/>
    <cellStyle name="Entrada 2 2 3" xfId="382" xr:uid="{00000000-0005-0000-0000-0000CA020000}"/>
    <cellStyle name="Entrada 2 2 3 2" xfId="897" xr:uid="{00000000-0005-0000-0000-0000CB020000}"/>
    <cellStyle name="Entrada 2 2 3 2 2" xfId="1696" xr:uid="{00000000-0005-0000-0000-0000CC020000}"/>
    <cellStyle name="Entrada 2 2 3 3" xfId="1248" xr:uid="{00000000-0005-0000-0000-0000CD020000}"/>
    <cellStyle name="Entrada 2 2 4" xfId="415" xr:uid="{00000000-0005-0000-0000-0000CE020000}"/>
    <cellStyle name="Entrada 2 2 4 2" xfId="930" xr:uid="{00000000-0005-0000-0000-0000CF020000}"/>
    <cellStyle name="Entrada 2 2 4 2 2" xfId="1729" xr:uid="{00000000-0005-0000-0000-0000D0020000}"/>
    <cellStyle name="Entrada 2 2 4 3" xfId="1281" xr:uid="{00000000-0005-0000-0000-0000D1020000}"/>
    <cellStyle name="Entrada 2 2 5" xfId="469" xr:uid="{00000000-0005-0000-0000-0000D2020000}"/>
    <cellStyle name="Entrada 2 2 5 2" xfId="984" xr:uid="{00000000-0005-0000-0000-0000D3020000}"/>
    <cellStyle name="Entrada 2 2 5 2 2" xfId="1783" xr:uid="{00000000-0005-0000-0000-0000D4020000}"/>
    <cellStyle name="Entrada 2 2 5 3" xfId="1335" xr:uid="{00000000-0005-0000-0000-0000D5020000}"/>
    <cellStyle name="Entrada 2 2 6" xfId="428" xr:uid="{00000000-0005-0000-0000-0000D6020000}"/>
    <cellStyle name="Entrada 2 2 6 2" xfId="943" xr:uid="{00000000-0005-0000-0000-0000D7020000}"/>
    <cellStyle name="Entrada 2 2 6 2 2" xfId="1742" xr:uid="{00000000-0005-0000-0000-0000D8020000}"/>
    <cellStyle name="Entrada 2 2 6 3" xfId="1294" xr:uid="{00000000-0005-0000-0000-0000D9020000}"/>
    <cellStyle name="Entrada 2 2 7" xfId="333" xr:uid="{00000000-0005-0000-0000-0000DA020000}"/>
    <cellStyle name="Entrada 2 2 7 2" xfId="848" xr:uid="{00000000-0005-0000-0000-0000DB020000}"/>
    <cellStyle name="Entrada 2 2 7 2 2" xfId="1652" xr:uid="{00000000-0005-0000-0000-0000DC020000}"/>
    <cellStyle name="Entrada 2 2 7 3" xfId="778" xr:uid="{00000000-0005-0000-0000-0000DD020000}"/>
    <cellStyle name="Entrada 2 2 8" xfId="566" xr:uid="{00000000-0005-0000-0000-0000DE020000}"/>
    <cellStyle name="Entrada 2 2 8 2" xfId="1081" xr:uid="{00000000-0005-0000-0000-0000DF020000}"/>
    <cellStyle name="Entrada 2 2 8 2 2" xfId="1880" xr:uid="{00000000-0005-0000-0000-0000E0020000}"/>
    <cellStyle name="Entrada 2 2 8 3" xfId="1432" xr:uid="{00000000-0005-0000-0000-0000E1020000}"/>
    <cellStyle name="Entrada 2 2 9" xfId="516" xr:uid="{00000000-0005-0000-0000-0000E2020000}"/>
    <cellStyle name="Entrada 2 2 9 2" xfId="1031" xr:uid="{00000000-0005-0000-0000-0000E3020000}"/>
    <cellStyle name="Entrada 2 2 9 2 2" xfId="1830" xr:uid="{00000000-0005-0000-0000-0000E4020000}"/>
    <cellStyle name="Entrada 2 2 9 3" xfId="1382" xr:uid="{00000000-0005-0000-0000-0000E5020000}"/>
    <cellStyle name="Entrada 2 3" xfId="105" xr:uid="{00000000-0005-0000-0000-0000E6020000}"/>
    <cellStyle name="Entrada 2 3 10" xfId="493" xr:uid="{00000000-0005-0000-0000-0000E7020000}"/>
    <cellStyle name="Entrada 2 3 10 2" xfId="1008" xr:uid="{00000000-0005-0000-0000-0000E8020000}"/>
    <cellStyle name="Entrada 2 3 10 2 2" xfId="1807" xr:uid="{00000000-0005-0000-0000-0000E9020000}"/>
    <cellStyle name="Entrada 2 3 10 3" xfId="1359" xr:uid="{00000000-0005-0000-0000-0000EA020000}"/>
    <cellStyle name="Entrada 2 3 11" xfId="634" xr:uid="{00000000-0005-0000-0000-0000EB020000}"/>
    <cellStyle name="Entrada 2 3 11 2" xfId="1149" xr:uid="{00000000-0005-0000-0000-0000EC020000}"/>
    <cellStyle name="Entrada 2 3 11 2 2" xfId="1948" xr:uid="{00000000-0005-0000-0000-0000ED020000}"/>
    <cellStyle name="Entrada 2 3 11 3" xfId="1500" xr:uid="{00000000-0005-0000-0000-0000EE020000}"/>
    <cellStyle name="Entrada 2 3 12" xfId="626" xr:uid="{00000000-0005-0000-0000-0000EF020000}"/>
    <cellStyle name="Entrada 2 3 12 2" xfId="1141" xr:uid="{00000000-0005-0000-0000-0000F0020000}"/>
    <cellStyle name="Entrada 2 3 12 2 2" xfId="1940" xr:uid="{00000000-0005-0000-0000-0000F1020000}"/>
    <cellStyle name="Entrada 2 3 12 3" xfId="1492" xr:uid="{00000000-0005-0000-0000-0000F2020000}"/>
    <cellStyle name="Entrada 2 3 2" xfId="263" xr:uid="{00000000-0005-0000-0000-0000F3020000}"/>
    <cellStyle name="Entrada 2 3 2 2" xfId="1206" xr:uid="{00000000-0005-0000-0000-0000F4020000}"/>
    <cellStyle name="Entrada 2 3 2 2 2" xfId="1978" xr:uid="{00000000-0005-0000-0000-0000F5020000}"/>
    <cellStyle name="Entrada 2 3 2 3" xfId="1551" xr:uid="{00000000-0005-0000-0000-0000F6020000}"/>
    <cellStyle name="Entrada 2 3 3" xfId="374" xr:uid="{00000000-0005-0000-0000-0000F7020000}"/>
    <cellStyle name="Entrada 2 3 3 2" xfId="889" xr:uid="{00000000-0005-0000-0000-0000F8020000}"/>
    <cellStyle name="Entrada 2 3 3 2 2" xfId="1688" xr:uid="{00000000-0005-0000-0000-0000F9020000}"/>
    <cellStyle name="Entrada 2 3 3 3" xfId="1240" xr:uid="{00000000-0005-0000-0000-0000FA020000}"/>
    <cellStyle name="Entrada 2 3 4" xfId="407" xr:uid="{00000000-0005-0000-0000-0000FB020000}"/>
    <cellStyle name="Entrada 2 3 4 2" xfId="922" xr:uid="{00000000-0005-0000-0000-0000FC020000}"/>
    <cellStyle name="Entrada 2 3 4 2 2" xfId="1721" xr:uid="{00000000-0005-0000-0000-0000FD020000}"/>
    <cellStyle name="Entrada 2 3 4 3" xfId="1273" xr:uid="{00000000-0005-0000-0000-0000FE020000}"/>
    <cellStyle name="Entrada 2 3 5" xfId="461" xr:uid="{00000000-0005-0000-0000-0000FF020000}"/>
    <cellStyle name="Entrada 2 3 5 2" xfId="976" xr:uid="{00000000-0005-0000-0000-000000030000}"/>
    <cellStyle name="Entrada 2 3 5 2 2" xfId="1775" xr:uid="{00000000-0005-0000-0000-000001030000}"/>
    <cellStyle name="Entrada 2 3 5 3" xfId="1327" xr:uid="{00000000-0005-0000-0000-000002030000}"/>
    <cellStyle name="Entrada 2 3 6" xfId="335" xr:uid="{00000000-0005-0000-0000-000003030000}"/>
    <cellStyle name="Entrada 2 3 6 2" xfId="850" xr:uid="{00000000-0005-0000-0000-000004030000}"/>
    <cellStyle name="Entrada 2 3 6 2 2" xfId="1654" xr:uid="{00000000-0005-0000-0000-000005030000}"/>
    <cellStyle name="Entrada 2 3 6 3" xfId="1173" xr:uid="{00000000-0005-0000-0000-000006030000}"/>
    <cellStyle name="Entrada 2 3 7" xfId="436" xr:uid="{00000000-0005-0000-0000-000007030000}"/>
    <cellStyle name="Entrada 2 3 7 2" xfId="951" xr:uid="{00000000-0005-0000-0000-000008030000}"/>
    <cellStyle name="Entrada 2 3 7 2 2" xfId="1750" xr:uid="{00000000-0005-0000-0000-000009030000}"/>
    <cellStyle name="Entrada 2 3 7 3" xfId="1302" xr:uid="{00000000-0005-0000-0000-00000A030000}"/>
    <cellStyle name="Entrada 2 3 8" xfId="558" xr:uid="{00000000-0005-0000-0000-00000B030000}"/>
    <cellStyle name="Entrada 2 3 8 2" xfId="1073" xr:uid="{00000000-0005-0000-0000-00000C030000}"/>
    <cellStyle name="Entrada 2 3 8 2 2" xfId="1872" xr:uid="{00000000-0005-0000-0000-00000D030000}"/>
    <cellStyle name="Entrada 2 3 8 3" xfId="1424" xr:uid="{00000000-0005-0000-0000-00000E030000}"/>
    <cellStyle name="Entrada 2 3 9" xfId="530" xr:uid="{00000000-0005-0000-0000-00000F030000}"/>
    <cellStyle name="Entrada 2 3 9 2" xfId="1045" xr:uid="{00000000-0005-0000-0000-000010030000}"/>
    <cellStyle name="Entrada 2 3 9 2 2" xfId="1844" xr:uid="{00000000-0005-0000-0000-000011030000}"/>
    <cellStyle name="Entrada 2 3 9 3" xfId="1396" xr:uid="{00000000-0005-0000-0000-000012030000}"/>
    <cellStyle name="Entrada 2 4" xfId="109" xr:uid="{00000000-0005-0000-0000-000013030000}"/>
    <cellStyle name="Entrada 2 4 10" xfId="581" xr:uid="{00000000-0005-0000-0000-000014030000}"/>
    <cellStyle name="Entrada 2 4 10 2" xfId="1096" xr:uid="{00000000-0005-0000-0000-000015030000}"/>
    <cellStyle name="Entrada 2 4 10 2 2" xfId="1895" xr:uid="{00000000-0005-0000-0000-000016030000}"/>
    <cellStyle name="Entrada 2 4 10 3" xfId="1447" xr:uid="{00000000-0005-0000-0000-000017030000}"/>
    <cellStyle name="Entrada 2 4 11" xfId="635" xr:uid="{00000000-0005-0000-0000-000018030000}"/>
    <cellStyle name="Entrada 2 4 11 2" xfId="1150" xr:uid="{00000000-0005-0000-0000-000019030000}"/>
    <cellStyle name="Entrada 2 4 11 2 2" xfId="1949" xr:uid="{00000000-0005-0000-0000-00001A030000}"/>
    <cellStyle name="Entrada 2 4 11 3" xfId="1501" xr:uid="{00000000-0005-0000-0000-00001B030000}"/>
    <cellStyle name="Entrada 2 4 12" xfId="628" xr:uid="{00000000-0005-0000-0000-00001C030000}"/>
    <cellStyle name="Entrada 2 4 12 2" xfId="1143" xr:uid="{00000000-0005-0000-0000-00001D030000}"/>
    <cellStyle name="Entrada 2 4 12 2 2" xfId="1942" xr:uid="{00000000-0005-0000-0000-00001E030000}"/>
    <cellStyle name="Entrada 2 4 12 3" xfId="1494" xr:uid="{00000000-0005-0000-0000-00001F030000}"/>
    <cellStyle name="Entrada 2 4 2" xfId="267" xr:uid="{00000000-0005-0000-0000-000020030000}"/>
    <cellStyle name="Entrada 2 4 2 2" xfId="1203" xr:uid="{00000000-0005-0000-0000-000021030000}"/>
    <cellStyle name="Entrada 2 4 2 2 2" xfId="1975" xr:uid="{00000000-0005-0000-0000-000022030000}"/>
    <cellStyle name="Entrada 2 4 2 3" xfId="1555" xr:uid="{00000000-0005-0000-0000-000023030000}"/>
    <cellStyle name="Entrada 2 4 3" xfId="378" xr:uid="{00000000-0005-0000-0000-000024030000}"/>
    <cellStyle name="Entrada 2 4 3 2" xfId="893" xr:uid="{00000000-0005-0000-0000-000025030000}"/>
    <cellStyle name="Entrada 2 4 3 2 2" xfId="1692" xr:uid="{00000000-0005-0000-0000-000026030000}"/>
    <cellStyle name="Entrada 2 4 3 3" xfId="1244" xr:uid="{00000000-0005-0000-0000-000027030000}"/>
    <cellStyle name="Entrada 2 4 4" xfId="411" xr:uid="{00000000-0005-0000-0000-000028030000}"/>
    <cellStyle name="Entrada 2 4 4 2" xfId="926" xr:uid="{00000000-0005-0000-0000-000029030000}"/>
    <cellStyle name="Entrada 2 4 4 2 2" xfId="1725" xr:uid="{00000000-0005-0000-0000-00002A030000}"/>
    <cellStyle name="Entrada 2 4 4 3" xfId="1277" xr:uid="{00000000-0005-0000-0000-00002B030000}"/>
    <cellStyle name="Entrada 2 4 5" xfId="465" xr:uid="{00000000-0005-0000-0000-00002C030000}"/>
    <cellStyle name="Entrada 2 4 5 2" xfId="980" xr:uid="{00000000-0005-0000-0000-00002D030000}"/>
    <cellStyle name="Entrada 2 4 5 2 2" xfId="1779" xr:uid="{00000000-0005-0000-0000-00002E030000}"/>
    <cellStyle name="Entrada 2 4 5 3" xfId="1331" xr:uid="{00000000-0005-0000-0000-00002F030000}"/>
    <cellStyle name="Entrada 2 4 6" xfId="427" xr:uid="{00000000-0005-0000-0000-000030030000}"/>
    <cellStyle name="Entrada 2 4 6 2" xfId="942" xr:uid="{00000000-0005-0000-0000-000031030000}"/>
    <cellStyle name="Entrada 2 4 6 2 2" xfId="1741" xr:uid="{00000000-0005-0000-0000-000032030000}"/>
    <cellStyle name="Entrada 2 4 6 3" xfId="1293" xr:uid="{00000000-0005-0000-0000-000033030000}"/>
    <cellStyle name="Entrada 2 4 7" xfId="449" xr:uid="{00000000-0005-0000-0000-000034030000}"/>
    <cellStyle name="Entrada 2 4 7 2" xfId="964" xr:uid="{00000000-0005-0000-0000-000035030000}"/>
    <cellStyle name="Entrada 2 4 7 2 2" xfId="1763" xr:uid="{00000000-0005-0000-0000-000036030000}"/>
    <cellStyle name="Entrada 2 4 7 3" xfId="1315" xr:uid="{00000000-0005-0000-0000-000037030000}"/>
    <cellStyle name="Entrada 2 4 8" xfId="562" xr:uid="{00000000-0005-0000-0000-000038030000}"/>
    <cellStyle name="Entrada 2 4 8 2" xfId="1077" xr:uid="{00000000-0005-0000-0000-000039030000}"/>
    <cellStyle name="Entrada 2 4 8 2 2" xfId="1876" xr:uid="{00000000-0005-0000-0000-00003A030000}"/>
    <cellStyle name="Entrada 2 4 8 3" xfId="1428" xr:uid="{00000000-0005-0000-0000-00003B030000}"/>
    <cellStyle name="Entrada 2 4 9" xfId="525" xr:uid="{00000000-0005-0000-0000-00003C030000}"/>
    <cellStyle name="Entrada 2 4 9 2" xfId="1040" xr:uid="{00000000-0005-0000-0000-00003D030000}"/>
    <cellStyle name="Entrada 2 4 9 2 2" xfId="1839" xr:uid="{00000000-0005-0000-0000-00003E030000}"/>
    <cellStyle name="Entrada 2 4 9 3" xfId="1391" xr:uid="{00000000-0005-0000-0000-00003F030000}"/>
    <cellStyle name="Entrada 2 5" xfId="247" xr:uid="{00000000-0005-0000-0000-000040030000}"/>
    <cellStyle name="Entrada 2 5 2" xfId="770" xr:uid="{00000000-0005-0000-0000-000041030000}"/>
    <cellStyle name="Entrada 2 5 2 2" xfId="1589" xr:uid="{00000000-0005-0000-0000-000042030000}"/>
    <cellStyle name="Entrada 2 5 3" xfId="1535" xr:uid="{00000000-0005-0000-0000-000043030000}"/>
    <cellStyle name="Entrada 2 6" xfId="324" xr:uid="{00000000-0005-0000-0000-000044030000}"/>
    <cellStyle name="Entrada 2 6 2" xfId="839" xr:uid="{00000000-0005-0000-0000-000045030000}"/>
    <cellStyle name="Entrada 2 6 2 2" xfId="1643" xr:uid="{00000000-0005-0000-0000-000046030000}"/>
    <cellStyle name="Entrada 2 6 3" xfId="1177" xr:uid="{00000000-0005-0000-0000-000047030000}"/>
    <cellStyle name="Entrada 2 7" xfId="331" xr:uid="{00000000-0005-0000-0000-000048030000}"/>
    <cellStyle name="Entrada 2 7 2" xfId="846" xr:uid="{00000000-0005-0000-0000-000049030000}"/>
    <cellStyle name="Entrada 2 7 2 2" xfId="1650" xr:uid="{00000000-0005-0000-0000-00004A030000}"/>
    <cellStyle name="Entrada 2 7 3" xfId="745" xr:uid="{00000000-0005-0000-0000-00004B030000}"/>
    <cellStyle name="Entrada 2 8" xfId="289" xr:uid="{00000000-0005-0000-0000-00004C030000}"/>
    <cellStyle name="Entrada 2 8 2" xfId="804" xr:uid="{00000000-0005-0000-0000-00004D030000}"/>
    <cellStyle name="Entrada 2 8 2 2" xfId="1609" xr:uid="{00000000-0005-0000-0000-00004E030000}"/>
    <cellStyle name="Entrada 2 8 3" xfId="760" xr:uid="{00000000-0005-0000-0000-00004F030000}"/>
    <cellStyle name="Entrada 2 9" xfId="322" xr:uid="{00000000-0005-0000-0000-000050030000}"/>
    <cellStyle name="Entrada 2 9 2" xfId="837" xr:uid="{00000000-0005-0000-0000-000051030000}"/>
    <cellStyle name="Entrada 2 9 2 2" xfId="1641" xr:uid="{00000000-0005-0000-0000-000052030000}"/>
    <cellStyle name="Entrada 2 9 3" xfId="1179" xr:uid="{00000000-0005-0000-0000-000053030000}"/>
    <cellStyle name="Entrada 3" xfId="707" xr:uid="{00000000-0005-0000-0000-000054030000}"/>
    <cellStyle name="Entrada 3 2" xfId="1209" xr:uid="{00000000-0005-0000-0000-000055030000}"/>
    <cellStyle name="Entrada 3 2 2" xfId="1981" xr:uid="{00000000-0005-0000-0000-000056030000}"/>
    <cellStyle name="Entrada 3 3" xfId="1520" xr:uid="{00000000-0005-0000-0000-000057030000}"/>
    <cellStyle name="Excel Built-in Normal" xfId="732" xr:uid="{00000000-0005-0000-0000-000058030000}"/>
    <cellStyle name="Explanatory Text" xfId="708" xr:uid="{00000000-0005-0000-0000-000059030000}"/>
    <cellStyle name="Fixo" xfId="140" xr:uid="{00000000-0005-0000-0000-00005A030000}"/>
    <cellStyle name="Good" xfId="709" xr:uid="{00000000-0005-0000-0000-00005B030000}"/>
    <cellStyle name="Heading" xfId="141" xr:uid="{00000000-0005-0000-0000-00005C030000}"/>
    <cellStyle name="Heading 1" xfId="710" xr:uid="{00000000-0005-0000-0000-00005D030000}"/>
    <cellStyle name="Heading 2" xfId="711" xr:uid="{00000000-0005-0000-0000-00005E030000}"/>
    <cellStyle name="Heading 3" xfId="712" xr:uid="{00000000-0005-0000-0000-00005F030000}"/>
    <cellStyle name="Heading 4" xfId="713" xr:uid="{00000000-0005-0000-0000-000060030000}"/>
    <cellStyle name="Heading1" xfId="142" xr:uid="{00000000-0005-0000-0000-000061030000}"/>
    <cellStyle name="Hiperlink 2" xfId="93" xr:uid="{00000000-0005-0000-0000-000062030000}"/>
    <cellStyle name="Hiperlink 2 2" xfId="1995" xr:uid="{00000000-0005-0000-0000-000063030000}"/>
    <cellStyle name="Hyperlink 2" xfId="143" xr:uid="{00000000-0005-0000-0000-000064030000}"/>
    <cellStyle name="Incorreto 2" xfId="58" xr:uid="{00000000-0005-0000-0000-000065030000}"/>
    <cellStyle name="Incorreto 3" xfId="714" xr:uid="{00000000-0005-0000-0000-000066030000}"/>
    <cellStyle name="Input" xfId="715" xr:uid="{00000000-0005-0000-0000-000067030000}"/>
    <cellStyle name="Input 2" xfId="1210" xr:uid="{00000000-0005-0000-0000-000068030000}"/>
    <cellStyle name="Input 2 2" xfId="1982" xr:uid="{00000000-0005-0000-0000-000069030000}"/>
    <cellStyle name="Input 3" xfId="1521" xr:uid="{00000000-0005-0000-0000-00006A030000}"/>
    <cellStyle name="Linked Cell" xfId="716" xr:uid="{00000000-0005-0000-0000-00006B030000}"/>
    <cellStyle name="Moeda" xfId="2" builtinId="4"/>
    <cellStyle name="Moeda 10" xfId="1992" xr:uid="{00000000-0005-0000-0000-00006D030000}"/>
    <cellStyle name="Moeda 2" xfId="15" xr:uid="{00000000-0005-0000-0000-00006E030000}"/>
    <cellStyle name="Moeda 2 2" xfId="60" xr:uid="{00000000-0005-0000-0000-00006F030000}"/>
    <cellStyle name="Moeda 2 3" xfId="59" xr:uid="{00000000-0005-0000-0000-000070030000}"/>
    <cellStyle name="Moeda 2 4" xfId="145" xr:uid="{00000000-0005-0000-0000-000071030000}"/>
    <cellStyle name="Moeda 2 5" xfId="1572" xr:uid="{00000000-0005-0000-0000-000072030000}"/>
    <cellStyle name="Moeda 3" xfId="61" xr:uid="{00000000-0005-0000-0000-000073030000}"/>
    <cellStyle name="Moeda 3 2" xfId="62" xr:uid="{00000000-0005-0000-0000-000074030000}"/>
    <cellStyle name="Moeda 3 2 2" xfId="147" xr:uid="{00000000-0005-0000-0000-000075030000}"/>
    <cellStyle name="Moeda 3 3" xfId="146" xr:uid="{00000000-0005-0000-0000-000076030000}"/>
    <cellStyle name="Moeda 4" xfId="63" xr:uid="{00000000-0005-0000-0000-000077030000}"/>
    <cellStyle name="Moeda 4 2" xfId="148" xr:uid="{00000000-0005-0000-0000-000078030000}"/>
    <cellStyle name="Moeda 5" xfId="88" xr:uid="{00000000-0005-0000-0000-000079030000}"/>
    <cellStyle name="Moeda 6" xfId="144" xr:uid="{00000000-0005-0000-0000-00007A030000}"/>
    <cellStyle name="Moeda 7" xfId="286" xr:uid="{00000000-0005-0000-0000-00007B030000}"/>
    <cellStyle name="Moeda 7 2" xfId="801" xr:uid="{00000000-0005-0000-0000-00007C030000}"/>
    <cellStyle name="Moeda 8" xfId="733" xr:uid="{00000000-0005-0000-0000-00007D030000}"/>
    <cellStyle name="Moeda 9" xfId="739" xr:uid="{00000000-0005-0000-0000-00007E030000}"/>
    <cellStyle name="Neutra 2" xfId="64" xr:uid="{00000000-0005-0000-0000-00007F030000}"/>
    <cellStyle name="Neutra 3" xfId="717" xr:uid="{00000000-0005-0000-0000-000080030000}"/>
    <cellStyle name="Neutral" xfId="718" xr:uid="{00000000-0005-0000-0000-000081030000}"/>
    <cellStyle name="Normal" xfId="0" builtinId="0"/>
    <cellStyle name="Normal 10" xfId="149" xr:uid="{00000000-0005-0000-0000-000083030000}"/>
    <cellStyle name="Normal 11" xfId="150" xr:uid="{00000000-0005-0000-0000-000084030000}"/>
    <cellStyle name="Normal 12" xfId="151" xr:uid="{00000000-0005-0000-0000-000085030000}"/>
    <cellStyle name="Normal 13" xfId="152" xr:uid="{00000000-0005-0000-0000-000086030000}"/>
    <cellStyle name="Normal 14" xfId="153" xr:uid="{00000000-0005-0000-0000-000087030000}"/>
    <cellStyle name="Normal 15" xfId="154" xr:uid="{00000000-0005-0000-0000-000088030000}"/>
    <cellStyle name="Normal 16" xfId="155" xr:uid="{00000000-0005-0000-0000-000089030000}"/>
    <cellStyle name="Normal 17" xfId="156" xr:uid="{00000000-0005-0000-0000-00008A030000}"/>
    <cellStyle name="Normal 18" xfId="157" xr:uid="{00000000-0005-0000-0000-00008B030000}"/>
    <cellStyle name="Normal 19" xfId="158" xr:uid="{00000000-0005-0000-0000-00008C030000}"/>
    <cellStyle name="Normal 2" xfId="5" xr:uid="{00000000-0005-0000-0000-00008D030000}"/>
    <cellStyle name="Normal 2 10" xfId="160" xr:uid="{00000000-0005-0000-0000-00008E030000}"/>
    <cellStyle name="Normal 2 11" xfId="161" xr:uid="{00000000-0005-0000-0000-00008F030000}"/>
    <cellStyle name="Normal 2 12" xfId="162" xr:uid="{00000000-0005-0000-0000-000090030000}"/>
    <cellStyle name="Normal 2 13" xfId="163" xr:uid="{00000000-0005-0000-0000-000091030000}"/>
    <cellStyle name="Normal 2 14" xfId="164" xr:uid="{00000000-0005-0000-0000-000092030000}"/>
    <cellStyle name="Normal 2 15" xfId="165" xr:uid="{00000000-0005-0000-0000-000093030000}"/>
    <cellStyle name="Normal 2 16" xfId="166" xr:uid="{00000000-0005-0000-0000-000094030000}"/>
    <cellStyle name="Normal 2 17" xfId="167" xr:uid="{00000000-0005-0000-0000-000095030000}"/>
    <cellStyle name="Normal 2 18" xfId="168" xr:uid="{00000000-0005-0000-0000-000096030000}"/>
    <cellStyle name="Normal 2 19" xfId="169" xr:uid="{00000000-0005-0000-0000-000097030000}"/>
    <cellStyle name="Normal 2 2" xfId="10" xr:uid="{00000000-0005-0000-0000-000098030000}"/>
    <cellStyle name="Normal 2 2 2" xfId="1577" xr:uid="{00000000-0005-0000-0000-000099030000}"/>
    <cellStyle name="Normal 2 20" xfId="170" xr:uid="{00000000-0005-0000-0000-00009A030000}"/>
    <cellStyle name="Normal 2 21" xfId="171" xr:uid="{00000000-0005-0000-0000-00009B030000}"/>
    <cellStyle name="Normal 2 22" xfId="159" xr:uid="{00000000-0005-0000-0000-00009C030000}"/>
    <cellStyle name="Normal 2 23" xfId="2000" xr:uid="{00000000-0005-0000-0000-00009D030000}"/>
    <cellStyle name="Normal 2 3" xfId="65" xr:uid="{00000000-0005-0000-0000-00009E030000}"/>
    <cellStyle name="Normal 2 3 2" xfId="1571" xr:uid="{00000000-0005-0000-0000-00009F030000}"/>
    <cellStyle name="Normal 2 4" xfId="66" xr:uid="{00000000-0005-0000-0000-0000A0030000}"/>
    <cellStyle name="Normal 2 5" xfId="172" xr:uid="{00000000-0005-0000-0000-0000A1030000}"/>
    <cellStyle name="Normal 2 6" xfId="173" xr:uid="{00000000-0005-0000-0000-0000A2030000}"/>
    <cellStyle name="Normal 2 7" xfId="174" xr:uid="{00000000-0005-0000-0000-0000A3030000}"/>
    <cellStyle name="Normal 2 8" xfId="175" xr:uid="{00000000-0005-0000-0000-0000A4030000}"/>
    <cellStyle name="Normal 2 9" xfId="176" xr:uid="{00000000-0005-0000-0000-0000A5030000}"/>
    <cellStyle name="Normal 20" xfId="177" xr:uid="{00000000-0005-0000-0000-0000A6030000}"/>
    <cellStyle name="Normal 21" xfId="178" xr:uid="{00000000-0005-0000-0000-0000A7030000}"/>
    <cellStyle name="Normal 22" xfId="179" xr:uid="{00000000-0005-0000-0000-0000A8030000}"/>
    <cellStyle name="Normal 23" xfId="180" xr:uid="{00000000-0005-0000-0000-0000A9030000}"/>
    <cellStyle name="Normal 24" xfId="181" xr:uid="{00000000-0005-0000-0000-0000AA030000}"/>
    <cellStyle name="Normal 25" xfId="182" xr:uid="{00000000-0005-0000-0000-0000AB030000}"/>
    <cellStyle name="Normal 26" xfId="183" xr:uid="{00000000-0005-0000-0000-0000AC030000}"/>
    <cellStyle name="Normal 27" xfId="184" xr:uid="{00000000-0005-0000-0000-0000AD030000}"/>
    <cellStyle name="Normal 28" xfId="185" xr:uid="{00000000-0005-0000-0000-0000AE030000}"/>
    <cellStyle name="Normal 29" xfId="186" xr:uid="{00000000-0005-0000-0000-0000AF030000}"/>
    <cellStyle name="Normal 3" xfId="12" xr:uid="{00000000-0005-0000-0000-0000B0030000}"/>
    <cellStyle name="Normal 3 2" xfId="67" xr:uid="{00000000-0005-0000-0000-0000B1030000}"/>
    <cellStyle name="Normal 3 3" xfId="86" xr:uid="{00000000-0005-0000-0000-0000B2030000}"/>
    <cellStyle name="Normal 3 3 2" xfId="734" xr:uid="{00000000-0005-0000-0000-0000B3030000}"/>
    <cellStyle name="Normal 3 4" xfId="89" xr:uid="{00000000-0005-0000-0000-0000B4030000}"/>
    <cellStyle name="Normal 3 5" xfId="92" xr:uid="{00000000-0005-0000-0000-0000B5030000}"/>
    <cellStyle name="Normal 3 6" xfId="187" xr:uid="{00000000-0005-0000-0000-0000B6030000}"/>
    <cellStyle name="Normal 30" xfId="188" xr:uid="{00000000-0005-0000-0000-0000B7030000}"/>
    <cellStyle name="Normal 31" xfId="189" xr:uid="{00000000-0005-0000-0000-0000B8030000}"/>
    <cellStyle name="Normal 32" xfId="190" xr:uid="{00000000-0005-0000-0000-0000B9030000}"/>
    <cellStyle name="Normal 33" xfId="191" xr:uid="{00000000-0005-0000-0000-0000BA030000}"/>
    <cellStyle name="Normal 34" xfId="192" xr:uid="{00000000-0005-0000-0000-0000BB030000}"/>
    <cellStyle name="Normal 35" xfId="193" xr:uid="{00000000-0005-0000-0000-0000BC030000}"/>
    <cellStyle name="Normal 36" xfId="194" xr:uid="{00000000-0005-0000-0000-0000BD030000}"/>
    <cellStyle name="Normal 37" xfId="195" xr:uid="{00000000-0005-0000-0000-0000BE030000}"/>
    <cellStyle name="Normal 38" xfId="196" xr:uid="{00000000-0005-0000-0000-0000BF030000}"/>
    <cellStyle name="Normal 39" xfId="197" xr:uid="{00000000-0005-0000-0000-0000C0030000}"/>
    <cellStyle name="Normal 4" xfId="68" xr:uid="{00000000-0005-0000-0000-0000C1030000}"/>
    <cellStyle name="Normal 4 2" xfId="198" xr:uid="{00000000-0005-0000-0000-0000C2030000}"/>
    <cellStyle name="Normal 40" xfId="199" xr:uid="{00000000-0005-0000-0000-0000C3030000}"/>
    <cellStyle name="Normal 41" xfId="200" xr:uid="{00000000-0005-0000-0000-0000C4030000}"/>
    <cellStyle name="Normal 42" xfId="201" xr:uid="{00000000-0005-0000-0000-0000C5030000}"/>
    <cellStyle name="Normal 43" xfId="202" xr:uid="{00000000-0005-0000-0000-0000C6030000}"/>
    <cellStyle name="Normal 44" xfId="203" xr:uid="{00000000-0005-0000-0000-0000C7030000}"/>
    <cellStyle name="Normal 45" xfId="204" xr:uid="{00000000-0005-0000-0000-0000C8030000}"/>
    <cellStyle name="Normal 46" xfId="205" xr:uid="{00000000-0005-0000-0000-0000C9030000}"/>
    <cellStyle name="Normal 47" xfId="206" xr:uid="{00000000-0005-0000-0000-0000CA030000}"/>
    <cellStyle name="Normal 48" xfId="207" xr:uid="{00000000-0005-0000-0000-0000CB030000}"/>
    <cellStyle name="Normal 49" xfId="208" xr:uid="{00000000-0005-0000-0000-0000CC030000}"/>
    <cellStyle name="Normal 5" xfId="16" xr:uid="{00000000-0005-0000-0000-0000CD030000}"/>
    <cellStyle name="Normal 50" xfId="1988" xr:uid="{00000000-0005-0000-0000-0000CE030000}"/>
    <cellStyle name="Normal 51" xfId="1998" xr:uid="{00000000-0005-0000-0000-0000CF030000}"/>
    <cellStyle name="Normal 52" xfId="1999" xr:uid="{00000000-0005-0000-0000-0000D0030000}"/>
    <cellStyle name="Normal 6" xfId="87" xr:uid="{00000000-0005-0000-0000-0000D1030000}"/>
    <cellStyle name="Normal 6 2" xfId="210" xr:uid="{00000000-0005-0000-0000-0000D2030000}"/>
    <cellStyle name="Normal 6 3" xfId="209" xr:uid="{00000000-0005-0000-0000-0000D3030000}"/>
    <cellStyle name="Normal 6 4" xfId="1528" xr:uid="{00000000-0005-0000-0000-0000D4030000}"/>
    <cellStyle name="Normal 7" xfId="7" xr:uid="{00000000-0005-0000-0000-0000D5030000}"/>
    <cellStyle name="Normal 7 2" xfId="211" xr:uid="{00000000-0005-0000-0000-0000D6030000}"/>
    <cellStyle name="Normal 8" xfId="212" xr:uid="{00000000-0005-0000-0000-0000D7030000}"/>
    <cellStyle name="Normal 8 2" xfId="1994" xr:uid="{00000000-0005-0000-0000-0000D8030000}"/>
    <cellStyle name="Normal 9" xfId="213" xr:uid="{00000000-0005-0000-0000-0000D9030000}"/>
    <cellStyle name="Normal_ORÇAMENTO" xfId="4" xr:uid="{00000000-0005-0000-0000-0000DA030000}"/>
    <cellStyle name="Normal_Pesquisa no referencial 10 de maio de 2013" xfId="243" xr:uid="{00000000-0005-0000-0000-0000DB030000}"/>
    <cellStyle name="Normal_Pesquisa no referencial 10 de maio de 2013 2" xfId="1527" xr:uid="{00000000-0005-0000-0000-0000DC030000}"/>
    <cellStyle name="Nota 2" xfId="69" xr:uid="{00000000-0005-0000-0000-0000DD030000}"/>
    <cellStyle name="Nota 2 10" xfId="497" xr:uid="{00000000-0005-0000-0000-0000DE030000}"/>
    <cellStyle name="Nota 2 10 2" xfId="1012" xr:uid="{00000000-0005-0000-0000-0000DF030000}"/>
    <cellStyle name="Nota 2 10 2 2" xfId="1811" xr:uid="{00000000-0005-0000-0000-0000E0030000}"/>
    <cellStyle name="Nota 2 10 3" xfId="1363" xr:uid="{00000000-0005-0000-0000-0000E1030000}"/>
    <cellStyle name="Nota 2 11" xfId="446" xr:uid="{00000000-0005-0000-0000-0000E2030000}"/>
    <cellStyle name="Nota 2 11 2" xfId="961" xr:uid="{00000000-0005-0000-0000-0000E3030000}"/>
    <cellStyle name="Nota 2 11 2 2" xfId="1760" xr:uid="{00000000-0005-0000-0000-0000E4030000}"/>
    <cellStyle name="Nota 2 11 3" xfId="1312" xr:uid="{00000000-0005-0000-0000-0000E5030000}"/>
    <cellStyle name="Nota 2 12" xfId="490" xr:uid="{00000000-0005-0000-0000-0000E6030000}"/>
    <cellStyle name="Nota 2 12 2" xfId="1005" xr:uid="{00000000-0005-0000-0000-0000E7030000}"/>
    <cellStyle name="Nota 2 12 2 2" xfId="1804" xr:uid="{00000000-0005-0000-0000-0000E8030000}"/>
    <cellStyle name="Nota 2 12 3" xfId="1356" xr:uid="{00000000-0005-0000-0000-0000E9030000}"/>
    <cellStyle name="Nota 2 13" xfId="594" xr:uid="{00000000-0005-0000-0000-0000EA030000}"/>
    <cellStyle name="Nota 2 13 2" xfId="1109" xr:uid="{00000000-0005-0000-0000-0000EB030000}"/>
    <cellStyle name="Nota 2 13 2 2" xfId="1908" xr:uid="{00000000-0005-0000-0000-0000EC030000}"/>
    <cellStyle name="Nota 2 13 3" xfId="1460" xr:uid="{00000000-0005-0000-0000-0000ED030000}"/>
    <cellStyle name="Nota 2 14" xfId="612" xr:uid="{00000000-0005-0000-0000-0000EE030000}"/>
    <cellStyle name="Nota 2 14 2" xfId="1127" xr:uid="{00000000-0005-0000-0000-0000EF030000}"/>
    <cellStyle name="Nota 2 14 2 2" xfId="1926" xr:uid="{00000000-0005-0000-0000-0000F0030000}"/>
    <cellStyle name="Nota 2 14 3" xfId="1478" xr:uid="{00000000-0005-0000-0000-0000F1030000}"/>
    <cellStyle name="Nota 2 15" xfId="591" xr:uid="{00000000-0005-0000-0000-0000F2030000}"/>
    <cellStyle name="Nota 2 15 2" xfId="1106" xr:uid="{00000000-0005-0000-0000-0000F3030000}"/>
    <cellStyle name="Nota 2 15 2 2" xfId="1905" xr:uid="{00000000-0005-0000-0000-0000F4030000}"/>
    <cellStyle name="Nota 2 15 3" xfId="1457" xr:uid="{00000000-0005-0000-0000-0000F5030000}"/>
    <cellStyle name="Nota 2 16" xfId="605" xr:uid="{00000000-0005-0000-0000-0000F6030000}"/>
    <cellStyle name="Nota 2 16 2" xfId="1120" xr:uid="{00000000-0005-0000-0000-0000F7030000}"/>
    <cellStyle name="Nota 2 16 2 2" xfId="1919" xr:uid="{00000000-0005-0000-0000-0000F8030000}"/>
    <cellStyle name="Nota 2 16 3" xfId="1471" xr:uid="{00000000-0005-0000-0000-0000F9030000}"/>
    <cellStyle name="Nota 2 2" xfId="116" xr:uid="{00000000-0005-0000-0000-0000FA030000}"/>
    <cellStyle name="Nota 2 2 10" xfId="519" xr:uid="{00000000-0005-0000-0000-0000FB030000}"/>
    <cellStyle name="Nota 2 2 10 2" xfId="1034" xr:uid="{00000000-0005-0000-0000-0000FC030000}"/>
    <cellStyle name="Nota 2 2 10 2 2" xfId="1833" xr:uid="{00000000-0005-0000-0000-0000FD030000}"/>
    <cellStyle name="Nota 2 2 10 3" xfId="1385" xr:uid="{00000000-0005-0000-0000-0000FE030000}"/>
    <cellStyle name="Nota 2 2 11" xfId="622" xr:uid="{00000000-0005-0000-0000-0000FF030000}"/>
    <cellStyle name="Nota 2 2 11 2" xfId="1137" xr:uid="{00000000-0005-0000-0000-000000040000}"/>
    <cellStyle name="Nota 2 2 11 2 2" xfId="1936" xr:uid="{00000000-0005-0000-0000-000001040000}"/>
    <cellStyle name="Nota 2 2 11 3" xfId="1488" xr:uid="{00000000-0005-0000-0000-000002040000}"/>
    <cellStyle name="Nota 2 2 12" xfId="640" xr:uid="{00000000-0005-0000-0000-000003040000}"/>
    <cellStyle name="Nota 2 2 12 2" xfId="1155" xr:uid="{00000000-0005-0000-0000-000004040000}"/>
    <cellStyle name="Nota 2 2 12 2 2" xfId="1954" xr:uid="{00000000-0005-0000-0000-000005040000}"/>
    <cellStyle name="Nota 2 2 12 3" xfId="1506" xr:uid="{00000000-0005-0000-0000-000006040000}"/>
    <cellStyle name="Nota 2 2 2" xfId="274" xr:uid="{00000000-0005-0000-0000-000007040000}"/>
    <cellStyle name="Nota 2 2 2 2" xfId="1562" xr:uid="{00000000-0005-0000-0000-000008040000}"/>
    <cellStyle name="Nota 2 2 3" xfId="385" xr:uid="{00000000-0005-0000-0000-000009040000}"/>
    <cellStyle name="Nota 2 2 3 2" xfId="900" xr:uid="{00000000-0005-0000-0000-00000A040000}"/>
    <cellStyle name="Nota 2 2 3 2 2" xfId="1699" xr:uid="{00000000-0005-0000-0000-00000B040000}"/>
    <cellStyle name="Nota 2 2 3 3" xfId="1251" xr:uid="{00000000-0005-0000-0000-00000C040000}"/>
    <cellStyle name="Nota 2 2 4" xfId="418" xr:uid="{00000000-0005-0000-0000-00000D040000}"/>
    <cellStyle name="Nota 2 2 4 2" xfId="933" xr:uid="{00000000-0005-0000-0000-00000E040000}"/>
    <cellStyle name="Nota 2 2 4 2 2" xfId="1732" xr:uid="{00000000-0005-0000-0000-00000F040000}"/>
    <cellStyle name="Nota 2 2 4 3" xfId="1284" xr:uid="{00000000-0005-0000-0000-000010040000}"/>
    <cellStyle name="Nota 2 2 5" xfId="472" xr:uid="{00000000-0005-0000-0000-000011040000}"/>
    <cellStyle name="Nota 2 2 5 2" xfId="987" xr:uid="{00000000-0005-0000-0000-000012040000}"/>
    <cellStyle name="Nota 2 2 5 2 2" xfId="1786" xr:uid="{00000000-0005-0000-0000-000013040000}"/>
    <cellStyle name="Nota 2 2 5 3" xfId="1338" xr:uid="{00000000-0005-0000-0000-000014040000}"/>
    <cellStyle name="Nota 2 2 6" xfId="391" xr:uid="{00000000-0005-0000-0000-000015040000}"/>
    <cellStyle name="Nota 2 2 6 2" xfId="906" xr:uid="{00000000-0005-0000-0000-000016040000}"/>
    <cellStyle name="Nota 2 2 6 2 2" xfId="1705" xr:uid="{00000000-0005-0000-0000-000017040000}"/>
    <cellStyle name="Nota 2 2 6 3" xfId="1257" xr:uid="{00000000-0005-0000-0000-000018040000}"/>
    <cellStyle name="Nota 2 2 7" xfId="506" xr:uid="{00000000-0005-0000-0000-000019040000}"/>
    <cellStyle name="Nota 2 2 7 2" xfId="1021" xr:uid="{00000000-0005-0000-0000-00001A040000}"/>
    <cellStyle name="Nota 2 2 7 2 2" xfId="1820" xr:uid="{00000000-0005-0000-0000-00001B040000}"/>
    <cellStyle name="Nota 2 2 7 3" xfId="1372" xr:uid="{00000000-0005-0000-0000-00001C040000}"/>
    <cellStyle name="Nota 2 2 8" xfId="569" xr:uid="{00000000-0005-0000-0000-00001D040000}"/>
    <cellStyle name="Nota 2 2 8 2" xfId="1084" xr:uid="{00000000-0005-0000-0000-00001E040000}"/>
    <cellStyle name="Nota 2 2 8 2 2" xfId="1883" xr:uid="{00000000-0005-0000-0000-00001F040000}"/>
    <cellStyle name="Nota 2 2 8 3" xfId="1435" xr:uid="{00000000-0005-0000-0000-000020040000}"/>
    <cellStyle name="Nota 2 2 9" xfId="478" xr:uid="{00000000-0005-0000-0000-000021040000}"/>
    <cellStyle name="Nota 2 2 9 2" xfId="993" xr:uid="{00000000-0005-0000-0000-000022040000}"/>
    <cellStyle name="Nota 2 2 9 2 2" xfId="1792" xr:uid="{00000000-0005-0000-0000-000023040000}"/>
    <cellStyle name="Nota 2 2 9 3" xfId="1344" xr:uid="{00000000-0005-0000-0000-000024040000}"/>
    <cellStyle name="Nota 2 3" xfId="102" xr:uid="{00000000-0005-0000-0000-000025040000}"/>
    <cellStyle name="Nota 2 3 10" xfId="582" xr:uid="{00000000-0005-0000-0000-000026040000}"/>
    <cellStyle name="Nota 2 3 10 2" xfId="1097" xr:uid="{00000000-0005-0000-0000-000027040000}"/>
    <cellStyle name="Nota 2 3 10 2 2" xfId="1896" xr:uid="{00000000-0005-0000-0000-000028040000}"/>
    <cellStyle name="Nota 2 3 10 3" xfId="1448" xr:uid="{00000000-0005-0000-0000-000029040000}"/>
    <cellStyle name="Nota 2 3 11" xfId="613" xr:uid="{00000000-0005-0000-0000-00002A040000}"/>
    <cellStyle name="Nota 2 3 11 2" xfId="1128" xr:uid="{00000000-0005-0000-0000-00002B040000}"/>
    <cellStyle name="Nota 2 3 11 2 2" xfId="1927" xr:uid="{00000000-0005-0000-0000-00002C040000}"/>
    <cellStyle name="Nota 2 3 11 3" xfId="1479" xr:uid="{00000000-0005-0000-0000-00002D040000}"/>
    <cellStyle name="Nota 2 3 12" xfId="524" xr:uid="{00000000-0005-0000-0000-00002E040000}"/>
    <cellStyle name="Nota 2 3 12 2" xfId="1039" xr:uid="{00000000-0005-0000-0000-00002F040000}"/>
    <cellStyle name="Nota 2 3 12 2 2" xfId="1838" xr:uid="{00000000-0005-0000-0000-000030040000}"/>
    <cellStyle name="Nota 2 3 12 3" xfId="1390" xr:uid="{00000000-0005-0000-0000-000031040000}"/>
    <cellStyle name="Nota 2 3 2" xfId="260" xr:uid="{00000000-0005-0000-0000-000032040000}"/>
    <cellStyle name="Nota 2 3 2 2" xfId="1548" xr:uid="{00000000-0005-0000-0000-000033040000}"/>
    <cellStyle name="Nota 2 3 3" xfId="296" xr:uid="{00000000-0005-0000-0000-000034040000}"/>
    <cellStyle name="Nota 2 3 3 2" xfId="811" xr:uid="{00000000-0005-0000-0000-000035040000}"/>
    <cellStyle name="Nota 2 3 3 2 2" xfId="1615" xr:uid="{00000000-0005-0000-0000-000036040000}"/>
    <cellStyle name="Nota 2 3 3 3" xfId="1188" xr:uid="{00000000-0005-0000-0000-000037040000}"/>
    <cellStyle name="Nota 2 3 4" xfId="404" xr:uid="{00000000-0005-0000-0000-000038040000}"/>
    <cellStyle name="Nota 2 3 4 2" xfId="919" xr:uid="{00000000-0005-0000-0000-000039040000}"/>
    <cellStyle name="Nota 2 3 4 2 2" xfId="1718" xr:uid="{00000000-0005-0000-0000-00003A040000}"/>
    <cellStyle name="Nota 2 3 4 3" xfId="1270" xr:uid="{00000000-0005-0000-0000-00003B040000}"/>
    <cellStyle name="Nota 2 3 5" xfId="458" xr:uid="{00000000-0005-0000-0000-00003C040000}"/>
    <cellStyle name="Nota 2 3 5 2" xfId="973" xr:uid="{00000000-0005-0000-0000-00003D040000}"/>
    <cellStyle name="Nota 2 3 5 2 2" xfId="1772" xr:uid="{00000000-0005-0000-0000-00003E040000}"/>
    <cellStyle name="Nota 2 3 5 3" xfId="1324" xr:uid="{00000000-0005-0000-0000-00003F040000}"/>
    <cellStyle name="Nota 2 3 6" xfId="308" xr:uid="{00000000-0005-0000-0000-000040040000}"/>
    <cellStyle name="Nota 2 3 6 2" xfId="823" xr:uid="{00000000-0005-0000-0000-000041040000}"/>
    <cellStyle name="Nota 2 3 6 2 2" xfId="1627" xr:uid="{00000000-0005-0000-0000-000042040000}"/>
    <cellStyle name="Nota 2 3 6 3" xfId="752" xr:uid="{00000000-0005-0000-0000-000043040000}"/>
    <cellStyle name="Nota 2 3 7" xfId="356" xr:uid="{00000000-0005-0000-0000-000044040000}"/>
    <cellStyle name="Nota 2 3 7 2" xfId="871" xr:uid="{00000000-0005-0000-0000-000045040000}"/>
    <cellStyle name="Nota 2 3 7 2 2" xfId="1670" xr:uid="{00000000-0005-0000-0000-000046040000}"/>
    <cellStyle name="Nota 2 3 7 3" xfId="1222" xr:uid="{00000000-0005-0000-0000-000047040000}"/>
    <cellStyle name="Nota 2 3 8" xfId="555" xr:uid="{00000000-0005-0000-0000-000048040000}"/>
    <cellStyle name="Nota 2 3 8 2" xfId="1070" xr:uid="{00000000-0005-0000-0000-000049040000}"/>
    <cellStyle name="Nota 2 3 8 2 2" xfId="1869" xr:uid="{00000000-0005-0000-0000-00004A040000}"/>
    <cellStyle name="Nota 2 3 8 3" xfId="1421" xr:uid="{00000000-0005-0000-0000-00004B040000}"/>
    <cellStyle name="Nota 2 3 9" xfId="520" xr:uid="{00000000-0005-0000-0000-00004C040000}"/>
    <cellStyle name="Nota 2 3 9 2" xfId="1035" xr:uid="{00000000-0005-0000-0000-00004D040000}"/>
    <cellStyle name="Nota 2 3 9 2 2" xfId="1834" xr:uid="{00000000-0005-0000-0000-00004E040000}"/>
    <cellStyle name="Nota 2 3 9 3" xfId="1386" xr:uid="{00000000-0005-0000-0000-00004F040000}"/>
    <cellStyle name="Nota 2 4" xfId="95" xr:uid="{00000000-0005-0000-0000-000050040000}"/>
    <cellStyle name="Nota 2 4 10" xfId="290" xr:uid="{00000000-0005-0000-0000-000051040000}"/>
    <cellStyle name="Nota 2 4 10 2" xfId="805" xr:uid="{00000000-0005-0000-0000-000052040000}"/>
    <cellStyle name="Nota 2 4 10 2 2" xfId="1610" xr:uid="{00000000-0005-0000-0000-000053040000}"/>
    <cellStyle name="Nota 2 4 10 3" xfId="1193" xr:uid="{00000000-0005-0000-0000-000054040000}"/>
    <cellStyle name="Nota 2 4 11" xfId="623" xr:uid="{00000000-0005-0000-0000-000055040000}"/>
    <cellStyle name="Nota 2 4 11 2" xfId="1138" xr:uid="{00000000-0005-0000-0000-000056040000}"/>
    <cellStyle name="Nota 2 4 11 2 2" xfId="1937" xr:uid="{00000000-0005-0000-0000-000057040000}"/>
    <cellStyle name="Nota 2 4 11 3" xfId="1489" xr:uid="{00000000-0005-0000-0000-000058040000}"/>
    <cellStyle name="Nota 2 4 12" xfId="352" xr:uid="{00000000-0005-0000-0000-000059040000}"/>
    <cellStyle name="Nota 2 4 12 2" xfId="867" xr:uid="{00000000-0005-0000-0000-00005A040000}"/>
    <cellStyle name="Nota 2 4 12 2 2" xfId="1667" xr:uid="{00000000-0005-0000-0000-00005B040000}"/>
    <cellStyle name="Nota 2 4 12 3" xfId="1219" xr:uid="{00000000-0005-0000-0000-00005C040000}"/>
    <cellStyle name="Nota 2 4 2" xfId="253" xr:uid="{00000000-0005-0000-0000-00005D040000}"/>
    <cellStyle name="Nota 2 4 2 2" xfId="1541" xr:uid="{00000000-0005-0000-0000-00005E040000}"/>
    <cellStyle name="Nota 2 4 3" xfId="304" xr:uid="{00000000-0005-0000-0000-00005F040000}"/>
    <cellStyle name="Nota 2 4 3 2" xfId="819" xr:uid="{00000000-0005-0000-0000-000060040000}"/>
    <cellStyle name="Nota 2 4 3 2 2" xfId="1623" xr:uid="{00000000-0005-0000-0000-000061040000}"/>
    <cellStyle name="Nota 2 4 3 3" xfId="1186" xr:uid="{00000000-0005-0000-0000-000062040000}"/>
    <cellStyle name="Nota 2 4 4" xfId="397" xr:uid="{00000000-0005-0000-0000-000063040000}"/>
    <cellStyle name="Nota 2 4 4 2" xfId="912" xr:uid="{00000000-0005-0000-0000-000064040000}"/>
    <cellStyle name="Nota 2 4 4 2 2" xfId="1711" xr:uid="{00000000-0005-0000-0000-000065040000}"/>
    <cellStyle name="Nota 2 4 4 3" xfId="1263" xr:uid="{00000000-0005-0000-0000-000066040000}"/>
    <cellStyle name="Nota 2 4 5" xfId="451" xr:uid="{00000000-0005-0000-0000-000067040000}"/>
    <cellStyle name="Nota 2 4 5 2" xfId="966" xr:uid="{00000000-0005-0000-0000-000068040000}"/>
    <cellStyle name="Nota 2 4 5 2 2" xfId="1765" xr:uid="{00000000-0005-0000-0000-000069040000}"/>
    <cellStyle name="Nota 2 4 5 3" xfId="1317" xr:uid="{00000000-0005-0000-0000-00006A040000}"/>
    <cellStyle name="Nota 2 4 6" xfId="370" xr:uid="{00000000-0005-0000-0000-00006B040000}"/>
    <cellStyle name="Nota 2 4 6 2" xfId="885" xr:uid="{00000000-0005-0000-0000-00006C040000}"/>
    <cellStyle name="Nota 2 4 6 2 2" xfId="1684" xr:uid="{00000000-0005-0000-0000-00006D040000}"/>
    <cellStyle name="Nota 2 4 6 3" xfId="1236" xr:uid="{00000000-0005-0000-0000-00006E040000}"/>
    <cellStyle name="Nota 2 4 7" xfId="360" xr:uid="{00000000-0005-0000-0000-00006F040000}"/>
    <cellStyle name="Nota 2 4 7 2" xfId="875" xr:uid="{00000000-0005-0000-0000-000070040000}"/>
    <cellStyle name="Nota 2 4 7 2 2" xfId="1674" xr:uid="{00000000-0005-0000-0000-000071040000}"/>
    <cellStyle name="Nota 2 4 7 3" xfId="1226" xr:uid="{00000000-0005-0000-0000-000072040000}"/>
    <cellStyle name="Nota 2 4 8" xfId="548" xr:uid="{00000000-0005-0000-0000-000073040000}"/>
    <cellStyle name="Nota 2 4 8 2" xfId="1063" xr:uid="{00000000-0005-0000-0000-000074040000}"/>
    <cellStyle name="Nota 2 4 8 2 2" xfId="1862" xr:uid="{00000000-0005-0000-0000-000075040000}"/>
    <cellStyle name="Nota 2 4 8 3" xfId="1414" xr:uid="{00000000-0005-0000-0000-000076040000}"/>
    <cellStyle name="Nota 2 4 9" xfId="511" xr:uid="{00000000-0005-0000-0000-000077040000}"/>
    <cellStyle name="Nota 2 4 9 2" xfId="1026" xr:uid="{00000000-0005-0000-0000-000078040000}"/>
    <cellStyle name="Nota 2 4 9 2 2" xfId="1825" xr:uid="{00000000-0005-0000-0000-000079040000}"/>
    <cellStyle name="Nota 2 4 9 3" xfId="1377" xr:uid="{00000000-0005-0000-0000-00007A040000}"/>
    <cellStyle name="Nota 2 5" xfId="214" xr:uid="{00000000-0005-0000-0000-00007B040000}"/>
    <cellStyle name="Nota 2 5 2" xfId="281" xr:uid="{00000000-0005-0000-0000-00007C040000}"/>
    <cellStyle name="Nota 2 5 2 2" xfId="1569" xr:uid="{00000000-0005-0000-0000-00007D040000}"/>
    <cellStyle name="Nota 2 5 3" xfId="1530" xr:uid="{00000000-0005-0000-0000-00007E040000}"/>
    <cellStyle name="Nota 2 6" xfId="248" xr:uid="{00000000-0005-0000-0000-00007F040000}"/>
    <cellStyle name="Nota 2 6 2" xfId="1536" xr:uid="{00000000-0005-0000-0000-000080040000}"/>
    <cellStyle name="Nota 2 7" xfId="364" xr:uid="{00000000-0005-0000-0000-000081040000}"/>
    <cellStyle name="Nota 2 7 2" xfId="879" xr:uid="{00000000-0005-0000-0000-000082040000}"/>
    <cellStyle name="Nota 2 7 2 2" xfId="1678" xr:uid="{00000000-0005-0000-0000-000083040000}"/>
    <cellStyle name="Nota 2 7 3" xfId="1230" xr:uid="{00000000-0005-0000-0000-000084040000}"/>
    <cellStyle name="Nota 2 8" xfId="336" xr:uid="{00000000-0005-0000-0000-000085040000}"/>
    <cellStyle name="Nota 2 8 2" xfId="851" xr:uid="{00000000-0005-0000-0000-000086040000}"/>
    <cellStyle name="Nota 2 8 2 2" xfId="1655" xr:uid="{00000000-0005-0000-0000-000087040000}"/>
    <cellStyle name="Nota 2 8 3" xfId="777" xr:uid="{00000000-0005-0000-0000-000088040000}"/>
    <cellStyle name="Nota 2 9" xfId="429" xr:uid="{00000000-0005-0000-0000-000089040000}"/>
    <cellStyle name="Nota 2 9 2" xfId="944" xr:uid="{00000000-0005-0000-0000-00008A040000}"/>
    <cellStyle name="Nota 2 9 2 2" xfId="1743" xr:uid="{00000000-0005-0000-0000-00008B040000}"/>
    <cellStyle name="Nota 2 9 3" xfId="1295" xr:uid="{00000000-0005-0000-0000-00008C040000}"/>
    <cellStyle name="Nota 3" xfId="719" xr:uid="{00000000-0005-0000-0000-00008D040000}"/>
    <cellStyle name="Nota 3 2" xfId="1580" xr:uid="{00000000-0005-0000-0000-00008E040000}"/>
    <cellStyle name="Note" xfId="720" xr:uid="{00000000-0005-0000-0000-00008F040000}"/>
    <cellStyle name="Note 2" xfId="1581" xr:uid="{00000000-0005-0000-0000-000090040000}"/>
    <cellStyle name="Output" xfId="721" xr:uid="{00000000-0005-0000-0000-000091040000}"/>
    <cellStyle name="Output 2" xfId="729" xr:uid="{00000000-0005-0000-0000-000092040000}"/>
    <cellStyle name="Output 2 2" xfId="1213" xr:uid="{00000000-0005-0000-0000-000093040000}"/>
    <cellStyle name="Output 2 2 2" xfId="1985" xr:uid="{00000000-0005-0000-0000-000094040000}"/>
    <cellStyle name="Output 2 3" xfId="1524" xr:uid="{00000000-0005-0000-0000-000095040000}"/>
    <cellStyle name="Output 3" xfId="1211" xr:uid="{00000000-0005-0000-0000-000096040000}"/>
    <cellStyle name="Output 3 2" xfId="1983" xr:uid="{00000000-0005-0000-0000-000097040000}"/>
    <cellStyle name="Output 4" xfId="1522" xr:uid="{00000000-0005-0000-0000-000098040000}"/>
    <cellStyle name="Percentual" xfId="215" xr:uid="{00000000-0005-0000-0000-000099040000}"/>
    <cellStyle name="Ponto" xfId="216" xr:uid="{00000000-0005-0000-0000-00009A040000}"/>
    <cellStyle name="Porcentagem" xfId="3" builtinId="5"/>
    <cellStyle name="Porcentagem 2" xfId="11" xr:uid="{00000000-0005-0000-0000-00009C040000}"/>
    <cellStyle name="Porcentagem 2 2" xfId="6" xr:uid="{00000000-0005-0000-0000-00009D040000}"/>
    <cellStyle name="Porcentagem 3" xfId="70" xr:uid="{00000000-0005-0000-0000-00009E040000}"/>
    <cellStyle name="Porcentagem 3 2" xfId="217" xr:uid="{00000000-0005-0000-0000-00009F040000}"/>
    <cellStyle name="Porcentagem 3 2 2" xfId="218" xr:uid="{00000000-0005-0000-0000-0000A0040000}"/>
    <cellStyle name="Porcentagem 3 3" xfId="219" xr:uid="{00000000-0005-0000-0000-0000A1040000}"/>
    <cellStyle name="Porcentagem 3 4" xfId="1996" xr:uid="{00000000-0005-0000-0000-0000A2040000}"/>
    <cellStyle name="Porcentagem 4" xfId="71" xr:uid="{00000000-0005-0000-0000-0000A3040000}"/>
    <cellStyle name="Porcentagem 5" xfId="90" xr:uid="{00000000-0005-0000-0000-0000A4040000}"/>
    <cellStyle name="Porcentagem 6" xfId="8" xr:uid="{00000000-0005-0000-0000-0000A5040000}"/>
    <cellStyle name="Porcentagem 7" xfId="735" xr:uid="{00000000-0005-0000-0000-0000A6040000}"/>
    <cellStyle name="Result" xfId="220" xr:uid="{00000000-0005-0000-0000-0000A7040000}"/>
    <cellStyle name="Result2" xfId="221" xr:uid="{00000000-0005-0000-0000-0000A8040000}"/>
    <cellStyle name="Saída 2" xfId="73" xr:uid="{00000000-0005-0000-0000-0000A9040000}"/>
    <cellStyle name="Saída 2 10" xfId="309" xr:uid="{00000000-0005-0000-0000-0000AA040000}"/>
    <cellStyle name="Saída 2 10 2" xfId="824" xr:uid="{00000000-0005-0000-0000-0000AB040000}"/>
    <cellStyle name="Saída 2 10 2 2" xfId="1628" xr:uid="{00000000-0005-0000-0000-0000AC040000}"/>
    <cellStyle name="Saída 2 10 3" xfId="754" xr:uid="{00000000-0005-0000-0000-0000AD040000}"/>
    <cellStyle name="Saída 2 11" xfId="288" xr:uid="{00000000-0005-0000-0000-0000AE040000}"/>
    <cellStyle name="Saída 2 11 2" xfId="803" xr:uid="{00000000-0005-0000-0000-0000AF040000}"/>
    <cellStyle name="Saída 2 11 2 2" xfId="1608" xr:uid="{00000000-0005-0000-0000-0000B0040000}"/>
    <cellStyle name="Saída 2 11 3" xfId="785" xr:uid="{00000000-0005-0000-0000-0000B1040000}"/>
    <cellStyle name="Saída 2 12" xfId="527" xr:uid="{00000000-0005-0000-0000-0000B2040000}"/>
    <cellStyle name="Saída 2 12 2" xfId="1042" xr:uid="{00000000-0005-0000-0000-0000B3040000}"/>
    <cellStyle name="Saída 2 12 2 2" xfId="1841" xr:uid="{00000000-0005-0000-0000-0000B4040000}"/>
    <cellStyle name="Saída 2 12 3" xfId="1393" xr:uid="{00000000-0005-0000-0000-0000B5040000}"/>
    <cellStyle name="Saída 2 13" xfId="499" xr:uid="{00000000-0005-0000-0000-0000B6040000}"/>
    <cellStyle name="Saída 2 13 2" xfId="1014" xr:uid="{00000000-0005-0000-0000-0000B7040000}"/>
    <cellStyle name="Saída 2 13 2 2" xfId="1813" xr:uid="{00000000-0005-0000-0000-0000B8040000}"/>
    <cellStyle name="Saída 2 13 3" xfId="1365" xr:uid="{00000000-0005-0000-0000-0000B9040000}"/>
    <cellStyle name="Saída 2 14" xfId="575" xr:uid="{00000000-0005-0000-0000-0000BA040000}"/>
    <cellStyle name="Saída 2 14 2" xfId="1090" xr:uid="{00000000-0005-0000-0000-0000BB040000}"/>
    <cellStyle name="Saída 2 14 2 2" xfId="1889" xr:uid="{00000000-0005-0000-0000-0000BC040000}"/>
    <cellStyle name="Saída 2 14 3" xfId="1441" xr:uid="{00000000-0005-0000-0000-0000BD040000}"/>
    <cellStyle name="Saída 2 15" xfId="536" xr:uid="{00000000-0005-0000-0000-0000BE040000}"/>
    <cellStyle name="Saída 2 15 2" xfId="1051" xr:uid="{00000000-0005-0000-0000-0000BF040000}"/>
    <cellStyle name="Saída 2 15 2 2" xfId="1850" xr:uid="{00000000-0005-0000-0000-0000C0040000}"/>
    <cellStyle name="Saída 2 15 3" xfId="1402" xr:uid="{00000000-0005-0000-0000-0000C1040000}"/>
    <cellStyle name="Saída 2 16" xfId="534" xr:uid="{00000000-0005-0000-0000-0000C2040000}"/>
    <cellStyle name="Saída 2 16 2" xfId="1049" xr:uid="{00000000-0005-0000-0000-0000C3040000}"/>
    <cellStyle name="Saída 2 16 2 2" xfId="1848" xr:uid="{00000000-0005-0000-0000-0000C4040000}"/>
    <cellStyle name="Saída 2 16 3" xfId="1400" xr:uid="{00000000-0005-0000-0000-0000C5040000}"/>
    <cellStyle name="Saída 2 2" xfId="118" xr:uid="{00000000-0005-0000-0000-0000C6040000}"/>
    <cellStyle name="Saída 2 2 10" xfId="504" xr:uid="{00000000-0005-0000-0000-0000C7040000}"/>
    <cellStyle name="Saída 2 2 10 2" xfId="1019" xr:uid="{00000000-0005-0000-0000-0000C8040000}"/>
    <cellStyle name="Saída 2 2 10 2 2" xfId="1818" xr:uid="{00000000-0005-0000-0000-0000C9040000}"/>
    <cellStyle name="Saída 2 2 10 3" xfId="1370" xr:uid="{00000000-0005-0000-0000-0000CA040000}"/>
    <cellStyle name="Saída 2 2 11" xfId="586" xr:uid="{00000000-0005-0000-0000-0000CB040000}"/>
    <cellStyle name="Saída 2 2 11 2" xfId="1101" xr:uid="{00000000-0005-0000-0000-0000CC040000}"/>
    <cellStyle name="Saída 2 2 11 2 2" xfId="1900" xr:uid="{00000000-0005-0000-0000-0000CD040000}"/>
    <cellStyle name="Saída 2 2 11 3" xfId="1452" xr:uid="{00000000-0005-0000-0000-0000CE040000}"/>
    <cellStyle name="Saída 2 2 12" xfId="643" xr:uid="{00000000-0005-0000-0000-0000CF040000}"/>
    <cellStyle name="Saída 2 2 12 2" xfId="1158" xr:uid="{00000000-0005-0000-0000-0000D0040000}"/>
    <cellStyle name="Saída 2 2 12 2 2" xfId="1957" xr:uid="{00000000-0005-0000-0000-0000D1040000}"/>
    <cellStyle name="Saída 2 2 12 3" xfId="1509" xr:uid="{00000000-0005-0000-0000-0000D2040000}"/>
    <cellStyle name="Saída 2 2 2" xfId="276" xr:uid="{00000000-0005-0000-0000-0000D3040000}"/>
    <cellStyle name="Saída 2 2 2 2" xfId="764" xr:uid="{00000000-0005-0000-0000-0000D4040000}"/>
    <cellStyle name="Saída 2 2 2 2 2" xfId="1584" xr:uid="{00000000-0005-0000-0000-0000D5040000}"/>
    <cellStyle name="Saída 2 2 2 3" xfId="1564" xr:uid="{00000000-0005-0000-0000-0000D6040000}"/>
    <cellStyle name="Saída 2 2 3" xfId="387" xr:uid="{00000000-0005-0000-0000-0000D7040000}"/>
    <cellStyle name="Saída 2 2 3 2" xfId="902" xr:uid="{00000000-0005-0000-0000-0000D8040000}"/>
    <cellStyle name="Saída 2 2 3 2 2" xfId="1701" xr:uid="{00000000-0005-0000-0000-0000D9040000}"/>
    <cellStyle name="Saída 2 2 3 3" xfId="1253" xr:uid="{00000000-0005-0000-0000-0000DA040000}"/>
    <cellStyle name="Saída 2 2 4" xfId="420" xr:uid="{00000000-0005-0000-0000-0000DB040000}"/>
    <cellStyle name="Saída 2 2 4 2" xfId="935" xr:uid="{00000000-0005-0000-0000-0000DC040000}"/>
    <cellStyle name="Saída 2 2 4 2 2" xfId="1734" xr:uid="{00000000-0005-0000-0000-0000DD040000}"/>
    <cellStyle name="Saída 2 2 4 3" xfId="1286" xr:uid="{00000000-0005-0000-0000-0000DE040000}"/>
    <cellStyle name="Saída 2 2 5" xfId="474" xr:uid="{00000000-0005-0000-0000-0000DF040000}"/>
    <cellStyle name="Saída 2 2 5 2" xfId="989" xr:uid="{00000000-0005-0000-0000-0000E0040000}"/>
    <cellStyle name="Saída 2 2 5 2 2" xfId="1788" xr:uid="{00000000-0005-0000-0000-0000E1040000}"/>
    <cellStyle name="Saída 2 2 5 3" xfId="1340" xr:uid="{00000000-0005-0000-0000-0000E2040000}"/>
    <cellStyle name="Saída 2 2 6" xfId="334" xr:uid="{00000000-0005-0000-0000-0000E3040000}"/>
    <cellStyle name="Saída 2 2 6 2" xfId="849" xr:uid="{00000000-0005-0000-0000-0000E4040000}"/>
    <cellStyle name="Saída 2 2 6 2 2" xfId="1653" xr:uid="{00000000-0005-0000-0000-0000E5040000}"/>
    <cellStyle name="Saída 2 2 6 3" xfId="743" xr:uid="{00000000-0005-0000-0000-0000E6040000}"/>
    <cellStyle name="Saída 2 2 7" xfId="501" xr:uid="{00000000-0005-0000-0000-0000E7040000}"/>
    <cellStyle name="Saída 2 2 7 2" xfId="1016" xr:uid="{00000000-0005-0000-0000-0000E8040000}"/>
    <cellStyle name="Saída 2 2 7 2 2" xfId="1815" xr:uid="{00000000-0005-0000-0000-0000E9040000}"/>
    <cellStyle name="Saída 2 2 7 3" xfId="1367" xr:uid="{00000000-0005-0000-0000-0000EA040000}"/>
    <cellStyle name="Saída 2 2 8" xfId="571" xr:uid="{00000000-0005-0000-0000-0000EB040000}"/>
    <cellStyle name="Saída 2 2 8 2" xfId="1086" xr:uid="{00000000-0005-0000-0000-0000EC040000}"/>
    <cellStyle name="Saída 2 2 8 2 2" xfId="1885" xr:uid="{00000000-0005-0000-0000-0000ED040000}"/>
    <cellStyle name="Saída 2 2 8 3" xfId="1437" xr:uid="{00000000-0005-0000-0000-0000EE040000}"/>
    <cellStyle name="Saída 2 2 9" xfId="514" xr:uid="{00000000-0005-0000-0000-0000EF040000}"/>
    <cellStyle name="Saída 2 2 9 2" xfId="1029" xr:uid="{00000000-0005-0000-0000-0000F0040000}"/>
    <cellStyle name="Saída 2 2 9 2 2" xfId="1828" xr:uid="{00000000-0005-0000-0000-0000F1040000}"/>
    <cellStyle name="Saída 2 2 9 3" xfId="1380" xr:uid="{00000000-0005-0000-0000-0000F2040000}"/>
    <cellStyle name="Saída 2 3" xfId="100" xr:uid="{00000000-0005-0000-0000-0000F3040000}"/>
    <cellStyle name="Saída 2 3 10" xfId="326" xr:uid="{00000000-0005-0000-0000-0000F4040000}"/>
    <cellStyle name="Saída 2 3 10 2" xfId="841" xr:uid="{00000000-0005-0000-0000-0000F5040000}"/>
    <cellStyle name="Saída 2 3 10 2 2" xfId="1645" xr:uid="{00000000-0005-0000-0000-0000F6040000}"/>
    <cellStyle name="Saída 2 3 10 3" xfId="747" xr:uid="{00000000-0005-0000-0000-0000F7040000}"/>
    <cellStyle name="Saída 2 3 11" xfId="588" xr:uid="{00000000-0005-0000-0000-0000F8040000}"/>
    <cellStyle name="Saída 2 3 11 2" xfId="1103" xr:uid="{00000000-0005-0000-0000-0000F9040000}"/>
    <cellStyle name="Saída 2 3 11 2 2" xfId="1902" xr:uid="{00000000-0005-0000-0000-0000FA040000}"/>
    <cellStyle name="Saída 2 3 11 3" xfId="1454" xr:uid="{00000000-0005-0000-0000-0000FB040000}"/>
    <cellStyle name="Saída 2 3 12" xfId="639" xr:uid="{00000000-0005-0000-0000-0000FC040000}"/>
    <cellStyle name="Saída 2 3 12 2" xfId="1154" xr:uid="{00000000-0005-0000-0000-0000FD040000}"/>
    <cellStyle name="Saída 2 3 12 2 2" xfId="1953" xr:uid="{00000000-0005-0000-0000-0000FE040000}"/>
    <cellStyle name="Saída 2 3 12 3" xfId="1505" xr:uid="{00000000-0005-0000-0000-0000FF040000}"/>
    <cellStyle name="Saída 2 3 2" xfId="258" xr:uid="{00000000-0005-0000-0000-000000050000}"/>
    <cellStyle name="Saída 2 3 2 2" xfId="797" xr:uid="{00000000-0005-0000-0000-000001050000}"/>
    <cellStyle name="Saída 2 3 2 2 2" xfId="1604" xr:uid="{00000000-0005-0000-0000-000002050000}"/>
    <cellStyle name="Saída 2 3 2 3" xfId="1546" xr:uid="{00000000-0005-0000-0000-000003050000}"/>
    <cellStyle name="Saída 2 3 3" xfId="298" xr:uid="{00000000-0005-0000-0000-000004050000}"/>
    <cellStyle name="Saída 2 3 3 2" xfId="813" xr:uid="{00000000-0005-0000-0000-000005050000}"/>
    <cellStyle name="Saída 2 3 3 2 2" xfId="1617" xr:uid="{00000000-0005-0000-0000-000006050000}"/>
    <cellStyle name="Saída 2 3 3 3" xfId="759" xr:uid="{00000000-0005-0000-0000-000007050000}"/>
    <cellStyle name="Saída 2 3 4" xfId="402" xr:uid="{00000000-0005-0000-0000-000008050000}"/>
    <cellStyle name="Saída 2 3 4 2" xfId="917" xr:uid="{00000000-0005-0000-0000-000009050000}"/>
    <cellStyle name="Saída 2 3 4 2 2" xfId="1716" xr:uid="{00000000-0005-0000-0000-00000A050000}"/>
    <cellStyle name="Saída 2 3 4 3" xfId="1268" xr:uid="{00000000-0005-0000-0000-00000B050000}"/>
    <cellStyle name="Saída 2 3 5" xfId="456" xr:uid="{00000000-0005-0000-0000-00000C050000}"/>
    <cellStyle name="Saída 2 3 5 2" xfId="971" xr:uid="{00000000-0005-0000-0000-00000D050000}"/>
    <cellStyle name="Saída 2 3 5 2 2" xfId="1770" xr:uid="{00000000-0005-0000-0000-00000E050000}"/>
    <cellStyle name="Saída 2 3 5 3" xfId="1322" xr:uid="{00000000-0005-0000-0000-00000F050000}"/>
    <cellStyle name="Saída 2 3 6" xfId="444" xr:uid="{00000000-0005-0000-0000-000010050000}"/>
    <cellStyle name="Saída 2 3 6 2" xfId="959" xr:uid="{00000000-0005-0000-0000-000011050000}"/>
    <cellStyle name="Saída 2 3 6 2 2" xfId="1758" xr:uid="{00000000-0005-0000-0000-000012050000}"/>
    <cellStyle name="Saída 2 3 6 3" xfId="1310" xr:uid="{00000000-0005-0000-0000-000013050000}"/>
    <cellStyle name="Saída 2 3 7" xfId="316" xr:uid="{00000000-0005-0000-0000-000014050000}"/>
    <cellStyle name="Saída 2 3 7 2" xfId="831" xr:uid="{00000000-0005-0000-0000-000015050000}"/>
    <cellStyle name="Saída 2 3 7 2 2" xfId="1635" xr:uid="{00000000-0005-0000-0000-000016050000}"/>
    <cellStyle name="Saída 2 3 7 3" xfId="750" xr:uid="{00000000-0005-0000-0000-000017050000}"/>
    <cellStyle name="Saída 2 3 8" xfId="553" xr:uid="{00000000-0005-0000-0000-000018050000}"/>
    <cellStyle name="Saída 2 3 8 2" xfId="1068" xr:uid="{00000000-0005-0000-0000-000019050000}"/>
    <cellStyle name="Saída 2 3 8 2 2" xfId="1867" xr:uid="{00000000-0005-0000-0000-00001A050000}"/>
    <cellStyle name="Saída 2 3 8 3" xfId="1419" xr:uid="{00000000-0005-0000-0000-00001B050000}"/>
    <cellStyle name="Saída 2 3 9" xfId="542" xr:uid="{00000000-0005-0000-0000-00001C050000}"/>
    <cellStyle name="Saída 2 3 9 2" xfId="1057" xr:uid="{00000000-0005-0000-0000-00001D050000}"/>
    <cellStyle name="Saída 2 3 9 2 2" xfId="1856" xr:uid="{00000000-0005-0000-0000-00001E050000}"/>
    <cellStyle name="Saída 2 3 9 3" xfId="1408" xr:uid="{00000000-0005-0000-0000-00001F050000}"/>
    <cellStyle name="Saída 2 4" xfId="114" xr:uid="{00000000-0005-0000-0000-000020050000}"/>
    <cellStyle name="Saída 2 4 10" xfId="593" xr:uid="{00000000-0005-0000-0000-000021050000}"/>
    <cellStyle name="Saída 2 4 10 2" xfId="1108" xr:uid="{00000000-0005-0000-0000-000022050000}"/>
    <cellStyle name="Saída 2 4 10 2 2" xfId="1907" xr:uid="{00000000-0005-0000-0000-000023050000}"/>
    <cellStyle name="Saída 2 4 10 3" xfId="1459" xr:uid="{00000000-0005-0000-0000-000024050000}"/>
    <cellStyle name="Saída 2 4 11" xfId="619" xr:uid="{00000000-0005-0000-0000-000025050000}"/>
    <cellStyle name="Saída 2 4 11 2" xfId="1134" xr:uid="{00000000-0005-0000-0000-000026050000}"/>
    <cellStyle name="Saída 2 4 11 2 2" xfId="1933" xr:uid="{00000000-0005-0000-0000-000027050000}"/>
    <cellStyle name="Saída 2 4 11 3" xfId="1485" xr:uid="{00000000-0005-0000-0000-000028050000}"/>
    <cellStyle name="Saída 2 4 12" xfId="641" xr:uid="{00000000-0005-0000-0000-000029050000}"/>
    <cellStyle name="Saída 2 4 12 2" xfId="1156" xr:uid="{00000000-0005-0000-0000-00002A050000}"/>
    <cellStyle name="Saída 2 4 12 2 2" xfId="1955" xr:uid="{00000000-0005-0000-0000-00002B050000}"/>
    <cellStyle name="Saída 2 4 12 3" xfId="1507" xr:uid="{00000000-0005-0000-0000-00002C050000}"/>
    <cellStyle name="Saída 2 4 2" xfId="272" xr:uid="{00000000-0005-0000-0000-00002D050000}"/>
    <cellStyle name="Saída 2 4 2 2" xfId="1198" xr:uid="{00000000-0005-0000-0000-00002E050000}"/>
    <cellStyle name="Saída 2 4 2 2 2" xfId="1970" xr:uid="{00000000-0005-0000-0000-00002F050000}"/>
    <cellStyle name="Saída 2 4 2 3" xfId="1560" xr:uid="{00000000-0005-0000-0000-000030050000}"/>
    <cellStyle name="Saída 2 4 3" xfId="383" xr:uid="{00000000-0005-0000-0000-000031050000}"/>
    <cellStyle name="Saída 2 4 3 2" xfId="898" xr:uid="{00000000-0005-0000-0000-000032050000}"/>
    <cellStyle name="Saída 2 4 3 2 2" xfId="1697" xr:uid="{00000000-0005-0000-0000-000033050000}"/>
    <cellStyle name="Saída 2 4 3 3" xfId="1249" xr:uid="{00000000-0005-0000-0000-000034050000}"/>
    <cellStyle name="Saída 2 4 4" xfId="416" xr:uid="{00000000-0005-0000-0000-000035050000}"/>
    <cellStyle name="Saída 2 4 4 2" xfId="931" xr:uid="{00000000-0005-0000-0000-000036050000}"/>
    <cellStyle name="Saída 2 4 4 2 2" xfId="1730" xr:uid="{00000000-0005-0000-0000-000037050000}"/>
    <cellStyle name="Saída 2 4 4 3" xfId="1282" xr:uid="{00000000-0005-0000-0000-000038050000}"/>
    <cellStyle name="Saída 2 4 5" xfId="470" xr:uid="{00000000-0005-0000-0000-000039050000}"/>
    <cellStyle name="Saída 2 4 5 2" xfId="985" xr:uid="{00000000-0005-0000-0000-00003A050000}"/>
    <cellStyle name="Saída 2 4 5 2 2" xfId="1784" xr:uid="{00000000-0005-0000-0000-00003B050000}"/>
    <cellStyle name="Saída 2 4 5 3" xfId="1336" xr:uid="{00000000-0005-0000-0000-00003C050000}"/>
    <cellStyle name="Saída 2 4 6" xfId="443" xr:uid="{00000000-0005-0000-0000-00003D050000}"/>
    <cellStyle name="Saída 2 4 6 2" xfId="958" xr:uid="{00000000-0005-0000-0000-00003E050000}"/>
    <cellStyle name="Saída 2 4 6 2 2" xfId="1757" xr:uid="{00000000-0005-0000-0000-00003F050000}"/>
    <cellStyle name="Saída 2 4 6 3" xfId="1309" xr:uid="{00000000-0005-0000-0000-000040050000}"/>
    <cellStyle name="Saída 2 4 7" xfId="396" xr:uid="{00000000-0005-0000-0000-000041050000}"/>
    <cellStyle name="Saída 2 4 7 2" xfId="911" xr:uid="{00000000-0005-0000-0000-000042050000}"/>
    <cellStyle name="Saída 2 4 7 2 2" xfId="1710" xr:uid="{00000000-0005-0000-0000-000043050000}"/>
    <cellStyle name="Saída 2 4 7 3" xfId="1262" xr:uid="{00000000-0005-0000-0000-000044050000}"/>
    <cellStyle name="Saída 2 4 8" xfId="567" xr:uid="{00000000-0005-0000-0000-000045050000}"/>
    <cellStyle name="Saída 2 4 8 2" xfId="1082" xr:uid="{00000000-0005-0000-0000-000046050000}"/>
    <cellStyle name="Saída 2 4 8 2 2" xfId="1881" xr:uid="{00000000-0005-0000-0000-000047050000}"/>
    <cellStyle name="Saída 2 4 8 3" xfId="1433" xr:uid="{00000000-0005-0000-0000-000048050000}"/>
    <cellStyle name="Saída 2 4 9" xfId="541" xr:uid="{00000000-0005-0000-0000-000049050000}"/>
    <cellStyle name="Saída 2 4 9 2" xfId="1056" xr:uid="{00000000-0005-0000-0000-00004A050000}"/>
    <cellStyle name="Saída 2 4 9 2 2" xfId="1855" xr:uid="{00000000-0005-0000-0000-00004B050000}"/>
    <cellStyle name="Saída 2 4 9 3" xfId="1407" xr:uid="{00000000-0005-0000-0000-00004C050000}"/>
    <cellStyle name="Saída 2 5" xfId="222" xr:uid="{00000000-0005-0000-0000-00004D050000}"/>
    <cellStyle name="Saída 2 5 2" xfId="282" xr:uid="{00000000-0005-0000-0000-00004E050000}"/>
    <cellStyle name="Saída 2 5 2 2" xfId="762" xr:uid="{00000000-0005-0000-0000-00004F050000}"/>
    <cellStyle name="Saída 2 5 2 2 2" xfId="1582" xr:uid="{00000000-0005-0000-0000-000050050000}"/>
    <cellStyle name="Saída 2 5 2 3" xfId="1570" xr:uid="{00000000-0005-0000-0000-000051050000}"/>
    <cellStyle name="Saída 2 5 3" xfId="790" xr:uid="{00000000-0005-0000-0000-000052050000}"/>
    <cellStyle name="Saída 2 5 3 2" xfId="1598" xr:uid="{00000000-0005-0000-0000-000053050000}"/>
    <cellStyle name="Saída 2 5 4" xfId="1531" xr:uid="{00000000-0005-0000-0000-000054050000}"/>
    <cellStyle name="Saída 2 6" xfId="250" xr:uid="{00000000-0005-0000-0000-000055050000}"/>
    <cellStyle name="Saída 2 6 2" xfId="796" xr:uid="{00000000-0005-0000-0000-000056050000}"/>
    <cellStyle name="Saída 2 6 2 2" xfId="1603" xr:uid="{00000000-0005-0000-0000-000057050000}"/>
    <cellStyle name="Saída 2 6 3" xfId="1538" xr:uid="{00000000-0005-0000-0000-000058050000}"/>
    <cellStyle name="Saída 2 7" xfId="363" xr:uid="{00000000-0005-0000-0000-000059050000}"/>
    <cellStyle name="Saída 2 7 2" xfId="878" xr:uid="{00000000-0005-0000-0000-00005A050000}"/>
    <cellStyle name="Saída 2 7 2 2" xfId="1677" xr:uid="{00000000-0005-0000-0000-00005B050000}"/>
    <cellStyle name="Saída 2 7 3" xfId="1229" xr:uid="{00000000-0005-0000-0000-00005C050000}"/>
    <cellStyle name="Saída 2 8" xfId="337" xr:uid="{00000000-0005-0000-0000-00005D050000}"/>
    <cellStyle name="Saída 2 8 2" xfId="852" xr:uid="{00000000-0005-0000-0000-00005E050000}"/>
    <cellStyle name="Saída 2 8 2 2" xfId="1656" xr:uid="{00000000-0005-0000-0000-00005F050000}"/>
    <cellStyle name="Saída 2 8 3" xfId="742" xr:uid="{00000000-0005-0000-0000-000060050000}"/>
    <cellStyle name="Saída 2 9" xfId="433" xr:uid="{00000000-0005-0000-0000-000061050000}"/>
    <cellStyle name="Saída 2 9 2" xfId="948" xr:uid="{00000000-0005-0000-0000-000062050000}"/>
    <cellStyle name="Saída 2 9 2 2" xfId="1747" xr:uid="{00000000-0005-0000-0000-000063050000}"/>
    <cellStyle name="Saída 2 9 3" xfId="1299" xr:uid="{00000000-0005-0000-0000-000064050000}"/>
    <cellStyle name="Saída 3" xfId="74" xr:uid="{00000000-0005-0000-0000-000065050000}"/>
    <cellStyle name="Saída 3 10" xfId="321" xr:uid="{00000000-0005-0000-0000-000066050000}"/>
    <cellStyle name="Saída 3 10 2" xfId="836" xr:uid="{00000000-0005-0000-0000-000067050000}"/>
    <cellStyle name="Saída 3 10 2 2" xfId="1640" xr:uid="{00000000-0005-0000-0000-000068050000}"/>
    <cellStyle name="Saída 3 10 3" xfId="1180" xr:uid="{00000000-0005-0000-0000-000069050000}"/>
    <cellStyle name="Saída 3 11" xfId="518" xr:uid="{00000000-0005-0000-0000-00006A050000}"/>
    <cellStyle name="Saída 3 11 2" xfId="1033" xr:uid="{00000000-0005-0000-0000-00006B050000}"/>
    <cellStyle name="Saída 3 11 2 2" xfId="1832" xr:uid="{00000000-0005-0000-0000-00006C050000}"/>
    <cellStyle name="Saída 3 11 3" xfId="1384" xr:uid="{00000000-0005-0000-0000-00006D050000}"/>
    <cellStyle name="Saída 3 12" xfId="355" xr:uid="{00000000-0005-0000-0000-00006E050000}"/>
    <cellStyle name="Saída 3 12 2" xfId="870" xr:uid="{00000000-0005-0000-0000-00006F050000}"/>
    <cellStyle name="Saída 3 12 2 2" xfId="1669" xr:uid="{00000000-0005-0000-0000-000070050000}"/>
    <cellStyle name="Saída 3 12 3" xfId="1221" xr:uid="{00000000-0005-0000-0000-000071050000}"/>
    <cellStyle name="Saída 3 13" xfId="332" xr:uid="{00000000-0005-0000-0000-000072050000}"/>
    <cellStyle name="Saída 3 13 2" xfId="847" xr:uid="{00000000-0005-0000-0000-000073050000}"/>
    <cellStyle name="Saída 3 13 2 2" xfId="1651" xr:uid="{00000000-0005-0000-0000-000074050000}"/>
    <cellStyle name="Saída 3 13 3" xfId="1174" xr:uid="{00000000-0005-0000-0000-000075050000}"/>
    <cellStyle name="Saída 3 14" xfId="585" xr:uid="{00000000-0005-0000-0000-000076050000}"/>
    <cellStyle name="Saída 3 14 2" xfId="1100" xr:uid="{00000000-0005-0000-0000-000077050000}"/>
    <cellStyle name="Saída 3 14 2 2" xfId="1899" xr:uid="{00000000-0005-0000-0000-000078050000}"/>
    <cellStyle name="Saída 3 14 3" xfId="1451" xr:uid="{00000000-0005-0000-0000-000079050000}"/>
    <cellStyle name="Saída 3 15" xfId="589" xr:uid="{00000000-0005-0000-0000-00007A050000}"/>
    <cellStyle name="Saída 3 15 2" xfId="1104" xr:uid="{00000000-0005-0000-0000-00007B050000}"/>
    <cellStyle name="Saída 3 15 2 2" xfId="1903" xr:uid="{00000000-0005-0000-0000-00007C050000}"/>
    <cellStyle name="Saída 3 15 3" xfId="1455" xr:uid="{00000000-0005-0000-0000-00007D050000}"/>
    <cellStyle name="Saída 3 16" xfId="1997" xr:uid="{00000000-0005-0000-0000-00007E050000}"/>
    <cellStyle name="Saída 3 2" xfId="119" xr:uid="{00000000-0005-0000-0000-00007F050000}"/>
    <cellStyle name="Saída 3 2 10" xfId="600" xr:uid="{00000000-0005-0000-0000-000080050000}"/>
    <cellStyle name="Saída 3 2 10 2" xfId="1115" xr:uid="{00000000-0005-0000-0000-000081050000}"/>
    <cellStyle name="Saída 3 2 10 2 2" xfId="1914" xr:uid="{00000000-0005-0000-0000-000082050000}"/>
    <cellStyle name="Saída 3 2 10 3" xfId="1466" xr:uid="{00000000-0005-0000-0000-000083050000}"/>
    <cellStyle name="Saída 3 2 11" xfId="587" xr:uid="{00000000-0005-0000-0000-000084050000}"/>
    <cellStyle name="Saída 3 2 11 2" xfId="1102" xr:uid="{00000000-0005-0000-0000-000085050000}"/>
    <cellStyle name="Saída 3 2 11 2 2" xfId="1901" xr:uid="{00000000-0005-0000-0000-000086050000}"/>
    <cellStyle name="Saída 3 2 11 3" xfId="1453" xr:uid="{00000000-0005-0000-0000-000087050000}"/>
    <cellStyle name="Saída 3 2 12" xfId="647" xr:uid="{00000000-0005-0000-0000-000088050000}"/>
    <cellStyle name="Saída 3 2 12 2" xfId="1162" xr:uid="{00000000-0005-0000-0000-000089050000}"/>
    <cellStyle name="Saída 3 2 12 2 2" xfId="1961" xr:uid="{00000000-0005-0000-0000-00008A050000}"/>
    <cellStyle name="Saída 3 2 12 3" xfId="1513" xr:uid="{00000000-0005-0000-0000-00008B050000}"/>
    <cellStyle name="Saída 3 2 2" xfId="277" xr:uid="{00000000-0005-0000-0000-00008C050000}"/>
    <cellStyle name="Saída 3 2 2 2" xfId="1196" xr:uid="{00000000-0005-0000-0000-00008D050000}"/>
    <cellStyle name="Saída 3 2 2 2 2" xfId="1968" xr:uid="{00000000-0005-0000-0000-00008E050000}"/>
    <cellStyle name="Saída 3 2 2 3" xfId="1565" xr:uid="{00000000-0005-0000-0000-00008F050000}"/>
    <cellStyle name="Saída 3 2 3" xfId="388" xr:uid="{00000000-0005-0000-0000-000090050000}"/>
    <cellStyle name="Saída 3 2 3 2" xfId="903" xr:uid="{00000000-0005-0000-0000-000091050000}"/>
    <cellStyle name="Saída 3 2 3 2 2" xfId="1702" xr:uid="{00000000-0005-0000-0000-000092050000}"/>
    <cellStyle name="Saída 3 2 3 3" xfId="1254" xr:uid="{00000000-0005-0000-0000-000093050000}"/>
    <cellStyle name="Saída 3 2 4" xfId="421" xr:uid="{00000000-0005-0000-0000-000094050000}"/>
    <cellStyle name="Saída 3 2 4 2" xfId="936" xr:uid="{00000000-0005-0000-0000-000095050000}"/>
    <cellStyle name="Saída 3 2 4 2 2" xfId="1735" xr:uid="{00000000-0005-0000-0000-000096050000}"/>
    <cellStyle name="Saída 3 2 4 3" xfId="1287" xr:uid="{00000000-0005-0000-0000-000097050000}"/>
    <cellStyle name="Saída 3 2 5" xfId="475" xr:uid="{00000000-0005-0000-0000-000098050000}"/>
    <cellStyle name="Saída 3 2 5 2" xfId="990" xr:uid="{00000000-0005-0000-0000-000099050000}"/>
    <cellStyle name="Saída 3 2 5 2 2" xfId="1789" xr:uid="{00000000-0005-0000-0000-00009A050000}"/>
    <cellStyle name="Saída 3 2 5 3" xfId="1341" xr:uid="{00000000-0005-0000-0000-00009B050000}"/>
    <cellStyle name="Saída 3 2 6" xfId="395" xr:uid="{00000000-0005-0000-0000-00009C050000}"/>
    <cellStyle name="Saída 3 2 6 2" xfId="910" xr:uid="{00000000-0005-0000-0000-00009D050000}"/>
    <cellStyle name="Saída 3 2 6 2 2" xfId="1709" xr:uid="{00000000-0005-0000-0000-00009E050000}"/>
    <cellStyle name="Saída 3 2 6 3" xfId="1261" xr:uid="{00000000-0005-0000-0000-00009F050000}"/>
    <cellStyle name="Saída 3 2 7" xfId="531" xr:uid="{00000000-0005-0000-0000-0000A0050000}"/>
    <cellStyle name="Saída 3 2 7 2" xfId="1046" xr:uid="{00000000-0005-0000-0000-0000A1050000}"/>
    <cellStyle name="Saída 3 2 7 2 2" xfId="1845" xr:uid="{00000000-0005-0000-0000-0000A2050000}"/>
    <cellStyle name="Saída 3 2 7 3" xfId="1397" xr:uid="{00000000-0005-0000-0000-0000A3050000}"/>
    <cellStyle name="Saída 3 2 8" xfId="572" xr:uid="{00000000-0005-0000-0000-0000A4050000}"/>
    <cellStyle name="Saída 3 2 8 2" xfId="1087" xr:uid="{00000000-0005-0000-0000-0000A5050000}"/>
    <cellStyle name="Saída 3 2 8 2 2" xfId="1886" xr:uid="{00000000-0005-0000-0000-0000A6050000}"/>
    <cellStyle name="Saída 3 2 8 3" xfId="1438" xr:uid="{00000000-0005-0000-0000-0000A7050000}"/>
    <cellStyle name="Saída 3 2 9" xfId="447" xr:uid="{00000000-0005-0000-0000-0000A8050000}"/>
    <cellStyle name="Saída 3 2 9 2" xfId="962" xr:uid="{00000000-0005-0000-0000-0000A9050000}"/>
    <cellStyle name="Saída 3 2 9 2 2" xfId="1761" xr:uid="{00000000-0005-0000-0000-0000AA050000}"/>
    <cellStyle name="Saída 3 2 9 3" xfId="1313" xr:uid="{00000000-0005-0000-0000-0000AB050000}"/>
    <cellStyle name="Saída 3 3" xfId="99" xr:uid="{00000000-0005-0000-0000-0000AC050000}"/>
    <cellStyle name="Saída 3 3 10" xfId="305" xr:uid="{00000000-0005-0000-0000-0000AD050000}"/>
    <cellStyle name="Saída 3 3 10 2" xfId="820" xr:uid="{00000000-0005-0000-0000-0000AE050000}"/>
    <cellStyle name="Saída 3 3 10 2 2" xfId="1624" xr:uid="{00000000-0005-0000-0000-0000AF050000}"/>
    <cellStyle name="Saída 3 3 10 3" xfId="782" xr:uid="{00000000-0005-0000-0000-0000B0050000}"/>
    <cellStyle name="Saída 3 3 11" xfId="607" xr:uid="{00000000-0005-0000-0000-0000B1050000}"/>
    <cellStyle name="Saída 3 3 11 2" xfId="1122" xr:uid="{00000000-0005-0000-0000-0000B2050000}"/>
    <cellStyle name="Saída 3 3 11 2 2" xfId="1921" xr:uid="{00000000-0005-0000-0000-0000B3050000}"/>
    <cellStyle name="Saída 3 3 11 3" xfId="1473" xr:uid="{00000000-0005-0000-0000-0000B4050000}"/>
    <cellStyle name="Saída 3 3 12" xfId="648" xr:uid="{00000000-0005-0000-0000-0000B5050000}"/>
    <cellStyle name="Saída 3 3 12 2" xfId="1163" xr:uid="{00000000-0005-0000-0000-0000B6050000}"/>
    <cellStyle name="Saída 3 3 12 2 2" xfId="1962" xr:uid="{00000000-0005-0000-0000-0000B7050000}"/>
    <cellStyle name="Saída 3 3 12 3" xfId="1514" xr:uid="{00000000-0005-0000-0000-0000B8050000}"/>
    <cellStyle name="Saída 3 3 2" xfId="257" xr:uid="{00000000-0005-0000-0000-0000B9050000}"/>
    <cellStyle name="Saída 3 3 2 2" xfId="771" xr:uid="{00000000-0005-0000-0000-0000BA050000}"/>
    <cellStyle name="Saída 3 3 2 2 2" xfId="1590" xr:uid="{00000000-0005-0000-0000-0000BB050000}"/>
    <cellStyle name="Saída 3 3 2 3" xfId="1545" xr:uid="{00000000-0005-0000-0000-0000BC050000}"/>
    <cellStyle name="Saída 3 3 3" xfId="300" xr:uid="{00000000-0005-0000-0000-0000BD050000}"/>
    <cellStyle name="Saída 3 3 3 2" xfId="815" xr:uid="{00000000-0005-0000-0000-0000BE050000}"/>
    <cellStyle name="Saída 3 3 3 2 2" xfId="1619" xr:uid="{00000000-0005-0000-0000-0000BF050000}"/>
    <cellStyle name="Saída 3 3 3 3" xfId="756" xr:uid="{00000000-0005-0000-0000-0000C0050000}"/>
    <cellStyle name="Saída 3 3 4" xfId="401" xr:uid="{00000000-0005-0000-0000-0000C1050000}"/>
    <cellStyle name="Saída 3 3 4 2" xfId="916" xr:uid="{00000000-0005-0000-0000-0000C2050000}"/>
    <cellStyle name="Saída 3 3 4 2 2" xfId="1715" xr:uid="{00000000-0005-0000-0000-0000C3050000}"/>
    <cellStyle name="Saída 3 3 4 3" xfId="1267" xr:uid="{00000000-0005-0000-0000-0000C4050000}"/>
    <cellStyle name="Saída 3 3 5" xfId="455" xr:uid="{00000000-0005-0000-0000-0000C5050000}"/>
    <cellStyle name="Saída 3 3 5 2" xfId="970" xr:uid="{00000000-0005-0000-0000-0000C6050000}"/>
    <cellStyle name="Saída 3 3 5 2 2" xfId="1769" xr:uid="{00000000-0005-0000-0000-0000C7050000}"/>
    <cellStyle name="Saída 3 3 5 3" xfId="1321" xr:uid="{00000000-0005-0000-0000-0000C8050000}"/>
    <cellStyle name="Saída 3 3 6" xfId="319" xr:uid="{00000000-0005-0000-0000-0000C9050000}"/>
    <cellStyle name="Saída 3 3 6 2" xfId="834" xr:uid="{00000000-0005-0000-0000-0000CA050000}"/>
    <cellStyle name="Saída 3 3 6 2 2" xfId="1638" xr:uid="{00000000-0005-0000-0000-0000CB050000}"/>
    <cellStyle name="Saída 3 3 6 3" xfId="1182" xr:uid="{00000000-0005-0000-0000-0000CC050000}"/>
    <cellStyle name="Saída 3 3 7" xfId="484" xr:uid="{00000000-0005-0000-0000-0000CD050000}"/>
    <cellStyle name="Saída 3 3 7 2" xfId="999" xr:uid="{00000000-0005-0000-0000-0000CE050000}"/>
    <cellStyle name="Saída 3 3 7 2 2" xfId="1798" xr:uid="{00000000-0005-0000-0000-0000CF050000}"/>
    <cellStyle name="Saída 3 3 7 3" xfId="1350" xr:uid="{00000000-0005-0000-0000-0000D0050000}"/>
    <cellStyle name="Saída 3 3 8" xfId="552" xr:uid="{00000000-0005-0000-0000-0000D1050000}"/>
    <cellStyle name="Saída 3 3 8 2" xfId="1067" xr:uid="{00000000-0005-0000-0000-0000D2050000}"/>
    <cellStyle name="Saída 3 3 8 2 2" xfId="1866" xr:uid="{00000000-0005-0000-0000-0000D3050000}"/>
    <cellStyle name="Saída 3 3 8 3" xfId="1418" xr:uid="{00000000-0005-0000-0000-0000D4050000}"/>
    <cellStyle name="Saída 3 3 9" xfId="505" xr:uid="{00000000-0005-0000-0000-0000D5050000}"/>
    <cellStyle name="Saída 3 3 9 2" xfId="1020" xr:uid="{00000000-0005-0000-0000-0000D6050000}"/>
    <cellStyle name="Saída 3 3 9 2 2" xfId="1819" xr:uid="{00000000-0005-0000-0000-0000D7050000}"/>
    <cellStyle name="Saída 3 3 9 3" xfId="1371" xr:uid="{00000000-0005-0000-0000-0000D8050000}"/>
    <cellStyle name="Saída 3 4" xfId="97" xr:uid="{00000000-0005-0000-0000-0000D9050000}"/>
    <cellStyle name="Saída 3 4 10" xfId="495" xr:uid="{00000000-0005-0000-0000-0000DA050000}"/>
    <cellStyle name="Saída 3 4 10 2" xfId="1010" xr:uid="{00000000-0005-0000-0000-0000DB050000}"/>
    <cellStyle name="Saída 3 4 10 2 2" xfId="1809" xr:uid="{00000000-0005-0000-0000-0000DC050000}"/>
    <cellStyle name="Saída 3 4 10 3" xfId="1361" xr:uid="{00000000-0005-0000-0000-0000DD050000}"/>
    <cellStyle name="Saída 3 4 11" xfId="632" xr:uid="{00000000-0005-0000-0000-0000DE050000}"/>
    <cellStyle name="Saída 3 4 11 2" xfId="1147" xr:uid="{00000000-0005-0000-0000-0000DF050000}"/>
    <cellStyle name="Saída 3 4 11 2 2" xfId="1946" xr:uid="{00000000-0005-0000-0000-0000E0050000}"/>
    <cellStyle name="Saída 3 4 11 3" xfId="1498" xr:uid="{00000000-0005-0000-0000-0000E1050000}"/>
    <cellStyle name="Saída 3 4 12" xfId="644" xr:uid="{00000000-0005-0000-0000-0000E2050000}"/>
    <cellStyle name="Saída 3 4 12 2" xfId="1159" xr:uid="{00000000-0005-0000-0000-0000E3050000}"/>
    <cellStyle name="Saída 3 4 12 2 2" xfId="1958" xr:uid="{00000000-0005-0000-0000-0000E4050000}"/>
    <cellStyle name="Saída 3 4 12 3" xfId="1510" xr:uid="{00000000-0005-0000-0000-0000E5050000}"/>
    <cellStyle name="Saída 3 4 2" xfId="255" xr:uid="{00000000-0005-0000-0000-0000E6050000}"/>
    <cellStyle name="Saída 3 4 2 2" xfId="789" xr:uid="{00000000-0005-0000-0000-0000E7050000}"/>
    <cellStyle name="Saída 3 4 2 2 2" xfId="1597" xr:uid="{00000000-0005-0000-0000-0000E8050000}"/>
    <cellStyle name="Saída 3 4 2 3" xfId="1543" xr:uid="{00000000-0005-0000-0000-0000E9050000}"/>
    <cellStyle name="Saída 3 4 3" xfId="299" xr:uid="{00000000-0005-0000-0000-0000EA050000}"/>
    <cellStyle name="Saída 3 4 3 2" xfId="814" xr:uid="{00000000-0005-0000-0000-0000EB050000}"/>
    <cellStyle name="Saída 3 4 3 2 2" xfId="1618" xr:uid="{00000000-0005-0000-0000-0000EC050000}"/>
    <cellStyle name="Saída 3 4 3 3" xfId="1187" xr:uid="{00000000-0005-0000-0000-0000ED050000}"/>
    <cellStyle name="Saída 3 4 4" xfId="399" xr:uid="{00000000-0005-0000-0000-0000EE050000}"/>
    <cellStyle name="Saída 3 4 4 2" xfId="914" xr:uid="{00000000-0005-0000-0000-0000EF050000}"/>
    <cellStyle name="Saída 3 4 4 2 2" xfId="1713" xr:uid="{00000000-0005-0000-0000-0000F0050000}"/>
    <cellStyle name="Saída 3 4 4 3" xfId="1265" xr:uid="{00000000-0005-0000-0000-0000F1050000}"/>
    <cellStyle name="Saída 3 4 5" xfId="453" xr:uid="{00000000-0005-0000-0000-0000F2050000}"/>
    <cellStyle name="Saída 3 4 5 2" xfId="968" xr:uid="{00000000-0005-0000-0000-0000F3050000}"/>
    <cellStyle name="Saída 3 4 5 2 2" xfId="1767" xr:uid="{00000000-0005-0000-0000-0000F4050000}"/>
    <cellStyle name="Saída 3 4 5 3" xfId="1319" xr:uid="{00000000-0005-0000-0000-0000F5050000}"/>
    <cellStyle name="Saída 3 4 6" xfId="359" xr:uid="{00000000-0005-0000-0000-0000F6050000}"/>
    <cellStyle name="Saída 3 4 6 2" xfId="874" xr:uid="{00000000-0005-0000-0000-0000F7050000}"/>
    <cellStyle name="Saída 3 4 6 2 2" xfId="1673" xr:uid="{00000000-0005-0000-0000-0000F8050000}"/>
    <cellStyle name="Saída 3 4 6 3" xfId="1225" xr:uid="{00000000-0005-0000-0000-0000F9050000}"/>
    <cellStyle name="Saída 3 4 7" xfId="394" xr:uid="{00000000-0005-0000-0000-0000FA050000}"/>
    <cellStyle name="Saída 3 4 7 2" xfId="909" xr:uid="{00000000-0005-0000-0000-0000FB050000}"/>
    <cellStyle name="Saída 3 4 7 2 2" xfId="1708" xr:uid="{00000000-0005-0000-0000-0000FC050000}"/>
    <cellStyle name="Saída 3 4 7 3" xfId="1260" xr:uid="{00000000-0005-0000-0000-0000FD050000}"/>
    <cellStyle name="Saída 3 4 8" xfId="550" xr:uid="{00000000-0005-0000-0000-0000FE050000}"/>
    <cellStyle name="Saída 3 4 8 2" xfId="1065" xr:uid="{00000000-0005-0000-0000-0000FF050000}"/>
    <cellStyle name="Saída 3 4 8 2 2" xfId="1864" xr:uid="{00000000-0005-0000-0000-000000060000}"/>
    <cellStyle name="Saída 3 4 8 3" xfId="1416" xr:uid="{00000000-0005-0000-0000-000001060000}"/>
    <cellStyle name="Saída 3 4 9" xfId="348" xr:uid="{00000000-0005-0000-0000-000002060000}"/>
    <cellStyle name="Saída 3 4 9 2" xfId="863" xr:uid="{00000000-0005-0000-0000-000003060000}"/>
    <cellStyle name="Saída 3 4 9 2 2" xfId="1664" xr:uid="{00000000-0005-0000-0000-000004060000}"/>
    <cellStyle name="Saída 3 4 9 3" xfId="1168" xr:uid="{00000000-0005-0000-0000-000005060000}"/>
    <cellStyle name="Saída 3 5" xfId="251" xr:uid="{00000000-0005-0000-0000-000006060000}"/>
    <cellStyle name="Saída 3 5 2" xfId="773" xr:uid="{00000000-0005-0000-0000-000007060000}"/>
    <cellStyle name="Saída 3 5 2 2" xfId="1592" xr:uid="{00000000-0005-0000-0000-000008060000}"/>
    <cellStyle name="Saída 3 5 3" xfId="1539" xr:uid="{00000000-0005-0000-0000-000009060000}"/>
    <cellStyle name="Saída 3 6" xfId="318" xr:uid="{00000000-0005-0000-0000-00000A060000}"/>
    <cellStyle name="Saída 3 6 2" xfId="833" xr:uid="{00000000-0005-0000-0000-00000B060000}"/>
    <cellStyle name="Saída 3 6 2 2" xfId="1637" xr:uid="{00000000-0005-0000-0000-00000C060000}"/>
    <cellStyle name="Saída 3 6 3" xfId="749" xr:uid="{00000000-0005-0000-0000-00000D060000}"/>
    <cellStyle name="Saída 3 7" xfId="347" xr:uid="{00000000-0005-0000-0000-00000E060000}"/>
    <cellStyle name="Saída 3 7 2" xfId="862" xr:uid="{00000000-0005-0000-0000-00000F060000}"/>
    <cellStyle name="Saída 3 7 2 2" xfId="1663" xr:uid="{00000000-0005-0000-0000-000010060000}"/>
    <cellStyle name="Saída 3 7 3" xfId="1169" xr:uid="{00000000-0005-0000-0000-000011060000}"/>
    <cellStyle name="Saída 3 8" xfId="434" xr:uid="{00000000-0005-0000-0000-000012060000}"/>
    <cellStyle name="Saída 3 8 2" xfId="949" xr:uid="{00000000-0005-0000-0000-000013060000}"/>
    <cellStyle name="Saída 3 8 2 2" xfId="1748" xr:uid="{00000000-0005-0000-0000-000014060000}"/>
    <cellStyle name="Saída 3 8 3" xfId="1300" xr:uid="{00000000-0005-0000-0000-000015060000}"/>
    <cellStyle name="Saída 3 9" xfId="357" xr:uid="{00000000-0005-0000-0000-000016060000}"/>
    <cellStyle name="Saída 3 9 2" xfId="872" xr:uid="{00000000-0005-0000-0000-000017060000}"/>
    <cellStyle name="Saída 3 9 2 2" xfId="1671" xr:uid="{00000000-0005-0000-0000-000018060000}"/>
    <cellStyle name="Saída 3 9 3" xfId="1223" xr:uid="{00000000-0005-0000-0000-000019060000}"/>
    <cellStyle name="Saída 4" xfId="72" xr:uid="{00000000-0005-0000-0000-00001A060000}"/>
    <cellStyle name="Saída 4 10" xfId="435" xr:uid="{00000000-0005-0000-0000-00001B060000}"/>
    <cellStyle name="Saída 4 10 2" xfId="950" xr:uid="{00000000-0005-0000-0000-00001C060000}"/>
    <cellStyle name="Saída 4 10 2 2" xfId="1749" xr:uid="{00000000-0005-0000-0000-00001D060000}"/>
    <cellStyle name="Saída 4 10 3" xfId="1301" xr:uid="{00000000-0005-0000-0000-00001E060000}"/>
    <cellStyle name="Saída 4 11" xfId="311" xr:uid="{00000000-0005-0000-0000-00001F060000}"/>
    <cellStyle name="Saída 4 11 2" xfId="826" xr:uid="{00000000-0005-0000-0000-000020060000}"/>
    <cellStyle name="Saída 4 11 2 2" xfId="1630" xr:uid="{00000000-0005-0000-0000-000021060000}"/>
    <cellStyle name="Saída 4 11 3" xfId="753" xr:uid="{00000000-0005-0000-0000-000022060000}"/>
    <cellStyle name="Saída 4 12" xfId="315" xr:uid="{00000000-0005-0000-0000-000023060000}"/>
    <cellStyle name="Saída 4 12 2" xfId="830" xr:uid="{00000000-0005-0000-0000-000024060000}"/>
    <cellStyle name="Saída 4 12 2 2" xfId="1634" xr:uid="{00000000-0005-0000-0000-000025060000}"/>
    <cellStyle name="Saída 4 12 3" xfId="748" xr:uid="{00000000-0005-0000-0000-000026060000}"/>
    <cellStyle name="Saída 4 13" xfId="544" xr:uid="{00000000-0005-0000-0000-000027060000}"/>
    <cellStyle name="Saída 4 13 2" xfId="1059" xr:uid="{00000000-0005-0000-0000-000028060000}"/>
    <cellStyle name="Saída 4 13 2 2" xfId="1858" xr:uid="{00000000-0005-0000-0000-000029060000}"/>
    <cellStyle name="Saída 4 13 3" xfId="1410" xr:uid="{00000000-0005-0000-0000-00002A060000}"/>
    <cellStyle name="Saída 4 14" xfId="611" xr:uid="{00000000-0005-0000-0000-00002B060000}"/>
    <cellStyle name="Saída 4 14 2" xfId="1126" xr:uid="{00000000-0005-0000-0000-00002C060000}"/>
    <cellStyle name="Saída 4 14 2 2" xfId="1925" xr:uid="{00000000-0005-0000-0000-00002D060000}"/>
    <cellStyle name="Saída 4 14 3" xfId="1477" xr:uid="{00000000-0005-0000-0000-00002E060000}"/>
    <cellStyle name="Saída 4 15" xfId="526" xr:uid="{00000000-0005-0000-0000-00002F060000}"/>
    <cellStyle name="Saída 4 15 2" xfId="1041" xr:uid="{00000000-0005-0000-0000-000030060000}"/>
    <cellStyle name="Saída 4 15 2 2" xfId="1840" xr:uid="{00000000-0005-0000-0000-000031060000}"/>
    <cellStyle name="Saída 4 15 3" xfId="1392" xr:uid="{00000000-0005-0000-0000-000032060000}"/>
    <cellStyle name="Saída 4 2" xfId="117" xr:uid="{00000000-0005-0000-0000-000033060000}"/>
    <cellStyle name="Saída 4 2 10" xfId="312" xr:uid="{00000000-0005-0000-0000-000034060000}"/>
    <cellStyle name="Saída 4 2 10 2" xfId="827" xr:uid="{00000000-0005-0000-0000-000035060000}"/>
    <cellStyle name="Saída 4 2 10 2 2" xfId="1631" xr:uid="{00000000-0005-0000-0000-000036060000}"/>
    <cellStyle name="Saída 4 2 10 3" xfId="1184" xr:uid="{00000000-0005-0000-0000-000037060000}"/>
    <cellStyle name="Saída 4 2 11" xfId="631" xr:uid="{00000000-0005-0000-0000-000038060000}"/>
    <cellStyle name="Saída 4 2 11 2" xfId="1146" xr:uid="{00000000-0005-0000-0000-000039060000}"/>
    <cellStyle name="Saída 4 2 11 2 2" xfId="1945" xr:uid="{00000000-0005-0000-0000-00003A060000}"/>
    <cellStyle name="Saída 4 2 11 3" xfId="1497" xr:uid="{00000000-0005-0000-0000-00003B060000}"/>
    <cellStyle name="Saída 4 2 12" xfId="629" xr:uid="{00000000-0005-0000-0000-00003C060000}"/>
    <cellStyle name="Saída 4 2 12 2" xfId="1144" xr:uid="{00000000-0005-0000-0000-00003D060000}"/>
    <cellStyle name="Saída 4 2 12 2 2" xfId="1943" xr:uid="{00000000-0005-0000-0000-00003E060000}"/>
    <cellStyle name="Saída 4 2 12 3" xfId="1495" xr:uid="{00000000-0005-0000-0000-00003F060000}"/>
    <cellStyle name="Saída 4 2 2" xfId="275" xr:uid="{00000000-0005-0000-0000-000040060000}"/>
    <cellStyle name="Saída 4 2 2 2" xfId="1197" xr:uid="{00000000-0005-0000-0000-000041060000}"/>
    <cellStyle name="Saída 4 2 2 2 2" xfId="1969" xr:uid="{00000000-0005-0000-0000-000042060000}"/>
    <cellStyle name="Saída 4 2 2 3" xfId="1563" xr:uid="{00000000-0005-0000-0000-000043060000}"/>
    <cellStyle name="Saída 4 2 3" xfId="386" xr:uid="{00000000-0005-0000-0000-000044060000}"/>
    <cellStyle name="Saída 4 2 3 2" xfId="901" xr:uid="{00000000-0005-0000-0000-000045060000}"/>
    <cellStyle name="Saída 4 2 3 2 2" xfId="1700" xr:uid="{00000000-0005-0000-0000-000046060000}"/>
    <cellStyle name="Saída 4 2 3 3" xfId="1252" xr:uid="{00000000-0005-0000-0000-000047060000}"/>
    <cellStyle name="Saída 4 2 4" xfId="419" xr:uid="{00000000-0005-0000-0000-000048060000}"/>
    <cellStyle name="Saída 4 2 4 2" xfId="934" xr:uid="{00000000-0005-0000-0000-000049060000}"/>
    <cellStyle name="Saída 4 2 4 2 2" xfId="1733" xr:uid="{00000000-0005-0000-0000-00004A060000}"/>
    <cellStyle name="Saída 4 2 4 3" xfId="1285" xr:uid="{00000000-0005-0000-0000-00004B060000}"/>
    <cellStyle name="Saída 4 2 5" xfId="473" xr:uid="{00000000-0005-0000-0000-00004C060000}"/>
    <cellStyle name="Saída 4 2 5 2" xfId="988" xr:uid="{00000000-0005-0000-0000-00004D060000}"/>
    <cellStyle name="Saída 4 2 5 2 2" xfId="1787" xr:uid="{00000000-0005-0000-0000-00004E060000}"/>
    <cellStyle name="Saída 4 2 5 3" xfId="1339" xr:uid="{00000000-0005-0000-0000-00004F060000}"/>
    <cellStyle name="Saída 4 2 6" xfId="313" xr:uid="{00000000-0005-0000-0000-000050060000}"/>
    <cellStyle name="Saída 4 2 6 2" xfId="828" xr:uid="{00000000-0005-0000-0000-000051060000}"/>
    <cellStyle name="Saída 4 2 6 2 2" xfId="1632" xr:uid="{00000000-0005-0000-0000-000052060000}"/>
    <cellStyle name="Saída 4 2 6 3" xfId="751" xr:uid="{00000000-0005-0000-0000-000053060000}"/>
    <cellStyle name="Saída 4 2 7" xfId="494" xr:uid="{00000000-0005-0000-0000-000054060000}"/>
    <cellStyle name="Saída 4 2 7 2" xfId="1009" xr:uid="{00000000-0005-0000-0000-000055060000}"/>
    <cellStyle name="Saída 4 2 7 2 2" xfId="1808" xr:uid="{00000000-0005-0000-0000-000056060000}"/>
    <cellStyle name="Saída 4 2 7 3" xfId="1360" xr:uid="{00000000-0005-0000-0000-000057060000}"/>
    <cellStyle name="Saída 4 2 8" xfId="570" xr:uid="{00000000-0005-0000-0000-000058060000}"/>
    <cellStyle name="Saída 4 2 8 2" xfId="1085" xr:uid="{00000000-0005-0000-0000-000059060000}"/>
    <cellStyle name="Saída 4 2 8 2 2" xfId="1884" xr:uid="{00000000-0005-0000-0000-00005A060000}"/>
    <cellStyle name="Saída 4 2 8 3" xfId="1436" xr:uid="{00000000-0005-0000-0000-00005B060000}"/>
    <cellStyle name="Saída 4 2 9" xfId="439" xr:uid="{00000000-0005-0000-0000-00005C060000}"/>
    <cellStyle name="Saída 4 2 9 2" xfId="954" xr:uid="{00000000-0005-0000-0000-00005D060000}"/>
    <cellStyle name="Saída 4 2 9 2 2" xfId="1753" xr:uid="{00000000-0005-0000-0000-00005E060000}"/>
    <cellStyle name="Saída 4 2 9 3" xfId="1305" xr:uid="{00000000-0005-0000-0000-00005F060000}"/>
    <cellStyle name="Saída 4 3" xfId="101" xr:uid="{00000000-0005-0000-0000-000060060000}"/>
    <cellStyle name="Saída 4 3 10" xfId="502" xr:uid="{00000000-0005-0000-0000-000061060000}"/>
    <cellStyle name="Saída 4 3 10 2" xfId="1017" xr:uid="{00000000-0005-0000-0000-000062060000}"/>
    <cellStyle name="Saída 4 3 10 2 2" xfId="1816" xr:uid="{00000000-0005-0000-0000-000063060000}"/>
    <cellStyle name="Saída 4 3 10 3" xfId="1368" xr:uid="{00000000-0005-0000-0000-000064060000}"/>
    <cellStyle name="Saída 4 3 11" xfId="615" xr:uid="{00000000-0005-0000-0000-000065060000}"/>
    <cellStyle name="Saída 4 3 11 2" xfId="1130" xr:uid="{00000000-0005-0000-0000-000066060000}"/>
    <cellStyle name="Saída 4 3 11 2 2" xfId="1929" xr:uid="{00000000-0005-0000-0000-000067060000}"/>
    <cellStyle name="Saída 4 3 11 3" xfId="1481" xr:uid="{00000000-0005-0000-0000-000068060000}"/>
    <cellStyle name="Saída 4 3 12" xfId="327" xr:uid="{00000000-0005-0000-0000-000069060000}"/>
    <cellStyle name="Saída 4 3 12 2" xfId="842" xr:uid="{00000000-0005-0000-0000-00006A060000}"/>
    <cellStyle name="Saída 4 3 12 2 2" xfId="1646" xr:uid="{00000000-0005-0000-0000-00006B060000}"/>
    <cellStyle name="Saída 4 3 12 3" xfId="1175" xr:uid="{00000000-0005-0000-0000-00006C060000}"/>
    <cellStyle name="Saída 4 3 2" xfId="259" xr:uid="{00000000-0005-0000-0000-00006D060000}"/>
    <cellStyle name="Saída 4 3 2 2" xfId="775" xr:uid="{00000000-0005-0000-0000-00006E060000}"/>
    <cellStyle name="Saída 4 3 2 2 2" xfId="1594" xr:uid="{00000000-0005-0000-0000-00006F060000}"/>
    <cellStyle name="Saída 4 3 2 3" xfId="1547" xr:uid="{00000000-0005-0000-0000-000070060000}"/>
    <cellStyle name="Saída 4 3 3" xfId="297" xr:uid="{00000000-0005-0000-0000-000071060000}"/>
    <cellStyle name="Saída 4 3 3 2" xfId="812" xr:uid="{00000000-0005-0000-0000-000072060000}"/>
    <cellStyle name="Saída 4 3 3 2 2" xfId="1616" xr:uid="{00000000-0005-0000-0000-000073060000}"/>
    <cellStyle name="Saída 4 3 3 3" xfId="784" xr:uid="{00000000-0005-0000-0000-000074060000}"/>
    <cellStyle name="Saída 4 3 4" xfId="403" xr:uid="{00000000-0005-0000-0000-000075060000}"/>
    <cellStyle name="Saída 4 3 4 2" xfId="918" xr:uid="{00000000-0005-0000-0000-000076060000}"/>
    <cellStyle name="Saída 4 3 4 2 2" xfId="1717" xr:uid="{00000000-0005-0000-0000-000077060000}"/>
    <cellStyle name="Saída 4 3 4 3" xfId="1269" xr:uid="{00000000-0005-0000-0000-000078060000}"/>
    <cellStyle name="Saída 4 3 5" xfId="457" xr:uid="{00000000-0005-0000-0000-000079060000}"/>
    <cellStyle name="Saída 4 3 5 2" xfId="972" xr:uid="{00000000-0005-0000-0000-00007A060000}"/>
    <cellStyle name="Saída 4 3 5 2 2" xfId="1771" xr:uid="{00000000-0005-0000-0000-00007B060000}"/>
    <cellStyle name="Saída 4 3 5 3" xfId="1323" xr:uid="{00000000-0005-0000-0000-00007C060000}"/>
    <cellStyle name="Saída 4 3 6" xfId="424" xr:uid="{00000000-0005-0000-0000-00007D060000}"/>
    <cellStyle name="Saída 4 3 6 2" xfId="939" xr:uid="{00000000-0005-0000-0000-00007E060000}"/>
    <cellStyle name="Saída 4 3 6 2 2" xfId="1738" xr:uid="{00000000-0005-0000-0000-00007F060000}"/>
    <cellStyle name="Saída 4 3 6 3" xfId="1290" xr:uid="{00000000-0005-0000-0000-000080060000}"/>
    <cellStyle name="Saída 4 3 7" xfId="486" xr:uid="{00000000-0005-0000-0000-000081060000}"/>
    <cellStyle name="Saída 4 3 7 2" xfId="1001" xr:uid="{00000000-0005-0000-0000-000082060000}"/>
    <cellStyle name="Saída 4 3 7 2 2" xfId="1800" xr:uid="{00000000-0005-0000-0000-000083060000}"/>
    <cellStyle name="Saída 4 3 7 3" xfId="1352" xr:uid="{00000000-0005-0000-0000-000084060000}"/>
    <cellStyle name="Saída 4 3 8" xfId="554" xr:uid="{00000000-0005-0000-0000-000085060000}"/>
    <cellStyle name="Saída 4 3 8 2" xfId="1069" xr:uid="{00000000-0005-0000-0000-000086060000}"/>
    <cellStyle name="Saída 4 3 8 2 2" xfId="1868" xr:uid="{00000000-0005-0000-0000-000087060000}"/>
    <cellStyle name="Saída 4 3 8 3" xfId="1420" xr:uid="{00000000-0005-0000-0000-000088060000}"/>
    <cellStyle name="Saída 4 3 9" xfId="517" xr:uid="{00000000-0005-0000-0000-000089060000}"/>
    <cellStyle name="Saída 4 3 9 2" xfId="1032" xr:uid="{00000000-0005-0000-0000-00008A060000}"/>
    <cellStyle name="Saída 4 3 9 2 2" xfId="1831" xr:uid="{00000000-0005-0000-0000-00008B060000}"/>
    <cellStyle name="Saída 4 3 9 3" xfId="1383" xr:uid="{00000000-0005-0000-0000-00008C060000}"/>
    <cellStyle name="Saída 4 4" xfId="115" xr:uid="{00000000-0005-0000-0000-00008D060000}"/>
    <cellStyle name="Saída 4 4 10" xfId="307" xr:uid="{00000000-0005-0000-0000-00008E060000}"/>
    <cellStyle name="Saída 4 4 10 2" xfId="822" xr:uid="{00000000-0005-0000-0000-00008F060000}"/>
    <cellStyle name="Saída 4 4 10 2 2" xfId="1626" xr:uid="{00000000-0005-0000-0000-000090060000}"/>
    <cellStyle name="Saída 4 4 10 3" xfId="1185" xr:uid="{00000000-0005-0000-0000-000091060000}"/>
    <cellStyle name="Saída 4 4 11" xfId="523" xr:uid="{00000000-0005-0000-0000-000092060000}"/>
    <cellStyle name="Saída 4 4 11 2" xfId="1038" xr:uid="{00000000-0005-0000-0000-000093060000}"/>
    <cellStyle name="Saída 4 4 11 2 2" xfId="1837" xr:uid="{00000000-0005-0000-0000-000094060000}"/>
    <cellStyle name="Saída 4 4 11 3" xfId="1389" xr:uid="{00000000-0005-0000-0000-000095060000}"/>
    <cellStyle name="Saída 4 4 12" xfId="649" xr:uid="{00000000-0005-0000-0000-000096060000}"/>
    <cellStyle name="Saída 4 4 12 2" xfId="1164" xr:uid="{00000000-0005-0000-0000-000097060000}"/>
    <cellStyle name="Saída 4 4 12 2 2" xfId="1963" xr:uid="{00000000-0005-0000-0000-000098060000}"/>
    <cellStyle name="Saída 4 4 12 3" xfId="1515" xr:uid="{00000000-0005-0000-0000-000099060000}"/>
    <cellStyle name="Saída 4 4 2" xfId="273" xr:uid="{00000000-0005-0000-0000-00009A060000}"/>
    <cellStyle name="Saída 4 4 2 2" xfId="788" xr:uid="{00000000-0005-0000-0000-00009B060000}"/>
    <cellStyle name="Saída 4 4 2 2 2" xfId="1596" xr:uid="{00000000-0005-0000-0000-00009C060000}"/>
    <cellStyle name="Saída 4 4 2 3" xfId="1561" xr:uid="{00000000-0005-0000-0000-00009D060000}"/>
    <cellStyle name="Saída 4 4 3" xfId="384" xr:uid="{00000000-0005-0000-0000-00009E060000}"/>
    <cellStyle name="Saída 4 4 3 2" xfId="899" xr:uid="{00000000-0005-0000-0000-00009F060000}"/>
    <cellStyle name="Saída 4 4 3 2 2" xfId="1698" xr:uid="{00000000-0005-0000-0000-0000A0060000}"/>
    <cellStyle name="Saída 4 4 3 3" xfId="1250" xr:uid="{00000000-0005-0000-0000-0000A1060000}"/>
    <cellStyle name="Saída 4 4 4" xfId="417" xr:uid="{00000000-0005-0000-0000-0000A2060000}"/>
    <cellStyle name="Saída 4 4 4 2" xfId="932" xr:uid="{00000000-0005-0000-0000-0000A3060000}"/>
    <cellStyle name="Saída 4 4 4 2 2" xfId="1731" xr:uid="{00000000-0005-0000-0000-0000A4060000}"/>
    <cellStyle name="Saída 4 4 4 3" xfId="1283" xr:uid="{00000000-0005-0000-0000-0000A5060000}"/>
    <cellStyle name="Saída 4 4 5" xfId="471" xr:uid="{00000000-0005-0000-0000-0000A6060000}"/>
    <cellStyle name="Saída 4 4 5 2" xfId="986" xr:uid="{00000000-0005-0000-0000-0000A7060000}"/>
    <cellStyle name="Saída 4 4 5 2 2" xfId="1785" xr:uid="{00000000-0005-0000-0000-0000A8060000}"/>
    <cellStyle name="Saída 4 4 5 3" xfId="1337" xr:uid="{00000000-0005-0000-0000-0000A9060000}"/>
    <cellStyle name="Saída 4 4 6" xfId="392" xr:uid="{00000000-0005-0000-0000-0000AA060000}"/>
    <cellStyle name="Saída 4 4 6 2" xfId="907" xr:uid="{00000000-0005-0000-0000-0000AB060000}"/>
    <cellStyle name="Saída 4 4 6 2 2" xfId="1706" xr:uid="{00000000-0005-0000-0000-0000AC060000}"/>
    <cellStyle name="Saída 4 4 6 3" xfId="1258" xr:uid="{00000000-0005-0000-0000-0000AD060000}"/>
    <cellStyle name="Saída 4 4 7" xfId="344" xr:uid="{00000000-0005-0000-0000-0000AE060000}"/>
    <cellStyle name="Saída 4 4 7 2" xfId="859" xr:uid="{00000000-0005-0000-0000-0000AF060000}"/>
    <cellStyle name="Saída 4 4 7 2 2" xfId="1661" xr:uid="{00000000-0005-0000-0000-0000B0060000}"/>
    <cellStyle name="Saída 4 4 7 3" xfId="1171" xr:uid="{00000000-0005-0000-0000-0000B1060000}"/>
    <cellStyle name="Saída 4 4 8" xfId="568" xr:uid="{00000000-0005-0000-0000-0000B2060000}"/>
    <cellStyle name="Saída 4 4 8 2" xfId="1083" xr:uid="{00000000-0005-0000-0000-0000B3060000}"/>
    <cellStyle name="Saída 4 4 8 2 2" xfId="1882" xr:uid="{00000000-0005-0000-0000-0000B4060000}"/>
    <cellStyle name="Saída 4 4 8 3" xfId="1434" xr:uid="{00000000-0005-0000-0000-0000B5060000}"/>
    <cellStyle name="Saída 4 4 9" xfId="450" xr:uid="{00000000-0005-0000-0000-0000B6060000}"/>
    <cellStyle name="Saída 4 4 9 2" xfId="965" xr:uid="{00000000-0005-0000-0000-0000B7060000}"/>
    <cellStyle name="Saída 4 4 9 2 2" xfId="1764" xr:uid="{00000000-0005-0000-0000-0000B8060000}"/>
    <cellStyle name="Saída 4 4 9 3" xfId="1316" xr:uid="{00000000-0005-0000-0000-0000B9060000}"/>
    <cellStyle name="Saída 4 5" xfId="249" xr:uid="{00000000-0005-0000-0000-0000BA060000}"/>
    <cellStyle name="Saída 4 5 2" xfId="774" xr:uid="{00000000-0005-0000-0000-0000BB060000}"/>
    <cellStyle name="Saída 4 5 2 2" xfId="1593" xr:uid="{00000000-0005-0000-0000-0000BC060000}"/>
    <cellStyle name="Saída 4 5 3" xfId="1537" xr:uid="{00000000-0005-0000-0000-0000BD060000}"/>
    <cellStyle name="Saída 4 6" xfId="367" xr:uid="{00000000-0005-0000-0000-0000BE060000}"/>
    <cellStyle name="Saída 4 6 2" xfId="882" xr:uid="{00000000-0005-0000-0000-0000BF060000}"/>
    <cellStyle name="Saída 4 6 2 2" xfId="1681" xr:uid="{00000000-0005-0000-0000-0000C0060000}"/>
    <cellStyle name="Saída 4 6 3" xfId="1233" xr:uid="{00000000-0005-0000-0000-0000C1060000}"/>
    <cellStyle name="Saída 4 7" xfId="351" xr:uid="{00000000-0005-0000-0000-0000C2060000}"/>
    <cellStyle name="Saída 4 7 2" xfId="866" xr:uid="{00000000-0005-0000-0000-0000C3060000}"/>
    <cellStyle name="Saída 4 7 2 2" xfId="1666" xr:uid="{00000000-0005-0000-0000-0000C4060000}"/>
    <cellStyle name="Saída 4 7 3" xfId="1218" xr:uid="{00000000-0005-0000-0000-0000C5060000}"/>
    <cellStyle name="Saída 4 8" xfId="432" xr:uid="{00000000-0005-0000-0000-0000C6060000}"/>
    <cellStyle name="Saída 4 8 2" xfId="947" xr:uid="{00000000-0005-0000-0000-0000C7060000}"/>
    <cellStyle name="Saída 4 8 2 2" xfId="1746" xr:uid="{00000000-0005-0000-0000-0000C8060000}"/>
    <cellStyle name="Saída 4 8 3" xfId="1298" xr:uid="{00000000-0005-0000-0000-0000C9060000}"/>
    <cellStyle name="Saída 4 9" xfId="362" xr:uid="{00000000-0005-0000-0000-0000CA060000}"/>
    <cellStyle name="Saída 4 9 2" xfId="877" xr:uid="{00000000-0005-0000-0000-0000CB060000}"/>
    <cellStyle name="Saída 4 9 2 2" xfId="1676" xr:uid="{00000000-0005-0000-0000-0000CC060000}"/>
    <cellStyle name="Saída 4 9 3" xfId="1228" xr:uid="{00000000-0005-0000-0000-0000CD060000}"/>
    <cellStyle name="Saída 5" xfId="722" xr:uid="{00000000-0005-0000-0000-0000CE060000}"/>
    <cellStyle name="Saída 5 2" xfId="1212" xr:uid="{00000000-0005-0000-0000-0000CF060000}"/>
    <cellStyle name="Saída 5 2 2" xfId="1984" xr:uid="{00000000-0005-0000-0000-0000D0060000}"/>
    <cellStyle name="Saída 5 3" xfId="1523" xr:uid="{00000000-0005-0000-0000-0000D1060000}"/>
    <cellStyle name="Saída 6" xfId="730" xr:uid="{00000000-0005-0000-0000-0000D2060000}"/>
    <cellStyle name="Saída 6 2" xfId="1214" xr:uid="{00000000-0005-0000-0000-0000D3060000}"/>
    <cellStyle name="Saída 6 2 2" xfId="1986" xr:uid="{00000000-0005-0000-0000-0000D4060000}"/>
    <cellStyle name="Saída 6 3" xfId="1525" xr:uid="{00000000-0005-0000-0000-0000D5060000}"/>
    <cellStyle name="Separador de milhares 2" xfId="14" xr:uid="{00000000-0005-0000-0000-0000D6060000}"/>
    <cellStyle name="Separador de milhares 2 2" xfId="77" xr:uid="{00000000-0005-0000-0000-0000D7060000}"/>
    <cellStyle name="Separador de milhares 2 2 2" xfId="224" xr:uid="{00000000-0005-0000-0000-0000D8060000}"/>
    <cellStyle name="Separador de milhares 2 2 3" xfId="342" xr:uid="{00000000-0005-0000-0000-0000D9060000}"/>
    <cellStyle name="Separador de milhares 2 2 3 2" xfId="857" xr:uid="{00000000-0005-0000-0000-0000DA060000}"/>
    <cellStyle name="Separador de milhares 2 3" xfId="76" xr:uid="{00000000-0005-0000-0000-0000DB060000}"/>
    <cellStyle name="Separador de milhares 2 3 2" xfId="341" xr:uid="{00000000-0005-0000-0000-0000DC060000}"/>
    <cellStyle name="Separador de milhares 2 3 2 2" xfId="856" xr:uid="{00000000-0005-0000-0000-0000DD060000}"/>
    <cellStyle name="Separador de milhares 2 4" xfId="223" xr:uid="{00000000-0005-0000-0000-0000DE060000}"/>
    <cellStyle name="Separador de milhares 2 5" xfId="293" xr:uid="{00000000-0005-0000-0000-0000DF060000}"/>
    <cellStyle name="Separador de milhares 2 5 2" xfId="808" xr:uid="{00000000-0005-0000-0000-0000E0060000}"/>
    <cellStyle name="Separador de milhares 3" xfId="225" xr:uid="{00000000-0005-0000-0000-0000E1060000}"/>
    <cellStyle name="Separador de milhares 3 2" xfId="226" xr:uid="{00000000-0005-0000-0000-0000E2060000}"/>
    <cellStyle name="Separador de milhares 4" xfId="227" xr:uid="{00000000-0005-0000-0000-0000E3060000}"/>
    <cellStyle name="Separador de milhares 6" xfId="228" xr:uid="{00000000-0005-0000-0000-0000E4060000}"/>
    <cellStyle name="Separador de milhares 7" xfId="229" xr:uid="{00000000-0005-0000-0000-0000E5060000}"/>
    <cellStyle name="Separador de milhares 8" xfId="230" xr:uid="{00000000-0005-0000-0000-0000E6060000}"/>
    <cellStyle name="TableStyleLight1" xfId="9" xr:uid="{00000000-0005-0000-0000-0000E7060000}"/>
    <cellStyle name="TableStyleLight1 2" xfId="1579" xr:uid="{00000000-0005-0000-0000-0000E8060000}"/>
    <cellStyle name="Texto de Aviso 2" xfId="78" xr:uid="{00000000-0005-0000-0000-0000E9060000}"/>
    <cellStyle name="Texto Explicativo 2" xfId="79" xr:uid="{00000000-0005-0000-0000-0000EA060000}"/>
    <cellStyle name="Title" xfId="723" xr:uid="{00000000-0005-0000-0000-0000EB060000}"/>
    <cellStyle name="Título 1 1" xfId="13" xr:uid="{00000000-0005-0000-0000-0000EC060000}"/>
    <cellStyle name="Título 1 2" xfId="80" xr:uid="{00000000-0005-0000-0000-0000ED060000}"/>
    <cellStyle name="Título 1 2 2" xfId="231" xr:uid="{00000000-0005-0000-0000-0000EE060000}"/>
    <cellStyle name="Título 1 3" xfId="725" xr:uid="{00000000-0005-0000-0000-0000EF060000}"/>
    <cellStyle name="Título 2 2" xfId="81" xr:uid="{00000000-0005-0000-0000-0000F0060000}"/>
    <cellStyle name="Título 2 2 2" xfId="232" xr:uid="{00000000-0005-0000-0000-0000F1060000}"/>
    <cellStyle name="Título 2 3" xfId="726" xr:uid="{00000000-0005-0000-0000-0000F2060000}"/>
    <cellStyle name="Título 3 2" xfId="82" xr:uid="{00000000-0005-0000-0000-0000F3060000}"/>
    <cellStyle name="Título 3 2 2" xfId="233" xr:uid="{00000000-0005-0000-0000-0000F4060000}"/>
    <cellStyle name="Título 3 3" xfId="727" xr:uid="{00000000-0005-0000-0000-0000F5060000}"/>
    <cellStyle name="Título 4 2" xfId="83" xr:uid="{00000000-0005-0000-0000-0000F6060000}"/>
    <cellStyle name="Título 4 2 2" xfId="234" xr:uid="{00000000-0005-0000-0000-0000F7060000}"/>
    <cellStyle name="Título 5" xfId="724" xr:uid="{00000000-0005-0000-0000-0000F8060000}"/>
    <cellStyle name="Titulo1" xfId="235" xr:uid="{00000000-0005-0000-0000-0000F9060000}"/>
    <cellStyle name="Titulo2" xfId="236" xr:uid="{00000000-0005-0000-0000-0000FA060000}"/>
    <cellStyle name="Total 2" xfId="84" xr:uid="{00000000-0005-0000-0000-0000FB060000}"/>
    <cellStyle name="Total 2 10" xfId="354" xr:uid="{00000000-0005-0000-0000-0000FC060000}"/>
    <cellStyle name="Total 2 10 2" xfId="869" xr:uid="{00000000-0005-0000-0000-0000FD060000}"/>
    <cellStyle name="Total 2 10 2 2" xfId="1668" xr:uid="{00000000-0005-0000-0000-0000FE060000}"/>
    <cellStyle name="Total 2 10 3" xfId="1220" xr:uid="{00000000-0005-0000-0000-0000FF060000}"/>
    <cellStyle name="Total 2 11" xfId="522" xr:uid="{00000000-0005-0000-0000-000000070000}"/>
    <cellStyle name="Total 2 11 2" xfId="1037" xr:uid="{00000000-0005-0000-0000-000001070000}"/>
    <cellStyle name="Total 2 11 2 2" xfId="1836" xr:uid="{00000000-0005-0000-0000-000002070000}"/>
    <cellStyle name="Total 2 11 3" xfId="1388" xr:uid="{00000000-0005-0000-0000-000003070000}"/>
    <cellStyle name="Total 2 12" xfId="539" xr:uid="{00000000-0005-0000-0000-000004070000}"/>
    <cellStyle name="Total 2 12 2" xfId="1054" xr:uid="{00000000-0005-0000-0000-000005070000}"/>
    <cellStyle name="Total 2 12 2 2" xfId="1853" xr:uid="{00000000-0005-0000-0000-000006070000}"/>
    <cellStyle name="Total 2 12 3" xfId="1405" xr:uid="{00000000-0005-0000-0000-000007070000}"/>
    <cellStyle name="Total 2 13" xfId="488" xr:uid="{00000000-0005-0000-0000-000008070000}"/>
    <cellStyle name="Total 2 13 2" xfId="1003" xr:uid="{00000000-0005-0000-0000-000009070000}"/>
    <cellStyle name="Total 2 13 2 2" xfId="1802" xr:uid="{00000000-0005-0000-0000-00000A070000}"/>
    <cellStyle name="Total 2 13 3" xfId="1354" xr:uid="{00000000-0005-0000-0000-00000B070000}"/>
    <cellStyle name="Total 2 14" xfId="577" xr:uid="{00000000-0005-0000-0000-00000C070000}"/>
    <cellStyle name="Total 2 14 2" xfId="1092" xr:uid="{00000000-0005-0000-0000-00000D070000}"/>
    <cellStyle name="Total 2 14 2 2" xfId="1891" xr:uid="{00000000-0005-0000-0000-00000E070000}"/>
    <cellStyle name="Total 2 14 3" xfId="1443" xr:uid="{00000000-0005-0000-0000-00000F070000}"/>
    <cellStyle name="Total 2 15" xfId="610" xr:uid="{00000000-0005-0000-0000-000010070000}"/>
    <cellStyle name="Total 2 15 2" xfId="1125" xr:uid="{00000000-0005-0000-0000-000011070000}"/>
    <cellStyle name="Total 2 15 2 2" xfId="1924" xr:uid="{00000000-0005-0000-0000-000012070000}"/>
    <cellStyle name="Total 2 15 3" xfId="1476" xr:uid="{00000000-0005-0000-0000-000013070000}"/>
    <cellStyle name="Total 2 16" xfId="479" xr:uid="{00000000-0005-0000-0000-000014070000}"/>
    <cellStyle name="Total 2 16 2" xfId="994" xr:uid="{00000000-0005-0000-0000-000015070000}"/>
    <cellStyle name="Total 2 16 2 2" xfId="1793" xr:uid="{00000000-0005-0000-0000-000016070000}"/>
    <cellStyle name="Total 2 16 3" xfId="1345" xr:uid="{00000000-0005-0000-0000-000017070000}"/>
    <cellStyle name="Total 2 2" xfId="120" xr:uid="{00000000-0005-0000-0000-000018070000}"/>
    <cellStyle name="Total 2 2 10" xfId="592" xr:uid="{00000000-0005-0000-0000-000019070000}"/>
    <cellStyle name="Total 2 2 10 2" xfId="1107" xr:uid="{00000000-0005-0000-0000-00001A070000}"/>
    <cellStyle name="Total 2 2 10 2 2" xfId="1906" xr:uid="{00000000-0005-0000-0000-00001B070000}"/>
    <cellStyle name="Total 2 2 10 3" xfId="1458" xr:uid="{00000000-0005-0000-0000-00001C070000}"/>
    <cellStyle name="Total 2 2 11" xfId="636" xr:uid="{00000000-0005-0000-0000-00001D070000}"/>
    <cellStyle name="Total 2 2 11 2" xfId="1151" xr:uid="{00000000-0005-0000-0000-00001E070000}"/>
    <cellStyle name="Total 2 2 11 2 2" xfId="1950" xr:uid="{00000000-0005-0000-0000-00001F070000}"/>
    <cellStyle name="Total 2 2 11 3" xfId="1502" xr:uid="{00000000-0005-0000-0000-000020070000}"/>
    <cellStyle name="Total 2 2 12" xfId="489" xr:uid="{00000000-0005-0000-0000-000021070000}"/>
    <cellStyle name="Total 2 2 12 2" xfId="1004" xr:uid="{00000000-0005-0000-0000-000022070000}"/>
    <cellStyle name="Total 2 2 12 2 2" xfId="1803" xr:uid="{00000000-0005-0000-0000-000023070000}"/>
    <cellStyle name="Total 2 2 12 3" xfId="1355" xr:uid="{00000000-0005-0000-0000-000024070000}"/>
    <cellStyle name="Total 2 2 2" xfId="278" xr:uid="{00000000-0005-0000-0000-000025070000}"/>
    <cellStyle name="Total 2 2 2 2" xfId="787" xr:uid="{00000000-0005-0000-0000-000026070000}"/>
    <cellStyle name="Total 2 2 2 2 2" xfId="1595" xr:uid="{00000000-0005-0000-0000-000027070000}"/>
    <cellStyle name="Total 2 2 2 3" xfId="1566" xr:uid="{00000000-0005-0000-0000-000028070000}"/>
    <cellStyle name="Total 2 2 3" xfId="389" xr:uid="{00000000-0005-0000-0000-000029070000}"/>
    <cellStyle name="Total 2 2 3 2" xfId="904" xr:uid="{00000000-0005-0000-0000-00002A070000}"/>
    <cellStyle name="Total 2 2 3 2 2" xfId="1703" xr:uid="{00000000-0005-0000-0000-00002B070000}"/>
    <cellStyle name="Total 2 2 3 3" xfId="1255" xr:uid="{00000000-0005-0000-0000-00002C070000}"/>
    <cellStyle name="Total 2 2 4" xfId="422" xr:uid="{00000000-0005-0000-0000-00002D070000}"/>
    <cellStyle name="Total 2 2 4 2" xfId="937" xr:uid="{00000000-0005-0000-0000-00002E070000}"/>
    <cellStyle name="Total 2 2 4 2 2" xfId="1736" xr:uid="{00000000-0005-0000-0000-00002F070000}"/>
    <cellStyle name="Total 2 2 4 3" xfId="1288" xr:uid="{00000000-0005-0000-0000-000030070000}"/>
    <cellStyle name="Total 2 2 5" xfId="476" xr:uid="{00000000-0005-0000-0000-000031070000}"/>
    <cellStyle name="Total 2 2 5 2" xfId="991" xr:uid="{00000000-0005-0000-0000-000032070000}"/>
    <cellStyle name="Total 2 2 5 2 2" xfId="1790" xr:uid="{00000000-0005-0000-0000-000033070000}"/>
    <cellStyle name="Total 2 2 5 3" xfId="1342" xr:uid="{00000000-0005-0000-0000-000034070000}"/>
    <cellStyle name="Total 2 2 6" xfId="430" xr:uid="{00000000-0005-0000-0000-000035070000}"/>
    <cellStyle name="Total 2 2 6 2" xfId="945" xr:uid="{00000000-0005-0000-0000-000036070000}"/>
    <cellStyle name="Total 2 2 6 2 2" xfId="1744" xr:uid="{00000000-0005-0000-0000-000037070000}"/>
    <cellStyle name="Total 2 2 6 3" xfId="1296" xr:uid="{00000000-0005-0000-0000-000038070000}"/>
    <cellStyle name="Total 2 2 7" xfId="532" xr:uid="{00000000-0005-0000-0000-000039070000}"/>
    <cellStyle name="Total 2 2 7 2" xfId="1047" xr:uid="{00000000-0005-0000-0000-00003A070000}"/>
    <cellStyle name="Total 2 2 7 2 2" xfId="1846" xr:uid="{00000000-0005-0000-0000-00003B070000}"/>
    <cellStyle name="Total 2 2 7 3" xfId="1398" xr:uid="{00000000-0005-0000-0000-00003C070000}"/>
    <cellStyle name="Total 2 2 8" xfId="573" xr:uid="{00000000-0005-0000-0000-00003D070000}"/>
    <cellStyle name="Total 2 2 8 2" xfId="1088" xr:uid="{00000000-0005-0000-0000-00003E070000}"/>
    <cellStyle name="Total 2 2 8 2 2" xfId="1887" xr:uid="{00000000-0005-0000-0000-00003F070000}"/>
    <cellStyle name="Total 2 2 8 3" xfId="1439" xr:uid="{00000000-0005-0000-0000-000040070000}"/>
    <cellStyle name="Total 2 2 9" xfId="529" xr:uid="{00000000-0005-0000-0000-000041070000}"/>
    <cellStyle name="Total 2 2 9 2" xfId="1044" xr:uid="{00000000-0005-0000-0000-000042070000}"/>
    <cellStyle name="Total 2 2 9 2 2" xfId="1843" xr:uid="{00000000-0005-0000-0000-000043070000}"/>
    <cellStyle name="Total 2 2 9 3" xfId="1395" xr:uid="{00000000-0005-0000-0000-000044070000}"/>
    <cellStyle name="Total 2 3" xfId="121" xr:uid="{00000000-0005-0000-0000-000045070000}"/>
    <cellStyle name="Total 2 3 10" xfId="597" xr:uid="{00000000-0005-0000-0000-000046070000}"/>
    <cellStyle name="Total 2 3 10 2" xfId="1112" xr:uid="{00000000-0005-0000-0000-000047070000}"/>
    <cellStyle name="Total 2 3 10 2 2" xfId="1911" xr:uid="{00000000-0005-0000-0000-000048070000}"/>
    <cellStyle name="Total 2 3 10 3" xfId="1463" xr:uid="{00000000-0005-0000-0000-000049070000}"/>
    <cellStyle name="Total 2 3 11" xfId="637" xr:uid="{00000000-0005-0000-0000-00004A070000}"/>
    <cellStyle name="Total 2 3 11 2" xfId="1152" xr:uid="{00000000-0005-0000-0000-00004B070000}"/>
    <cellStyle name="Total 2 3 11 2 2" xfId="1951" xr:uid="{00000000-0005-0000-0000-00004C070000}"/>
    <cellStyle name="Total 2 3 11 3" xfId="1503" xr:uid="{00000000-0005-0000-0000-00004D070000}"/>
    <cellStyle name="Total 2 3 12" xfId="599" xr:uid="{00000000-0005-0000-0000-00004E070000}"/>
    <cellStyle name="Total 2 3 12 2" xfId="1114" xr:uid="{00000000-0005-0000-0000-00004F070000}"/>
    <cellStyle name="Total 2 3 12 2 2" xfId="1913" xr:uid="{00000000-0005-0000-0000-000050070000}"/>
    <cellStyle name="Total 2 3 12 3" xfId="1465" xr:uid="{00000000-0005-0000-0000-000051070000}"/>
    <cellStyle name="Total 2 3 2" xfId="279" xr:uid="{00000000-0005-0000-0000-000052070000}"/>
    <cellStyle name="Total 2 3 2 2" xfId="763" xr:uid="{00000000-0005-0000-0000-000053070000}"/>
    <cellStyle name="Total 2 3 2 2 2" xfId="1583" xr:uid="{00000000-0005-0000-0000-000054070000}"/>
    <cellStyle name="Total 2 3 2 3" xfId="1567" xr:uid="{00000000-0005-0000-0000-000055070000}"/>
    <cellStyle name="Total 2 3 3" xfId="390" xr:uid="{00000000-0005-0000-0000-000056070000}"/>
    <cellStyle name="Total 2 3 3 2" xfId="905" xr:uid="{00000000-0005-0000-0000-000057070000}"/>
    <cellStyle name="Total 2 3 3 2 2" xfId="1704" xr:uid="{00000000-0005-0000-0000-000058070000}"/>
    <cellStyle name="Total 2 3 3 3" xfId="1256" xr:uid="{00000000-0005-0000-0000-000059070000}"/>
    <cellStyle name="Total 2 3 4" xfId="423" xr:uid="{00000000-0005-0000-0000-00005A070000}"/>
    <cellStyle name="Total 2 3 4 2" xfId="938" xr:uid="{00000000-0005-0000-0000-00005B070000}"/>
    <cellStyle name="Total 2 3 4 2 2" xfId="1737" xr:uid="{00000000-0005-0000-0000-00005C070000}"/>
    <cellStyle name="Total 2 3 4 3" xfId="1289" xr:uid="{00000000-0005-0000-0000-00005D070000}"/>
    <cellStyle name="Total 2 3 5" xfId="477" xr:uid="{00000000-0005-0000-0000-00005E070000}"/>
    <cellStyle name="Total 2 3 5 2" xfId="992" xr:uid="{00000000-0005-0000-0000-00005F070000}"/>
    <cellStyle name="Total 2 3 5 2 2" xfId="1791" xr:uid="{00000000-0005-0000-0000-000060070000}"/>
    <cellStyle name="Total 2 3 5 3" xfId="1343" xr:uid="{00000000-0005-0000-0000-000061070000}"/>
    <cellStyle name="Total 2 3 6" xfId="431" xr:uid="{00000000-0005-0000-0000-000062070000}"/>
    <cellStyle name="Total 2 3 6 2" xfId="946" xr:uid="{00000000-0005-0000-0000-000063070000}"/>
    <cellStyle name="Total 2 3 6 2 2" xfId="1745" xr:uid="{00000000-0005-0000-0000-000064070000}"/>
    <cellStyle name="Total 2 3 6 3" xfId="1297" xr:uid="{00000000-0005-0000-0000-000065070000}"/>
    <cellStyle name="Total 2 3 7" xfId="533" xr:uid="{00000000-0005-0000-0000-000066070000}"/>
    <cellStyle name="Total 2 3 7 2" xfId="1048" xr:uid="{00000000-0005-0000-0000-000067070000}"/>
    <cellStyle name="Total 2 3 7 2 2" xfId="1847" xr:uid="{00000000-0005-0000-0000-000068070000}"/>
    <cellStyle name="Total 2 3 7 3" xfId="1399" xr:uid="{00000000-0005-0000-0000-000069070000}"/>
    <cellStyle name="Total 2 3 8" xfId="574" xr:uid="{00000000-0005-0000-0000-00006A070000}"/>
    <cellStyle name="Total 2 3 8 2" xfId="1089" xr:uid="{00000000-0005-0000-0000-00006B070000}"/>
    <cellStyle name="Total 2 3 8 2 2" xfId="1888" xr:uid="{00000000-0005-0000-0000-00006C070000}"/>
    <cellStyle name="Total 2 3 8 3" xfId="1440" xr:uid="{00000000-0005-0000-0000-00006D070000}"/>
    <cellStyle name="Total 2 3 9" xfId="515" xr:uid="{00000000-0005-0000-0000-00006E070000}"/>
    <cellStyle name="Total 2 3 9 2" xfId="1030" xr:uid="{00000000-0005-0000-0000-00006F070000}"/>
    <cellStyle name="Total 2 3 9 2 2" xfId="1829" xr:uid="{00000000-0005-0000-0000-000070070000}"/>
    <cellStyle name="Total 2 3 9 3" xfId="1381" xr:uid="{00000000-0005-0000-0000-000071070000}"/>
    <cellStyle name="Total 2 4" xfId="96" xr:uid="{00000000-0005-0000-0000-000072070000}"/>
    <cellStyle name="Total 2 4 10" xfId="485" xr:uid="{00000000-0005-0000-0000-000073070000}"/>
    <cellStyle name="Total 2 4 10 2" xfId="1000" xr:uid="{00000000-0005-0000-0000-000074070000}"/>
    <cellStyle name="Total 2 4 10 2 2" xfId="1799" xr:uid="{00000000-0005-0000-0000-000075070000}"/>
    <cellStyle name="Total 2 4 10 3" xfId="1351" xr:uid="{00000000-0005-0000-0000-000076070000}"/>
    <cellStyle name="Total 2 4 11" xfId="579" xr:uid="{00000000-0005-0000-0000-000077070000}"/>
    <cellStyle name="Total 2 4 11 2" xfId="1094" xr:uid="{00000000-0005-0000-0000-000078070000}"/>
    <cellStyle name="Total 2 4 11 2 2" xfId="1893" xr:uid="{00000000-0005-0000-0000-000079070000}"/>
    <cellStyle name="Total 2 4 11 3" xfId="1445" xr:uid="{00000000-0005-0000-0000-00007A070000}"/>
    <cellStyle name="Total 2 4 12" xfId="366" xr:uid="{00000000-0005-0000-0000-00007B070000}"/>
    <cellStyle name="Total 2 4 12 2" xfId="881" xr:uid="{00000000-0005-0000-0000-00007C070000}"/>
    <cellStyle name="Total 2 4 12 2 2" xfId="1680" xr:uid="{00000000-0005-0000-0000-00007D070000}"/>
    <cellStyle name="Total 2 4 12 3" xfId="1232" xr:uid="{00000000-0005-0000-0000-00007E070000}"/>
    <cellStyle name="Total 2 4 2" xfId="254" xr:uid="{00000000-0005-0000-0000-00007F070000}"/>
    <cellStyle name="Total 2 4 2 2" xfId="798" xr:uid="{00000000-0005-0000-0000-000080070000}"/>
    <cellStyle name="Total 2 4 2 2 2" xfId="1605" xr:uid="{00000000-0005-0000-0000-000081070000}"/>
    <cellStyle name="Total 2 4 2 3" xfId="1542" xr:uid="{00000000-0005-0000-0000-000082070000}"/>
    <cellStyle name="Total 2 4 3" xfId="302" xr:uid="{00000000-0005-0000-0000-000083070000}"/>
    <cellStyle name="Total 2 4 3 2" xfId="817" xr:uid="{00000000-0005-0000-0000-000084070000}"/>
    <cellStyle name="Total 2 4 3 2 2" xfId="1621" xr:uid="{00000000-0005-0000-0000-000085070000}"/>
    <cellStyle name="Total 2 4 3 3" xfId="783" xr:uid="{00000000-0005-0000-0000-000086070000}"/>
    <cellStyle name="Total 2 4 4" xfId="398" xr:uid="{00000000-0005-0000-0000-000087070000}"/>
    <cellStyle name="Total 2 4 4 2" xfId="913" xr:uid="{00000000-0005-0000-0000-000088070000}"/>
    <cellStyle name="Total 2 4 4 2 2" xfId="1712" xr:uid="{00000000-0005-0000-0000-000089070000}"/>
    <cellStyle name="Total 2 4 4 3" xfId="1264" xr:uid="{00000000-0005-0000-0000-00008A070000}"/>
    <cellStyle name="Total 2 4 5" xfId="452" xr:uid="{00000000-0005-0000-0000-00008B070000}"/>
    <cellStyle name="Total 2 4 5 2" xfId="967" xr:uid="{00000000-0005-0000-0000-00008C070000}"/>
    <cellStyle name="Total 2 4 5 2 2" xfId="1766" xr:uid="{00000000-0005-0000-0000-00008D070000}"/>
    <cellStyle name="Total 2 4 5 3" xfId="1318" xr:uid="{00000000-0005-0000-0000-00008E070000}"/>
    <cellStyle name="Total 2 4 6" xfId="343" xr:uid="{00000000-0005-0000-0000-00008F070000}"/>
    <cellStyle name="Total 2 4 6 2" xfId="858" xr:uid="{00000000-0005-0000-0000-000090070000}"/>
    <cellStyle name="Total 2 4 6 2 2" xfId="1660" xr:uid="{00000000-0005-0000-0000-000091070000}"/>
    <cellStyle name="Total 2 4 6 3" xfId="740" xr:uid="{00000000-0005-0000-0000-000092070000}"/>
    <cellStyle name="Total 2 4 7" xfId="368" xr:uid="{00000000-0005-0000-0000-000093070000}"/>
    <cellStyle name="Total 2 4 7 2" xfId="883" xr:uid="{00000000-0005-0000-0000-000094070000}"/>
    <cellStyle name="Total 2 4 7 2 2" xfId="1682" xr:uid="{00000000-0005-0000-0000-000095070000}"/>
    <cellStyle name="Total 2 4 7 3" xfId="1234" xr:uid="{00000000-0005-0000-0000-000096070000}"/>
    <cellStyle name="Total 2 4 8" xfId="549" xr:uid="{00000000-0005-0000-0000-000097070000}"/>
    <cellStyle name="Total 2 4 8 2" xfId="1064" xr:uid="{00000000-0005-0000-0000-000098070000}"/>
    <cellStyle name="Total 2 4 8 2 2" xfId="1863" xr:uid="{00000000-0005-0000-0000-000099070000}"/>
    <cellStyle name="Total 2 4 8 3" xfId="1415" xr:uid="{00000000-0005-0000-0000-00009A070000}"/>
    <cellStyle name="Total 2 4 9" xfId="500" xr:uid="{00000000-0005-0000-0000-00009B070000}"/>
    <cellStyle name="Total 2 4 9 2" xfId="1015" xr:uid="{00000000-0005-0000-0000-00009C070000}"/>
    <cellStyle name="Total 2 4 9 2 2" xfId="1814" xr:uid="{00000000-0005-0000-0000-00009D070000}"/>
    <cellStyle name="Total 2 4 9 3" xfId="1366" xr:uid="{00000000-0005-0000-0000-00009E070000}"/>
    <cellStyle name="Total 2 5" xfId="237" xr:uid="{00000000-0005-0000-0000-00009F070000}"/>
    <cellStyle name="Total 2 5 2" xfId="283" xr:uid="{00000000-0005-0000-0000-0000A0070000}"/>
    <cellStyle name="Total 2 5 2 2" xfId="786" xr:uid="{00000000-0005-0000-0000-0000A1070000}"/>
    <cellStyle name="Total 2 5 3" xfId="792" xr:uid="{00000000-0005-0000-0000-0000A2070000}"/>
    <cellStyle name="Total 2 6" xfId="252" xr:uid="{00000000-0005-0000-0000-0000A3070000}"/>
    <cellStyle name="Total 2 6 2" xfId="768" xr:uid="{00000000-0005-0000-0000-0000A4070000}"/>
    <cellStyle name="Total 2 6 2 2" xfId="1588" xr:uid="{00000000-0005-0000-0000-0000A5070000}"/>
    <cellStyle name="Total 2 6 3" xfId="1540" xr:uid="{00000000-0005-0000-0000-0000A6070000}"/>
    <cellStyle name="Total 2 7" xfId="310" xr:uid="{00000000-0005-0000-0000-0000A7070000}"/>
    <cellStyle name="Total 2 7 2" xfId="825" xr:uid="{00000000-0005-0000-0000-0000A8070000}"/>
    <cellStyle name="Total 2 7 2 2" xfId="1629" xr:uid="{00000000-0005-0000-0000-0000A9070000}"/>
    <cellStyle name="Total 2 7 3" xfId="781" xr:uid="{00000000-0005-0000-0000-0000AA070000}"/>
    <cellStyle name="Total 2 8" xfId="338" xr:uid="{00000000-0005-0000-0000-0000AB070000}"/>
    <cellStyle name="Total 2 8 2" xfId="853" xr:uid="{00000000-0005-0000-0000-0000AC070000}"/>
    <cellStyle name="Total 2 8 2 2" xfId="1657" xr:uid="{00000000-0005-0000-0000-0000AD070000}"/>
    <cellStyle name="Total 2 8 3" xfId="1172" xr:uid="{00000000-0005-0000-0000-0000AE070000}"/>
    <cellStyle name="Total 2 9" xfId="440" xr:uid="{00000000-0005-0000-0000-0000AF070000}"/>
    <cellStyle name="Total 2 9 2" xfId="955" xr:uid="{00000000-0005-0000-0000-0000B0070000}"/>
    <cellStyle name="Total 2 9 2 2" xfId="1754" xr:uid="{00000000-0005-0000-0000-0000B1070000}"/>
    <cellStyle name="Total 2 9 3" xfId="1306" xr:uid="{00000000-0005-0000-0000-0000B2070000}"/>
    <cellStyle name="Total 3" xfId="731" xr:uid="{00000000-0005-0000-0000-0000B3070000}"/>
    <cellStyle name="Total 3 2" xfId="1215" xr:uid="{00000000-0005-0000-0000-0000B4070000}"/>
    <cellStyle name="Total 3 2 2" xfId="1987" xr:uid="{00000000-0005-0000-0000-0000B5070000}"/>
    <cellStyle name="Total 3 3" xfId="1526" xr:uid="{00000000-0005-0000-0000-0000B6070000}"/>
    <cellStyle name="Vírgula" xfId="1" builtinId="3"/>
    <cellStyle name="Vírgula 2" xfId="85" xr:uid="{00000000-0005-0000-0000-0000B8070000}"/>
    <cellStyle name="Vírgula 2 2" xfId="239" xr:uid="{00000000-0005-0000-0000-0000B9070000}"/>
    <cellStyle name="Vírgula 2 3" xfId="242" xr:uid="{00000000-0005-0000-0000-0000BA070000}"/>
    <cellStyle name="Vírgula 2 4" xfId="345" xr:uid="{00000000-0005-0000-0000-0000BB070000}"/>
    <cellStyle name="Vírgula 2 4 2" xfId="860" xr:uid="{00000000-0005-0000-0000-0000BC070000}"/>
    <cellStyle name="Vírgula 2 5" xfId="737" xr:uid="{00000000-0005-0000-0000-0000BD070000}"/>
    <cellStyle name="Vírgula 2 5 2" xfId="1217" xr:uid="{00000000-0005-0000-0000-0000BE070000}"/>
    <cellStyle name="Vírgula 3" xfId="75" xr:uid="{00000000-0005-0000-0000-0000BF070000}"/>
    <cellStyle name="Vírgula 3 2" xfId="241" xr:uid="{00000000-0005-0000-0000-0000C0070000}"/>
    <cellStyle name="Vírgula 3 3" xfId="240" xr:uid="{00000000-0005-0000-0000-0000C1070000}"/>
    <cellStyle name="Vírgula 4" xfId="91" xr:uid="{00000000-0005-0000-0000-0000C2070000}"/>
    <cellStyle name="Vírgula 4 2" xfId="350" xr:uid="{00000000-0005-0000-0000-0000C3070000}"/>
    <cellStyle name="Vírgula 4 2 2" xfId="865" xr:uid="{00000000-0005-0000-0000-0000C4070000}"/>
    <cellStyle name="Vírgula 4 3" xfId="1990" xr:uid="{00000000-0005-0000-0000-0000C5070000}"/>
    <cellStyle name="Vírgula 5" xfId="94" xr:uid="{00000000-0005-0000-0000-0000C6070000}"/>
    <cellStyle name="Vírgula 5 2" xfId="353" xr:uid="{00000000-0005-0000-0000-0000C7070000}"/>
    <cellStyle name="Vírgula 5 2 2" xfId="868" xr:uid="{00000000-0005-0000-0000-0000C8070000}"/>
    <cellStyle name="Vírgula 5 3" xfId="769" xr:uid="{00000000-0005-0000-0000-0000C9070000}"/>
    <cellStyle name="Vírgula 6" xfId="238" xr:uid="{00000000-0005-0000-0000-0000CA070000}"/>
    <cellStyle name="Vírgula 7" xfId="285" xr:uid="{00000000-0005-0000-0000-0000CB070000}"/>
    <cellStyle name="Vírgula 7 2" xfId="800" xr:uid="{00000000-0005-0000-0000-0000CC070000}"/>
    <cellStyle name="Vírgula 8" xfId="736" xr:uid="{00000000-0005-0000-0000-0000CD070000}"/>
    <cellStyle name="Vírgula 8 2" xfId="1216" xr:uid="{00000000-0005-0000-0000-0000CE070000}"/>
    <cellStyle name="Vírgula 9" xfId="738" xr:uid="{00000000-0005-0000-0000-0000CF070000}"/>
    <cellStyle name="Warning Text" xfId="728" xr:uid="{00000000-0005-0000-0000-0000D0070000}"/>
  </cellStyles>
  <dxfs count="112">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7</xdr:row>
          <xdr:rowOff>66675</xdr:rowOff>
        </xdr:from>
        <xdr:to>
          <xdr:col>3</xdr:col>
          <xdr:colOff>95250</xdr:colOff>
          <xdr:row>10</xdr:row>
          <xdr:rowOff>76200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1"/>
  <sheetViews>
    <sheetView tabSelected="1" view="pageBreakPreview" topLeftCell="A13" zoomScale="90" zoomScaleNormal="90" zoomScaleSheetLayoutView="90" workbookViewId="0"/>
  </sheetViews>
  <sheetFormatPr defaultRowHeight="15.75" x14ac:dyDescent="0.25"/>
  <cols>
    <col min="1" max="1" width="21.5703125" style="41" customWidth="1"/>
    <col min="2" max="2" width="9.140625" style="42"/>
    <col min="3" max="3" width="94.42578125" style="43" customWidth="1"/>
    <col min="4" max="4" width="14.42578125" style="44" customWidth="1"/>
    <col min="5" max="5" width="9.140625" style="42"/>
    <col min="6" max="6" width="18.5703125" style="45" customWidth="1"/>
    <col min="7" max="7" width="18.85546875" style="45" customWidth="1"/>
    <col min="8" max="8" width="21.7109375" style="45" customWidth="1"/>
    <col min="9" max="9" width="24.5703125" customWidth="1"/>
    <col min="10" max="10" width="14.7109375" style="32" bestFit="1" customWidth="1"/>
  </cols>
  <sheetData>
    <row r="1" spans="1:10" s="156" customFormat="1" x14ac:dyDescent="0.25">
      <c r="A1" s="91"/>
      <c r="B1" s="42"/>
      <c r="C1" s="43"/>
      <c r="D1" s="44"/>
      <c r="E1" s="42"/>
      <c r="F1" s="45"/>
      <c r="G1" s="45"/>
      <c r="H1" s="45"/>
    </row>
    <row r="2" spans="1:10" x14ac:dyDescent="0.25">
      <c r="A2" s="36" t="s">
        <v>199</v>
      </c>
      <c r="B2" s="37"/>
    </row>
    <row r="3" spans="1:10" s="17" customFormat="1" x14ac:dyDescent="0.25">
      <c r="A3" s="57" t="s">
        <v>24</v>
      </c>
      <c r="B3" s="167"/>
      <c r="C3" s="38"/>
      <c r="D3" s="39"/>
      <c r="E3" s="166" t="s">
        <v>2046</v>
      </c>
      <c r="F3" s="40"/>
      <c r="G3" s="40"/>
      <c r="H3" s="40"/>
    </row>
    <row r="4" spans="1:10" s="19" customFormat="1" x14ac:dyDescent="0.25">
      <c r="C4" s="168"/>
      <c r="D4" s="107"/>
      <c r="E4" s="166" t="s">
        <v>2047</v>
      </c>
      <c r="F4" s="58"/>
      <c r="G4" s="58"/>
      <c r="H4" s="58"/>
    </row>
    <row r="5" spans="1:10" s="173" customFormat="1" x14ac:dyDescent="0.25">
      <c r="A5" s="169"/>
      <c r="B5" s="170"/>
      <c r="C5" s="171"/>
      <c r="D5" s="172"/>
      <c r="E5" s="166" t="s">
        <v>2045</v>
      </c>
      <c r="F5" s="58"/>
      <c r="G5" s="58"/>
      <c r="H5" s="58"/>
    </row>
    <row r="6" spans="1:10" s="19" customFormat="1" x14ac:dyDescent="0.25">
      <c r="A6" s="174" t="s">
        <v>350</v>
      </c>
      <c r="B6" s="167"/>
      <c r="C6" s="168"/>
      <c r="D6" s="107"/>
      <c r="E6" s="613" t="s">
        <v>26</v>
      </c>
      <c r="F6" s="613"/>
      <c r="G6" s="613"/>
      <c r="H6" s="175">
        <v>0.23</v>
      </c>
    </row>
    <row r="7" spans="1:10" x14ac:dyDescent="0.25">
      <c r="A7" s="47" t="s">
        <v>349</v>
      </c>
      <c r="E7" s="613" t="s">
        <v>27</v>
      </c>
      <c r="F7" s="613"/>
      <c r="G7" s="613"/>
      <c r="H7" s="175">
        <v>0.15</v>
      </c>
    </row>
    <row r="8" spans="1:10" s="156" customFormat="1" x14ac:dyDescent="0.25">
      <c r="A8" s="47"/>
      <c r="B8" s="42"/>
      <c r="C8" s="43"/>
      <c r="D8" s="44"/>
      <c r="E8" s="167"/>
      <c r="F8" s="58"/>
      <c r="G8" s="58"/>
      <c r="H8" s="58"/>
    </row>
    <row r="10" spans="1:10" s="2" customFormat="1" ht="30" customHeight="1" x14ac:dyDescent="0.25">
      <c r="A10" s="610" t="s">
        <v>25</v>
      </c>
      <c r="B10" s="611"/>
      <c r="C10" s="611"/>
      <c r="D10" s="611"/>
      <c r="E10" s="611"/>
      <c r="F10" s="611"/>
      <c r="G10" s="611"/>
      <c r="H10" s="612"/>
      <c r="J10" s="17"/>
    </row>
    <row r="11" spans="1:10" s="2" customFormat="1" ht="31.5" x14ac:dyDescent="0.25">
      <c r="A11" s="200" t="s">
        <v>28</v>
      </c>
      <c r="B11" s="200" t="s">
        <v>29</v>
      </c>
      <c r="C11" s="200" t="s">
        <v>30</v>
      </c>
      <c r="D11" s="201" t="s">
        <v>1456</v>
      </c>
      <c r="E11" s="200" t="s">
        <v>31</v>
      </c>
      <c r="F11" s="202" t="s">
        <v>32</v>
      </c>
      <c r="G11" s="202" t="s">
        <v>33</v>
      </c>
      <c r="H11" s="202" t="s">
        <v>34</v>
      </c>
      <c r="J11" s="17"/>
    </row>
    <row r="12" spans="1:10" s="5" customFormat="1" x14ac:dyDescent="0.25">
      <c r="A12" s="203"/>
      <c r="B12" s="203">
        <v>1</v>
      </c>
      <c r="C12" s="204" t="s">
        <v>35</v>
      </c>
      <c r="D12" s="205"/>
      <c r="E12" s="203"/>
      <c r="F12" s="206"/>
      <c r="G12" s="206"/>
      <c r="H12" s="206">
        <f>ROUND(SUM(H13:H19),2)</f>
        <v>0</v>
      </c>
      <c r="J12" s="445"/>
    </row>
    <row r="13" spans="1:10" s="539" customFormat="1" ht="31.5" x14ac:dyDescent="0.25">
      <c r="A13" s="573" t="s">
        <v>2040</v>
      </c>
      <c r="B13" s="210" t="s">
        <v>146</v>
      </c>
      <c r="C13" s="211" t="s">
        <v>403</v>
      </c>
      <c r="D13" s="525">
        <v>8</v>
      </c>
      <c r="E13" s="210" t="s">
        <v>50</v>
      </c>
      <c r="F13" s="526"/>
      <c r="G13" s="526"/>
      <c r="H13" s="526"/>
    </row>
    <row r="14" spans="1:10" s="105" customFormat="1" ht="31.5" x14ac:dyDescent="0.25">
      <c r="A14" s="573" t="s">
        <v>49</v>
      </c>
      <c r="B14" s="210" t="s">
        <v>147</v>
      </c>
      <c r="C14" s="211" t="s">
        <v>154</v>
      </c>
      <c r="D14" s="525">
        <v>2</v>
      </c>
      <c r="E14" s="210" t="s">
        <v>36</v>
      </c>
      <c r="F14" s="526"/>
      <c r="G14" s="526"/>
      <c r="H14" s="526"/>
    </row>
    <row r="15" spans="1:10" s="105" customFormat="1" ht="47.25" x14ac:dyDescent="0.25">
      <c r="A15" s="573" t="s">
        <v>100</v>
      </c>
      <c r="B15" s="210" t="s">
        <v>148</v>
      </c>
      <c r="C15" s="211" t="s">
        <v>170</v>
      </c>
      <c r="D15" s="525">
        <v>1</v>
      </c>
      <c r="E15" s="210" t="s">
        <v>50</v>
      </c>
      <c r="F15" s="526"/>
      <c r="G15" s="526"/>
      <c r="H15" s="526"/>
      <c r="J15" s="540"/>
    </row>
    <row r="16" spans="1:10" s="539" customFormat="1" ht="31.5" x14ac:dyDescent="0.25">
      <c r="A16" s="580" t="s">
        <v>1648</v>
      </c>
      <c r="B16" s="541" t="s">
        <v>149</v>
      </c>
      <c r="C16" s="542" t="s">
        <v>37</v>
      </c>
      <c r="D16" s="543">
        <v>240</v>
      </c>
      <c r="E16" s="541" t="s">
        <v>36</v>
      </c>
      <c r="F16" s="526"/>
      <c r="G16" s="526"/>
      <c r="H16" s="526"/>
    </row>
    <row r="17" spans="1:8" s="105" customFormat="1" x14ac:dyDescent="0.25">
      <c r="A17" s="573" t="s">
        <v>1977</v>
      </c>
      <c r="B17" s="210" t="s">
        <v>150</v>
      </c>
      <c r="C17" s="211" t="s">
        <v>145</v>
      </c>
      <c r="D17" s="525">
        <v>1</v>
      </c>
      <c r="E17" s="210" t="s">
        <v>38</v>
      </c>
      <c r="F17" s="526"/>
      <c r="G17" s="526"/>
      <c r="H17" s="526"/>
    </row>
    <row r="18" spans="1:8" s="105" customFormat="1" ht="15.75" customHeight="1" x14ac:dyDescent="0.25">
      <c r="A18" s="573" t="s">
        <v>293</v>
      </c>
      <c r="B18" s="210" t="s">
        <v>151</v>
      </c>
      <c r="C18" s="211" t="s">
        <v>1457</v>
      </c>
      <c r="D18" s="525">
        <v>142</v>
      </c>
      <c r="E18" s="210" t="s">
        <v>73</v>
      </c>
      <c r="F18" s="526"/>
      <c r="G18" s="526"/>
      <c r="H18" s="526"/>
    </row>
    <row r="19" spans="1:8" s="105" customFormat="1" x14ac:dyDescent="0.25">
      <c r="A19" s="573" t="s">
        <v>1649</v>
      </c>
      <c r="B19" s="210" t="s">
        <v>172</v>
      </c>
      <c r="C19" s="211" t="s">
        <v>1650</v>
      </c>
      <c r="D19" s="525">
        <v>1</v>
      </c>
      <c r="E19" s="210" t="s">
        <v>38</v>
      </c>
      <c r="F19" s="526"/>
      <c r="G19" s="526"/>
      <c r="H19" s="526"/>
    </row>
    <row r="20" spans="1:8" s="5" customFormat="1" x14ac:dyDescent="0.25">
      <c r="A20" s="203"/>
      <c r="B20" s="203">
        <v>2</v>
      </c>
      <c r="C20" s="579" t="s">
        <v>178</v>
      </c>
      <c r="D20" s="205"/>
      <c r="E20" s="203"/>
      <c r="F20" s="206"/>
      <c r="G20" s="206"/>
      <c r="H20" s="206">
        <f>ROUND(SUM(H21),2)</f>
        <v>0</v>
      </c>
    </row>
    <row r="21" spans="1:8" s="105" customFormat="1" ht="47.25" x14ac:dyDescent="0.25">
      <c r="A21" s="573" t="s">
        <v>49</v>
      </c>
      <c r="B21" s="210" t="s">
        <v>152</v>
      </c>
      <c r="C21" s="211" t="s">
        <v>1458</v>
      </c>
      <c r="D21" s="525">
        <v>1</v>
      </c>
      <c r="E21" s="544" t="s">
        <v>200</v>
      </c>
      <c r="F21" s="526"/>
      <c r="G21" s="526"/>
      <c r="H21" s="526"/>
    </row>
    <row r="22" spans="1:8" s="5" customFormat="1" x14ac:dyDescent="0.25">
      <c r="A22" s="203"/>
      <c r="B22" s="203">
        <v>3</v>
      </c>
      <c r="C22" s="579" t="s">
        <v>127</v>
      </c>
      <c r="D22" s="205"/>
      <c r="E22" s="203"/>
      <c r="F22" s="206"/>
      <c r="G22" s="206"/>
      <c r="H22" s="206">
        <f>ROUND(SUM(H23:H26),2)</f>
        <v>0</v>
      </c>
    </row>
    <row r="23" spans="1:8" s="105" customFormat="1" ht="31.5" x14ac:dyDescent="0.25">
      <c r="A23" s="573" t="s">
        <v>1655</v>
      </c>
      <c r="B23" s="210" t="s">
        <v>173</v>
      </c>
      <c r="C23" s="211" t="s">
        <v>1654</v>
      </c>
      <c r="D23" s="525">
        <v>1376</v>
      </c>
      <c r="E23" s="210" t="s">
        <v>40</v>
      </c>
      <c r="F23" s="526"/>
      <c r="G23" s="526"/>
      <c r="H23" s="526"/>
    </row>
    <row r="24" spans="1:8" s="105" customFormat="1" ht="67.5" customHeight="1" x14ac:dyDescent="0.25">
      <c r="A24" s="573" t="s">
        <v>1656</v>
      </c>
      <c r="B24" s="210" t="s">
        <v>174</v>
      </c>
      <c r="C24" s="211" t="s">
        <v>1925</v>
      </c>
      <c r="D24" s="525">
        <v>1300</v>
      </c>
      <c r="E24" s="210" t="s">
        <v>41</v>
      </c>
      <c r="F24" s="526"/>
      <c r="G24" s="526"/>
      <c r="H24" s="526"/>
    </row>
    <row r="25" spans="1:8" s="105" customFormat="1" x14ac:dyDescent="0.25">
      <c r="A25" s="582" t="s">
        <v>1658</v>
      </c>
      <c r="B25" s="210" t="s">
        <v>214</v>
      </c>
      <c r="C25" s="545" t="s">
        <v>1657</v>
      </c>
      <c r="D25" s="525">
        <v>1300</v>
      </c>
      <c r="E25" s="210" t="s">
        <v>41</v>
      </c>
      <c r="F25" s="526"/>
      <c r="G25" s="526"/>
      <c r="H25" s="526"/>
    </row>
    <row r="26" spans="1:8" s="105" customFormat="1" x14ac:dyDescent="0.25">
      <c r="A26" s="582" t="s">
        <v>1660</v>
      </c>
      <c r="B26" s="210" t="s">
        <v>215</v>
      </c>
      <c r="C26" s="545" t="s">
        <v>1659</v>
      </c>
      <c r="D26" s="525">
        <v>1300</v>
      </c>
      <c r="E26" s="210" t="s">
        <v>41</v>
      </c>
      <c r="F26" s="526"/>
      <c r="G26" s="526"/>
      <c r="H26" s="526"/>
    </row>
    <row r="27" spans="1:8" s="5" customFormat="1" x14ac:dyDescent="0.25">
      <c r="A27" s="203"/>
      <c r="B27" s="203">
        <v>4</v>
      </c>
      <c r="C27" s="579" t="s">
        <v>39</v>
      </c>
      <c r="D27" s="205"/>
      <c r="E27" s="203"/>
      <c r="F27" s="206"/>
      <c r="G27" s="206"/>
      <c r="H27" s="206">
        <f>ROUND(SUM(H28:H34),2)</f>
        <v>0</v>
      </c>
    </row>
    <row r="28" spans="1:8" s="546" customFormat="1" ht="31.5" x14ac:dyDescent="0.25">
      <c r="A28" s="571" t="s">
        <v>1106</v>
      </c>
      <c r="B28" s="210" t="s">
        <v>1114</v>
      </c>
      <c r="C28" s="211" t="s">
        <v>1107</v>
      </c>
      <c r="D28" s="525">
        <v>741</v>
      </c>
      <c r="E28" s="210" t="s">
        <v>706</v>
      </c>
      <c r="F28" s="526"/>
      <c r="G28" s="526"/>
      <c r="H28" s="526"/>
    </row>
    <row r="29" spans="1:8" s="546" customFormat="1" ht="31.5" x14ac:dyDescent="0.25">
      <c r="A29" s="573" t="s">
        <v>686</v>
      </c>
      <c r="B29" s="210" t="s">
        <v>1116</v>
      </c>
      <c r="C29" s="211" t="s">
        <v>1108</v>
      </c>
      <c r="D29" s="525">
        <v>20.190000000000001</v>
      </c>
      <c r="E29" s="210" t="s">
        <v>1109</v>
      </c>
      <c r="F29" s="526"/>
      <c r="G29" s="526"/>
      <c r="H29" s="526"/>
    </row>
    <row r="30" spans="1:8" s="546" customFormat="1" ht="31.5" x14ac:dyDescent="0.25">
      <c r="A30" s="573" t="s">
        <v>691</v>
      </c>
      <c r="B30" s="210" t="s">
        <v>1117</v>
      </c>
      <c r="C30" s="211" t="s">
        <v>1110</v>
      </c>
      <c r="D30" s="525">
        <v>35.51</v>
      </c>
      <c r="E30" s="210" t="s">
        <v>1109</v>
      </c>
      <c r="F30" s="526"/>
      <c r="G30" s="526"/>
      <c r="H30" s="526"/>
    </row>
    <row r="31" spans="1:8" s="546" customFormat="1" ht="31.5" x14ac:dyDescent="0.25">
      <c r="A31" s="573" t="s">
        <v>693</v>
      </c>
      <c r="B31" s="210" t="s">
        <v>1119</v>
      </c>
      <c r="C31" s="211" t="s">
        <v>1111</v>
      </c>
      <c r="D31" s="525">
        <f>COMPOSIÇÕES!D102</f>
        <v>0.75</v>
      </c>
      <c r="E31" s="210" t="s">
        <v>1109</v>
      </c>
      <c r="F31" s="526"/>
      <c r="G31" s="526"/>
      <c r="H31" s="526"/>
    </row>
    <row r="32" spans="1:8" s="546" customFormat="1" ht="31.5" x14ac:dyDescent="0.25">
      <c r="A32" s="573" t="s">
        <v>692</v>
      </c>
      <c r="B32" s="210" t="s">
        <v>1120</v>
      </c>
      <c r="C32" s="211" t="s">
        <v>1112</v>
      </c>
      <c r="D32" s="525">
        <v>0.36</v>
      </c>
      <c r="E32" s="210" t="s">
        <v>1109</v>
      </c>
      <c r="F32" s="526"/>
      <c r="G32" s="526"/>
      <c r="H32" s="526"/>
    </row>
    <row r="33" spans="1:11" s="546" customFormat="1" ht="31.5" x14ac:dyDescent="0.25">
      <c r="A33" s="580" t="s">
        <v>1664</v>
      </c>
      <c r="B33" s="210" t="s">
        <v>1122</v>
      </c>
      <c r="C33" s="542" t="s">
        <v>1113</v>
      </c>
      <c r="D33" s="525">
        <v>205.93</v>
      </c>
      <c r="E33" s="541" t="s">
        <v>1109</v>
      </c>
      <c r="F33" s="547"/>
      <c r="G33" s="526"/>
      <c r="H33" s="526"/>
    </row>
    <row r="34" spans="1:11" s="546" customFormat="1" x14ac:dyDescent="0.25">
      <c r="A34" s="580" t="s">
        <v>136</v>
      </c>
      <c r="B34" s="210" t="s">
        <v>1936</v>
      </c>
      <c r="C34" s="542" t="s">
        <v>1935</v>
      </c>
      <c r="D34" s="525">
        <v>1</v>
      </c>
      <c r="E34" s="541" t="s">
        <v>31</v>
      </c>
      <c r="F34" s="547"/>
      <c r="G34" s="526"/>
      <c r="H34" s="526"/>
    </row>
    <row r="35" spans="1:11" s="5" customFormat="1" x14ac:dyDescent="0.25">
      <c r="A35" s="203"/>
      <c r="B35" s="203">
        <v>5</v>
      </c>
      <c r="C35" s="579" t="s">
        <v>43</v>
      </c>
      <c r="D35" s="205"/>
      <c r="E35" s="203"/>
      <c r="F35" s="206"/>
      <c r="G35" s="206"/>
      <c r="H35" s="206">
        <f>ROUND(SUM(H36:H55),2)</f>
        <v>0</v>
      </c>
    </row>
    <row r="36" spans="1:11" s="546" customFormat="1" ht="31.5" x14ac:dyDescent="0.25">
      <c r="A36" s="580" t="s">
        <v>709</v>
      </c>
      <c r="B36" s="541" t="s">
        <v>1134</v>
      </c>
      <c r="C36" s="542" t="str">
        <f>COMPOSIÇÕES!C113</f>
        <v>VIGAS NÍVEL 2,0M EM - FILTRO DA CISTERNA - CONCRETO ARMADO USINADO, FCK 25 MPA, INCLUSIVE ARMADURAS E FORMAS - COMPLETA</v>
      </c>
      <c r="D36" s="525">
        <v>0.16</v>
      </c>
      <c r="E36" s="541" t="s">
        <v>41</v>
      </c>
      <c r="F36" s="547"/>
      <c r="G36" s="547"/>
      <c r="H36" s="547"/>
      <c r="K36" s="548"/>
    </row>
    <row r="37" spans="1:11" s="546" customFormat="1" ht="31.5" x14ac:dyDescent="0.25">
      <c r="A37" s="580" t="s">
        <v>686</v>
      </c>
      <c r="B37" s="541" t="s">
        <v>1135</v>
      </c>
      <c r="C37" s="542" t="str">
        <f>COMPOSIÇÕES!C123</f>
        <v>VIGAS NÍVEL 3,0M - COBERTURA 1 - CONCRETO ARMADO USINADO, FCK 25 MPA, INCLUSIVE ARMADURAS E FORMAS - COMPLETA</v>
      </c>
      <c r="D37" s="525">
        <v>18.02</v>
      </c>
      <c r="E37" s="541" t="s">
        <v>41</v>
      </c>
      <c r="F37" s="547"/>
      <c r="G37" s="547"/>
      <c r="H37" s="547"/>
      <c r="J37" s="549"/>
      <c r="K37" s="548"/>
    </row>
    <row r="38" spans="1:11" s="546" customFormat="1" ht="31.5" x14ac:dyDescent="0.25">
      <c r="A38" s="580" t="s">
        <v>691</v>
      </c>
      <c r="B38" s="541" t="s">
        <v>1136</v>
      </c>
      <c r="C38" s="542" t="str">
        <f>COMPOSIÇÕES!C136</f>
        <v>VIGAS NÍVEL 4,0M - PLATIBANDA - CONCRETO ARMADO USINADO, FCK 25 MPA, INCLUSIVE ARMADURAS E FORMAS - COMPLETA</v>
      </c>
      <c r="D38" s="525">
        <v>3.54</v>
      </c>
      <c r="E38" s="541" t="s">
        <v>41</v>
      </c>
      <c r="F38" s="547"/>
      <c r="G38" s="547"/>
      <c r="H38" s="547"/>
      <c r="J38" s="549"/>
      <c r="K38" s="548"/>
    </row>
    <row r="39" spans="1:11" s="546" customFormat="1" ht="31.5" x14ac:dyDescent="0.25">
      <c r="A39" s="580" t="s">
        <v>692</v>
      </c>
      <c r="B39" s="541" t="s">
        <v>1137</v>
      </c>
      <c r="C39" s="542" t="str">
        <f>COMPOSIÇÕES!C146</f>
        <v>VIGAS NÍVEL 4,4M - COBERTURA 2  - CONCRETO ARMADO USINADO, FCK 25 MPA, INCLUSIVE ARMADURAS E FORMAS - COMPLETA</v>
      </c>
      <c r="D39" s="525">
        <v>14.37</v>
      </c>
      <c r="E39" s="541" t="s">
        <v>41</v>
      </c>
      <c r="F39" s="547"/>
      <c r="G39" s="547"/>
      <c r="H39" s="547"/>
      <c r="J39" s="549"/>
      <c r="K39" s="548"/>
    </row>
    <row r="40" spans="1:11" s="546" customFormat="1" ht="31.5" x14ac:dyDescent="0.25">
      <c r="A40" s="580" t="s">
        <v>693</v>
      </c>
      <c r="B40" s="541" t="s">
        <v>1138</v>
      </c>
      <c r="C40" s="542" t="str">
        <f>COMPOSIÇÕES!C156</f>
        <v>VIGAS NÍVEL 5,6M - PLATIBANDA - CONCRETO ARMADO USINADO, FCK 25 MPA, INCLUSIVE ARMADURAS E FORMAS - COMPLETA</v>
      </c>
      <c r="D40" s="525">
        <v>2.77</v>
      </c>
      <c r="E40" s="541" t="s">
        <v>41</v>
      </c>
      <c r="F40" s="547"/>
      <c r="G40" s="547"/>
      <c r="H40" s="547"/>
      <c r="J40" s="549"/>
      <c r="K40" s="548"/>
    </row>
    <row r="41" spans="1:11" s="546" customFormat="1" ht="31.5" x14ac:dyDescent="0.25">
      <c r="A41" s="580" t="s">
        <v>703</v>
      </c>
      <c r="B41" s="541" t="s">
        <v>1139</v>
      </c>
      <c r="C41" s="542" t="str">
        <f>COMPOSIÇÕES!C166</f>
        <v>VIGAS NÍVEL 6,8M - RESERVATÓRIO  - CONCRETO ARMADO USINADO, FCK 25 MPA, INCLUSIVE ARMADURAS E FORMAS - COMPLETA</v>
      </c>
      <c r="D41" s="525">
        <v>7.14</v>
      </c>
      <c r="E41" s="541" t="s">
        <v>41</v>
      </c>
      <c r="F41" s="547"/>
      <c r="G41" s="547"/>
      <c r="H41" s="547"/>
      <c r="J41" s="549"/>
      <c r="K41" s="548"/>
    </row>
    <row r="42" spans="1:11" s="546" customFormat="1" ht="31.5" x14ac:dyDescent="0.25">
      <c r="A42" s="580" t="s">
        <v>704</v>
      </c>
      <c r="B42" s="541" t="s">
        <v>1140</v>
      </c>
      <c r="C42" s="542" t="str">
        <f>COMPOSIÇÕES!C178</f>
        <v>VIGAS NÍVEL 10,2M - COBERTURA DO RESERVATÓRIO -  CONCRETO ARMADO USINADO, FCK 25 MPA, INCLUSIVE ARMADURAS E FORMAS - COMPLETA</v>
      </c>
      <c r="D42" s="525">
        <v>2.85</v>
      </c>
      <c r="E42" s="541" t="s">
        <v>41</v>
      </c>
      <c r="F42" s="547"/>
      <c r="G42" s="547"/>
      <c r="H42" s="547"/>
      <c r="J42" s="549"/>
      <c r="K42" s="548"/>
    </row>
    <row r="43" spans="1:11" s="546" customFormat="1" ht="31.5" x14ac:dyDescent="0.25">
      <c r="A43" s="580" t="s">
        <v>710</v>
      </c>
      <c r="B43" s="541" t="s">
        <v>1141</v>
      </c>
      <c r="C43" s="542" t="str">
        <f>COMPOSIÇÕES!C188</f>
        <v>VIGAS ABRIGO GÁS - CONCRETO ARMADO USINADO, FCK 25 MPA, INCLUSIVE ARMADURAS E FORMAS - COMPLETA</v>
      </c>
      <c r="D43" s="525">
        <v>0.46</v>
      </c>
      <c r="E43" s="541" t="s">
        <v>41</v>
      </c>
      <c r="F43" s="547"/>
      <c r="G43" s="547"/>
      <c r="H43" s="547"/>
      <c r="J43" s="549"/>
      <c r="K43" s="548"/>
    </row>
    <row r="44" spans="1:11" s="546" customFormat="1" ht="31.5" x14ac:dyDescent="0.25">
      <c r="A44" s="580" t="s">
        <v>991</v>
      </c>
      <c r="B44" s="541" t="s">
        <v>1142</v>
      </c>
      <c r="C44" s="542" t="str">
        <f>COMPOSIÇÕES!C268</f>
        <v>LAJE MACIÇA NÍVEL 2,00M (FILTRO CISTERNA) - CONCRETO ARMADO USINADO, FCK 25 MPA, INCLUSIVE ARMADURAS E FORMAS - COMPLETA</v>
      </c>
      <c r="D44" s="525">
        <v>0.12</v>
      </c>
      <c r="E44" s="541" t="s">
        <v>41</v>
      </c>
      <c r="F44" s="547"/>
      <c r="G44" s="547"/>
      <c r="H44" s="547"/>
      <c r="K44" s="548"/>
    </row>
    <row r="45" spans="1:11" s="546" customFormat="1" ht="31.5" x14ac:dyDescent="0.25">
      <c r="A45" s="580" t="s">
        <v>907</v>
      </c>
      <c r="B45" s="541" t="s">
        <v>1143</v>
      </c>
      <c r="C45" s="542" t="str">
        <f>COMPOSIÇÕES!C208</f>
        <v>PILARES COBERTURA CISTERNA (P10, P11 E P20) - CONCRETO ARMADO USINADO, FCK 25 MPA, INCLUSIVE ARMADURAS E FORMAS - COMPLETO</v>
      </c>
      <c r="D45" s="525">
        <v>24.55</v>
      </c>
      <c r="E45" s="541" t="s">
        <v>41</v>
      </c>
      <c r="F45" s="547"/>
      <c r="G45" s="547"/>
      <c r="H45" s="547"/>
      <c r="J45" s="549"/>
      <c r="K45" s="548"/>
    </row>
    <row r="46" spans="1:11" s="546" customFormat="1" ht="31.5" x14ac:dyDescent="0.25">
      <c r="A46" s="580" t="s">
        <v>908</v>
      </c>
      <c r="B46" s="541" t="s">
        <v>1144</v>
      </c>
      <c r="C46" s="542" t="str">
        <f>COMPOSIÇÕES!C290</f>
        <v>LAJE MACIÇA NÍVEL 4,4M (COBERTURA 2) - CONCRETO ARMADO USINADO, FCK 25 MPA, INCLUSIVE ARMADURAS E FORMAS - COMPLETA</v>
      </c>
      <c r="D46" s="525">
        <v>36.700000000000003</v>
      </c>
      <c r="E46" s="541" t="s">
        <v>41</v>
      </c>
      <c r="F46" s="547"/>
      <c r="G46" s="547"/>
      <c r="H46" s="547"/>
      <c r="J46" s="549"/>
      <c r="K46" s="548"/>
    </row>
    <row r="47" spans="1:11" s="546" customFormat="1" ht="31.5" x14ac:dyDescent="0.25">
      <c r="A47" s="580" t="s">
        <v>1125</v>
      </c>
      <c r="B47" s="541" t="s">
        <v>1145</v>
      </c>
      <c r="C47" s="542" t="str">
        <f>COMPOSIÇÕES!C300</f>
        <v>LAJE MACIÇA NÍVEL 6,8M  (RESERVATÓRIO) - CONCRETO ARMADO USINADO, FCK 25 MPA, INCLUSIVE ARMADURAS E FORMAS - COMPLETA</v>
      </c>
      <c r="D47" s="525">
        <v>12.23</v>
      </c>
      <c r="E47" s="541" t="s">
        <v>41</v>
      </c>
      <c r="F47" s="547"/>
      <c r="G47" s="547"/>
      <c r="H47" s="547"/>
      <c r="J47" s="549"/>
      <c r="K47" s="548"/>
    </row>
    <row r="48" spans="1:11" s="546" customFormat="1" ht="31.5" x14ac:dyDescent="0.25">
      <c r="A48" s="580" t="s">
        <v>1126</v>
      </c>
      <c r="B48" s="541" t="s">
        <v>1146</v>
      </c>
      <c r="C48" s="542" t="str">
        <f>COMPOSIÇÕES!C312</f>
        <v>LAJE MACIÇA ABRIGO GÁS EM CONCRETO ARMADO USINADO, FCK 25 MPA, INCLUSIVE ARMADURAS E FORMAS - COMPLETA</v>
      </c>
      <c r="D48" s="525">
        <v>0.2</v>
      </c>
      <c r="E48" s="541" t="s">
        <v>41</v>
      </c>
      <c r="F48" s="547"/>
      <c r="G48" s="547"/>
      <c r="H48" s="547"/>
      <c r="K48" s="548"/>
    </row>
    <row r="49" spans="1:11" s="546" customFormat="1" ht="31.5" x14ac:dyDescent="0.25">
      <c r="A49" s="581" t="s">
        <v>1128</v>
      </c>
      <c r="B49" s="541" t="s">
        <v>1147</v>
      </c>
      <c r="C49" s="211" t="str">
        <f>COMPOSIÇÕES!C322</f>
        <v>JUNTA DE DILATACAO COM ISOPOR 40 MM, FAIXA DE 50 CM NO PERÍMETRO DO ENCONTRO DAS EDIFICAÇÕES, COM MARSTIQUE PU, NP1, MBT, BASF OU SIMILAR (40X15 MM)</v>
      </c>
      <c r="D49" s="525">
        <v>30.72</v>
      </c>
      <c r="E49" s="541" t="s">
        <v>73</v>
      </c>
      <c r="F49" s="547"/>
      <c r="G49" s="547"/>
      <c r="H49" s="547"/>
      <c r="J49" s="549"/>
      <c r="K49" s="548"/>
    </row>
    <row r="50" spans="1:11" s="546" customFormat="1" ht="31.5" x14ac:dyDescent="0.25">
      <c r="A50" s="580" t="s">
        <v>874</v>
      </c>
      <c r="B50" s="541" t="s">
        <v>1148</v>
      </c>
      <c r="C50" s="542" t="str">
        <f>COMPOSIÇÕES!C198</f>
        <v>PILARES PARA ABRIGO GÁS - CONCRETO ARMADO USINADO, FCK 25 MPA, INCLUSIVE ARMADURAS E FORMAS - COMPLETO</v>
      </c>
      <c r="D50" s="525">
        <v>0.47</v>
      </c>
      <c r="E50" s="541" t="s">
        <v>41</v>
      </c>
      <c r="F50" s="547"/>
      <c r="G50" s="547"/>
      <c r="H50" s="547"/>
      <c r="J50" s="549"/>
      <c r="K50" s="548"/>
    </row>
    <row r="51" spans="1:11" s="546" customFormat="1" ht="31.5" x14ac:dyDescent="0.25">
      <c r="A51" s="580" t="s">
        <v>460</v>
      </c>
      <c r="B51" s="541" t="s">
        <v>1149</v>
      </c>
      <c r="C51" s="542" t="str">
        <f>COMPOSIÇÕES!C208</f>
        <v>PILARES COBERTURA CISTERNA (P10, P11 E P20) - CONCRETO ARMADO USINADO, FCK 25 MPA, INCLUSIVE ARMADURAS E FORMAS - COMPLETO</v>
      </c>
      <c r="D51" s="525">
        <v>0.18</v>
      </c>
      <c r="E51" s="541" t="s">
        <v>41</v>
      </c>
      <c r="F51" s="547"/>
      <c r="G51" s="547"/>
      <c r="H51" s="547"/>
      <c r="K51" s="548"/>
    </row>
    <row r="52" spans="1:11" s="546" customFormat="1" ht="31.5" x14ac:dyDescent="0.25">
      <c r="A52" s="580" t="s">
        <v>904</v>
      </c>
      <c r="B52" s="541" t="s">
        <v>1150</v>
      </c>
      <c r="C52" s="542" t="str">
        <f>COMPOSIÇÕES!C219</f>
        <v>PILARES PARA MURO COM COBOGÓ - CONCRETO ARMADO USINADO, FCK 25 MPA, INCLUSIVE ARMADURAS E FORMAS - COMPLETO</v>
      </c>
      <c r="D52" s="525">
        <f>COMPOSIÇÕES!D221</f>
        <v>0.6</v>
      </c>
      <c r="E52" s="541" t="s">
        <v>41</v>
      </c>
      <c r="F52" s="547"/>
      <c r="G52" s="547"/>
      <c r="H52" s="547"/>
      <c r="J52" s="549"/>
      <c r="K52" s="548"/>
    </row>
    <row r="53" spans="1:11" s="546" customFormat="1" ht="31.5" x14ac:dyDescent="0.25">
      <c r="A53" s="580" t="s">
        <v>905</v>
      </c>
      <c r="B53" s="541" t="s">
        <v>1151</v>
      </c>
      <c r="C53" s="542" t="str">
        <f>COMPOSIÇÕES!C230</f>
        <v>PILARES DE 4M ATÉ PLATIBANDA COBERTURA 1 - CONCRETO ARMADO USINADO, FCK 25 MPA, INCLUSIVE ARMADURAS E FORMAS - COMPLETO</v>
      </c>
      <c r="D53" s="525">
        <f>COMPOSIÇÕES!D232</f>
        <v>4.75</v>
      </c>
      <c r="E53" s="541" t="s">
        <v>41</v>
      </c>
      <c r="F53" s="547"/>
      <c r="G53" s="547"/>
      <c r="H53" s="547"/>
      <c r="J53" s="549"/>
      <c r="K53" s="548"/>
    </row>
    <row r="54" spans="1:11" s="546" customFormat="1" ht="35.25" customHeight="1" x14ac:dyDescent="0.25">
      <c r="A54" s="580" t="s">
        <v>906</v>
      </c>
      <c r="B54" s="541" t="s">
        <v>1602</v>
      </c>
      <c r="C54" s="542" t="str">
        <f>COMPOSIÇÕES!C243</f>
        <v>PILARES DE 5.6M ATÉ PLATIBANDA COBERTURA 2 -  CONCRETO ARMADO USINADO, FCK 25 MPA, INCLUSIVE ARMADURAS E FORMAS - COMPLETO</v>
      </c>
      <c r="D54" s="525">
        <f>COMPOSIÇÕES!D245</f>
        <v>6.27</v>
      </c>
      <c r="E54" s="541" t="s">
        <v>41</v>
      </c>
      <c r="F54" s="547"/>
      <c r="G54" s="547"/>
      <c r="H54" s="547"/>
      <c r="J54" s="549"/>
      <c r="K54" s="548"/>
    </row>
    <row r="55" spans="1:11" s="546" customFormat="1" ht="31.5" x14ac:dyDescent="0.25">
      <c r="A55" s="580" t="s">
        <v>986</v>
      </c>
      <c r="B55" s="541" t="s">
        <v>1152</v>
      </c>
      <c r="C55" s="542" t="str">
        <f>COMPOSIÇÕES!C256</f>
        <v>PILARES DE 7,72M E 10,20M - CONCRETO ARMADO USINADO, FCK 25 MPA, INCLUSIVE ARMADURAS E FORMAS - COMPLETO</v>
      </c>
      <c r="D55" s="525">
        <f>COMPOSIÇÕES!D258</f>
        <v>6.25</v>
      </c>
      <c r="E55" s="541" t="s">
        <v>41</v>
      </c>
      <c r="F55" s="547"/>
      <c r="G55" s="547"/>
      <c r="H55" s="547"/>
      <c r="J55" s="549"/>
      <c r="K55" s="548"/>
    </row>
    <row r="56" spans="1:11" s="108" customFormat="1" x14ac:dyDescent="0.25">
      <c r="A56" s="212"/>
      <c r="B56" s="212">
        <v>6</v>
      </c>
      <c r="C56" s="213" t="s">
        <v>44</v>
      </c>
      <c r="D56" s="205"/>
      <c r="E56" s="212"/>
      <c r="F56" s="214"/>
      <c r="G56" s="214"/>
      <c r="H56" s="214">
        <f>ROUND(SUM(H57:H59),2)</f>
        <v>0</v>
      </c>
    </row>
    <row r="57" spans="1:11" s="105" customFormat="1" ht="31.5" x14ac:dyDescent="0.25">
      <c r="A57" s="573" t="s">
        <v>436</v>
      </c>
      <c r="B57" s="210" t="s">
        <v>1316</v>
      </c>
      <c r="C57" s="211" t="s">
        <v>437</v>
      </c>
      <c r="D57" s="525">
        <f>167+50</f>
        <v>217</v>
      </c>
      <c r="E57" s="210" t="s">
        <v>40</v>
      </c>
      <c r="F57" s="526"/>
      <c r="G57" s="526"/>
      <c r="H57" s="526"/>
    </row>
    <row r="58" spans="1:11" s="105" customFormat="1" ht="31.5" x14ac:dyDescent="0.25">
      <c r="A58" s="573" t="s">
        <v>371</v>
      </c>
      <c r="B58" s="210" t="s">
        <v>1317</v>
      </c>
      <c r="C58" s="211" t="s">
        <v>202</v>
      </c>
      <c r="D58" s="525">
        <f>167+50</f>
        <v>217</v>
      </c>
      <c r="E58" s="210" t="s">
        <v>40</v>
      </c>
      <c r="F58" s="526"/>
      <c r="G58" s="526"/>
      <c r="H58" s="526"/>
    </row>
    <row r="59" spans="1:11" s="105" customFormat="1" x14ac:dyDescent="0.25">
      <c r="A59" s="573" t="s">
        <v>1676</v>
      </c>
      <c r="B59" s="210" t="s">
        <v>1318</v>
      </c>
      <c r="C59" s="211" t="s">
        <v>444</v>
      </c>
      <c r="D59" s="525">
        <f>472.2</f>
        <v>472.2</v>
      </c>
      <c r="E59" s="210" t="s">
        <v>40</v>
      </c>
      <c r="F59" s="526"/>
      <c r="G59" s="526"/>
      <c r="H59" s="526"/>
    </row>
    <row r="60" spans="1:11" s="108" customFormat="1" x14ac:dyDescent="0.25">
      <c r="A60" s="212"/>
      <c r="B60" s="212">
        <v>7</v>
      </c>
      <c r="C60" s="577" t="s">
        <v>191</v>
      </c>
      <c r="D60" s="205"/>
      <c r="E60" s="212"/>
      <c r="F60" s="214"/>
      <c r="G60" s="214"/>
      <c r="H60" s="214">
        <f>ROUND(SUM(H61:H66),2)</f>
        <v>0</v>
      </c>
    </row>
    <row r="61" spans="1:11" s="105" customFormat="1" ht="31.5" x14ac:dyDescent="0.25">
      <c r="A61" s="573" t="s">
        <v>49</v>
      </c>
      <c r="B61" s="210" t="s">
        <v>1319</v>
      </c>
      <c r="C61" s="211" t="s">
        <v>448</v>
      </c>
      <c r="D61" s="525">
        <v>1058</v>
      </c>
      <c r="E61" s="210" t="s">
        <v>40</v>
      </c>
      <c r="F61" s="526"/>
      <c r="G61" s="526"/>
      <c r="H61" s="526"/>
    </row>
    <row r="62" spans="1:11" s="105" customFormat="1" x14ac:dyDescent="0.25">
      <c r="A62" s="573" t="s">
        <v>339</v>
      </c>
      <c r="B62" s="210" t="s">
        <v>1320</v>
      </c>
      <c r="C62" s="211" t="s">
        <v>340</v>
      </c>
      <c r="D62" s="525">
        <v>9</v>
      </c>
      <c r="E62" s="210" t="s">
        <v>40</v>
      </c>
      <c r="F62" s="526"/>
      <c r="G62" s="526"/>
      <c r="H62" s="526"/>
      <c r="I62" s="540"/>
    </row>
    <row r="63" spans="1:11" s="105" customFormat="1" ht="31.5" x14ac:dyDescent="0.25">
      <c r="A63" s="573" t="s">
        <v>120</v>
      </c>
      <c r="B63" s="210" t="s">
        <v>1321</v>
      </c>
      <c r="C63" s="211" t="s">
        <v>334</v>
      </c>
      <c r="D63" s="525">
        <f>26.08+10.17+0.75</f>
        <v>37</v>
      </c>
      <c r="E63" s="210" t="s">
        <v>40</v>
      </c>
      <c r="F63" s="526"/>
      <c r="G63" s="526"/>
      <c r="H63" s="526"/>
    </row>
    <row r="64" spans="1:11" s="105" customFormat="1" x14ac:dyDescent="0.25">
      <c r="A64" s="573" t="s">
        <v>317</v>
      </c>
      <c r="B64" s="210" t="s">
        <v>1322</v>
      </c>
      <c r="C64" s="211" t="s">
        <v>318</v>
      </c>
      <c r="D64" s="525">
        <v>344</v>
      </c>
      <c r="E64" s="210" t="s">
        <v>45</v>
      </c>
      <c r="F64" s="526"/>
      <c r="G64" s="526"/>
      <c r="H64" s="526"/>
    </row>
    <row r="65" spans="1:8" s="105" customFormat="1" x14ac:dyDescent="0.25">
      <c r="A65" s="573" t="s">
        <v>171</v>
      </c>
      <c r="B65" s="210" t="s">
        <v>1323</v>
      </c>
      <c r="C65" s="211" t="s">
        <v>203</v>
      </c>
      <c r="D65" s="525">
        <v>90</v>
      </c>
      <c r="E65" s="210" t="s">
        <v>45</v>
      </c>
      <c r="F65" s="526"/>
      <c r="G65" s="526"/>
      <c r="H65" s="526"/>
    </row>
    <row r="66" spans="1:8" s="105" customFormat="1" x14ac:dyDescent="0.25">
      <c r="A66" s="573" t="s">
        <v>100</v>
      </c>
      <c r="B66" s="210" t="s">
        <v>1324</v>
      </c>
      <c r="C66" s="211" t="s">
        <v>319</v>
      </c>
      <c r="D66" s="525">
        <v>47</v>
      </c>
      <c r="E66" s="210" t="s">
        <v>73</v>
      </c>
      <c r="F66" s="526"/>
      <c r="G66" s="526"/>
      <c r="H66" s="526"/>
    </row>
    <row r="67" spans="1:8" s="5" customFormat="1" x14ac:dyDescent="0.25">
      <c r="A67" s="203"/>
      <c r="B67" s="203">
        <v>8</v>
      </c>
      <c r="C67" s="579" t="s">
        <v>46</v>
      </c>
      <c r="D67" s="205"/>
      <c r="E67" s="203"/>
      <c r="F67" s="206"/>
      <c r="G67" s="206"/>
      <c r="H67" s="206">
        <f>ROUND(SUM(H69:H104),2)</f>
        <v>0</v>
      </c>
    </row>
    <row r="68" spans="1:8" s="18" customFormat="1" x14ac:dyDescent="0.25">
      <c r="A68" s="215"/>
      <c r="B68" s="215" t="s">
        <v>1325</v>
      </c>
      <c r="C68" s="216" t="s">
        <v>442</v>
      </c>
      <c r="D68" s="217"/>
      <c r="E68" s="215"/>
      <c r="F68" s="218"/>
      <c r="G68" s="218"/>
      <c r="H68" s="218"/>
    </row>
    <row r="69" spans="1:8" s="19" customFormat="1" ht="31.5" customHeight="1" x14ac:dyDescent="0.25">
      <c r="A69" s="580" t="s">
        <v>1685</v>
      </c>
      <c r="B69" s="541" t="s">
        <v>1326</v>
      </c>
      <c r="C69" s="542" t="s">
        <v>245</v>
      </c>
      <c r="D69" s="525">
        <f>3*(0.9*0.95)</f>
        <v>2.5649999999999999</v>
      </c>
      <c r="E69" s="541" t="s">
        <v>40</v>
      </c>
      <c r="F69" s="547"/>
      <c r="G69" s="547"/>
      <c r="H69" s="547"/>
    </row>
    <row r="70" spans="1:8" s="19" customFormat="1" ht="31.5" customHeight="1" x14ac:dyDescent="0.25">
      <c r="A70" s="580" t="s">
        <v>1685</v>
      </c>
      <c r="B70" s="541" t="s">
        <v>1327</v>
      </c>
      <c r="C70" s="542" t="s">
        <v>246</v>
      </c>
      <c r="D70" s="525">
        <f>3*(0.9*1.55)</f>
        <v>4.1850000000000005</v>
      </c>
      <c r="E70" s="541" t="s">
        <v>40</v>
      </c>
      <c r="F70" s="547"/>
      <c r="G70" s="547"/>
      <c r="H70" s="547"/>
    </row>
    <row r="71" spans="1:8" s="19" customFormat="1" ht="31.5" customHeight="1" x14ac:dyDescent="0.25">
      <c r="A71" s="580" t="s">
        <v>1685</v>
      </c>
      <c r="B71" s="541" t="s">
        <v>1328</v>
      </c>
      <c r="C71" s="542" t="s">
        <v>247</v>
      </c>
      <c r="D71" s="525">
        <f>2*(2*0.95)</f>
        <v>3.8</v>
      </c>
      <c r="E71" s="541" t="s">
        <v>40</v>
      </c>
      <c r="F71" s="547"/>
      <c r="G71" s="547"/>
      <c r="H71" s="547"/>
    </row>
    <row r="72" spans="1:8" s="19" customFormat="1" ht="31.5" customHeight="1" x14ac:dyDescent="0.25">
      <c r="A72" s="580" t="s">
        <v>1685</v>
      </c>
      <c r="B72" s="541" t="s">
        <v>1329</v>
      </c>
      <c r="C72" s="542" t="s">
        <v>248</v>
      </c>
      <c r="D72" s="525">
        <f>3*(2*1.55)</f>
        <v>9.3000000000000007</v>
      </c>
      <c r="E72" s="541" t="s">
        <v>40</v>
      </c>
      <c r="F72" s="547"/>
      <c r="G72" s="547"/>
      <c r="H72" s="547"/>
    </row>
    <row r="73" spans="1:8" s="19" customFormat="1" ht="31.5" customHeight="1" x14ac:dyDescent="0.25">
      <c r="A73" s="580" t="s">
        <v>1685</v>
      </c>
      <c r="B73" s="541" t="s">
        <v>1330</v>
      </c>
      <c r="C73" s="542" t="s">
        <v>249</v>
      </c>
      <c r="D73" s="525">
        <f>2*(2.5*1.55)</f>
        <v>7.75</v>
      </c>
      <c r="E73" s="541" t="s">
        <v>40</v>
      </c>
      <c r="F73" s="547"/>
      <c r="G73" s="547"/>
      <c r="H73" s="547"/>
    </row>
    <row r="74" spans="1:8" s="19" customFormat="1" ht="31.5" customHeight="1" x14ac:dyDescent="0.25">
      <c r="A74" s="580" t="s">
        <v>1685</v>
      </c>
      <c r="B74" s="541" t="s">
        <v>1331</v>
      </c>
      <c r="C74" s="542" t="s">
        <v>250</v>
      </c>
      <c r="D74" s="525">
        <f>3.5*1.55</f>
        <v>5.4249999999999998</v>
      </c>
      <c r="E74" s="541" t="s">
        <v>40</v>
      </c>
      <c r="F74" s="547"/>
      <c r="G74" s="547"/>
      <c r="H74" s="547"/>
    </row>
    <row r="75" spans="1:8" s="19" customFormat="1" ht="31.5" customHeight="1" x14ac:dyDescent="0.25">
      <c r="A75" s="580" t="s">
        <v>1686</v>
      </c>
      <c r="B75" s="541" t="s">
        <v>1332</v>
      </c>
      <c r="C75" s="542" t="s">
        <v>251</v>
      </c>
      <c r="D75" s="525">
        <f>4*(0.7*1.4)</f>
        <v>3.9199999999999995</v>
      </c>
      <c r="E75" s="541" t="s">
        <v>40</v>
      </c>
      <c r="F75" s="547"/>
      <c r="G75" s="547"/>
      <c r="H75" s="547"/>
    </row>
    <row r="76" spans="1:8" s="19" customFormat="1" ht="31.5" customHeight="1" x14ac:dyDescent="0.25">
      <c r="A76" s="580" t="s">
        <v>1686</v>
      </c>
      <c r="B76" s="541" t="s">
        <v>1333</v>
      </c>
      <c r="C76" s="542" t="s">
        <v>252</v>
      </c>
      <c r="D76" s="525">
        <f>1.2*0.95</f>
        <v>1.1399999999999999</v>
      </c>
      <c r="E76" s="541" t="s">
        <v>40</v>
      </c>
      <c r="F76" s="547"/>
      <c r="G76" s="547"/>
      <c r="H76" s="547"/>
    </row>
    <row r="77" spans="1:8" s="19" customFormat="1" ht="31.5" customHeight="1" x14ac:dyDescent="0.25">
      <c r="A77" s="580" t="s">
        <v>1686</v>
      </c>
      <c r="B77" s="541" t="s">
        <v>1334</v>
      </c>
      <c r="C77" s="542" t="s">
        <v>253</v>
      </c>
      <c r="D77" s="525">
        <f>3*(2*1.4)</f>
        <v>8.3999999999999986</v>
      </c>
      <c r="E77" s="541" t="s">
        <v>40</v>
      </c>
      <c r="F77" s="547"/>
      <c r="G77" s="547"/>
      <c r="H77" s="547"/>
    </row>
    <row r="78" spans="1:8" s="19" customFormat="1" ht="31.5" customHeight="1" x14ac:dyDescent="0.25">
      <c r="A78" s="580" t="s">
        <v>1686</v>
      </c>
      <c r="B78" s="541" t="s">
        <v>1335</v>
      </c>
      <c r="C78" s="542" t="s">
        <v>254</v>
      </c>
      <c r="D78" s="525">
        <f>2*2</f>
        <v>4</v>
      </c>
      <c r="E78" s="541" t="s">
        <v>40</v>
      </c>
      <c r="F78" s="547"/>
      <c r="G78" s="547"/>
      <c r="H78" s="547"/>
    </row>
    <row r="79" spans="1:8" s="19" customFormat="1" ht="31.5" customHeight="1" x14ac:dyDescent="0.25">
      <c r="A79" s="580" t="s">
        <v>1686</v>
      </c>
      <c r="B79" s="541" t="s">
        <v>1336</v>
      </c>
      <c r="C79" s="542" t="s">
        <v>255</v>
      </c>
      <c r="D79" s="525">
        <f>2.5*1.4</f>
        <v>3.5</v>
      </c>
      <c r="E79" s="541" t="s">
        <v>40</v>
      </c>
      <c r="F79" s="547"/>
      <c r="G79" s="547"/>
      <c r="H79" s="547"/>
    </row>
    <row r="80" spans="1:8" s="19" customFormat="1" ht="31.5" customHeight="1" x14ac:dyDescent="0.25">
      <c r="A80" s="580" t="s">
        <v>1687</v>
      </c>
      <c r="B80" s="541" t="s">
        <v>1337</v>
      </c>
      <c r="C80" s="542" t="s">
        <v>256</v>
      </c>
      <c r="D80" s="525">
        <f>2*(4.8*2)</f>
        <v>19.2</v>
      </c>
      <c r="E80" s="541" t="s">
        <v>40</v>
      </c>
      <c r="F80" s="547"/>
      <c r="G80" s="547"/>
      <c r="H80" s="547"/>
    </row>
    <row r="81" spans="1:9" s="19" customFormat="1" ht="31.5" customHeight="1" x14ac:dyDescent="0.25">
      <c r="A81" s="580" t="s">
        <v>47</v>
      </c>
      <c r="B81" s="541" t="s">
        <v>1338</v>
      </c>
      <c r="C81" s="542" t="s">
        <v>257</v>
      </c>
      <c r="D81" s="525">
        <f>2*4.92*1</f>
        <v>9.84</v>
      </c>
      <c r="E81" s="541" t="s">
        <v>40</v>
      </c>
      <c r="F81" s="547"/>
      <c r="G81" s="547"/>
      <c r="H81" s="547"/>
    </row>
    <row r="82" spans="1:9" s="19" customFormat="1" ht="31.5" customHeight="1" x14ac:dyDescent="0.25">
      <c r="A82" s="580" t="s">
        <v>47</v>
      </c>
      <c r="B82" s="541" t="s">
        <v>1339</v>
      </c>
      <c r="C82" s="542" t="s">
        <v>258</v>
      </c>
      <c r="D82" s="525">
        <f>4.32</f>
        <v>4.32</v>
      </c>
      <c r="E82" s="541" t="s">
        <v>40</v>
      </c>
      <c r="F82" s="547"/>
      <c r="G82" s="547"/>
      <c r="H82" s="547"/>
    </row>
    <row r="83" spans="1:9" s="19" customFormat="1" ht="47.25" x14ac:dyDescent="0.25">
      <c r="A83" s="580" t="s">
        <v>1688</v>
      </c>
      <c r="B83" s="541" t="s">
        <v>1340</v>
      </c>
      <c r="C83" s="211" t="s">
        <v>259</v>
      </c>
      <c r="D83" s="525">
        <f>2*0.45*0.45</f>
        <v>0.40500000000000003</v>
      </c>
      <c r="E83" s="541" t="s">
        <v>40</v>
      </c>
      <c r="F83" s="547"/>
      <c r="G83" s="547"/>
      <c r="H83" s="547"/>
    </row>
    <row r="84" spans="1:9" s="19" customFormat="1" ht="47.25" x14ac:dyDescent="0.25">
      <c r="A84" s="580" t="s">
        <v>133</v>
      </c>
      <c r="B84" s="541" t="s">
        <v>1341</v>
      </c>
      <c r="C84" s="542" t="s">
        <v>283</v>
      </c>
      <c r="D84" s="525">
        <v>1</v>
      </c>
      <c r="E84" s="210" t="s">
        <v>38</v>
      </c>
      <c r="F84" s="547"/>
      <c r="G84" s="547"/>
      <c r="H84" s="547"/>
      <c r="I84" s="557"/>
    </row>
    <row r="85" spans="1:9" s="19" customFormat="1" ht="47.25" x14ac:dyDescent="0.25">
      <c r="A85" s="580" t="s">
        <v>134</v>
      </c>
      <c r="B85" s="541" t="s">
        <v>1342</v>
      </c>
      <c r="C85" s="542" t="s">
        <v>284</v>
      </c>
      <c r="D85" s="525">
        <v>1</v>
      </c>
      <c r="E85" s="210" t="s">
        <v>38</v>
      </c>
      <c r="F85" s="547"/>
      <c r="G85" s="547"/>
      <c r="H85" s="547"/>
    </row>
    <row r="86" spans="1:9" s="19" customFormat="1" ht="47.25" x14ac:dyDescent="0.25">
      <c r="A86" s="580" t="s">
        <v>49</v>
      </c>
      <c r="B86" s="541" t="s">
        <v>1343</v>
      </c>
      <c r="C86" s="211" t="s">
        <v>838</v>
      </c>
      <c r="D86" s="525">
        <v>1</v>
      </c>
      <c r="E86" s="210" t="s">
        <v>38</v>
      </c>
      <c r="F86" s="547"/>
      <c r="G86" s="547"/>
      <c r="H86" s="547"/>
    </row>
    <row r="87" spans="1:9" s="19" customFormat="1" ht="31.5" x14ac:dyDescent="0.25">
      <c r="A87" s="580" t="s">
        <v>135</v>
      </c>
      <c r="B87" s="541" t="s">
        <v>1344</v>
      </c>
      <c r="C87" s="542" t="s">
        <v>285</v>
      </c>
      <c r="D87" s="525">
        <v>1</v>
      </c>
      <c r="E87" s="210" t="s">
        <v>38</v>
      </c>
      <c r="F87" s="547"/>
      <c r="G87" s="547"/>
      <c r="H87" s="547"/>
    </row>
    <row r="88" spans="1:9" s="19" customFormat="1" ht="47.25" x14ac:dyDescent="0.25">
      <c r="A88" s="580" t="s">
        <v>48</v>
      </c>
      <c r="B88" s="541" t="s">
        <v>1345</v>
      </c>
      <c r="C88" s="542" t="s">
        <v>273</v>
      </c>
      <c r="D88" s="525">
        <f>0.7*2.55</f>
        <v>1.7849999999999997</v>
      </c>
      <c r="E88" s="541" t="s">
        <v>40</v>
      </c>
      <c r="F88" s="547"/>
      <c r="G88" s="547"/>
      <c r="H88" s="547"/>
    </row>
    <row r="89" spans="1:9" s="19" customFormat="1" ht="47.25" x14ac:dyDescent="0.25">
      <c r="A89" s="580" t="s">
        <v>48</v>
      </c>
      <c r="B89" s="541" t="s">
        <v>1346</v>
      </c>
      <c r="C89" s="542" t="s">
        <v>288</v>
      </c>
      <c r="D89" s="525">
        <f>9*0.9*2.55</f>
        <v>20.654999999999998</v>
      </c>
      <c r="E89" s="541" t="s">
        <v>40</v>
      </c>
      <c r="F89" s="547"/>
      <c r="G89" s="547"/>
      <c r="H89" s="547"/>
    </row>
    <row r="90" spans="1:9" s="19" customFormat="1" ht="47.25" x14ac:dyDescent="0.25">
      <c r="A90" s="580" t="s">
        <v>100</v>
      </c>
      <c r="B90" s="541" t="s">
        <v>1347</v>
      </c>
      <c r="C90" s="211" t="s">
        <v>840</v>
      </c>
      <c r="D90" s="525">
        <v>2</v>
      </c>
      <c r="E90" s="541" t="s">
        <v>244</v>
      </c>
      <c r="F90" s="547"/>
      <c r="G90" s="547"/>
      <c r="H90" s="547"/>
    </row>
    <row r="91" spans="1:9" s="19" customFormat="1" ht="47.25" x14ac:dyDescent="0.25">
      <c r="A91" s="580" t="s">
        <v>48</v>
      </c>
      <c r="B91" s="541" t="s">
        <v>1348</v>
      </c>
      <c r="C91" s="542" t="s">
        <v>274</v>
      </c>
      <c r="D91" s="525">
        <f>0.9*2.55</f>
        <v>2.2949999999999999</v>
      </c>
      <c r="E91" s="541" t="s">
        <v>40</v>
      </c>
      <c r="F91" s="547"/>
      <c r="G91" s="547"/>
      <c r="H91" s="547"/>
    </row>
    <row r="92" spans="1:9" s="19" customFormat="1" ht="47.25" x14ac:dyDescent="0.25">
      <c r="A92" s="581" t="s">
        <v>120</v>
      </c>
      <c r="B92" s="541" t="s">
        <v>1349</v>
      </c>
      <c r="C92" s="542" t="s">
        <v>275</v>
      </c>
      <c r="D92" s="525">
        <v>1</v>
      </c>
      <c r="E92" s="541" t="s">
        <v>289</v>
      </c>
      <c r="F92" s="547"/>
      <c r="G92" s="547"/>
      <c r="H92" s="547"/>
    </row>
    <row r="93" spans="1:9" s="19" customFormat="1" ht="31.5" x14ac:dyDescent="0.25">
      <c r="A93" s="580" t="s">
        <v>48</v>
      </c>
      <c r="B93" s="541" t="s">
        <v>1350</v>
      </c>
      <c r="C93" s="542" t="s">
        <v>286</v>
      </c>
      <c r="D93" s="525">
        <v>2</v>
      </c>
      <c r="E93" s="541" t="s">
        <v>244</v>
      </c>
      <c r="F93" s="547"/>
      <c r="G93" s="547"/>
      <c r="H93" s="547"/>
    </row>
    <row r="94" spans="1:9" s="19" customFormat="1" ht="63" x14ac:dyDescent="0.25">
      <c r="A94" s="580" t="s">
        <v>47</v>
      </c>
      <c r="B94" s="541" t="s">
        <v>1351</v>
      </c>
      <c r="C94" s="542" t="s">
        <v>276</v>
      </c>
      <c r="D94" s="525">
        <v>1</v>
      </c>
      <c r="E94" s="541" t="s">
        <v>244</v>
      </c>
      <c r="F94" s="547"/>
      <c r="G94" s="547"/>
      <c r="H94" s="547"/>
    </row>
    <row r="95" spans="1:9" s="19" customFormat="1" ht="47.25" x14ac:dyDescent="0.25">
      <c r="A95" s="580" t="s">
        <v>48</v>
      </c>
      <c r="B95" s="541" t="s">
        <v>1352</v>
      </c>
      <c r="C95" s="211" t="s">
        <v>282</v>
      </c>
      <c r="D95" s="525">
        <v>1</v>
      </c>
      <c r="E95" s="541" t="s">
        <v>244</v>
      </c>
      <c r="F95" s="547"/>
      <c r="G95" s="547"/>
      <c r="H95" s="547"/>
    </row>
    <row r="96" spans="1:9" s="19" customFormat="1" ht="31.5" x14ac:dyDescent="0.25">
      <c r="A96" s="580" t="s">
        <v>47</v>
      </c>
      <c r="B96" s="541" t="s">
        <v>1353</v>
      </c>
      <c r="C96" s="542" t="s">
        <v>281</v>
      </c>
      <c r="D96" s="525">
        <v>5</v>
      </c>
      <c r="E96" s="541" t="s">
        <v>244</v>
      </c>
      <c r="F96" s="547"/>
      <c r="G96" s="547"/>
      <c r="H96" s="547"/>
    </row>
    <row r="97" spans="1:10" s="105" customFormat="1" x14ac:dyDescent="0.25">
      <c r="A97" s="573" t="s">
        <v>1697</v>
      </c>
      <c r="B97" s="541" t="s">
        <v>1354</v>
      </c>
      <c r="C97" s="211" t="s">
        <v>280</v>
      </c>
      <c r="D97" s="525">
        <v>5</v>
      </c>
      <c r="E97" s="210" t="s">
        <v>50</v>
      </c>
      <c r="F97" s="526"/>
      <c r="G97" s="526"/>
      <c r="H97" s="526"/>
    </row>
    <row r="98" spans="1:10" s="18" customFormat="1" x14ac:dyDescent="0.25">
      <c r="A98" s="215"/>
      <c r="B98" s="215" t="s">
        <v>1355</v>
      </c>
      <c r="C98" s="578" t="s">
        <v>51</v>
      </c>
      <c r="D98" s="217"/>
      <c r="E98" s="215"/>
      <c r="F98" s="218"/>
      <c r="G98" s="218"/>
      <c r="H98" s="218"/>
    </row>
    <row r="99" spans="1:10" s="19" customFormat="1" ht="63" customHeight="1" x14ac:dyDescent="0.25">
      <c r="A99" s="580" t="s">
        <v>308</v>
      </c>
      <c r="B99" s="541" t="s">
        <v>1356</v>
      </c>
      <c r="C99" s="542" t="s">
        <v>277</v>
      </c>
      <c r="D99" s="525">
        <v>1</v>
      </c>
      <c r="E99" s="541" t="s">
        <v>244</v>
      </c>
      <c r="F99" s="547"/>
      <c r="G99" s="547"/>
      <c r="H99" s="547"/>
      <c r="J99" s="558"/>
    </row>
    <row r="100" spans="1:10" s="19" customFormat="1" ht="63" x14ac:dyDescent="0.25">
      <c r="A100" s="580" t="s">
        <v>308</v>
      </c>
      <c r="B100" s="541" t="s">
        <v>1357</v>
      </c>
      <c r="C100" s="542" t="s">
        <v>314</v>
      </c>
      <c r="D100" s="525">
        <v>1</v>
      </c>
      <c r="E100" s="541" t="s">
        <v>244</v>
      </c>
      <c r="F100" s="547"/>
      <c r="G100" s="547"/>
      <c r="H100" s="547"/>
      <c r="J100" s="558"/>
    </row>
    <row r="101" spans="1:10" s="19" customFormat="1" ht="78.75" x14ac:dyDescent="0.25">
      <c r="A101" s="573" t="s">
        <v>309</v>
      </c>
      <c r="B101" s="541" t="s">
        <v>1358</v>
      </c>
      <c r="C101" s="542" t="s">
        <v>278</v>
      </c>
      <c r="D101" s="525">
        <v>2</v>
      </c>
      <c r="E101" s="541" t="s">
        <v>244</v>
      </c>
      <c r="F101" s="547"/>
      <c r="G101" s="547"/>
      <c r="H101" s="547"/>
    </row>
    <row r="102" spans="1:10" s="19" customFormat="1" ht="78.75" x14ac:dyDescent="0.25">
      <c r="A102" s="580" t="s">
        <v>309</v>
      </c>
      <c r="B102" s="541" t="s">
        <v>1359</v>
      </c>
      <c r="C102" s="542" t="s">
        <v>279</v>
      </c>
      <c r="D102" s="525">
        <v>1</v>
      </c>
      <c r="E102" s="541" t="s">
        <v>244</v>
      </c>
      <c r="F102" s="547"/>
      <c r="G102" s="547"/>
      <c r="H102" s="547"/>
    </row>
    <row r="103" spans="1:10" s="18" customFormat="1" x14ac:dyDescent="0.25">
      <c r="A103" s="215"/>
      <c r="B103" s="215" t="s">
        <v>1360</v>
      </c>
      <c r="C103" s="578" t="s">
        <v>260</v>
      </c>
      <c r="D103" s="217"/>
      <c r="E103" s="215"/>
      <c r="F103" s="218"/>
      <c r="G103" s="218"/>
      <c r="H103" s="218"/>
      <c r="I103" s="106"/>
    </row>
    <row r="104" spans="1:10" s="19" customFormat="1" ht="31.5" x14ac:dyDescent="0.25">
      <c r="A104" s="580" t="s">
        <v>1980</v>
      </c>
      <c r="B104" s="541" t="s">
        <v>1361</v>
      </c>
      <c r="C104" s="542" t="s">
        <v>310</v>
      </c>
      <c r="D104" s="525">
        <v>40.159999999999997</v>
      </c>
      <c r="E104" s="541" t="s">
        <v>53</v>
      </c>
      <c r="F104" s="547"/>
      <c r="G104" s="547"/>
      <c r="H104" s="547"/>
      <c r="I104" s="558"/>
    </row>
    <row r="105" spans="1:10" s="5" customFormat="1" x14ac:dyDescent="0.25">
      <c r="A105" s="212"/>
      <c r="B105" s="203">
        <v>9</v>
      </c>
      <c r="C105" s="579" t="s">
        <v>52</v>
      </c>
      <c r="D105" s="205"/>
      <c r="E105" s="203"/>
      <c r="F105" s="206"/>
      <c r="G105" s="206"/>
      <c r="H105" s="206">
        <f>ROUND(SUM(H106:H132),2)</f>
        <v>0</v>
      </c>
      <c r="I105" s="460"/>
    </row>
    <row r="106" spans="1:10" s="19" customFormat="1" x14ac:dyDescent="0.25">
      <c r="A106" s="573" t="s">
        <v>49</v>
      </c>
      <c r="B106" s="541" t="s">
        <v>1362</v>
      </c>
      <c r="C106" s="211" t="s">
        <v>243</v>
      </c>
      <c r="D106" s="525">
        <v>2.5649999999999999</v>
      </c>
      <c r="E106" s="541" t="s">
        <v>53</v>
      </c>
      <c r="F106" s="547"/>
      <c r="G106" s="547"/>
      <c r="H106" s="547"/>
    </row>
    <row r="107" spans="1:10" s="19" customFormat="1" x14ac:dyDescent="0.25">
      <c r="A107" s="573" t="s">
        <v>1705</v>
      </c>
      <c r="B107" s="541" t="s">
        <v>1363</v>
      </c>
      <c r="C107" s="211" t="s">
        <v>261</v>
      </c>
      <c r="D107" s="525">
        <v>4.1850000000000005</v>
      </c>
      <c r="E107" s="541" t="s">
        <v>53</v>
      </c>
      <c r="F107" s="547"/>
      <c r="G107" s="547"/>
      <c r="H107" s="547"/>
    </row>
    <row r="108" spans="1:10" s="19" customFormat="1" x14ac:dyDescent="0.25">
      <c r="A108" s="573" t="s">
        <v>49</v>
      </c>
      <c r="B108" s="541" t="s">
        <v>1364</v>
      </c>
      <c r="C108" s="211" t="s">
        <v>296</v>
      </c>
      <c r="D108" s="525">
        <v>3.8</v>
      </c>
      <c r="E108" s="541" t="s">
        <v>53</v>
      </c>
      <c r="F108" s="547"/>
      <c r="G108" s="547"/>
      <c r="H108" s="547"/>
    </row>
    <row r="109" spans="1:10" s="19" customFormat="1" x14ac:dyDescent="0.25">
      <c r="A109" s="573" t="s">
        <v>1705</v>
      </c>
      <c r="B109" s="541" t="s">
        <v>1365</v>
      </c>
      <c r="C109" s="211" t="s">
        <v>262</v>
      </c>
      <c r="D109" s="525">
        <v>9.3000000000000007</v>
      </c>
      <c r="E109" s="541" t="s">
        <v>53</v>
      </c>
      <c r="F109" s="547"/>
      <c r="G109" s="547"/>
      <c r="H109" s="547"/>
    </row>
    <row r="110" spans="1:10" s="19" customFormat="1" x14ac:dyDescent="0.25">
      <c r="A110" s="573" t="s">
        <v>1705</v>
      </c>
      <c r="B110" s="541" t="s">
        <v>1366</v>
      </c>
      <c r="C110" s="211" t="s">
        <v>263</v>
      </c>
      <c r="D110" s="525">
        <v>7.75</v>
      </c>
      <c r="E110" s="541" t="s">
        <v>53</v>
      </c>
      <c r="F110" s="547"/>
      <c r="G110" s="547"/>
      <c r="H110" s="547"/>
    </row>
    <row r="111" spans="1:10" s="19" customFormat="1" x14ac:dyDescent="0.25">
      <c r="A111" s="573" t="s">
        <v>1705</v>
      </c>
      <c r="B111" s="541" t="s">
        <v>1367</v>
      </c>
      <c r="C111" s="211" t="s">
        <v>264</v>
      </c>
      <c r="D111" s="525">
        <v>5.4249999999999998</v>
      </c>
      <c r="E111" s="541" t="s">
        <v>53</v>
      </c>
      <c r="F111" s="547"/>
      <c r="G111" s="547"/>
      <c r="H111" s="547"/>
    </row>
    <row r="112" spans="1:10" s="19" customFormat="1" x14ac:dyDescent="0.25">
      <c r="A112" s="573" t="s">
        <v>1705</v>
      </c>
      <c r="B112" s="541" t="s">
        <v>1368</v>
      </c>
      <c r="C112" s="211" t="s">
        <v>265</v>
      </c>
      <c r="D112" s="525">
        <v>3.9199999999999995</v>
      </c>
      <c r="E112" s="541" t="s">
        <v>53</v>
      </c>
      <c r="F112" s="547"/>
      <c r="G112" s="547"/>
      <c r="H112" s="547"/>
    </row>
    <row r="113" spans="1:8" s="19" customFormat="1" x14ac:dyDescent="0.25">
      <c r="A113" s="573" t="s">
        <v>1705</v>
      </c>
      <c r="B113" s="541" t="s">
        <v>1369</v>
      </c>
      <c r="C113" s="211" t="s">
        <v>266</v>
      </c>
      <c r="D113" s="525">
        <v>1.1399999999999999</v>
      </c>
      <c r="E113" s="541" t="s">
        <v>53</v>
      </c>
      <c r="F113" s="547"/>
      <c r="G113" s="547"/>
      <c r="H113" s="547"/>
    </row>
    <row r="114" spans="1:8" s="19" customFormat="1" x14ac:dyDescent="0.25">
      <c r="A114" s="573" t="s">
        <v>1705</v>
      </c>
      <c r="B114" s="541" t="s">
        <v>1370</v>
      </c>
      <c r="C114" s="211" t="s">
        <v>267</v>
      </c>
      <c r="D114" s="525">
        <v>8.3999999999999986</v>
      </c>
      <c r="E114" s="541" t="s">
        <v>53</v>
      </c>
      <c r="F114" s="547"/>
      <c r="G114" s="547"/>
      <c r="H114" s="547"/>
    </row>
    <row r="115" spans="1:8" s="19" customFormat="1" x14ac:dyDescent="0.25">
      <c r="A115" s="573" t="s">
        <v>1705</v>
      </c>
      <c r="B115" s="541" t="s">
        <v>1371</v>
      </c>
      <c r="C115" s="211" t="s">
        <v>268</v>
      </c>
      <c r="D115" s="525">
        <v>4</v>
      </c>
      <c r="E115" s="541" t="s">
        <v>53</v>
      </c>
      <c r="F115" s="547"/>
      <c r="G115" s="547"/>
      <c r="H115" s="547"/>
    </row>
    <row r="116" spans="1:8" s="19" customFormat="1" x14ac:dyDescent="0.25">
      <c r="A116" s="573" t="s">
        <v>1705</v>
      </c>
      <c r="B116" s="541" t="s">
        <v>1372</v>
      </c>
      <c r="C116" s="211" t="s">
        <v>269</v>
      </c>
      <c r="D116" s="525">
        <v>3.5</v>
      </c>
      <c r="E116" s="541" t="s">
        <v>53</v>
      </c>
      <c r="F116" s="547"/>
      <c r="G116" s="526"/>
      <c r="H116" s="526"/>
    </row>
    <row r="117" spans="1:8" s="19" customFormat="1" x14ac:dyDescent="0.25">
      <c r="A117" s="573" t="s">
        <v>1705</v>
      </c>
      <c r="B117" s="541" t="s">
        <v>1373</v>
      </c>
      <c r="C117" s="211" t="s">
        <v>270</v>
      </c>
      <c r="D117" s="525">
        <v>19.2</v>
      </c>
      <c r="E117" s="210" t="s">
        <v>53</v>
      </c>
      <c r="F117" s="547"/>
      <c r="G117" s="526"/>
      <c r="H117" s="526"/>
    </row>
    <row r="118" spans="1:8" s="105" customFormat="1" x14ac:dyDescent="0.25">
      <c r="A118" s="573" t="s">
        <v>136</v>
      </c>
      <c r="B118" s="541" t="s">
        <v>1374</v>
      </c>
      <c r="C118" s="211" t="s">
        <v>316</v>
      </c>
      <c r="D118" s="525">
        <f>4.38+(4.38*2.45)-3.7</f>
        <v>11.411000000000001</v>
      </c>
      <c r="E118" s="210" t="s">
        <v>53</v>
      </c>
      <c r="F118" s="526"/>
      <c r="G118" s="526"/>
      <c r="H118" s="526"/>
    </row>
    <row r="119" spans="1:8" s="539" customFormat="1" x14ac:dyDescent="0.25">
      <c r="A119" s="573" t="s">
        <v>136</v>
      </c>
      <c r="B119" s="541" t="s">
        <v>1375</v>
      </c>
      <c r="C119" s="211" t="s">
        <v>315</v>
      </c>
      <c r="D119" s="525">
        <v>7.27</v>
      </c>
      <c r="E119" s="210" t="s">
        <v>53</v>
      </c>
      <c r="F119" s="526"/>
      <c r="G119" s="526"/>
      <c r="H119" s="526"/>
    </row>
    <row r="120" spans="1:8" s="19" customFormat="1" x14ac:dyDescent="0.25">
      <c r="A120" s="573" t="s">
        <v>1705</v>
      </c>
      <c r="B120" s="541" t="s">
        <v>1376</v>
      </c>
      <c r="C120" s="211" t="s">
        <v>271</v>
      </c>
      <c r="D120" s="525">
        <v>11.77</v>
      </c>
      <c r="E120" s="210" t="s">
        <v>53</v>
      </c>
      <c r="F120" s="526"/>
      <c r="G120" s="526"/>
      <c r="H120" s="526"/>
    </row>
    <row r="121" spans="1:8" s="105" customFormat="1" x14ac:dyDescent="0.25">
      <c r="A121" s="573" t="s">
        <v>1706</v>
      </c>
      <c r="B121" s="541" t="s">
        <v>1377</v>
      </c>
      <c r="C121" s="211" t="s">
        <v>352</v>
      </c>
      <c r="D121" s="525">
        <f>1.76*2.1</f>
        <v>3.6960000000000002</v>
      </c>
      <c r="E121" s="210" t="s">
        <v>53</v>
      </c>
      <c r="F121" s="526"/>
      <c r="G121" s="526"/>
      <c r="H121" s="526"/>
    </row>
    <row r="122" spans="1:8" s="539" customFormat="1" x14ac:dyDescent="0.25">
      <c r="A122" s="573" t="s">
        <v>1706</v>
      </c>
      <c r="B122" s="541" t="s">
        <v>1378</v>
      </c>
      <c r="C122" s="211" t="s">
        <v>353</v>
      </c>
      <c r="D122" s="525">
        <v>3.7</v>
      </c>
      <c r="E122" s="210" t="s">
        <v>53</v>
      </c>
      <c r="F122" s="526"/>
      <c r="G122" s="526"/>
      <c r="H122" s="526"/>
    </row>
    <row r="123" spans="1:8" s="539" customFormat="1" x14ac:dyDescent="0.25">
      <c r="A123" s="573" t="s">
        <v>1707</v>
      </c>
      <c r="B123" s="541" t="s">
        <v>1379</v>
      </c>
      <c r="C123" s="211" t="s">
        <v>351</v>
      </c>
      <c r="D123" s="525">
        <v>3.78</v>
      </c>
      <c r="E123" s="210" t="s">
        <v>53</v>
      </c>
      <c r="F123" s="526"/>
      <c r="G123" s="526"/>
      <c r="H123" s="526"/>
    </row>
    <row r="124" spans="1:8" s="19" customFormat="1" x14ac:dyDescent="0.25">
      <c r="A124" s="573" t="s">
        <v>1705</v>
      </c>
      <c r="B124" s="541" t="s">
        <v>1380</v>
      </c>
      <c r="C124" s="211" t="s">
        <v>272</v>
      </c>
      <c r="D124" s="525">
        <v>9.6914999999999996</v>
      </c>
      <c r="E124" s="210" t="s">
        <v>53</v>
      </c>
      <c r="F124" s="526"/>
      <c r="G124" s="526"/>
      <c r="H124" s="526"/>
    </row>
    <row r="125" spans="1:8" s="19" customFormat="1" x14ac:dyDescent="0.25">
      <c r="A125" s="573" t="s">
        <v>49</v>
      </c>
      <c r="B125" s="541" t="s">
        <v>1381</v>
      </c>
      <c r="C125" s="211" t="s">
        <v>1970</v>
      </c>
      <c r="D125" s="525">
        <f>0.7*0.45</f>
        <v>0.315</v>
      </c>
      <c r="E125" s="210" t="s">
        <v>53</v>
      </c>
      <c r="F125" s="526"/>
      <c r="G125" s="526"/>
      <c r="H125" s="526"/>
    </row>
    <row r="126" spans="1:8" s="19" customFormat="1" x14ac:dyDescent="0.25">
      <c r="A126" s="573" t="s">
        <v>49</v>
      </c>
      <c r="B126" s="541" t="s">
        <v>1382</v>
      </c>
      <c r="C126" s="211" t="s">
        <v>1971</v>
      </c>
      <c r="D126" s="525">
        <f>9*0.9*0.45</f>
        <v>3.645</v>
      </c>
      <c r="E126" s="210" t="s">
        <v>53</v>
      </c>
      <c r="F126" s="526"/>
      <c r="G126" s="526"/>
      <c r="H126" s="526"/>
    </row>
    <row r="127" spans="1:8" s="19" customFormat="1" x14ac:dyDescent="0.25">
      <c r="A127" s="573" t="s">
        <v>49</v>
      </c>
      <c r="B127" s="541" t="s">
        <v>1383</v>
      </c>
      <c r="C127" s="211" t="s">
        <v>1972</v>
      </c>
      <c r="D127" s="525">
        <f>3*0.9*0.45</f>
        <v>1.2150000000000001</v>
      </c>
      <c r="E127" s="210" t="s">
        <v>53</v>
      </c>
      <c r="F127" s="526"/>
      <c r="G127" s="526"/>
      <c r="H127" s="547"/>
    </row>
    <row r="128" spans="1:8" s="19" customFormat="1" x14ac:dyDescent="0.25">
      <c r="A128" s="573" t="s">
        <v>49</v>
      </c>
      <c r="B128" s="541" t="s">
        <v>1384</v>
      </c>
      <c r="C128" s="211" t="s">
        <v>1973</v>
      </c>
      <c r="D128" s="525">
        <f>0.9*0.45</f>
        <v>0.40500000000000003</v>
      </c>
      <c r="E128" s="210" t="s">
        <v>53</v>
      </c>
      <c r="F128" s="526"/>
      <c r="G128" s="526"/>
      <c r="H128" s="547"/>
    </row>
    <row r="129" spans="1:12" s="19" customFormat="1" x14ac:dyDescent="0.25">
      <c r="A129" s="573" t="s">
        <v>1705</v>
      </c>
      <c r="B129" s="541" t="s">
        <v>1385</v>
      </c>
      <c r="C129" s="211" t="s">
        <v>1974</v>
      </c>
      <c r="D129" s="525">
        <f>2*0.15</f>
        <v>0.3</v>
      </c>
      <c r="E129" s="541" t="s">
        <v>53</v>
      </c>
      <c r="F129" s="547"/>
      <c r="G129" s="547"/>
      <c r="H129" s="547"/>
    </row>
    <row r="130" spans="1:12" s="19" customFormat="1" x14ac:dyDescent="0.25">
      <c r="A130" s="573" t="s">
        <v>1705</v>
      </c>
      <c r="B130" s="541" t="s">
        <v>1386</v>
      </c>
      <c r="C130" s="211" t="s">
        <v>287</v>
      </c>
      <c r="D130" s="525">
        <f>2*0.2*1.1</f>
        <v>0.44000000000000006</v>
      </c>
      <c r="E130" s="541" t="s">
        <v>53</v>
      </c>
      <c r="F130" s="547"/>
      <c r="G130" s="547"/>
      <c r="H130" s="547"/>
    </row>
    <row r="131" spans="1:12" s="19" customFormat="1" x14ac:dyDescent="0.25">
      <c r="A131" s="573" t="s">
        <v>1705</v>
      </c>
      <c r="B131" s="541" t="s">
        <v>1387</v>
      </c>
      <c r="C131" s="211" t="s">
        <v>373</v>
      </c>
      <c r="D131" s="525">
        <f>0.2*1.1</f>
        <v>0.22000000000000003</v>
      </c>
      <c r="E131" s="541" t="s">
        <v>53</v>
      </c>
      <c r="F131" s="547"/>
      <c r="G131" s="547"/>
      <c r="H131" s="547"/>
    </row>
    <row r="132" spans="1:12" s="539" customFormat="1" x14ac:dyDescent="0.25">
      <c r="A132" s="573" t="s">
        <v>100</v>
      </c>
      <c r="B132" s="541" t="s">
        <v>1388</v>
      </c>
      <c r="C132" s="211" t="s">
        <v>1708</v>
      </c>
      <c r="D132" s="525">
        <f>3.58+0.24</f>
        <v>3.8200000000000003</v>
      </c>
      <c r="E132" s="210" t="s">
        <v>53</v>
      </c>
      <c r="F132" s="526"/>
      <c r="G132" s="526"/>
      <c r="H132" s="526"/>
    </row>
    <row r="133" spans="1:12" s="108" customFormat="1" x14ac:dyDescent="0.25">
      <c r="A133" s="212"/>
      <c r="B133" s="212">
        <v>10</v>
      </c>
      <c r="C133" s="577" t="s">
        <v>54</v>
      </c>
      <c r="D133" s="205"/>
      <c r="E133" s="212"/>
      <c r="F133" s="214"/>
      <c r="G133" s="214"/>
      <c r="H133" s="214">
        <f>ROUND(SUM(H134:H141),2)</f>
        <v>0</v>
      </c>
      <c r="I133" s="459"/>
    </row>
    <row r="134" spans="1:12" s="105" customFormat="1" ht="31.5" x14ac:dyDescent="0.25">
      <c r="A134" s="573" t="s">
        <v>1725</v>
      </c>
      <c r="B134" s="210" t="s">
        <v>1389</v>
      </c>
      <c r="C134" s="211" t="s">
        <v>1726</v>
      </c>
      <c r="D134" s="525">
        <v>473</v>
      </c>
      <c r="E134" s="210" t="s">
        <v>40</v>
      </c>
      <c r="F134" s="526"/>
      <c r="G134" s="526"/>
      <c r="H134" s="526"/>
    </row>
    <row r="135" spans="1:12" s="105" customFormat="1" x14ac:dyDescent="0.25">
      <c r="A135" s="573" t="s">
        <v>122</v>
      </c>
      <c r="B135" s="210" t="s">
        <v>1390</v>
      </c>
      <c r="C135" s="211" t="s">
        <v>123</v>
      </c>
      <c r="D135" s="525">
        <v>157</v>
      </c>
      <c r="E135" s="210" t="s">
        <v>45</v>
      </c>
      <c r="F135" s="526"/>
      <c r="G135" s="526"/>
      <c r="H135" s="526"/>
    </row>
    <row r="136" spans="1:12" s="105" customFormat="1" ht="31.5" x14ac:dyDescent="0.25">
      <c r="A136" s="573" t="s">
        <v>55</v>
      </c>
      <c r="B136" s="210" t="s">
        <v>1391</v>
      </c>
      <c r="C136" s="211" t="s">
        <v>1715</v>
      </c>
      <c r="D136" s="525">
        <v>219</v>
      </c>
      <c r="E136" s="210" t="s">
        <v>45</v>
      </c>
      <c r="F136" s="526"/>
      <c r="G136" s="526"/>
      <c r="H136" s="526"/>
    </row>
    <row r="137" spans="1:12" s="105" customFormat="1" x14ac:dyDescent="0.25">
      <c r="A137" s="573" t="s">
        <v>1981</v>
      </c>
      <c r="B137" s="210" t="s">
        <v>1392</v>
      </c>
      <c r="C137" s="211" t="s">
        <v>1727</v>
      </c>
      <c r="D137" s="525">
        <v>4.5</v>
      </c>
      <c r="E137" s="210" t="s">
        <v>45</v>
      </c>
      <c r="F137" s="526"/>
      <c r="G137" s="526"/>
      <c r="H137" s="526"/>
    </row>
    <row r="138" spans="1:12" s="105" customFormat="1" x14ac:dyDescent="0.25">
      <c r="A138" s="573" t="s">
        <v>291</v>
      </c>
      <c r="B138" s="210" t="s">
        <v>1393</v>
      </c>
      <c r="C138" s="211" t="s">
        <v>438</v>
      </c>
      <c r="D138" s="525">
        <v>37</v>
      </c>
      <c r="E138" s="210" t="s">
        <v>244</v>
      </c>
      <c r="F138" s="526"/>
      <c r="G138" s="526"/>
      <c r="H138" s="526"/>
    </row>
    <row r="139" spans="1:12" s="105" customFormat="1" x14ac:dyDescent="0.25">
      <c r="A139" s="573" t="s">
        <v>292</v>
      </c>
      <c r="B139" s="210" t="s">
        <v>1394</v>
      </c>
      <c r="C139" s="211" t="s">
        <v>439</v>
      </c>
      <c r="D139" s="525">
        <v>3</v>
      </c>
      <c r="E139" s="210" t="s">
        <v>244</v>
      </c>
      <c r="F139" s="526"/>
      <c r="G139" s="526"/>
      <c r="H139" s="526"/>
      <c r="I139" s="614"/>
      <c r="J139" s="615"/>
      <c r="K139" s="615"/>
      <c r="L139" s="615"/>
    </row>
    <row r="140" spans="1:12" s="105" customFormat="1" ht="63" x14ac:dyDescent="0.25">
      <c r="A140" s="573" t="s">
        <v>49</v>
      </c>
      <c r="B140" s="210" t="s">
        <v>1395</v>
      </c>
      <c r="C140" s="211" t="s">
        <v>383</v>
      </c>
      <c r="D140" s="525">
        <v>47</v>
      </c>
      <c r="E140" s="210" t="s">
        <v>36</v>
      </c>
      <c r="F140" s="526"/>
      <c r="G140" s="526"/>
      <c r="H140" s="526"/>
    </row>
    <row r="141" spans="1:12" s="105" customFormat="1" ht="47.25" x14ac:dyDescent="0.25">
      <c r="A141" s="573" t="s">
        <v>100</v>
      </c>
      <c r="B141" s="210" t="s">
        <v>1396</v>
      </c>
      <c r="C141" s="211" t="s">
        <v>1729</v>
      </c>
      <c r="D141" s="210">
        <v>1</v>
      </c>
      <c r="E141" s="210" t="s">
        <v>244</v>
      </c>
      <c r="F141" s="526"/>
      <c r="G141" s="526"/>
      <c r="H141" s="526"/>
    </row>
    <row r="142" spans="1:12" s="108" customFormat="1" x14ac:dyDescent="0.25">
      <c r="A142" s="212"/>
      <c r="B142" s="212">
        <v>11</v>
      </c>
      <c r="C142" s="577" t="s">
        <v>56</v>
      </c>
      <c r="D142" s="205"/>
      <c r="E142" s="212"/>
      <c r="F142" s="214"/>
      <c r="G142" s="214"/>
      <c r="H142" s="214">
        <f>ROUND(SUM(H143:H161),2)</f>
        <v>0</v>
      </c>
      <c r="I142" s="459"/>
    </row>
    <row r="143" spans="1:12" s="110" customFormat="1" x14ac:dyDescent="0.25">
      <c r="A143" s="219"/>
      <c r="B143" s="219" t="s">
        <v>1460</v>
      </c>
      <c r="C143" s="576" t="s">
        <v>140</v>
      </c>
      <c r="D143" s="217"/>
      <c r="E143" s="219"/>
      <c r="F143" s="221"/>
      <c r="G143" s="221"/>
      <c r="H143" s="221"/>
    </row>
    <row r="144" spans="1:12" s="105" customFormat="1" ht="31.5" x14ac:dyDescent="0.25">
      <c r="A144" s="573" t="s">
        <v>49</v>
      </c>
      <c r="B144" s="210" t="s">
        <v>1462</v>
      </c>
      <c r="C144" s="211" t="s">
        <v>430</v>
      </c>
      <c r="D144" s="525">
        <v>25</v>
      </c>
      <c r="E144" s="210" t="s">
        <v>40</v>
      </c>
      <c r="F144" s="526"/>
      <c r="G144" s="526"/>
      <c r="H144" s="526"/>
    </row>
    <row r="145" spans="1:12" s="105" customFormat="1" ht="31.5" x14ac:dyDescent="0.25">
      <c r="A145" s="573" t="s">
        <v>210</v>
      </c>
      <c r="B145" s="210" t="s">
        <v>1463</v>
      </c>
      <c r="C145" s="211" t="s">
        <v>431</v>
      </c>
      <c r="D145" s="525">
        <f>462+443</f>
        <v>905</v>
      </c>
      <c r="E145" s="210" t="s">
        <v>40</v>
      </c>
      <c r="F145" s="526"/>
      <c r="G145" s="526"/>
      <c r="H145" s="526"/>
    </row>
    <row r="146" spans="1:12" s="105" customFormat="1" x14ac:dyDescent="0.25">
      <c r="A146" s="573" t="s">
        <v>211</v>
      </c>
      <c r="B146" s="210" t="s">
        <v>1464</v>
      </c>
      <c r="C146" s="211" t="s">
        <v>212</v>
      </c>
      <c r="D146" s="525">
        <v>490</v>
      </c>
      <c r="E146" s="210" t="s">
        <v>40</v>
      </c>
      <c r="F146" s="526"/>
      <c r="G146" s="526"/>
      <c r="H146" s="526"/>
      <c r="J146" s="559"/>
    </row>
    <row r="147" spans="1:12" s="105" customFormat="1" ht="31.5" x14ac:dyDescent="0.25">
      <c r="A147" s="573" t="s">
        <v>313</v>
      </c>
      <c r="B147" s="210" t="s">
        <v>1465</v>
      </c>
      <c r="C147" s="211" t="s">
        <v>471</v>
      </c>
      <c r="D147" s="525">
        <f>462+443</f>
        <v>905</v>
      </c>
      <c r="E147" s="210" t="s">
        <v>40</v>
      </c>
      <c r="F147" s="526"/>
      <c r="G147" s="526"/>
      <c r="H147" s="526"/>
      <c r="J147" s="559"/>
    </row>
    <row r="148" spans="1:12" s="105" customFormat="1" x14ac:dyDescent="0.25">
      <c r="A148" s="573" t="s">
        <v>1984</v>
      </c>
      <c r="B148" s="210" t="s">
        <v>1466</v>
      </c>
      <c r="C148" s="211" t="s">
        <v>312</v>
      </c>
      <c r="D148" s="525">
        <v>462</v>
      </c>
      <c r="E148" s="210" t="s">
        <v>40</v>
      </c>
      <c r="F148" s="526"/>
      <c r="G148" s="526"/>
      <c r="H148" s="526"/>
      <c r="J148" s="559"/>
    </row>
    <row r="149" spans="1:12" s="105" customFormat="1" ht="31.5" customHeight="1" x14ac:dyDescent="0.25">
      <c r="A149" s="573" t="s">
        <v>432</v>
      </c>
      <c r="B149" s="210" t="s">
        <v>1467</v>
      </c>
      <c r="C149" s="211" t="s">
        <v>433</v>
      </c>
      <c r="D149" s="525">
        <v>490</v>
      </c>
      <c r="E149" s="210" t="s">
        <v>40</v>
      </c>
      <c r="F149" s="526"/>
      <c r="G149" s="526"/>
      <c r="H149" s="526"/>
      <c r="J149" s="559"/>
    </row>
    <row r="150" spans="1:12" s="105" customFormat="1" ht="31.5" x14ac:dyDescent="0.25">
      <c r="A150" s="573" t="s">
        <v>1982</v>
      </c>
      <c r="B150" s="210" t="s">
        <v>1468</v>
      </c>
      <c r="C150" s="211" t="s">
        <v>348</v>
      </c>
      <c r="D150" s="525">
        <v>13.26</v>
      </c>
      <c r="E150" s="210" t="s">
        <v>40</v>
      </c>
      <c r="F150" s="526"/>
      <c r="G150" s="526"/>
      <c r="H150" s="526"/>
    </row>
    <row r="151" spans="1:12" s="105" customFormat="1" ht="35.25" customHeight="1" x14ac:dyDescent="0.25">
      <c r="A151" s="573" t="s">
        <v>100</v>
      </c>
      <c r="B151" s="210" t="s">
        <v>1469</v>
      </c>
      <c r="C151" s="211" t="s">
        <v>443</v>
      </c>
      <c r="D151" s="525">
        <v>17</v>
      </c>
      <c r="E151" s="210" t="s">
        <v>40</v>
      </c>
      <c r="F151" s="526"/>
      <c r="G151" s="526"/>
      <c r="H151" s="526"/>
      <c r="I151" s="560"/>
      <c r="L151" s="559"/>
    </row>
    <row r="152" spans="1:12" s="105" customFormat="1" x14ac:dyDescent="0.25">
      <c r="A152" s="573" t="s">
        <v>1716</v>
      </c>
      <c r="B152" s="210" t="s">
        <v>1470</v>
      </c>
      <c r="C152" s="211" t="s">
        <v>1717</v>
      </c>
      <c r="D152" s="525">
        <v>10</v>
      </c>
      <c r="E152" s="210" t="s">
        <v>244</v>
      </c>
      <c r="F152" s="526"/>
      <c r="G152" s="526"/>
      <c r="H152" s="526"/>
      <c r="J152" s="559"/>
    </row>
    <row r="153" spans="1:12" s="105" customFormat="1" ht="31.5" x14ac:dyDescent="0.25">
      <c r="A153" s="573" t="s">
        <v>1983</v>
      </c>
      <c r="B153" s="210" t="s">
        <v>1471</v>
      </c>
      <c r="C153" s="211" t="s">
        <v>1722</v>
      </c>
      <c r="D153" s="525">
        <f>445</f>
        <v>445</v>
      </c>
      <c r="E153" s="210" t="s">
        <v>40</v>
      </c>
      <c r="F153" s="526"/>
      <c r="G153" s="526"/>
      <c r="H153" s="526"/>
      <c r="J153" s="559"/>
    </row>
    <row r="154" spans="1:12" s="105" customFormat="1" ht="31.5" x14ac:dyDescent="0.25">
      <c r="A154" s="573" t="s">
        <v>120</v>
      </c>
      <c r="B154" s="210" t="s">
        <v>1472</v>
      </c>
      <c r="C154" s="211" t="s">
        <v>238</v>
      </c>
      <c r="D154" s="525">
        <v>190</v>
      </c>
      <c r="E154" s="210" t="s">
        <v>31</v>
      </c>
      <c r="F154" s="526"/>
      <c r="G154" s="526"/>
      <c r="H154" s="526"/>
      <c r="L154" s="559"/>
    </row>
    <row r="155" spans="1:12" s="105" customFormat="1" ht="31.5" x14ac:dyDescent="0.25">
      <c r="A155" s="573" t="s">
        <v>370</v>
      </c>
      <c r="B155" s="210" t="s">
        <v>1473</v>
      </c>
      <c r="C155" s="211" t="s">
        <v>369</v>
      </c>
      <c r="D155" s="525">
        <v>6.5</v>
      </c>
      <c r="E155" s="210" t="s">
        <v>40</v>
      </c>
      <c r="F155" s="526"/>
      <c r="G155" s="526"/>
      <c r="H155" s="526"/>
    </row>
    <row r="156" spans="1:12" s="110" customFormat="1" x14ac:dyDescent="0.25">
      <c r="A156" s="219"/>
      <c r="B156" s="219" t="s">
        <v>1461</v>
      </c>
      <c r="C156" s="576" t="s">
        <v>141</v>
      </c>
      <c r="D156" s="217"/>
      <c r="E156" s="219"/>
      <c r="F156" s="221"/>
      <c r="G156" s="221"/>
      <c r="H156" s="221"/>
      <c r="J156" s="119"/>
      <c r="K156" s="34"/>
    </row>
    <row r="157" spans="1:12" s="105" customFormat="1" ht="31.5" x14ac:dyDescent="0.25">
      <c r="A157" s="573" t="s">
        <v>49</v>
      </c>
      <c r="B157" s="210" t="s">
        <v>1474</v>
      </c>
      <c r="C157" s="211" t="s">
        <v>430</v>
      </c>
      <c r="D157" s="525">
        <v>53</v>
      </c>
      <c r="E157" s="210" t="s">
        <v>40</v>
      </c>
      <c r="F157" s="526"/>
      <c r="G157" s="526"/>
      <c r="H157" s="526"/>
    </row>
    <row r="158" spans="1:12" s="539" customFormat="1" ht="31.5" x14ac:dyDescent="0.25">
      <c r="A158" s="573" t="s">
        <v>210</v>
      </c>
      <c r="B158" s="210" t="s">
        <v>1475</v>
      </c>
      <c r="C158" s="211" t="s">
        <v>431</v>
      </c>
      <c r="D158" s="525">
        <v>1374</v>
      </c>
      <c r="E158" s="210" t="s">
        <v>40</v>
      </c>
      <c r="F158" s="526"/>
      <c r="G158" s="526"/>
      <c r="H158" s="526"/>
      <c r="K158" s="105"/>
    </row>
    <row r="159" spans="1:12" s="539" customFormat="1" x14ac:dyDescent="0.25">
      <c r="A159" s="573" t="s">
        <v>211</v>
      </c>
      <c r="B159" s="210" t="s">
        <v>1476</v>
      </c>
      <c r="C159" s="211" t="s">
        <v>212</v>
      </c>
      <c r="D159" s="525">
        <v>173</v>
      </c>
      <c r="E159" s="210" t="s">
        <v>40</v>
      </c>
      <c r="F159" s="526"/>
      <c r="G159" s="526"/>
      <c r="H159" s="526"/>
      <c r="K159" s="105"/>
    </row>
    <row r="160" spans="1:12" s="539" customFormat="1" ht="31.5" x14ac:dyDescent="0.25">
      <c r="A160" s="573" t="s">
        <v>313</v>
      </c>
      <c r="B160" s="210" t="s">
        <v>1477</v>
      </c>
      <c r="C160" s="211" t="s">
        <v>435</v>
      </c>
      <c r="D160" s="525">
        <v>1374</v>
      </c>
      <c r="E160" s="210" t="s">
        <v>40</v>
      </c>
      <c r="F160" s="526"/>
      <c r="G160" s="526"/>
      <c r="H160" s="526"/>
      <c r="K160" s="105"/>
    </row>
    <row r="161" spans="1:12" s="539" customFormat="1" ht="34.5" customHeight="1" x14ac:dyDescent="0.25">
      <c r="A161" s="573" t="s">
        <v>432</v>
      </c>
      <c r="B161" s="210" t="s">
        <v>1478</v>
      </c>
      <c r="C161" s="211" t="s">
        <v>433</v>
      </c>
      <c r="D161" s="525">
        <v>173</v>
      </c>
      <c r="E161" s="210" t="s">
        <v>40</v>
      </c>
      <c r="F161" s="526"/>
      <c r="G161" s="526"/>
      <c r="H161" s="526"/>
      <c r="I161" s="560"/>
      <c r="K161" s="105"/>
    </row>
    <row r="162" spans="1:12" s="108" customFormat="1" x14ac:dyDescent="0.25">
      <c r="A162" s="212"/>
      <c r="B162" s="212">
        <v>12</v>
      </c>
      <c r="C162" s="213" t="s">
        <v>57</v>
      </c>
      <c r="D162" s="205"/>
      <c r="E162" s="212"/>
      <c r="F162" s="214"/>
      <c r="G162" s="214"/>
      <c r="H162" s="214">
        <f>ROUND(SUM(H164:H181),2)</f>
        <v>0</v>
      </c>
      <c r="I162" s="459"/>
      <c r="K162" s="34"/>
    </row>
    <row r="163" spans="1:12" s="110" customFormat="1" x14ac:dyDescent="0.25">
      <c r="A163" s="219"/>
      <c r="B163" s="219" t="s">
        <v>1479</v>
      </c>
      <c r="C163" s="576" t="s">
        <v>58</v>
      </c>
      <c r="D163" s="217"/>
      <c r="E163" s="219"/>
      <c r="F163" s="221"/>
      <c r="G163" s="221"/>
      <c r="H163" s="221"/>
      <c r="K163" s="34"/>
      <c r="L163" s="119"/>
    </row>
    <row r="164" spans="1:12" s="105" customFormat="1" ht="31.5" x14ac:dyDescent="0.25">
      <c r="A164" s="573" t="s">
        <v>66</v>
      </c>
      <c r="B164" s="210" t="s">
        <v>1483</v>
      </c>
      <c r="C164" s="211" t="s">
        <v>59</v>
      </c>
      <c r="D164" s="525">
        <v>462</v>
      </c>
      <c r="E164" s="210" t="s">
        <v>40</v>
      </c>
      <c r="F164" s="526"/>
      <c r="G164" s="526"/>
      <c r="H164" s="526"/>
      <c r="J164" s="559"/>
    </row>
    <row r="165" spans="1:12" s="105" customFormat="1" ht="31.5" x14ac:dyDescent="0.25">
      <c r="A165" s="573" t="s">
        <v>60</v>
      </c>
      <c r="B165" s="210" t="s">
        <v>1484</v>
      </c>
      <c r="C165" s="211" t="s">
        <v>61</v>
      </c>
      <c r="D165" s="525">
        <v>490</v>
      </c>
      <c r="E165" s="210" t="s">
        <v>40</v>
      </c>
      <c r="F165" s="526"/>
      <c r="G165" s="526"/>
      <c r="H165" s="526"/>
    </row>
    <row r="166" spans="1:12" s="105" customFormat="1" ht="31.5" x14ac:dyDescent="0.25">
      <c r="A166" s="573" t="s">
        <v>62</v>
      </c>
      <c r="B166" s="210" t="s">
        <v>1485</v>
      </c>
      <c r="C166" s="211" t="s">
        <v>63</v>
      </c>
      <c r="D166" s="525">
        <v>462</v>
      </c>
      <c r="E166" s="210" t="s">
        <v>40</v>
      </c>
      <c r="F166" s="526"/>
      <c r="G166" s="526"/>
      <c r="H166" s="526"/>
    </row>
    <row r="167" spans="1:12" s="105" customFormat="1" ht="31.5" x14ac:dyDescent="0.25">
      <c r="A167" s="573" t="s">
        <v>64</v>
      </c>
      <c r="B167" s="210" t="s">
        <v>1486</v>
      </c>
      <c r="C167" s="211" t="s">
        <v>213</v>
      </c>
      <c r="D167" s="525">
        <v>490</v>
      </c>
      <c r="E167" s="210" t="s">
        <v>40</v>
      </c>
      <c r="F167" s="526"/>
      <c r="G167" s="526"/>
      <c r="H167" s="526"/>
    </row>
    <row r="168" spans="1:12" s="110" customFormat="1" x14ac:dyDescent="0.25">
      <c r="A168" s="219"/>
      <c r="B168" s="219" t="s">
        <v>1480</v>
      </c>
      <c r="C168" s="576" t="s">
        <v>65</v>
      </c>
      <c r="D168" s="217"/>
      <c r="E168" s="219"/>
      <c r="F168" s="221"/>
      <c r="G168" s="221"/>
      <c r="H168" s="221"/>
    </row>
    <row r="169" spans="1:12" s="539" customFormat="1" ht="31.5" x14ac:dyDescent="0.25">
      <c r="A169" s="573" t="s">
        <v>66</v>
      </c>
      <c r="B169" s="210" t="s">
        <v>1487</v>
      </c>
      <c r="C169" s="211" t="s">
        <v>441</v>
      </c>
      <c r="D169" s="525">
        <v>1374</v>
      </c>
      <c r="E169" s="210" t="s">
        <v>40</v>
      </c>
      <c r="F169" s="526"/>
      <c r="G169" s="526"/>
      <c r="H169" s="526"/>
      <c r="J169" s="561"/>
      <c r="K169" s="561"/>
      <c r="L169" s="561"/>
    </row>
    <row r="170" spans="1:12" s="539" customFormat="1" ht="31.5" x14ac:dyDescent="0.25">
      <c r="A170" s="573" t="s">
        <v>60</v>
      </c>
      <c r="B170" s="210" t="s">
        <v>1488</v>
      </c>
      <c r="C170" s="211" t="s">
        <v>61</v>
      </c>
      <c r="D170" s="525">
        <v>173</v>
      </c>
      <c r="E170" s="210" t="s">
        <v>40</v>
      </c>
      <c r="F170" s="526"/>
      <c r="G170" s="526"/>
      <c r="H170" s="526"/>
    </row>
    <row r="171" spans="1:12" s="539" customFormat="1" ht="31.5" x14ac:dyDescent="0.25">
      <c r="A171" s="573" t="s">
        <v>62</v>
      </c>
      <c r="B171" s="210" t="s">
        <v>1489</v>
      </c>
      <c r="C171" s="211" t="s">
        <v>440</v>
      </c>
      <c r="D171" s="525">
        <v>1374</v>
      </c>
      <c r="E171" s="210" t="s">
        <v>40</v>
      </c>
      <c r="F171" s="526"/>
      <c r="G171" s="526"/>
      <c r="H171" s="526"/>
    </row>
    <row r="172" spans="1:12" s="539" customFormat="1" ht="31.5" x14ac:dyDescent="0.25">
      <c r="A172" s="573" t="s">
        <v>64</v>
      </c>
      <c r="B172" s="210" t="s">
        <v>1490</v>
      </c>
      <c r="C172" s="211" t="s">
        <v>213</v>
      </c>
      <c r="D172" s="525">
        <v>173</v>
      </c>
      <c r="E172" s="210" t="s">
        <v>40</v>
      </c>
      <c r="F172" s="526"/>
      <c r="G172" s="526"/>
      <c r="H172" s="526"/>
    </row>
    <row r="173" spans="1:12" s="105" customFormat="1" ht="31.5" x14ac:dyDescent="0.25">
      <c r="A173" s="573" t="s">
        <v>1719</v>
      </c>
      <c r="B173" s="210" t="s">
        <v>1491</v>
      </c>
      <c r="C173" s="211" t="s">
        <v>1718</v>
      </c>
      <c r="D173" s="525">
        <v>50</v>
      </c>
      <c r="E173" s="210" t="s">
        <v>40</v>
      </c>
      <c r="F173" s="526"/>
      <c r="G173" s="526"/>
      <c r="H173" s="526"/>
    </row>
    <row r="174" spans="1:12" s="110" customFormat="1" x14ac:dyDescent="0.25">
      <c r="A174" s="219"/>
      <c r="B174" s="219" t="s">
        <v>1481</v>
      </c>
      <c r="C174" s="576" t="s">
        <v>67</v>
      </c>
      <c r="D174" s="217"/>
      <c r="E174" s="219"/>
      <c r="F174" s="221"/>
      <c r="G174" s="221"/>
      <c r="H174" s="221"/>
    </row>
    <row r="175" spans="1:12" s="105" customFormat="1" ht="31.5" x14ac:dyDescent="0.25">
      <c r="A175" s="573" t="s">
        <v>49</v>
      </c>
      <c r="B175" s="210" t="s">
        <v>1492</v>
      </c>
      <c r="C175" s="211" t="s">
        <v>311</v>
      </c>
      <c r="D175" s="525">
        <f>1.2*2.1*2+1.3*2.1*2</f>
        <v>10.5</v>
      </c>
      <c r="E175" s="210" t="s">
        <v>40</v>
      </c>
      <c r="F175" s="526"/>
      <c r="G175" s="526"/>
      <c r="H175" s="526"/>
    </row>
    <row r="176" spans="1:12" s="105" customFormat="1" ht="31.5" x14ac:dyDescent="0.25">
      <c r="A176" s="573" t="s">
        <v>1720</v>
      </c>
      <c r="B176" s="210" t="s">
        <v>1493</v>
      </c>
      <c r="C176" s="211" t="s">
        <v>204</v>
      </c>
      <c r="D176" s="525">
        <f>1.2*2.1*2+1.3*2.1*2</f>
        <v>10.5</v>
      </c>
      <c r="E176" s="210" t="s">
        <v>40</v>
      </c>
      <c r="F176" s="526"/>
      <c r="G176" s="526"/>
      <c r="H176" s="526"/>
    </row>
    <row r="177" spans="1:9" s="105" customFormat="1" x14ac:dyDescent="0.25">
      <c r="A177" s="573" t="s">
        <v>1721</v>
      </c>
      <c r="B177" s="210" t="s">
        <v>1494</v>
      </c>
      <c r="C177" s="211" t="s">
        <v>2016</v>
      </c>
      <c r="D177" s="525">
        <v>120</v>
      </c>
      <c r="E177" s="210" t="s">
        <v>40</v>
      </c>
      <c r="F177" s="526"/>
      <c r="G177" s="526"/>
      <c r="H177" s="526"/>
    </row>
    <row r="178" spans="1:9" s="105" customFormat="1" ht="31.5" x14ac:dyDescent="0.25">
      <c r="A178" s="573" t="s">
        <v>1985</v>
      </c>
      <c r="B178" s="210" t="s">
        <v>1495</v>
      </c>
      <c r="C178" s="211" t="s">
        <v>1459</v>
      </c>
      <c r="D178" s="525">
        <v>120</v>
      </c>
      <c r="E178" s="210" t="s">
        <v>40</v>
      </c>
      <c r="F178" s="526"/>
      <c r="G178" s="526"/>
      <c r="H178" s="526"/>
    </row>
    <row r="179" spans="1:9" s="105" customFormat="1" ht="47.25" x14ac:dyDescent="0.25">
      <c r="A179" s="573" t="s">
        <v>1997</v>
      </c>
      <c r="B179" s="210" t="s">
        <v>2017</v>
      </c>
      <c r="C179" s="563" t="s">
        <v>2015</v>
      </c>
      <c r="D179" s="525">
        <v>120</v>
      </c>
      <c r="E179" s="210" t="s">
        <v>40</v>
      </c>
      <c r="F179" s="526"/>
      <c r="G179" s="526"/>
      <c r="H179" s="526"/>
    </row>
    <row r="180" spans="1:9" s="110" customFormat="1" x14ac:dyDescent="0.25">
      <c r="A180" s="219"/>
      <c r="B180" s="219" t="s">
        <v>1482</v>
      </c>
      <c r="C180" s="220" t="s">
        <v>68</v>
      </c>
      <c r="D180" s="217"/>
      <c r="E180" s="219"/>
      <c r="F180" s="221"/>
      <c r="G180" s="221"/>
      <c r="H180" s="221"/>
    </row>
    <row r="181" spans="1:9" s="105" customFormat="1" ht="47.25" x14ac:dyDescent="0.25">
      <c r="A181" s="571" t="s">
        <v>1986</v>
      </c>
      <c r="B181" s="210" t="s">
        <v>1496</v>
      </c>
      <c r="C181" s="211" t="s">
        <v>434</v>
      </c>
      <c r="D181" s="525">
        <v>32</v>
      </c>
      <c r="E181" s="210" t="s">
        <v>40</v>
      </c>
      <c r="F181" s="526"/>
      <c r="G181" s="526"/>
      <c r="H181" s="526"/>
    </row>
    <row r="182" spans="1:9" s="108" customFormat="1" x14ac:dyDescent="0.25">
      <c r="A182" s="212"/>
      <c r="B182" s="212">
        <v>13</v>
      </c>
      <c r="C182" s="213" t="s">
        <v>69</v>
      </c>
      <c r="D182" s="205"/>
      <c r="E182" s="212"/>
      <c r="F182" s="214"/>
      <c r="G182" s="214"/>
      <c r="H182" s="214">
        <f>ROUND(SUM(H184:H211),2)</f>
        <v>0</v>
      </c>
      <c r="I182" s="459"/>
    </row>
    <row r="183" spans="1:9" s="34" customFormat="1" x14ac:dyDescent="0.25">
      <c r="A183" s="219"/>
      <c r="B183" s="219" t="s">
        <v>1497</v>
      </c>
      <c r="C183" s="220" t="s">
        <v>71</v>
      </c>
      <c r="D183" s="217"/>
      <c r="E183" s="219"/>
      <c r="F183" s="221"/>
      <c r="G183" s="221"/>
      <c r="H183" s="221"/>
      <c r="I183" s="110"/>
    </row>
    <row r="184" spans="1:9" s="105" customFormat="1" x14ac:dyDescent="0.25">
      <c r="A184" s="573" t="s">
        <v>1724</v>
      </c>
      <c r="B184" s="210" t="s">
        <v>1498</v>
      </c>
      <c r="C184" s="211" t="s">
        <v>297</v>
      </c>
      <c r="D184" s="525">
        <f>0.11+237.81*0.05</f>
        <v>12.000500000000001</v>
      </c>
      <c r="E184" s="210" t="s">
        <v>41</v>
      </c>
      <c r="F184" s="526"/>
      <c r="G184" s="526"/>
      <c r="H184" s="526"/>
    </row>
    <row r="185" spans="1:9" s="105" customFormat="1" x14ac:dyDescent="0.25">
      <c r="A185" s="573" t="s">
        <v>1723</v>
      </c>
      <c r="B185" s="210" t="s">
        <v>1499</v>
      </c>
      <c r="C185" s="211" t="s">
        <v>301</v>
      </c>
      <c r="D185" s="525">
        <f>19.5*0.1</f>
        <v>1.9500000000000002</v>
      </c>
      <c r="E185" s="210" t="s">
        <v>41</v>
      </c>
      <c r="F185" s="526"/>
      <c r="G185" s="526"/>
      <c r="H185" s="526"/>
    </row>
    <row r="186" spans="1:9" s="105" customFormat="1" ht="31.5" x14ac:dyDescent="0.25">
      <c r="A186" s="573" t="s">
        <v>241</v>
      </c>
      <c r="B186" s="210" t="s">
        <v>1500</v>
      </c>
      <c r="C186" s="211" t="s">
        <v>303</v>
      </c>
      <c r="D186" s="525">
        <v>259.06</v>
      </c>
      <c r="E186" s="210" t="s">
        <v>53</v>
      </c>
      <c r="F186" s="526"/>
      <c r="G186" s="526"/>
      <c r="H186" s="526"/>
    </row>
    <row r="187" spans="1:9" s="105" customFormat="1" ht="31.5" x14ac:dyDescent="0.25">
      <c r="A187" s="571" t="s">
        <v>49</v>
      </c>
      <c r="B187" s="210" t="s">
        <v>1501</v>
      </c>
      <c r="C187" s="211" t="s">
        <v>382</v>
      </c>
      <c r="D187" s="525">
        <f>259.06*0.1</f>
        <v>25.906000000000002</v>
      </c>
      <c r="E187" s="210" t="s">
        <v>41</v>
      </c>
      <c r="F187" s="526"/>
      <c r="G187" s="526"/>
      <c r="H187" s="526"/>
    </row>
    <row r="188" spans="1:9" s="105" customFormat="1" x14ac:dyDescent="0.25">
      <c r="A188" s="571" t="s">
        <v>100</v>
      </c>
      <c r="B188" s="210" t="s">
        <v>1502</v>
      </c>
      <c r="C188" s="211" t="s">
        <v>380</v>
      </c>
      <c r="D188" s="525">
        <f>259.06*0.16</f>
        <v>41.449600000000004</v>
      </c>
      <c r="E188" s="210" t="s">
        <v>41</v>
      </c>
      <c r="F188" s="526"/>
      <c r="G188" s="526"/>
      <c r="H188" s="526"/>
    </row>
    <row r="189" spans="1:9" s="105" customFormat="1" ht="31.5" x14ac:dyDescent="0.25">
      <c r="A189" s="571" t="s">
        <v>120</v>
      </c>
      <c r="B189" s="210" t="s">
        <v>1503</v>
      </c>
      <c r="C189" s="211" t="s">
        <v>381</v>
      </c>
      <c r="D189" s="525">
        <f>259.06*0.2</f>
        <v>51.812000000000005</v>
      </c>
      <c r="E189" s="210" t="s">
        <v>41</v>
      </c>
      <c r="F189" s="526"/>
      <c r="G189" s="526"/>
      <c r="H189" s="526"/>
    </row>
    <row r="190" spans="1:9" s="105" customFormat="1" ht="47.25" x14ac:dyDescent="0.25">
      <c r="A190" s="573" t="s">
        <v>239</v>
      </c>
      <c r="B190" s="210" t="s">
        <v>1504</v>
      </c>
      <c r="C190" s="211" t="s">
        <v>304</v>
      </c>
      <c r="D190" s="525">
        <v>104.8</v>
      </c>
      <c r="E190" s="210" t="s">
        <v>53</v>
      </c>
      <c r="F190" s="526"/>
      <c r="G190" s="526"/>
      <c r="H190" s="526"/>
    </row>
    <row r="191" spans="1:9" s="105" customFormat="1" x14ac:dyDescent="0.25">
      <c r="A191" s="573" t="s">
        <v>300</v>
      </c>
      <c r="B191" s="210" t="s">
        <v>1505</v>
      </c>
      <c r="C191" s="211" t="s">
        <v>299</v>
      </c>
      <c r="D191" s="525">
        <f>237.81*0.1</f>
        <v>23.781000000000002</v>
      </c>
      <c r="E191" s="210" t="s">
        <v>41</v>
      </c>
      <c r="F191" s="526"/>
      <c r="G191" s="526"/>
      <c r="H191" s="526"/>
    </row>
    <row r="192" spans="1:9" s="105" customFormat="1" ht="47.25" x14ac:dyDescent="0.25">
      <c r="A192" s="573" t="s">
        <v>139</v>
      </c>
      <c r="B192" s="210" t="s">
        <v>1506</v>
      </c>
      <c r="C192" s="211" t="s">
        <v>411</v>
      </c>
      <c r="D192" s="525">
        <v>20</v>
      </c>
      <c r="E192" s="210" t="s">
        <v>53</v>
      </c>
      <c r="F192" s="526"/>
      <c r="G192" s="526"/>
      <c r="H192" s="526"/>
    </row>
    <row r="193" spans="1:9" s="105" customFormat="1" ht="31.5" x14ac:dyDescent="0.25">
      <c r="A193" s="573" t="s">
        <v>133</v>
      </c>
      <c r="B193" s="210" t="s">
        <v>1507</v>
      </c>
      <c r="C193" s="211" t="s">
        <v>305</v>
      </c>
      <c r="D193" s="525">
        <v>30</v>
      </c>
      <c r="E193" s="210" t="s">
        <v>53</v>
      </c>
      <c r="F193" s="526"/>
      <c r="G193" s="526"/>
      <c r="H193" s="526"/>
    </row>
    <row r="194" spans="1:9" s="105" customFormat="1" x14ac:dyDescent="0.25">
      <c r="A194" s="573" t="s">
        <v>240</v>
      </c>
      <c r="B194" s="210" t="s">
        <v>1508</v>
      </c>
      <c r="C194" s="211" t="s">
        <v>401</v>
      </c>
      <c r="D194" s="525">
        <v>400</v>
      </c>
      <c r="E194" s="210" t="s">
        <v>53</v>
      </c>
      <c r="F194" s="526"/>
      <c r="G194" s="526"/>
      <c r="H194" s="526"/>
    </row>
    <row r="195" spans="1:9" s="105" customFormat="1" x14ac:dyDescent="0.25">
      <c r="A195" s="573" t="s">
        <v>399</v>
      </c>
      <c r="B195" s="210" t="s">
        <v>1509</v>
      </c>
      <c r="C195" s="211" t="s">
        <v>400</v>
      </c>
      <c r="D195" s="525">
        <v>40</v>
      </c>
      <c r="E195" s="210" t="s">
        <v>53</v>
      </c>
      <c r="F195" s="526"/>
      <c r="G195" s="526"/>
      <c r="H195" s="526"/>
    </row>
    <row r="196" spans="1:9" s="105" customFormat="1" ht="32.25" customHeight="1" x14ac:dyDescent="0.25">
      <c r="A196" s="573" t="s">
        <v>306</v>
      </c>
      <c r="B196" s="210" t="s">
        <v>1510</v>
      </c>
      <c r="C196" s="211" t="s">
        <v>307</v>
      </c>
      <c r="D196" s="525">
        <f>253.56-19</f>
        <v>234.56</v>
      </c>
      <c r="E196" s="210" t="s">
        <v>73</v>
      </c>
      <c r="F196" s="526"/>
      <c r="G196" s="526"/>
      <c r="H196" s="526"/>
    </row>
    <row r="197" spans="1:9" s="105" customFormat="1" ht="47.25" x14ac:dyDescent="0.25">
      <c r="A197" s="573" t="s">
        <v>375</v>
      </c>
      <c r="B197" s="210" t="s">
        <v>1511</v>
      </c>
      <c r="C197" s="211" t="s">
        <v>376</v>
      </c>
      <c r="D197" s="525">
        <v>16</v>
      </c>
      <c r="E197" s="210" t="s">
        <v>73</v>
      </c>
      <c r="F197" s="526"/>
      <c r="G197" s="526"/>
      <c r="H197" s="526"/>
    </row>
    <row r="198" spans="1:9" s="105" customFormat="1" x14ac:dyDescent="0.25">
      <c r="A198" s="573" t="s">
        <v>1757</v>
      </c>
      <c r="B198" s="210" t="s">
        <v>1512</v>
      </c>
      <c r="C198" s="211" t="s">
        <v>1756</v>
      </c>
      <c r="D198" s="525">
        <v>20</v>
      </c>
      <c r="E198" s="210" t="s">
        <v>53</v>
      </c>
      <c r="F198" s="526"/>
      <c r="G198" s="526"/>
      <c r="H198" s="526"/>
    </row>
    <row r="199" spans="1:9" s="110" customFormat="1" x14ac:dyDescent="0.25">
      <c r="A199" s="219"/>
      <c r="B199" s="219" t="s">
        <v>1513</v>
      </c>
      <c r="C199" s="220" t="s">
        <v>70</v>
      </c>
      <c r="D199" s="217"/>
      <c r="E199" s="219"/>
      <c r="F199" s="221"/>
      <c r="G199" s="221"/>
      <c r="H199" s="221"/>
    </row>
    <row r="200" spans="1:9" s="105" customFormat="1" x14ac:dyDescent="0.25">
      <c r="A200" s="573" t="s">
        <v>1723</v>
      </c>
      <c r="B200" s="210" t="s">
        <v>1515</v>
      </c>
      <c r="C200" s="211" t="s">
        <v>302</v>
      </c>
      <c r="D200" s="525">
        <f>472.2*0.08</f>
        <v>37.776000000000003</v>
      </c>
      <c r="E200" s="210" t="s">
        <v>41</v>
      </c>
      <c r="F200" s="526"/>
      <c r="G200" s="526"/>
      <c r="H200" s="526"/>
    </row>
    <row r="201" spans="1:9" s="105" customFormat="1" ht="31.5" x14ac:dyDescent="0.25">
      <c r="A201" s="573" t="s">
        <v>134</v>
      </c>
      <c r="B201" s="210" t="s">
        <v>1516</v>
      </c>
      <c r="C201" s="211" t="s">
        <v>374</v>
      </c>
      <c r="D201" s="525">
        <f>472.2*0.08</f>
        <v>37.776000000000003</v>
      </c>
      <c r="E201" s="210" t="s">
        <v>41</v>
      </c>
      <c r="F201" s="526"/>
      <c r="G201" s="526"/>
      <c r="H201" s="526"/>
    </row>
    <row r="202" spans="1:9" s="105" customFormat="1" ht="31.5" x14ac:dyDescent="0.25">
      <c r="A202" s="573" t="s">
        <v>371</v>
      </c>
      <c r="B202" s="210" t="s">
        <v>1517</v>
      </c>
      <c r="C202" s="211" t="s">
        <v>372</v>
      </c>
      <c r="D202" s="525">
        <f>472.2</f>
        <v>472.2</v>
      </c>
      <c r="E202" s="210" t="s">
        <v>53</v>
      </c>
      <c r="F202" s="526"/>
      <c r="G202" s="526"/>
      <c r="H202" s="526"/>
    </row>
    <row r="203" spans="1:9" s="539" customFormat="1" ht="47.25" customHeight="1" x14ac:dyDescent="0.25">
      <c r="A203" s="573" t="s">
        <v>135</v>
      </c>
      <c r="B203" s="210" t="s">
        <v>1518</v>
      </c>
      <c r="C203" s="211" t="s">
        <v>410</v>
      </c>
      <c r="D203" s="525">
        <v>361.11</v>
      </c>
      <c r="E203" s="210" t="s">
        <v>53</v>
      </c>
      <c r="F203" s="526"/>
      <c r="G203" s="526"/>
      <c r="H203" s="526"/>
      <c r="I203" s="105"/>
    </row>
    <row r="204" spans="1:9" s="539" customFormat="1" ht="47.25" customHeight="1" x14ac:dyDescent="0.25">
      <c r="A204" s="573" t="s">
        <v>452</v>
      </c>
      <c r="B204" s="210" t="s">
        <v>1519</v>
      </c>
      <c r="C204" s="211" t="s">
        <v>402</v>
      </c>
      <c r="D204" s="525">
        <v>176.17</v>
      </c>
      <c r="E204" s="210" t="s">
        <v>53</v>
      </c>
      <c r="F204" s="526"/>
      <c r="G204" s="526"/>
      <c r="H204" s="526"/>
      <c r="I204" s="105"/>
    </row>
    <row r="205" spans="1:9" s="105" customFormat="1" ht="31.5" x14ac:dyDescent="0.25">
      <c r="A205" s="573" t="s">
        <v>137</v>
      </c>
      <c r="B205" s="210" t="s">
        <v>1520</v>
      </c>
      <c r="C205" s="211" t="s">
        <v>205</v>
      </c>
      <c r="D205" s="525">
        <v>2.5</v>
      </c>
      <c r="E205" s="210" t="s">
        <v>53</v>
      </c>
      <c r="F205" s="526"/>
      <c r="G205" s="526"/>
      <c r="H205" s="526"/>
    </row>
    <row r="206" spans="1:9" s="110" customFormat="1" x14ac:dyDescent="0.25">
      <c r="A206" s="219"/>
      <c r="B206" s="219" t="s">
        <v>1514</v>
      </c>
      <c r="C206" s="220" t="s">
        <v>72</v>
      </c>
      <c r="D206" s="217"/>
      <c r="E206" s="219"/>
      <c r="F206" s="221"/>
      <c r="G206" s="221"/>
      <c r="H206" s="221"/>
    </row>
    <row r="207" spans="1:9" s="105" customFormat="1" ht="31.5" x14ac:dyDescent="0.25">
      <c r="A207" s="573" t="s">
        <v>138</v>
      </c>
      <c r="B207" s="210" t="s">
        <v>1521</v>
      </c>
      <c r="C207" s="211" t="s">
        <v>358</v>
      </c>
      <c r="D207" s="525">
        <v>65</v>
      </c>
      <c r="E207" s="210" t="s">
        <v>73</v>
      </c>
      <c r="F207" s="526"/>
      <c r="G207" s="526"/>
      <c r="H207" s="526"/>
    </row>
    <row r="208" spans="1:9" s="105" customFormat="1" ht="47.25" x14ac:dyDescent="0.25">
      <c r="A208" s="573" t="s">
        <v>237</v>
      </c>
      <c r="B208" s="210" t="s">
        <v>1522</v>
      </c>
      <c r="C208" s="211" t="s">
        <v>416</v>
      </c>
      <c r="D208" s="525">
        <v>74</v>
      </c>
      <c r="E208" s="210" t="s">
        <v>73</v>
      </c>
      <c r="F208" s="526"/>
      <c r="G208" s="526"/>
      <c r="H208" s="526"/>
    </row>
    <row r="209" spans="1:9" s="539" customFormat="1" ht="47.25" x14ac:dyDescent="0.25">
      <c r="A209" s="573" t="s">
        <v>237</v>
      </c>
      <c r="B209" s="210" t="s">
        <v>1523</v>
      </c>
      <c r="C209" s="211" t="s">
        <v>417</v>
      </c>
      <c r="D209" s="525">
        <v>143</v>
      </c>
      <c r="E209" s="210" t="s">
        <v>73</v>
      </c>
      <c r="F209" s="526"/>
      <c r="G209" s="526"/>
      <c r="H209" s="526"/>
      <c r="I209" s="105"/>
    </row>
    <row r="210" spans="1:9" s="105" customFormat="1" ht="31.5" x14ac:dyDescent="0.25">
      <c r="A210" s="573" t="s">
        <v>138</v>
      </c>
      <c r="B210" s="210" t="s">
        <v>1524</v>
      </c>
      <c r="C210" s="211" t="s">
        <v>412</v>
      </c>
      <c r="D210" s="525">
        <v>2.5</v>
      </c>
      <c r="E210" s="210" t="s">
        <v>73</v>
      </c>
      <c r="F210" s="526"/>
      <c r="G210" s="526"/>
      <c r="H210" s="526"/>
    </row>
    <row r="211" spans="1:9" s="105" customFormat="1" ht="31.5" x14ac:dyDescent="0.25">
      <c r="A211" s="573" t="s">
        <v>460</v>
      </c>
      <c r="B211" s="210" t="s">
        <v>1525</v>
      </c>
      <c r="C211" s="211" t="s">
        <v>413</v>
      </c>
      <c r="D211" s="525">
        <f>0.27*22</f>
        <v>5.94</v>
      </c>
      <c r="E211" s="210" t="s">
        <v>53</v>
      </c>
      <c r="F211" s="526"/>
      <c r="G211" s="526"/>
      <c r="H211" s="526"/>
    </row>
    <row r="212" spans="1:9" s="108" customFormat="1" x14ac:dyDescent="0.25">
      <c r="A212" s="212"/>
      <c r="B212" s="212">
        <v>14</v>
      </c>
      <c r="C212" s="213" t="s">
        <v>74</v>
      </c>
      <c r="D212" s="205"/>
      <c r="E212" s="212"/>
      <c r="F212" s="214"/>
      <c r="G212" s="214"/>
      <c r="H212" s="214">
        <f>ROUND(SUM(H213:H298),2)</f>
        <v>0</v>
      </c>
      <c r="I212" s="459"/>
    </row>
    <row r="213" spans="1:9" s="110" customFormat="1" x14ac:dyDescent="0.25">
      <c r="A213" s="219"/>
      <c r="B213" s="219" t="s">
        <v>996</v>
      </c>
      <c r="C213" s="220" t="s">
        <v>185</v>
      </c>
      <c r="D213" s="217"/>
      <c r="E213" s="219"/>
      <c r="F213" s="221"/>
      <c r="G213" s="221"/>
      <c r="H213" s="221"/>
      <c r="I213" s="163"/>
    </row>
    <row r="214" spans="1:9" s="105" customFormat="1" ht="31.5" x14ac:dyDescent="0.25">
      <c r="A214" s="573" t="s">
        <v>1761</v>
      </c>
      <c r="B214" s="210" t="s">
        <v>1526</v>
      </c>
      <c r="C214" s="211" t="s">
        <v>909</v>
      </c>
      <c r="D214" s="525">
        <v>59.81</v>
      </c>
      <c r="E214" s="210" t="s">
        <v>73</v>
      </c>
      <c r="F214" s="526"/>
      <c r="G214" s="526"/>
      <c r="H214" s="526"/>
      <c r="I214" s="540"/>
    </row>
    <row r="215" spans="1:9" s="105" customFormat="1" ht="31.5" x14ac:dyDescent="0.25">
      <c r="A215" s="573" t="s">
        <v>1762</v>
      </c>
      <c r="B215" s="210" t="s">
        <v>1527</v>
      </c>
      <c r="C215" s="211" t="s">
        <v>910</v>
      </c>
      <c r="D215" s="525">
        <v>15.5</v>
      </c>
      <c r="E215" s="210" t="s">
        <v>73</v>
      </c>
      <c r="F215" s="526"/>
      <c r="G215" s="526"/>
      <c r="H215" s="526"/>
    </row>
    <row r="216" spans="1:9" s="105" customFormat="1" ht="31.5" x14ac:dyDescent="0.25">
      <c r="A216" s="573" t="s">
        <v>1763</v>
      </c>
      <c r="B216" s="210" t="s">
        <v>1528</v>
      </c>
      <c r="C216" s="211" t="s">
        <v>911</v>
      </c>
      <c r="D216" s="525">
        <v>8</v>
      </c>
      <c r="E216" s="210" t="s">
        <v>73</v>
      </c>
      <c r="F216" s="526"/>
      <c r="G216" s="526"/>
      <c r="H216" s="526"/>
    </row>
    <row r="217" spans="1:9" s="105" customFormat="1" x14ac:dyDescent="0.25">
      <c r="A217" s="573" t="s">
        <v>709</v>
      </c>
      <c r="B217" s="210" t="s">
        <v>1529</v>
      </c>
      <c r="C217" s="211" t="s">
        <v>1782</v>
      </c>
      <c r="D217" s="525">
        <v>11.69</v>
      </c>
      <c r="E217" s="210" t="s">
        <v>73</v>
      </c>
      <c r="F217" s="526"/>
      <c r="G217" s="526"/>
      <c r="H217" s="526"/>
    </row>
    <row r="218" spans="1:9" s="105" customFormat="1" x14ac:dyDescent="0.25">
      <c r="A218" s="573" t="s">
        <v>686</v>
      </c>
      <c r="B218" s="210" t="s">
        <v>1530</v>
      </c>
      <c r="C218" s="211" t="s">
        <v>1783</v>
      </c>
      <c r="D218" s="525">
        <v>61.32</v>
      </c>
      <c r="E218" s="210" t="s">
        <v>73</v>
      </c>
      <c r="F218" s="526"/>
      <c r="G218" s="526"/>
      <c r="H218" s="526"/>
    </row>
    <row r="219" spans="1:9" s="105" customFormat="1" x14ac:dyDescent="0.25">
      <c r="A219" s="573" t="s">
        <v>691</v>
      </c>
      <c r="B219" s="210" t="s">
        <v>1531</v>
      </c>
      <c r="C219" s="211" t="s">
        <v>1784</v>
      </c>
      <c r="D219" s="525">
        <v>53</v>
      </c>
      <c r="E219" s="210" t="s">
        <v>73</v>
      </c>
      <c r="F219" s="526"/>
      <c r="G219" s="526"/>
      <c r="H219" s="526"/>
    </row>
    <row r="220" spans="1:9" s="105" customFormat="1" ht="15.75" customHeight="1" x14ac:dyDescent="0.25">
      <c r="A220" s="573" t="s">
        <v>692</v>
      </c>
      <c r="B220" s="210" t="s">
        <v>1532</v>
      </c>
      <c r="C220" s="211" t="s">
        <v>1785</v>
      </c>
      <c r="D220" s="525">
        <v>80.14</v>
      </c>
      <c r="E220" s="210" t="s">
        <v>73</v>
      </c>
      <c r="F220" s="526"/>
      <c r="G220" s="526"/>
      <c r="H220" s="526"/>
    </row>
    <row r="221" spans="1:9" s="105" customFormat="1" x14ac:dyDescent="0.25">
      <c r="A221" s="573" t="s">
        <v>693</v>
      </c>
      <c r="B221" s="210" t="s">
        <v>1533</v>
      </c>
      <c r="C221" s="211" t="s">
        <v>1786</v>
      </c>
      <c r="D221" s="525">
        <v>39.549999999999997</v>
      </c>
      <c r="E221" s="210" t="s">
        <v>73</v>
      </c>
      <c r="F221" s="526"/>
      <c r="G221" s="526"/>
      <c r="H221" s="526"/>
    </row>
    <row r="222" spans="1:9" s="105" customFormat="1" x14ac:dyDescent="0.25">
      <c r="A222" s="573" t="s">
        <v>703</v>
      </c>
      <c r="B222" s="210" t="s">
        <v>1534</v>
      </c>
      <c r="C222" s="211" t="s">
        <v>1787</v>
      </c>
      <c r="D222" s="525">
        <v>13.21</v>
      </c>
      <c r="E222" s="210" t="s">
        <v>73</v>
      </c>
      <c r="F222" s="526"/>
      <c r="G222" s="526"/>
      <c r="H222" s="526"/>
    </row>
    <row r="223" spans="1:9" s="105" customFormat="1" ht="31.5" x14ac:dyDescent="0.25">
      <c r="A223" s="573" t="s">
        <v>1764</v>
      </c>
      <c r="B223" s="210" t="s">
        <v>1535</v>
      </c>
      <c r="C223" s="211" t="s">
        <v>914</v>
      </c>
      <c r="D223" s="525">
        <v>10</v>
      </c>
      <c r="E223" s="210" t="s">
        <v>31</v>
      </c>
      <c r="F223" s="526"/>
      <c r="G223" s="526"/>
      <c r="H223" s="526"/>
    </row>
    <row r="224" spans="1:9" s="105" customFormat="1" ht="31.5" x14ac:dyDescent="0.25">
      <c r="A224" s="573" t="s">
        <v>704</v>
      </c>
      <c r="B224" s="210" t="s">
        <v>1536</v>
      </c>
      <c r="C224" s="211" t="s">
        <v>915</v>
      </c>
      <c r="D224" s="525">
        <v>3</v>
      </c>
      <c r="E224" s="210" t="s">
        <v>31</v>
      </c>
      <c r="F224" s="526"/>
      <c r="G224" s="526"/>
      <c r="H224" s="526"/>
    </row>
    <row r="225" spans="1:8" s="105" customFormat="1" ht="31.5" x14ac:dyDescent="0.25">
      <c r="A225" s="573" t="s">
        <v>710</v>
      </c>
      <c r="B225" s="210" t="s">
        <v>1537</v>
      </c>
      <c r="C225" s="211" t="s">
        <v>916</v>
      </c>
      <c r="D225" s="525">
        <v>3</v>
      </c>
      <c r="E225" s="210" t="s">
        <v>31</v>
      </c>
      <c r="F225" s="526"/>
      <c r="G225" s="526"/>
      <c r="H225" s="526"/>
    </row>
    <row r="226" spans="1:8" s="105" customFormat="1" ht="31.5" x14ac:dyDescent="0.25">
      <c r="A226" s="573" t="s">
        <v>1808</v>
      </c>
      <c r="B226" s="210" t="s">
        <v>1538</v>
      </c>
      <c r="C226" s="211" t="s">
        <v>917</v>
      </c>
      <c r="D226" s="525">
        <v>2</v>
      </c>
      <c r="E226" s="210" t="s">
        <v>31</v>
      </c>
      <c r="F226" s="526"/>
      <c r="G226" s="526"/>
      <c r="H226" s="526"/>
    </row>
    <row r="227" spans="1:8" s="105" customFormat="1" ht="31.5" x14ac:dyDescent="0.25">
      <c r="A227" s="573" t="s">
        <v>1809</v>
      </c>
      <c r="B227" s="210" t="s">
        <v>1539</v>
      </c>
      <c r="C227" s="211" t="s">
        <v>918</v>
      </c>
      <c r="D227" s="525">
        <v>2</v>
      </c>
      <c r="E227" s="210" t="s">
        <v>31</v>
      </c>
      <c r="F227" s="526"/>
      <c r="G227" s="526"/>
      <c r="H227" s="526"/>
    </row>
    <row r="228" spans="1:8" s="105" customFormat="1" ht="31.5" x14ac:dyDescent="0.25">
      <c r="A228" s="573" t="s">
        <v>874</v>
      </c>
      <c r="B228" s="210" t="s">
        <v>1540</v>
      </c>
      <c r="C228" s="211" t="s">
        <v>1807</v>
      </c>
      <c r="D228" s="525">
        <v>3</v>
      </c>
      <c r="E228" s="210" t="s">
        <v>31</v>
      </c>
      <c r="F228" s="526"/>
      <c r="G228" s="526"/>
      <c r="H228" s="526"/>
    </row>
    <row r="229" spans="1:8" s="105" customFormat="1" ht="31.5" x14ac:dyDescent="0.25">
      <c r="A229" s="573" t="s">
        <v>460</v>
      </c>
      <c r="B229" s="210" t="s">
        <v>1541</v>
      </c>
      <c r="C229" s="211" t="s">
        <v>920</v>
      </c>
      <c r="D229" s="525">
        <v>1</v>
      </c>
      <c r="E229" s="210" t="s">
        <v>31</v>
      </c>
      <c r="F229" s="526"/>
      <c r="G229" s="526"/>
      <c r="H229" s="526"/>
    </row>
    <row r="230" spans="1:8" s="105" customFormat="1" x14ac:dyDescent="0.25">
      <c r="A230" s="573" t="s">
        <v>904</v>
      </c>
      <c r="B230" s="210" t="s">
        <v>1542</v>
      </c>
      <c r="C230" s="211" t="s">
        <v>921</v>
      </c>
      <c r="D230" s="525">
        <v>1</v>
      </c>
      <c r="E230" s="210" t="s">
        <v>31</v>
      </c>
      <c r="F230" s="526"/>
      <c r="G230" s="526"/>
      <c r="H230" s="526"/>
    </row>
    <row r="231" spans="1:8" s="105" customFormat="1" ht="31.5" x14ac:dyDescent="0.25">
      <c r="A231" s="573" t="s">
        <v>1765</v>
      </c>
      <c r="B231" s="210" t="s">
        <v>1543</v>
      </c>
      <c r="C231" s="211" t="s">
        <v>922</v>
      </c>
      <c r="D231" s="525">
        <v>2</v>
      </c>
      <c r="E231" s="210" t="s">
        <v>31</v>
      </c>
      <c r="F231" s="526"/>
      <c r="G231" s="526"/>
      <c r="H231" s="526"/>
    </row>
    <row r="232" spans="1:8" s="105" customFormat="1" ht="31.5" x14ac:dyDescent="0.25">
      <c r="A232" s="573" t="s">
        <v>1766</v>
      </c>
      <c r="B232" s="210" t="s">
        <v>1544</v>
      </c>
      <c r="C232" s="211" t="s">
        <v>923</v>
      </c>
      <c r="D232" s="525">
        <v>3</v>
      </c>
      <c r="E232" s="210" t="s">
        <v>31</v>
      </c>
      <c r="F232" s="526"/>
      <c r="G232" s="526"/>
      <c r="H232" s="526"/>
    </row>
    <row r="233" spans="1:8" s="105" customFormat="1" ht="31.5" x14ac:dyDescent="0.25">
      <c r="A233" s="573" t="s">
        <v>1767</v>
      </c>
      <c r="B233" s="210" t="s">
        <v>1545</v>
      </c>
      <c r="C233" s="211" t="s">
        <v>924</v>
      </c>
      <c r="D233" s="525">
        <v>4</v>
      </c>
      <c r="E233" s="210" t="s">
        <v>31</v>
      </c>
      <c r="F233" s="526"/>
      <c r="G233" s="526"/>
      <c r="H233" s="526"/>
    </row>
    <row r="234" spans="1:8" s="105" customFormat="1" ht="31.5" x14ac:dyDescent="0.25">
      <c r="A234" s="573" t="s">
        <v>1768</v>
      </c>
      <c r="B234" s="210" t="s">
        <v>1546</v>
      </c>
      <c r="C234" s="211" t="s">
        <v>1771</v>
      </c>
      <c r="D234" s="525">
        <v>1</v>
      </c>
      <c r="E234" s="210" t="s">
        <v>31</v>
      </c>
      <c r="F234" s="526"/>
      <c r="G234" s="526"/>
      <c r="H234" s="526"/>
    </row>
    <row r="235" spans="1:8" s="105" customFormat="1" ht="31.5" x14ac:dyDescent="0.25">
      <c r="A235" s="573" t="s">
        <v>1769</v>
      </c>
      <c r="B235" s="210" t="s">
        <v>1547</v>
      </c>
      <c r="C235" s="211" t="s">
        <v>925</v>
      </c>
      <c r="D235" s="525">
        <v>3</v>
      </c>
      <c r="E235" s="210" t="s">
        <v>31</v>
      </c>
      <c r="F235" s="526"/>
      <c r="G235" s="526"/>
      <c r="H235" s="526"/>
    </row>
    <row r="236" spans="1:8" s="105" customFormat="1" x14ac:dyDescent="0.25">
      <c r="A236" s="573" t="s">
        <v>905</v>
      </c>
      <c r="B236" s="210" t="s">
        <v>1548</v>
      </c>
      <c r="C236" s="211" t="s">
        <v>926</v>
      </c>
      <c r="D236" s="525">
        <v>1</v>
      </c>
      <c r="E236" s="210" t="s">
        <v>31</v>
      </c>
      <c r="F236" s="526"/>
      <c r="G236" s="526"/>
      <c r="H236" s="526"/>
    </row>
    <row r="237" spans="1:8" s="105" customFormat="1" ht="31.5" x14ac:dyDescent="0.25">
      <c r="A237" s="573" t="s">
        <v>1770</v>
      </c>
      <c r="B237" s="210" t="s">
        <v>1549</v>
      </c>
      <c r="C237" s="211" t="s">
        <v>927</v>
      </c>
      <c r="D237" s="525">
        <v>11.75</v>
      </c>
      <c r="E237" s="210" t="s">
        <v>53</v>
      </c>
      <c r="F237" s="526"/>
      <c r="G237" s="526"/>
      <c r="H237" s="526"/>
    </row>
    <row r="238" spans="1:8" s="105" customFormat="1" x14ac:dyDescent="0.25">
      <c r="A238" s="573" t="s">
        <v>906</v>
      </c>
      <c r="B238" s="210" t="s">
        <v>1550</v>
      </c>
      <c r="C238" s="211" t="s">
        <v>928</v>
      </c>
      <c r="D238" s="525">
        <v>11.75</v>
      </c>
      <c r="E238" s="210" t="s">
        <v>53</v>
      </c>
      <c r="F238" s="526"/>
      <c r="G238" s="526"/>
      <c r="H238" s="526"/>
    </row>
    <row r="239" spans="1:8" s="105" customFormat="1" ht="31.5" x14ac:dyDescent="0.25">
      <c r="A239" s="573" t="s">
        <v>907</v>
      </c>
      <c r="B239" s="210" t="s">
        <v>1551</v>
      </c>
      <c r="C239" s="211" t="s">
        <v>929</v>
      </c>
      <c r="D239" s="525">
        <v>167.9</v>
      </c>
      <c r="E239" s="210" t="s">
        <v>73</v>
      </c>
      <c r="F239" s="526"/>
      <c r="G239" s="526"/>
      <c r="H239" s="526"/>
    </row>
    <row r="240" spans="1:8" s="105" customFormat="1" ht="31.5" x14ac:dyDescent="0.25">
      <c r="A240" s="573" t="s">
        <v>908</v>
      </c>
      <c r="B240" s="210" t="s">
        <v>1552</v>
      </c>
      <c r="C240" s="211" t="s">
        <v>930</v>
      </c>
      <c r="D240" s="525">
        <v>43.15</v>
      </c>
      <c r="E240" s="210" t="s">
        <v>73</v>
      </c>
      <c r="F240" s="526"/>
      <c r="G240" s="526"/>
      <c r="H240" s="526"/>
    </row>
    <row r="241" spans="1:9" s="110" customFormat="1" x14ac:dyDescent="0.25">
      <c r="A241" s="219"/>
      <c r="B241" s="219" t="s">
        <v>997</v>
      </c>
      <c r="C241" s="220" t="s">
        <v>186</v>
      </c>
      <c r="D241" s="217"/>
      <c r="E241" s="219"/>
      <c r="F241" s="221"/>
      <c r="G241" s="221"/>
      <c r="H241" s="221"/>
      <c r="I241" s="163"/>
    </row>
    <row r="242" spans="1:9" s="105" customFormat="1" ht="31.5" x14ac:dyDescent="0.25">
      <c r="A242" s="571" t="s">
        <v>709</v>
      </c>
      <c r="B242" s="210" t="s">
        <v>1553</v>
      </c>
      <c r="C242" s="211" t="s">
        <v>1000</v>
      </c>
      <c r="D242" s="525">
        <v>9.64</v>
      </c>
      <c r="E242" s="210" t="s">
        <v>73</v>
      </c>
      <c r="F242" s="526"/>
      <c r="G242" s="526"/>
      <c r="H242" s="526"/>
      <c r="I242" s="540"/>
    </row>
    <row r="243" spans="1:9" s="105" customFormat="1" ht="31.5" x14ac:dyDescent="0.25">
      <c r="A243" s="571" t="s">
        <v>686</v>
      </c>
      <c r="B243" s="210" t="s">
        <v>1554</v>
      </c>
      <c r="C243" s="211" t="s">
        <v>1001</v>
      </c>
      <c r="D243" s="525">
        <v>48.09</v>
      </c>
      <c r="E243" s="210" t="s">
        <v>73</v>
      </c>
      <c r="F243" s="526"/>
      <c r="G243" s="526"/>
      <c r="H243" s="526"/>
      <c r="I243" s="540"/>
    </row>
    <row r="244" spans="1:9" s="105" customFormat="1" ht="31.5" x14ac:dyDescent="0.25">
      <c r="A244" s="571" t="s">
        <v>691</v>
      </c>
      <c r="B244" s="210" t="s">
        <v>1555</v>
      </c>
      <c r="C244" s="211" t="s">
        <v>1002</v>
      </c>
      <c r="D244" s="525">
        <v>5.63</v>
      </c>
      <c r="E244" s="210" t="s">
        <v>73</v>
      </c>
      <c r="F244" s="526"/>
      <c r="G244" s="526"/>
      <c r="H244" s="526"/>
      <c r="I244" s="540"/>
    </row>
    <row r="245" spans="1:9" s="105" customFormat="1" ht="31.5" x14ac:dyDescent="0.25">
      <c r="A245" s="571" t="s">
        <v>692</v>
      </c>
      <c r="B245" s="210" t="s">
        <v>1556</v>
      </c>
      <c r="C245" s="211" t="s">
        <v>1003</v>
      </c>
      <c r="D245" s="525">
        <v>14.66</v>
      </c>
      <c r="E245" s="210" t="s">
        <v>73</v>
      </c>
      <c r="F245" s="526"/>
      <c r="G245" s="526"/>
      <c r="H245" s="526"/>
      <c r="I245" s="540"/>
    </row>
    <row r="246" spans="1:9" s="105" customFormat="1" ht="31.5" x14ac:dyDescent="0.25">
      <c r="A246" s="571" t="s">
        <v>693</v>
      </c>
      <c r="B246" s="210" t="s">
        <v>1557</v>
      </c>
      <c r="C246" s="211" t="s">
        <v>1004</v>
      </c>
      <c r="D246" s="525">
        <v>10.88</v>
      </c>
      <c r="E246" s="210" t="s">
        <v>73</v>
      </c>
      <c r="F246" s="526"/>
      <c r="G246" s="526"/>
      <c r="H246" s="526"/>
      <c r="I246" s="540"/>
    </row>
    <row r="247" spans="1:9" s="105" customFormat="1" ht="31.5" x14ac:dyDescent="0.25">
      <c r="A247" s="571" t="s">
        <v>703</v>
      </c>
      <c r="B247" s="210" t="s">
        <v>1558</v>
      </c>
      <c r="C247" s="211" t="s">
        <v>1005</v>
      </c>
      <c r="D247" s="525">
        <v>38.14</v>
      </c>
      <c r="E247" s="210" t="s">
        <v>73</v>
      </c>
      <c r="F247" s="526"/>
      <c r="G247" s="526"/>
      <c r="H247" s="526"/>
      <c r="I247" s="540"/>
    </row>
    <row r="248" spans="1:9" s="105" customFormat="1" ht="31.5" x14ac:dyDescent="0.25">
      <c r="A248" s="571" t="s">
        <v>704</v>
      </c>
      <c r="B248" s="210" t="s">
        <v>1559</v>
      </c>
      <c r="C248" s="211" t="s">
        <v>1006</v>
      </c>
      <c r="D248" s="525">
        <v>20.54</v>
      </c>
      <c r="E248" s="210" t="s">
        <v>73</v>
      </c>
      <c r="F248" s="526"/>
      <c r="G248" s="526"/>
      <c r="H248" s="526"/>
      <c r="I248" s="540"/>
    </row>
    <row r="249" spans="1:9" s="105" customFormat="1" ht="31.5" x14ac:dyDescent="0.25">
      <c r="A249" s="571" t="s">
        <v>1894</v>
      </c>
      <c r="B249" s="210" t="s">
        <v>1560</v>
      </c>
      <c r="C249" s="211" t="s">
        <v>1007</v>
      </c>
      <c r="D249" s="525">
        <v>20.27</v>
      </c>
      <c r="E249" s="210" t="s">
        <v>73</v>
      </c>
      <c r="F249" s="526"/>
      <c r="G249" s="526"/>
      <c r="H249" s="526"/>
      <c r="I249" s="540"/>
    </row>
    <row r="250" spans="1:9" s="105" customFormat="1" ht="15.75" customHeight="1" x14ac:dyDescent="0.25">
      <c r="A250" s="571" t="s">
        <v>1987</v>
      </c>
      <c r="B250" s="210" t="s">
        <v>1561</v>
      </c>
      <c r="C250" s="564" t="s">
        <v>1008</v>
      </c>
      <c r="D250" s="525">
        <v>17</v>
      </c>
      <c r="E250" s="210" t="s">
        <v>50</v>
      </c>
      <c r="F250" s="526"/>
      <c r="G250" s="526"/>
      <c r="H250" s="526"/>
      <c r="I250" s="540"/>
    </row>
    <row r="251" spans="1:9" s="105" customFormat="1" ht="31.5" customHeight="1" x14ac:dyDescent="0.25">
      <c r="A251" s="571" t="s">
        <v>1988</v>
      </c>
      <c r="B251" s="210" t="s">
        <v>1562</v>
      </c>
      <c r="C251" s="211" t="s">
        <v>1009</v>
      </c>
      <c r="D251" s="525">
        <v>13</v>
      </c>
      <c r="E251" s="210" t="s">
        <v>50</v>
      </c>
      <c r="F251" s="526"/>
      <c r="G251" s="526"/>
      <c r="H251" s="526"/>
      <c r="I251" s="540"/>
    </row>
    <row r="252" spans="1:9" s="105" customFormat="1" ht="31.5" x14ac:dyDescent="0.25">
      <c r="A252" s="571" t="s">
        <v>710</v>
      </c>
      <c r="B252" s="210" t="s">
        <v>1563</v>
      </c>
      <c r="C252" s="211" t="s">
        <v>1010</v>
      </c>
      <c r="D252" s="525">
        <v>3</v>
      </c>
      <c r="E252" s="210" t="s">
        <v>50</v>
      </c>
      <c r="F252" s="526"/>
      <c r="G252" s="526"/>
      <c r="H252" s="526"/>
      <c r="I252" s="540"/>
    </row>
    <row r="253" spans="1:9" s="105" customFormat="1" ht="31.5" x14ac:dyDescent="0.25">
      <c r="A253" s="571" t="s">
        <v>1989</v>
      </c>
      <c r="B253" s="210" t="s">
        <v>1564</v>
      </c>
      <c r="C253" s="211" t="s">
        <v>1011</v>
      </c>
      <c r="D253" s="525">
        <v>5</v>
      </c>
      <c r="E253" s="210" t="s">
        <v>685</v>
      </c>
      <c r="F253" s="526"/>
      <c r="G253" s="526"/>
      <c r="H253" s="526"/>
      <c r="I253" s="540"/>
    </row>
    <row r="254" spans="1:9" s="105" customFormat="1" ht="31.5" customHeight="1" x14ac:dyDescent="0.25">
      <c r="A254" s="571" t="s">
        <v>874</v>
      </c>
      <c r="B254" s="210" t="s">
        <v>1565</v>
      </c>
      <c r="C254" s="211" t="s">
        <v>1012</v>
      </c>
      <c r="D254" s="525">
        <v>94.5</v>
      </c>
      <c r="E254" s="210" t="s">
        <v>73</v>
      </c>
      <c r="F254" s="526"/>
      <c r="G254" s="526"/>
      <c r="H254" s="526"/>
      <c r="I254" s="540"/>
    </row>
    <row r="255" spans="1:9" s="110" customFormat="1" x14ac:dyDescent="0.25">
      <c r="A255" s="219"/>
      <c r="B255" s="219" t="s">
        <v>1024</v>
      </c>
      <c r="C255" s="576" t="s">
        <v>998</v>
      </c>
      <c r="D255" s="217"/>
      <c r="E255" s="219"/>
      <c r="F255" s="221"/>
      <c r="G255" s="221"/>
      <c r="H255" s="221"/>
      <c r="I255" s="163"/>
    </row>
    <row r="256" spans="1:9" s="105" customFormat="1" ht="31.5" x14ac:dyDescent="0.25">
      <c r="A256" s="571" t="s">
        <v>1899</v>
      </c>
      <c r="B256" s="210" t="s">
        <v>1566</v>
      </c>
      <c r="C256" s="211" t="s">
        <v>1903</v>
      </c>
      <c r="D256" s="525">
        <v>101.55</v>
      </c>
      <c r="E256" s="210" t="s">
        <v>73</v>
      </c>
      <c r="F256" s="526"/>
      <c r="G256" s="526"/>
      <c r="H256" s="526"/>
      <c r="I256" s="540"/>
    </row>
    <row r="257" spans="1:9" s="105" customFormat="1" ht="31.5" x14ac:dyDescent="0.25">
      <c r="A257" s="571" t="s">
        <v>1900</v>
      </c>
      <c r="B257" s="210" t="s">
        <v>1567</v>
      </c>
      <c r="C257" s="211" t="s">
        <v>1013</v>
      </c>
      <c r="D257" s="525">
        <v>4.5</v>
      </c>
      <c r="E257" s="210" t="s">
        <v>73</v>
      </c>
      <c r="F257" s="526"/>
      <c r="G257" s="526"/>
      <c r="H257" s="526"/>
      <c r="I257" s="540"/>
    </row>
    <row r="258" spans="1:9" s="105" customFormat="1" ht="31.5" x14ac:dyDescent="0.25">
      <c r="A258" s="571" t="s">
        <v>1901</v>
      </c>
      <c r="B258" s="210" t="s">
        <v>1568</v>
      </c>
      <c r="C258" s="211" t="s">
        <v>1014</v>
      </c>
      <c r="D258" s="525">
        <v>34.049999999999997</v>
      </c>
      <c r="E258" s="210" t="s">
        <v>73</v>
      </c>
      <c r="F258" s="526"/>
      <c r="G258" s="526"/>
      <c r="H258" s="526"/>
      <c r="I258" s="540"/>
    </row>
    <row r="259" spans="1:9" s="105" customFormat="1" ht="31.5" x14ac:dyDescent="0.25">
      <c r="A259" s="571" t="s">
        <v>1902</v>
      </c>
      <c r="B259" s="210" t="s">
        <v>1569</v>
      </c>
      <c r="C259" s="211" t="s">
        <v>1015</v>
      </c>
      <c r="D259" s="525">
        <v>4.0999999999999996</v>
      </c>
      <c r="E259" s="210" t="s">
        <v>73</v>
      </c>
      <c r="F259" s="526"/>
      <c r="G259" s="526"/>
      <c r="H259" s="526"/>
      <c r="I259" s="540"/>
    </row>
    <row r="260" spans="1:9" s="105" customFormat="1" ht="31.5" x14ac:dyDescent="0.25">
      <c r="A260" s="571" t="s">
        <v>460</v>
      </c>
      <c r="B260" s="210" t="s">
        <v>1570</v>
      </c>
      <c r="C260" s="211" t="s">
        <v>1016</v>
      </c>
      <c r="D260" s="525">
        <v>35.01</v>
      </c>
      <c r="E260" s="210" t="s">
        <v>73</v>
      </c>
      <c r="F260" s="526"/>
      <c r="G260" s="526"/>
      <c r="H260" s="526"/>
      <c r="I260" s="540"/>
    </row>
    <row r="261" spans="1:9" s="105" customFormat="1" ht="31.5" x14ac:dyDescent="0.25">
      <c r="A261" s="571" t="s">
        <v>904</v>
      </c>
      <c r="B261" s="210" t="s">
        <v>1571</v>
      </c>
      <c r="C261" s="211" t="s">
        <v>1017</v>
      </c>
      <c r="D261" s="525">
        <v>14.67</v>
      </c>
      <c r="E261" s="210" t="s">
        <v>73</v>
      </c>
      <c r="F261" s="526"/>
      <c r="G261" s="526"/>
      <c r="H261" s="526"/>
      <c r="I261" s="540"/>
    </row>
    <row r="262" spans="1:9" s="105" customFormat="1" ht="31.5" x14ac:dyDescent="0.25">
      <c r="A262" s="571" t="s">
        <v>905</v>
      </c>
      <c r="B262" s="210" t="s">
        <v>1572</v>
      </c>
      <c r="C262" s="211" t="s">
        <v>1018</v>
      </c>
      <c r="D262" s="525">
        <v>46.91</v>
      </c>
      <c r="E262" s="210" t="s">
        <v>73</v>
      </c>
      <c r="F262" s="526"/>
      <c r="G262" s="526"/>
      <c r="H262" s="526"/>
      <c r="I262" s="540"/>
    </row>
    <row r="263" spans="1:9" s="105" customFormat="1" ht="33.75" customHeight="1" x14ac:dyDescent="0.25">
      <c r="A263" s="571" t="s">
        <v>1988</v>
      </c>
      <c r="B263" s="210" t="s">
        <v>1573</v>
      </c>
      <c r="C263" s="211" t="s">
        <v>1019</v>
      </c>
      <c r="D263" s="525">
        <v>12</v>
      </c>
      <c r="E263" s="210" t="s">
        <v>38</v>
      </c>
      <c r="F263" s="526"/>
      <c r="G263" s="526"/>
      <c r="H263" s="526"/>
      <c r="I263" s="540"/>
    </row>
    <row r="264" spans="1:9" s="105" customFormat="1" ht="31.5" x14ac:dyDescent="0.25">
      <c r="A264" s="571" t="s">
        <v>906</v>
      </c>
      <c r="B264" s="210" t="s">
        <v>1574</v>
      </c>
      <c r="C264" s="211" t="s">
        <v>1020</v>
      </c>
      <c r="D264" s="525">
        <v>1</v>
      </c>
      <c r="E264" s="210" t="s">
        <v>38</v>
      </c>
      <c r="F264" s="526"/>
      <c r="G264" s="526"/>
      <c r="H264" s="526"/>
      <c r="I264" s="540"/>
    </row>
    <row r="265" spans="1:9" s="105" customFormat="1" ht="31.5" x14ac:dyDescent="0.25">
      <c r="A265" s="571" t="s">
        <v>986</v>
      </c>
      <c r="B265" s="210" t="s">
        <v>1575</v>
      </c>
      <c r="C265" s="211" t="s">
        <v>1021</v>
      </c>
      <c r="D265" s="525">
        <v>1</v>
      </c>
      <c r="E265" s="210" t="s">
        <v>38</v>
      </c>
      <c r="F265" s="526"/>
      <c r="G265" s="526"/>
      <c r="H265" s="526"/>
      <c r="I265" s="540"/>
    </row>
    <row r="266" spans="1:9" s="105" customFormat="1" ht="31.5" x14ac:dyDescent="0.25">
      <c r="A266" s="571" t="s">
        <v>1911</v>
      </c>
      <c r="B266" s="210" t="s">
        <v>1576</v>
      </c>
      <c r="C266" s="211" t="s">
        <v>1912</v>
      </c>
      <c r="D266" s="525">
        <v>1</v>
      </c>
      <c r="E266" s="210" t="s">
        <v>73</v>
      </c>
      <c r="F266" s="526"/>
      <c r="G266" s="526"/>
      <c r="H266" s="526"/>
      <c r="I266" s="540"/>
    </row>
    <row r="267" spans="1:9" s="105" customFormat="1" x14ac:dyDescent="0.25">
      <c r="A267" s="571" t="s">
        <v>1895</v>
      </c>
      <c r="B267" s="210" t="s">
        <v>1577</v>
      </c>
      <c r="C267" s="211" t="s">
        <v>1022</v>
      </c>
      <c r="D267" s="525">
        <v>27.66</v>
      </c>
      <c r="E267" s="210" t="s">
        <v>41</v>
      </c>
      <c r="F267" s="526"/>
      <c r="G267" s="526"/>
      <c r="H267" s="526"/>
      <c r="I267" s="540"/>
    </row>
    <row r="268" spans="1:9" s="105" customFormat="1" x14ac:dyDescent="0.25">
      <c r="A268" s="571" t="s">
        <v>1834</v>
      </c>
      <c r="B268" s="210" t="s">
        <v>1578</v>
      </c>
      <c r="C268" s="211" t="s">
        <v>995</v>
      </c>
      <c r="D268" s="525">
        <v>35.96</v>
      </c>
      <c r="E268" s="210" t="s">
        <v>41</v>
      </c>
      <c r="F268" s="526"/>
      <c r="G268" s="526"/>
      <c r="H268" s="526"/>
      <c r="I268" s="540"/>
    </row>
    <row r="269" spans="1:9" s="105" customFormat="1" ht="31.5" x14ac:dyDescent="0.25">
      <c r="A269" s="571" t="s">
        <v>1913</v>
      </c>
      <c r="B269" s="210" t="s">
        <v>1579</v>
      </c>
      <c r="C269" s="211" t="s">
        <v>1023</v>
      </c>
      <c r="D269" s="525">
        <v>45.87</v>
      </c>
      <c r="E269" s="210" t="s">
        <v>73</v>
      </c>
      <c r="F269" s="526"/>
      <c r="G269" s="526"/>
      <c r="H269" s="526"/>
      <c r="I269" s="540"/>
    </row>
    <row r="270" spans="1:9" s="110" customFormat="1" x14ac:dyDescent="0.25">
      <c r="A270" s="219"/>
      <c r="B270" s="219" t="s">
        <v>1026</v>
      </c>
      <c r="C270" s="220" t="s">
        <v>75</v>
      </c>
      <c r="D270" s="217"/>
      <c r="E270" s="219"/>
      <c r="F270" s="221"/>
      <c r="G270" s="221"/>
      <c r="H270" s="221"/>
    </row>
    <row r="271" spans="1:9" s="105" customFormat="1" ht="47.25" x14ac:dyDescent="0.25">
      <c r="A271" s="573" t="s">
        <v>368</v>
      </c>
      <c r="B271" s="210" t="s">
        <v>1580</v>
      </c>
      <c r="C271" s="211" t="s">
        <v>461</v>
      </c>
      <c r="D271" s="525">
        <v>6</v>
      </c>
      <c r="E271" s="210" t="s">
        <v>50</v>
      </c>
      <c r="F271" s="526"/>
      <c r="G271" s="526"/>
      <c r="H271" s="526"/>
    </row>
    <row r="272" spans="1:9" s="105" customFormat="1" ht="31.5" x14ac:dyDescent="0.25">
      <c r="A272" s="573" t="s">
        <v>49</v>
      </c>
      <c r="B272" s="210" t="s">
        <v>1581</v>
      </c>
      <c r="C272" s="211" t="s">
        <v>831</v>
      </c>
      <c r="D272" s="525">
        <v>4</v>
      </c>
      <c r="E272" s="210" t="s">
        <v>50</v>
      </c>
      <c r="F272" s="526"/>
      <c r="G272" s="526"/>
      <c r="H272" s="526"/>
    </row>
    <row r="273" spans="1:8" s="105" customFormat="1" ht="45.75" customHeight="1" x14ac:dyDescent="0.25">
      <c r="A273" s="580" t="s">
        <v>100</v>
      </c>
      <c r="B273" s="210" t="s">
        <v>1582</v>
      </c>
      <c r="C273" s="211" t="s">
        <v>463</v>
      </c>
      <c r="D273" s="525">
        <v>1</v>
      </c>
      <c r="E273" s="210" t="s">
        <v>50</v>
      </c>
      <c r="F273" s="526"/>
      <c r="G273" s="526"/>
      <c r="H273" s="526"/>
    </row>
    <row r="274" spans="1:8" s="105" customFormat="1" ht="31.5" x14ac:dyDescent="0.25">
      <c r="A274" s="573" t="s">
        <v>466</v>
      </c>
      <c r="B274" s="210" t="s">
        <v>1583</v>
      </c>
      <c r="C274" s="211" t="s">
        <v>462</v>
      </c>
      <c r="D274" s="525">
        <v>5</v>
      </c>
      <c r="E274" s="210" t="s">
        <v>50</v>
      </c>
      <c r="F274" s="526"/>
      <c r="G274" s="526"/>
      <c r="H274" s="526"/>
    </row>
    <row r="275" spans="1:8" s="105" customFormat="1" x14ac:dyDescent="0.25">
      <c r="A275" s="573" t="s">
        <v>1914</v>
      </c>
      <c r="B275" s="210" t="s">
        <v>1584</v>
      </c>
      <c r="C275" s="211" t="s">
        <v>464</v>
      </c>
      <c r="D275" s="525">
        <v>2</v>
      </c>
      <c r="E275" s="210" t="s">
        <v>50</v>
      </c>
      <c r="F275" s="526"/>
      <c r="G275" s="526"/>
      <c r="H275" s="526"/>
    </row>
    <row r="276" spans="1:8" s="105" customFormat="1" ht="31.5" x14ac:dyDescent="0.25">
      <c r="A276" s="573" t="s">
        <v>120</v>
      </c>
      <c r="B276" s="210" t="s">
        <v>1585</v>
      </c>
      <c r="C276" s="211" t="s">
        <v>465</v>
      </c>
      <c r="D276" s="525">
        <v>2</v>
      </c>
      <c r="E276" s="210" t="s">
        <v>50</v>
      </c>
      <c r="F276" s="526"/>
      <c r="G276" s="526"/>
      <c r="H276" s="526"/>
    </row>
    <row r="277" spans="1:8" s="105" customFormat="1" x14ac:dyDescent="0.25">
      <c r="A277" s="573" t="s">
        <v>1990</v>
      </c>
      <c r="B277" s="210" t="s">
        <v>1586</v>
      </c>
      <c r="C277" s="211" t="s">
        <v>335</v>
      </c>
      <c r="D277" s="525">
        <v>6</v>
      </c>
      <c r="E277" s="210" t="s">
        <v>50</v>
      </c>
      <c r="F277" s="526"/>
      <c r="G277" s="526"/>
      <c r="H277" s="526"/>
    </row>
    <row r="278" spans="1:8" s="105" customFormat="1" x14ac:dyDescent="0.25">
      <c r="A278" s="573" t="s">
        <v>1991</v>
      </c>
      <c r="B278" s="210" t="s">
        <v>1587</v>
      </c>
      <c r="C278" s="211" t="s">
        <v>206</v>
      </c>
      <c r="D278" s="525">
        <v>3</v>
      </c>
      <c r="E278" s="210" t="s">
        <v>50</v>
      </c>
      <c r="F278" s="526"/>
      <c r="G278" s="526"/>
      <c r="H278" s="526"/>
    </row>
    <row r="279" spans="1:8" s="105" customFormat="1" x14ac:dyDescent="0.25">
      <c r="A279" s="573" t="s">
        <v>132</v>
      </c>
      <c r="B279" s="210" t="s">
        <v>1588</v>
      </c>
      <c r="C279" s="211" t="s">
        <v>128</v>
      </c>
      <c r="D279" s="525">
        <v>3</v>
      </c>
      <c r="E279" s="210" t="s">
        <v>50</v>
      </c>
      <c r="F279" s="526"/>
      <c r="G279" s="526"/>
      <c r="H279" s="526"/>
    </row>
    <row r="280" spans="1:8" s="110" customFormat="1" x14ac:dyDescent="0.25">
      <c r="A280" s="219"/>
      <c r="B280" s="219" t="s">
        <v>1025</v>
      </c>
      <c r="C280" s="220" t="s">
        <v>77</v>
      </c>
      <c r="D280" s="217"/>
      <c r="E280" s="219"/>
      <c r="F280" s="221"/>
      <c r="G280" s="221"/>
      <c r="H280" s="221"/>
    </row>
    <row r="281" spans="1:8" s="105" customFormat="1" ht="47.25" x14ac:dyDescent="0.25">
      <c r="A281" s="571" t="s">
        <v>2007</v>
      </c>
      <c r="B281" s="210" t="s">
        <v>1589</v>
      </c>
      <c r="C281" s="211" t="s">
        <v>467</v>
      </c>
      <c r="D281" s="525">
        <v>2</v>
      </c>
      <c r="E281" s="210" t="s">
        <v>50</v>
      </c>
      <c r="F281" s="526"/>
      <c r="G281" s="526"/>
      <c r="H281" s="526"/>
    </row>
    <row r="282" spans="1:8" s="105" customFormat="1" ht="31.5" customHeight="1" x14ac:dyDescent="0.25">
      <c r="A282" s="573" t="s">
        <v>49</v>
      </c>
      <c r="B282" s="210" t="s">
        <v>1590</v>
      </c>
      <c r="C282" s="211" t="s">
        <v>1976</v>
      </c>
      <c r="D282" s="525">
        <v>2</v>
      </c>
      <c r="E282" s="210" t="s">
        <v>50</v>
      </c>
      <c r="F282" s="526"/>
      <c r="G282" s="526"/>
      <c r="H282" s="526"/>
    </row>
    <row r="283" spans="1:8" s="546" customFormat="1" ht="47.25" x14ac:dyDescent="0.25">
      <c r="A283" s="580" t="s">
        <v>100</v>
      </c>
      <c r="B283" s="210" t="s">
        <v>1591</v>
      </c>
      <c r="C283" s="542" t="s">
        <v>182</v>
      </c>
      <c r="D283" s="543">
        <v>2</v>
      </c>
      <c r="E283" s="541" t="s">
        <v>50</v>
      </c>
      <c r="F283" s="547"/>
      <c r="G283" s="547"/>
      <c r="H283" s="547"/>
    </row>
    <row r="284" spans="1:8" s="105" customFormat="1" x14ac:dyDescent="0.25">
      <c r="A284" s="571" t="s">
        <v>362</v>
      </c>
      <c r="B284" s="210" t="s">
        <v>1592</v>
      </c>
      <c r="C284" s="211" t="s">
        <v>359</v>
      </c>
      <c r="D284" s="525">
        <v>4</v>
      </c>
      <c r="E284" s="210" t="s">
        <v>50</v>
      </c>
      <c r="F284" s="526"/>
      <c r="G284" s="526"/>
      <c r="H284" s="526"/>
    </row>
    <row r="285" spans="1:8" s="105" customFormat="1" x14ac:dyDescent="0.25">
      <c r="A285" s="571" t="s">
        <v>363</v>
      </c>
      <c r="B285" s="210" t="s">
        <v>1593</v>
      </c>
      <c r="C285" s="211" t="s">
        <v>360</v>
      </c>
      <c r="D285" s="525">
        <v>2</v>
      </c>
      <c r="E285" s="210" t="s">
        <v>50</v>
      </c>
      <c r="F285" s="526"/>
      <c r="G285" s="526"/>
      <c r="H285" s="526"/>
    </row>
    <row r="286" spans="1:8" s="105" customFormat="1" x14ac:dyDescent="0.25">
      <c r="A286" s="571" t="s">
        <v>364</v>
      </c>
      <c r="B286" s="210" t="s">
        <v>1594</v>
      </c>
      <c r="C286" s="211" t="s">
        <v>361</v>
      </c>
      <c r="D286" s="525">
        <v>4</v>
      </c>
      <c r="E286" s="210" t="s">
        <v>50</v>
      </c>
      <c r="F286" s="526"/>
      <c r="G286" s="526"/>
      <c r="H286" s="526"/>
    </row>
    <row r="287" spans="1:8" s="105" customFormat="1" ht="63" x14ac:dyDescent="0.25">
      <c r="A287" s="571" t="s">
        <v>1992</v>
      </c>
      <c r="B287" s="210" t="s">
        <v>1595</v>
      </c>
      <c r="C287" s="211" t="s">
        <v>336</v>
      </c>
      <c r="D287" s="525">
        <v>2</v>
      </c>
      <c r="E287" s="210" t="s">
        <v>50</v>
      </c>
      <c r="F287" s="526"/>
      <c r="G287" s="526"/>
      <c r="H287" s="526"/>
    </row>
    <row r="288" spans="1:8" s="105" customFormat="1" x14ac:dyDescent="0.25">
      <c r="A288" s="573" t="s">
        <v>1990</v>
      </c>
      <c r="B288" s="210" t="s">
        <v>1596</v>
      </c>
      <c r="C288" s="211" t="s">
        <v>335</v>
      </c>
      <c r="D288" s="525">
        <v>2</v>
      </c>
      <c r="E288" s="210" t="s">
        <v>50</v>
      </c>
      <c r="F288" s="526"/>
      <c r="G288" s="526"/>
      <c r="H288" s="526"/>
    </row>
    <row r="289" spans="1:9" s="105" customFormat="1" x14ac:dyDescent="0.25">
      <c r="A289" s="573" t="s">
        <v>1991</v>
      </c>
      <c r="B289" s="210" t="s">
        <v>1597</v>
      </c>
      <c r="C289" s="211" t="s">
        <v>206</v>
      </c>
      <c r="D289" s="525">
        <v>2</v>
      </c>
      <c r="E289" s="210" t="s">
        <v>50</v>
      </c>
      <c r="F289" s="526"/>
      <c r="G289" s="526"/>
      <c r="H289" s="526"/>
    </row>
    <row r="290" spans="1:9" s="105" customFormat="1" x14ac:dyDescent="0.25">
      <c r="A290" s="573" t="s">
        <v>132</v>
      </c>
      <c r="B290" s="210" t="s">
        <v>1598</v>
      </c>
      <c r="C290" s="211" t="s">
        <v>128</v>
      </c>
      <c r="D290" s="525">
        <v>2</v>
      </c>
      <c r="E290" s="210" t="s">
        <v>50</v>
      </c>
      <c r="F290" s="526"/>
      <c r="G290" s="526"/>
      <c r="H290" s="526"/>
    </row>
    <row r="291" spans="1:9" s="110" customFormat="1" x14ac:dyDescent="0.25">
      <c r="A291" s="219"/>
      <c r="B291" s="219" t="s">
        <v>1027</v>
      </c>
      <c r="C291" s="220" t="s">
        <v>294</v>
      </c>
      <c r="D291" s="217"/>
      <c r="E291" s="219"/>
      <c r="F291" s="221"/>
      <c r="G291" s="221"/>
      <c r="H291" s="221"/>
    </row>
    <row r="292" spans="1:9" s="105" customFormat="1" ht="31.5" x14ac:dyDescent="0.25">
      <c r="A292" s="573" t="s">
        <v>49</v>
      </c>
      <c r="B292" s="210" t="s">
        <v>1309</v>
      </c>
      <c r="C292" s="211" t="s">
        <v>366</v>
      </c>
      <c r="D292" s="525">
        <v>3</v>
      </c>
      <c r="E292" s="210" t="s">
        <v>50</v>
      </c>
      <c r="F292" s="526"/>
      <c r="G292" s="526"/>
      <c r="H292" s="526"/>
    </row>
    <row r="293" spans="1:9" s="546" customFormat="1" ht="31.5" x14ac:dyDescent="0.25">
      <c r="A293" s="580" t="s">
        <v>466</v>
      </c>
      <c r="B293" s="541" t="s">
        <v>1310</v>
      </c>
      <c r="C293" s="542" t="s">
        <v>462</v>
      </c>
      <c r="D293" s="543">
        <v>5</v>
      </c>
      <c r="E293" s="541" t="s">
        <v>50</v>
      </c>
      <c r="F293" s="547"/>
      <c r="G293" s="547"/>
      <c r="H293" s="547"/>
    </row>
    <row r="294" spans="1:9" s="105" customFormat="1" ht="31.5" x14ac:dyDescent="0.25">
      <c r="A294" s="573" t="s">
        <v>76</v>
      </c>
      <c r="B294" s="210" t="s">
        <v>1311</v>
      </c>
      <c r="C294" s="211" t="s">
        <v>298</v>
      </c>
      <c r="D294" s="525">
        <v>6</v>
      </c>
      <c r="E294" s="210" t="s">
        <v>50</v>
      </c>
      <c r="F294" s="526"/>
      <c r="G294" s="526"/>
      <c r="H294" s="526"/>
    </row>
    <row r="295" spans="1:9" s="105" customFormat="1" ht="31.5" x14ac:dyDescent="0.25">
      <c r="A295" s="573" t="s">
        <v>100</v>
      </c>
      <c r="B295" s="210" t="s">
        <v>1312</v>
      </c>
      <c r="C295" s="211" t="s">
        <v>836</v>
      </c>
      <c r="D295" s="525">
        <v>6</v>
      </c>
      <c r="E295" s="210" t="s">
        <v>50</v>
      </c>
      <c r="F295" s="526"/>
      <c r="G295" s="526"/>
      <c r="H295" s="526"/>
    </row>
    <row r="296" spans="1:9" s="105" customFormat="1" ht="47.25" x14ac:dyDescent="0.25">
      <c r="A296" s="573" t="s">
        <v>120</v>
      </c>
      <c r="B296" s="541" t="s">
        <v>1313</v>
      </c>
      <c r="C296" s="211" t="s">
        <v>837</v>
      </c>
      <c r="D296" s="525">
        <v>2</v>
      </c>
      <c r="E296" s="210" t="s">
        <v>50</v>
      </c>
      <c r="F296" s="526"/>
      <c r="G296" s="526"/>
      <c r="H296" s="526"/>
    </row>
    <row r="297" spans="1:9" s="105" customFormat="1" ht="31.5" x14ac:dyDescent="0.25">
      <c r="A297" s="573" t="s">
        <v>207</v>
      </c>
      <c r="B297" s="210" t="s">
        <v>1314</v>
      </c>
      <c r="C297" s="211" t="s">
        <v>367</v>
      </c>
      <c r="D297" s="525">
        <v>2</v>
      </c>
      <c r="E297" s="210" t="s">
        <v>50</v>
      </c>
      <c r="F297" s="526"/>
      <c r="G297" s="526"/>
      <c r="H297" s="526"/>
    </row>
    <row r="298" spans="1:9" s="105" customFormat="1" ht="31.5" x14ac:dyDescent="0.25">
      <c r="A298" s="573" t="s">
        <v>1924</v>
      </c>
      <c r="B298" s="210" t="s">
        <v>1315</v>
      </c>
      <c r="C298" s="211" t="s">
        <v>295</v>
      </c>
      <c r="D298" s="525">
        <v>10</v>
      </c>
      <c r="E298" s="210" t="s">
        <v>50</v>
      </c>
      <c r="F298" s="526"/>
      <c r="G298" s="526"/>
      <c r="H298" s="526"/>
    </row>
    <row r="299" spans="1:9" s="5" customFormat="1" x14ac:dyDescent="0.25">
      <c r="A299" s="203"/>
      <c r="B299" s="203">
        <v>15</v>
      </c>
      <c r="C299" s="204" t="s">
        <v>78</v>
      </c>
      <c r="D299" s="205"/>
      <c r="E299" s="203"/>
      <c r="F299" s="206"/>
      <c r="G299" s="206"/>
      <c r="H299" s="206">
        <f>ROUND(SUM(H300:H416),2)</f>
        <v>0</v>
      </c>
    </row>
    <row r="300" spans="1:9" s="18" customFormat="1" x14ac:dyDescent="0.25">
      <c r="A300" s="215"/>
      <c r="B300" s="215" t="s">
        <v>208</v>
      </c>
      <c r="C300" s="216" t="s">
        <v>78</v>
      </c>
      <c r="D300" s="217"/>
      <c r="E300" s="215"/>
      <c r="F300" s="218"/>
      <c r="G300" s="218"/>
      <c r="H300" s="218"/>
      <c r="I300" s="106"/>
    </row>
    <row r="301" spans="1:9" s="19" customFormat="1" x14ac:dyDescent="0.25">
      <c r="A301" s="580" t="s">
        <v>2008</v>
      </c>
      <c r="B301" s="541" t="s">
        <v>1156</v>
      </c>
      <c r="C301" s="542" t="s">
        <v>472</v>
      </c>
      <c r="D301" s="525">
        <v>338</v>
      </c>
      <c r="E301" s="541" t="s">
        <v>38</v>
      </c>
      <c r="F301" s="547"/>
      <c r="G301" s="547"/>
      <c r="H301" s="547"/>
    </row>
    <row r="302" spans="1:9" s="19" customFormat="1" ht="31.5" x14ac:dyDescent="0.25">
      <c r="A302" s="580" t="s">
        <v>136</v>
      </c>
      <c r="B302" s="541" t="s">
        <v>1157</v>
      </c>
      <c r="C302" s="542" t="s">
        <v>473</v>
      </c>
      <c r="D302" s="525">
        <v>30</v>
      </c>
      <c r="E302" s="541" t="s">
        <v>73</v>
      </c>
      <c r="F302" s="547"/>
      <c r="G302" s="547"/>
      <c r="H302" s="547"/>
    </row>
    <row r="303" spans="1:9" s="19" customFormat="1" ht="31.5" x14ac:dyDescent="0.25">
      <c r="A303" s="580" t="s">
        <v>623</v>
      </c>
      <c r="B303" s="541" t="s">
        <v>1158</v>
      </c>
      <c r="C303" s="542" t="s">
        <v>474</v>
      </c>
      <c r="D303" s="525">
        <v>800</v>
      </c>
      <c r="E303" s="541" t="s">
        <v>73</v>
      </c>
      <c r="F303" s="547"/>
      <c r="G303" s="547"/>
      <c r="H303" s="547"/>
    </row>
    <row r="304" spans="1:9" s="19" customFormat="1" ht="31.5" x14ac:dyDescent="0.25">
      <c r="A304" s="580" t="s">
        <v>624</v>
      </c>
      <c r="B304" s="541" t="s">
        <v>1159</v>
      </c>
      <c r="C304" s="542" t="s">
        <v>475</v>
      </c>
      <c r="D304" s="525">
        <v>4850</v>
      </c>
      <c r="E304" s="541" t="s">
        <v>73</v>
      </c>
      <c r="F304" s="547"/>
      <c r="G304" s="547"/>
      <c r="H304" s="547"/>
    </row>
    <row r="305" spans="1:8" s="19" customFormat="1" ht="31.5" x14ac:dyDescent="0.25">
      <c r="A305" s="580" t="s">
        <v>625</v>
      </c>
      <c r="B305" s="541" t="s">
        <v>1160</v>
      </c>
      <c r="C305" s="542" t="s">
        <v>476</v>
      </c>
      <c r="D305" s="525">
        <v>8</v>
      </c>
      <c r="E305" s="541" t="s">
        <v>73</v>
      </c>
      <c r="F305" s="547"/>
      <c r="G305" s="547"/>
      <c r="H305" s="547"/>
    </row>
    <row r="306" spans="1:8" s="19" customFormat="1" ht="31.5" x14ac:dyDescent="0.25">
      <c r="A306" s="580" t="s">
        <v>626</v>
      </c>
      <c r="B306" s="541" t="s">
        <v>1161</v>
      </c>
      <c r="C306" s="542" t="s">
        <v>477</v>
      </c>
      <c r="D306" s="525">
        <v>100</v>
      </c>
      <c r="E306" s="541" t="s">
        <v>73</v>
      </c>
      <c r="F306" s="547"/>
      <c r="G306" s="547"/>
      <c r="H306" s="547"/>
    </row>
    <row r="307" spans="1:8" s="19" customFormat="1" ht="31.5" x14ac:dyDescent="0.25">
      <c r="A307" s="580" t="s">
        <v>627</v>
      </c>
      <c r="B307" s="541" t="s">
        <v>1162</v>
      </c>
      <c r="C307" s="542" t="s">
        <v>478</v>
      </c>
      <c r="D307" s="525">
        <v>200</v>
      </c>
      <c r="E307" s="541" t="s">
        <v>73</v>
      </c>
      <c r="F307" s="547"/>
      <c r="G307" s="547"/>
      <c r="H307" s="547"/>
    </row>
    <row r="308" spans="1:8" s="19" customFormat="1" ht="31.5" x14ac:dyDescent="0.25">
      <c r="A308" s="580" t="s">
        <v>628</v>
      </c>
      <c r="B308" s="541" t="s">
        <v>1163</v>
      </c>
      <c r="C308" s="542" t="s">
        <v>479</v>
      </c>
      <c r="D308" s="525">
        <v>500</v>
      </c>
      <c r="E308" s="541" t="s">
        <v>73</v>
      </c>
      <c r="F308" s="547"/>
      <c r="G308" s="547"/>
      <c r="H308" s="547"/>
    </row>
    <row r="309" spans="1:8" s="19" customFormat="1" ht="31.5" x14ac:dyDescent="0.25">
      <c r="A309" s="580" t="s">
        <v>2048</v>
      </c>
      <c r="B309" s="541" t="s">
        <v>1164</v>
      </c>
      <c r="C309" s="542" t="s">
        <v>2049</v>
      </c>
      <c r="D309" s="525">
        <v>4</v>
      </c>
      <c r="E309" s="541" t="s">
        <v>73</v>
      </c>
      <c r="F309" s="547"/>
      <c r="G309" s="547"/>
      <c r="H309" s="547"/>
    </row>
    <row r="310" spans="1:8" s="19" customFormat="1" ht="31.5" x14ac:dyDescent="0.25">
      <c r="A310" s="580" t="s">
        <v>2050</v>
      </c>
      <c r="B310" s="541" t="s">
        <v>1165</v>
      </c>
      <c r="C310" s="542" t="s">
        <v>2051</v>
      </c>
      <c r="D310" s="525">
        <v>2</v>
      </c>
      <c r="E310" s="541" t="s">
        <v>73</v>
      </c>
      <c r="F310" s="547"/>
      <c r="G310" s="547"/>
      <c r="H310" s="547"/>
    </row>
    <row r="311" spans="1:8" s="19" customFormat="1" ht="31.5" x14ac:dyDescent="0.25">
      <c r="A311" s="580" t="s">
        <v>629</v>
      </c>
      <c r="B311" s="541" t="s">
        <v>1166</v>
      </c>
      <c r="C311" s="542" t="s">
        <v>480</v>
      </c>
      <c r="D311" s="525">
        <v>1</v>
      </c>
      <c r="E311" s="541" t="s">
        <v>38</v>
      </c>
      <c r="F311" s="547"/>
      <c r="G311" s="547"/>
      <c r="H311" s="547"/>
    </row>
    <row r="312" spans="1:8" s="19" customFormat="1" ht="31.5" x14ac:dyDescent="0.25">
      <c r="A312" s="580" t="s">
        <v>630</v>
      </c>
      <c r="B312" s="541" t="s">
        <v>1167</v>
      </c>
      <c r="C312" s="542" t="s">
        <v>1964</v>
      </c>
      <c r="D312" s="525">
        <v>1</v>
      </c>
      <c r="E312" s="541" t="s">
        <v>38</v>
      </c>
      <c r="F312" s="547"/>
      <c r="G312" s="547"/>
      <c r="H312" s="547"/>
    </row>
    <row r="313" spans="1:8" s="19" customFormat="1" ht="31.5" x14ac:dyDescent="0.25">
      <c r="A313" s="580" t="s">
        <v>136</v>
      </c>
      <c r="B313" s="541" t="s">
        <v>1168</v>
      </c>
      <c r="C313" s="542" t="s">
        <v>2021</v>
      </c>
      <c r="D313" s="525">
        <v>4</v>
      </c>
      <c r="E313" s="541" t="s">
        <v>38</v>
      </c>
      <c r="F313" s="547"/>
      <c r="G313" s="547"/>
      <c r="H313" s="547"/>
    </row>
    <row r="314" spans="1:8" s="19" customFormat="1" ht="18" customHeight="1" x14ac:dyDescent="0.25">
      <c r="A314" s="580" t="s">
        <v>631</v>
      </c>
      <c r="B314" s="541" t="s">
        <v>1169</v>
      </c>
      <c r="C314" s="542" t="s">
        <v>481</v>
      </c>
      <c r="D314" s="525">
        <v>2</v>
      </c>
      <c r="E314" s="541" t="s">
        <v>38</v>
      </c>
      <c r="F314" s="547"/>
      <c r="G314" s="547"/>
      <c r="H314" s="547"/>
    </row>
    <row r="315" spans="1:8" s="19" customFormat="1" ht="31.5" x14ac:dyDescent="0.25">
      <c r="A315" s="580" t="s">
        <v>632</v>
      </c>
      <c r="B315" s="541" t="s">
        <v>1170</v>
      </c>
      <c r="C315" s="542" t="s">
        <v>482</v>
      </c>
      <c r="D315" s="525">
        <v>17</v>
      </c>
      <c r="E315" s="541" t="s">
        <v>38</v>
      </c>
      <c r="F315" s="547"/>
      <c r="G315" s="547"/>
      <c r="H315" s="547"/>
    </row>
    <row r="316" spans="1:8" s="19" customFormat="1" x14ac:dyDescent="0.25">
      <c r="A316" s="580" t="s">
        <v>633</v>
      </c>
      <c r="B316" s="541" t="s">
        <v>1171</v>
      </c>
      <c r="C316" s="542" t="s">
        <v>483</v>
      </c>
      <c r="D316" s="525">
        <v>79</v>
      </c>
      <c r="E316" s="541" t="s">
        <v>38</v>
      </c>
      <c r="F316" s="547"/>
      <c r="G316" s="547"/>
      <c r="H316" s="547"/>
    </row>
    <row r="317" spans="1:8" s="19" customFormat="1" x14ac:dyDescent="0.25">
      <c r="A317" s="580" t="s">
        <v>634</v>
      </c>
      <c r="B317" s="541" t="s">
        <v>1172</v>
      </c>
      <c r="C317" s="542" t="s">
        <v>484</v>
      </c>
      <c r="D317" s="525">
        <v>116</v>
      </c>
      <c r="E317" s="541" t="s">
        <v>38</v>
      </c>
      <c r="F317" s="547"/>
      <c r="G317" s="547"/>
      <c r="H317" s="547"/>
    </row>
    <row r="318" spans="1:8" s="19" customFormat="1" x14ac:dyDescent="0.25">
      <c r="A318" s="580" t="s">
        <v>635</v>
      </c>
      <c r="B318" s="541" t="s">
        <v>1173</v>
      </c>
      <c r="C318" s="542" t="s">
        <v>485</v>
      </c>
      <c r="D318" s="525">
        <v>2</v>
      </c>
      <c r="E318" s="541" t="s">
        <v>38</v>
      </c>
      <c r="F318" s="547"/>
      <c r="G318" s="547"/>
      <c r="H318" s="547"/>
    </row>
    <row r="319" spans="1:8" s="19" customFormat="1" ht="31.5" x14ac:dyDescent="0.25">
      <c r="A319" s="580" t="s">
        <v>636</v>
      </c>
      <c r="B319" s="541" t="s">
        <v>1174</v>
      </c>
      <c r="C319" s="542" t="s">
        <v>486</v>
      </c>
      <c r="D319" s="525">
        <v>34</v>
      </c>
      <c r="E319" s="541" t="s">
        <v>38</v>
      </c>
      <c r="F319" s="547"/>
      <c r="G319" s="547"/>
      <c r="H319" s="547"/>
    </row>
    <row r="320" spans="1:8" s="19" customFormat="1" ht="31.5" x14ac:dyDescent="0.25">
      <c r="A320" s="580" t="s">
        <v>1963</v>
      </c>
      <c r="B320" s="541" t="s">
        <v>1175</v>
      </c>
      <c r="C320" s="542" t="s">
        <v>487</v>
      </c>
      <c r="D320" s="525">
        <v>5</v>
      </c>
      <c r="E320" s="541" t="s">
        <v>38</v>
      </c>
      <c r="F320" s="547"/>
      <c r="G320" s="547"/>
      <c r="H320" s="547"/>
    </row>
    <row r="321" spans="1:8" s="19" customFormat="1" ht="31.5" x14ac:dyDescent="0.25">
      <c r="A321" s="580" t="s">
        <v>637</v>
      </c>
      <c r="B321" s="541" t="s">
        <v>1176</v>
      </c>
      <c r="C321" s="542" t="s">
        <v>488</v>
      </c>
      <c r="D321" s="525">
        <v>6</v>
      </c>
      <c r="E321" s="541" t="s">
        <v>38</v>
      </c>
      <c r="F321" s="547"/>
      <c r="G321" s="547"/>
      <c r="H321" s="547"/>
    </row>
    <row r="322" spans="1:8" s="19" customFormat="1" ht="31.5" x14ac:dyDescent="0.25">
      <c r="A322" s="580" t="s">
        <v>638</v>
      </c>
      <c r="B322" s="541" t="s">
        <v>1177</v>
      </c>
      <c r="C322" s="542" t="s">
        <v>489</v>
      </c>
      <c r="D322" s="525">
        <v>1</v>
      </c>
      <c r="E322" s="541" t="s">
        <v>38</v>
      </c>
      <c r="F322" s="547"/>
      <c r="G322" s="547"/>
      <c r="H322" s="547"/>
    </row>
    <row r="323" spans="1:8" s="19" customFormat="1" x14ac:dyDescent="0.25">
      <c r="A323" s="580" t="s">
        <v>639</v>
      </c>
      <c r="B323" s="541" t="s">
        <v>1178</v>
      </c>
      <c r="C323" s="542" t="s">
        <v>490</v>
      </c>
      <c r="D323" s="525">
        <v>35</v>
      </c>
      <c r="E323" s="541" t="s">
        <v>38</v>
      </c>
      <c r="F323" s="547"/>
      <c r="G323" s="547"/>
      <c r="H323" s="547"/>
    </row>
    <row r="324" spans="1:8" s="19" customFormat="1" x14ac:dyDescent="0.25">
      <c r="A324" s="580" t="s">
        <v>640</v>
      </c>
      <c r="B324" s="541" t="s">
        <v>1179</v>
      </c>
      <c r="C324" s="542" t="s">
        <v>491</v>
      </c>
      <c r="D324" s="525">
        <v>3</v>
      </c>
      <c r="E324" s="541" t="s">
        <v>38</v>
      </c>
      <c r="F324" s="547"/>
      <c r="G324" s="547"/>
      <c r="H324" s="547"/>
    </row>
    <row r="325" spans="1:8" s="19" customFormat="1" x14ac:dyDescent="0.25">
      <c r="A325" s="580" t="s">
        <v>641</v>
      </c>
      <c r="B325" s="541" t="s">
        <v>1180</v>
      </c>
      <c r="C325" s="542" t="s">
        <v>492</v>
      </c>
      <c r="D325" s="525">
        <v>5</v>
      </c>
      <c r="E325" s="541" t="s">
        <v>38</v>
      </c>
      <c r="F325" s="547"/>
      <c r="G325" s="547"/>
      <c r="H325" s="547"/>
    </row>
    <row r="326" spans="1:8" s="19" customFormat="1" x14ac:dyDescent="0.25">
      <c r="A326" s="580" t="s">
        <v>642</v>
      </c>
      <c r="B326" s="541" t="s">
        <v>1181</v>
      </c>
      <c r="C326" s="542" t="s">
        <v>493</v>
      </c>
      <c r="D326" s="525">
        <v>2</v>
      </c>
      <c r="E326" s="541" t="s">
        <v>38</v>
      </c>
      <c r="F326" s="547"/>
      <c r="G326" s="547"/>
      <c r="H326" s="547"/>
    </row>
    <row r="327" spans="1:8" s="19" customFormat="1" x14ac:dyDescent="0.25">
      <c r="A327" s="580" t="s">
        <v>2009</v>
      </c>
      <c r="B327" s="541" t="s">
        <v>1182</v>
      </c>
      <c r="C327" s="542" t="s">
        <v>494</v>
      </c>
      <c r="D327" s="525">
        <v>2</v>
      </c>
      <c r="E327" s="541" t="s">
        <v>38</v>
      </c>
      <c r="F327" s="547"/>
      <c r="G327" s="547"/>
      <c r="H327" s="547"/>
    </row>
    <row r="328" spans="1:8" s="19" customFormat="1" ht="31.5" x14ac:dyDescent="0.25">
      <c r="A328" s="580" t="s">
        <v>495</v>
      </c>
      <c r="B328" s="541" t="s">
        <v>1183</v>
      </c>
      <c r="C328" s="542" t="s">
        <v>496</v>
      </c>
      <c r="D328" s="525">
        <v>14</v>
      </c>
      <c r="E328" s="541" t="s">
        <v>38</v>
      </c>
      <c r="F328" s="547"/>
      <c r="G328" s="547"/>
      <c r="H328" s="547"/>
    </row>
    <row r="329" spans="1:8" s="19" customFormat="1" x14ac:dyDescent="0.25">
      <c r="A329" s="580" t="s">
        <v>497</v>
      </c>
      <c r="B329" s="541" t="s">
        <v>1184</v>
      </c>
      <c r="C329" s="542" t="s">
        <v>498</v>
      </c>
      <c r="D329" s="525">
        <v>4</v>
      </c>
      <c r="E329" s="541" t="s">
        <v>38</v>
      </c>
      <c r="F329" s="547"/>
      <c r="G329" s="547"/>
      <c r="H329" s="547"/>
    </row>
    <row r="330" spans="1:8" s="19" customFormat="1" ht="31.5" x14ac:dyDescent="0.25">
      <c r="A330" s="580" t="s">
        <v>643</v>
      </c>
      <c r="B330" s="541" t="s">
        <v>1185</v>
      </c>
      <c r="C330" s="542" t="s">
        <v>499</v>
      </c>
      <c r="D330" s="525">
        <v>111</v>
      </c>
      <c r="E330" s="541" t="s">
        <v>73</v>
      </c>
      <c r="F330" s="547"/>
      <c r="G330" s="547"/>
      <c r="H330" s="547"/>
    </row>
    <row r="331" spans="1:8" s="19" customFormat="1" ht="31.5" x14ac:dyDescent="0.25">
      <c r="A331" s="580" t="s">
        <v>644</v>
      </c>
      <c r="B331" s="541" t="s">
        <v>1186</v>
      </c>
      <c r="C331" s="542" t="s">
        <v>500</v>
      </c>
      <c r="D331" s="525">
        <v>9</v>
      </c>
      <c r="E331" s="541" t="s">
        <v>73</v>
      </c>
      <c r="F331" s="547"/>
      <c r="G331" s="547"/>
      <c r="H331" s="547"/>
    </row>
    <row r="332" spans="1:8" s="19" customFormat="1" ht="31.5" x14ac:dyDescent="0.25">
      <c r="A332" s="580" t="s">
        <v>645</v>
      </c>
      <c r="B332" s="541" t="s">
        <v>1187</v>
      </c>
      <c r="C332" s="542" t="s">
        <v>501</v>
      </c>
      <c r="D332" s="525">
        <v>3</v>
      </c>
      <c r="E332" s="541" t="s">
        <v>73</v>
      </c>
      <c r="F332" s="547"/>
      <c r="G332" s="547"/>
      <c r="H332" s="547"/>
    </row>
    <row r="333" spans="1:8" s="19" customFormat="1" ht="31.5" x14ac:dyDescent="0.25">
      <c r="A333" s="580" t="s">
        <v>646</v>
      </c>
      <c r="B333" s="541" t="s">
        <v>1188</v>
      </c>
      <c r="C333" s="542" t="s">
        <v>502</v>
      </c>
      <c r="D333" s="525">
        <v>320</v>
      </c>
      <c r="E333" s="541" t="s">
        <v>73</v>
      </c>
      <c r="F333" s="547"/>
      <c r="G333" s="547"/>
      <c r="H333" s="547"/>
    </row>
    <row r="334" spans="1:8" s="19" customFormat="1" ht="47.25" x14ac:dyDescent="0.25">
      <c r="A334" s="580" t="s">
        <v>503</v>
      </c>
      <c r="B334" s="541" t="s">
        <v>1189</v>
      </c>
      <c r="C334" s="542" t="s">
        <v>504</v>
      </c>
      <c r="D334" s="525">
        <v>400</v>
      </c>
      <c r="E334" s="541" t="s">
        <v>73</v>
      </c>
      <c r="F334" s="547"/>
      <c r="G334" s="547"/>
      <c r="H334" s="547"/>
    </row>
    <row r="335" spans="1:8" s="19" customFormat="1" ht="31.5" x14ac:dyDescent="0.25">
      <c r="A335" s="580" t="s">
        <v>647</v>
      </c>
      <c r="B335" s="541" t="s">
        <v>1190</v>
      </c>
      <c r="C335" s="542" t="s">
        <v>505</v>
      </c>
      <c r="D335" s="525">
        <v>5</v>
      </c>
      <c r="E335" s="541" t="s">
        <v>73</v>
      </c>
      <c r="F335" s="547"/>
      <c r="G335" s="547"/>
      <c r="H335" s="547"/>
    </row>
    <row r="336" spans="1:8" s="19" customFormat="1" x14ac:dyDescent="0.25">
      <c r="A336" s="580" t="s">
        <v>648</v>
      </c>
      <c r="B336" s="541" t="s">
        <v>1191</v>
      </c>
      <c r="C336" s="542" t="s">
        <v>506</v>
      </c>
      <c r="D336" s="525">
        <v>10</v>
      </c>
      <c r="E336" s="541" t="s">
        <v>73</v>
      </c>
      <c r="F336" s="547"/>
      <c r="G336" s="547"/>
      <c r="H336" s="547"/>
    </row>
    <row r="337" spans="1:8" s="19" customFormat="1" ht="31.5" x14ac:dyDescent="0.25">
      <c r="A337" s="580" t="s">
        <v>649</v>
      </c>
      <c r="B337" s="541" t="s">
        <v>1192</v>
      </c>
      <c r="C337" s="542" t="s">
        <v>507</v>
      </c>
      <c r="D337" s="525">
        <v>18</v>
      </c>
      <c r="E337" s="541" t="s">
        <v>73</v>
      </c>
      <c r="F337" s="547"/>
      <c r="G337" s="547"/>
      <c r="H337" s="547"/>
    </row>
    <row r="338" spans="1:8" s="19" customFormat="1" ht="31.5" x14ac:dyDescent="0.25">
      <c r="A338" s="580" t="s">
        <v>650</v>
      </c>
      <c r="B338" s="541" t="s">
        <v>1193</v>
      </c>
      <c r="C338" s="542" t="s">
        <v>508</v>
      </c>
      <c r="D338" s="525">
        <v>12</v>
      </c>
      <c r="E338" s="541" t="s">
        <v>73</v>
      </c>
      <c r="F338" s="547"/>
      <c r="G338" s="547"/>
      <c r="H338" s="547"/>
    </row>
    <row r="339" spans="1:8" s="19" customFormat="1" ht="31.5" x14ac:dyDescent="0.25">
      <c r="A339" s="580" t="s">
        <v>509</v>
      </c>
      <c r="B339" s="541" t="s">
        <v>1194</v>
      </c>
      <c r="C339" s="542" t="s">
        <v>510</v>
      </c>
      <c r="D339" s="525">
        <v>30</v>
      </c>
      <c r="E339" s="541" t="s">
        <v>73</v>
      </c>
      <c r="F339" s="547"/>
      <c r="G339" s="547"/>
      <c r="H339" s="547"/>
    </row>
    <row r="340" spans="1:8" s="19" customFormat="1" x14ac:dyDescent="0.25">
      <c r="A340" s="580" t="s">
        <v>651</v>
      </c>
      <c r="B340" s="541" t="s">
        <v>1195</v>
      </c>
      <c r="C340" s="542" t="s">
        <v>511</v>
      </c>
      <c r="D340" s="525">
        <v>3</v>
      </c>
      <c r="E340" s="541" t="s">
        <v>73</v>
      </c>
      <c r="F340" s="547"/>
      <c r="G340" s="547"/>
      <c r="H340" s="547"/>
    </row>
    <row r="341" spans="1:8" s="19" customFormat="1" ht="31.5" x14ac:dyDescent="0.25">
      <c r="A341" s="580" t="s">
        <v>512</v>
      </c>
      <c r="B341" s="541" t="s">
        <v>1196</v>
      </c>
      <c r="C341" s="542" t="s">
        <v>513</v>
      </c>
      <c r="D341" s="525">
        <v>70</v>
      </c>
      <c r="E341" s="541" t="s">
        <v>73</v>
      </c>
      <c r="F341" s="547"/>
      <c r="G341" s="547"/>
      <c r="H341" s="547"/>
    </row>
    <row r="342" spans="1:8" s="19" customFormat="1" x14ac:dyDescent="0.25">
      <c r="A342" s="580" t="s">
        <v>136</v>
      </c>
      <c r="B342" s="541" t="s">
        <v>1197</v>
      </c>
      <c r="C342" s="542" t="s">
        <v>514</v>
      </c>
      <c r="D342" s="525">
        <v>86</v>
      </c>
      <c r="E342" s="541" t="s">
        <v>38</v>
      </c>
      <c r="F342" s="547"/>
      <c r="G342" s="547"/>
      <c r="H342" s="547"/>
    </row>
    <row r="343" spans="1:8" s="19" customFormat="1" ht="31.5" x14ac:dyDescent="0.25">
      <c r="A343" s="580" t="s">
        <v>652</v>
      </c>
      <c r="B343" s="541" t="s">
        <v>1198</v>
      </c>
      <c r="C343" s="542" t="s">
        <v>515</v>
      </c>
      <c r="D343" s="525">
        <v>3</v>
      </c>
      <c r="E343" s="541" t="s">
        <v>38</v>
      </c>
      <c r="F343" s="547"/>
      <c r="G343" s="547"/>
      <c r="H343" s="547"/>
    </row>
    <row r="344" spans="1:8" s="19" customFormat="1" ht="31.5" x14ac:dyDescent="0.25">
      <c r="A344" s="580" t="s">
        <v>653</v>
      </c>
      <c r="B344" s="541" t="s">
        <v>1199</v>
      </c>
      <c r="C344" s="542" t="s">
        <v>516</v>
      </c>
      <c r="D344" s="525">
        <v>11</v>
      </c>
      <c r="E344" s="541" t="s">
        <v>38</v>
      </c>
      <c r="F344" s="547"/>
      <c r="G344" s="547"/>
      <c r="H344" s="547"/>
    </row>
    <row r="345" spans="1:8" s="19" customFormat="1" ht="31.5" x14ac:dyDescent="0.25">
      <c r="A345" s="580" t="s">
        <v>654</v>
      </c>
      <c r="B345" s="541" t="s">
        <v>1200</v>
      </c>
      <c r="C345" s="542" t="s">
        <v>517</v>
      </c>
      <c r="D345" s="525">
        <v>3</v>
      </c>
      <c r="E345" s="541" t="s">
        <v>38</v>
      </c>
      <c r="F345" s="547"/>
      <c r="G345" s="547"/>
      <c r="H345" s="547"/>
    </row>
    <row r="346" spans="1:8" s="19" customFormat="1" ht="31.5" x14ac:dyDescent="0.25">
      <c r="A346" s="580" t="s">
        <v>655</v>
      </c>
      <c r="B346" s="541" t="s">
        <v>1201</v>
      </c>
      <c r="C346" s="542" t="s">
        <v>518</v>
      </c>
      <c r="D346" s="525">
        <v>2</v>
      </c>
      <c r="E346" s="541" t="s">
        <v>38</v>
      </c>
      <c r="F346" s="547"/>
      <c r="G346" s="547"/>
      <c r="H346" s="547"/>
    </row>
    <row r="347" spans="1:8" s="19" customFormat="1" x14ac:dyDescent="0.25">
      <c r="A347" s="580" t="s">
        <v>519</v>
      </c>
      <c r="B347" s="541" t="s">
        <v>1202</v>
      </c>
      <c r="C347" s="542" t="s">
        <v>520</v>
      </c>
      <c r="D347" s="525">
        <v>27</v>
      </c>
      <c r="E347" s="541" t="s">
        <v>38</v>
      </c>
      <c r="F347" s="547"/>
      <c r="G347" s="547"/>
      <c r="H347" s="547"/>
    </row>
    <row r="348" spans="1:8" s="19" customFormat="1" x14ac:dyDescent="0.25">
      <c r="A348" s="580" t="s">
        <v>521</v>
      </c>
      <c r="B348" s="541" t="s">
        <v>1203</v>
      </c>
      <c r="C348" s="542" t="s">
        <v>522</v>
      </c>
      <c r="D348" s="525">
        <v>2</v>
      </c>
      <c r="E348" s="541" t="s">
        <v>38</v>
      </c>
      <c r="F348" s="547"/>
      <c r="G348" s="547"/>
      <c r="H348" s="547"/>
    </row>
    <row r="349" spans="1:8" s="19" customFormat="1" x14ac:dyDescent="0.25">
      <c r="A349" s="580" t="s">
        <v>523</v>
      </c>
      <c r="B349" s="541" t="s">
        <v>1204</v>
      </c>
      <c r="C349" s="542" t="s">
        <v>524</v>
      </c>
      <c r="D349" s="525">
        <v>4</v>
      </c>
      <c r="E349" s="541" t="s">
        <v>38</v>
      </c>
      <c r="F349" s="547"/>
      <c r="G349" s="547"/>
      <c r="H349" s="547"/>
    </row>
    <row r="350" spans="1:8" s="19" customFormat="1" x14ac:dyDescent="0.25">
      <c r="A350" s="580" t="s">
        <v>656</v>
      </c>
      <c r="B350" s="541" t="s">
        <v>1205</v>
      </c>
      <c r="C350" s="542" t="s">
        <v>525</v>
      </c>
      <c r="D350" s="525">
        <v>7</v>
      </c>
      <c r="E350" s="541" t="s">
        <v>38</v>
      </c>
      <c r="F350" s="547"/>
      <c r="G350" s="547"/>
      <c r="H350" s="547"/>
    </row>
    <row r="351" spans="1:8" s="19" customFormat="1" ht="47.25" x14ac:dyDescent="0.25">
      <c r="A351" s="580" t="s">
        <v>526</v>
      </c>
      <c r="B351" s="541" t="s">
        <v>1206</v>
      </c>
      <c r="C351" s="542" t="s">
        <v>2035</v>
      </c>
      <c r="D351" s="525">
        <v>69</v>
      </c>
      <c r="E351" s="541" t="s">
        <v>38</v>
      </c>
      <c r="F351" s="547"/>
      <c r="G351" s="547"/>
      <c r="H351" s="547"/>
    </row>
    <row r="352" spans="1:8" s="19" customFormat="1" ht="31.5" x14ac:dyDescent="0.25">
      <c r="A352" s="580" t="s">
        <v>527</v>
      </c>
      <c r="B352" s="541" t="s">
        <v>1207</v>
      </c>
      <c r="C352" s="542" t="s">
        <v>528</v>
      </c>
      <c r="D352" s="525">
        <v>3</v>
      </c>
      <c r="E352" s="541" t="s">
        <v>38</v>
      </c>
      <c r="F352" s="547"/>
      <c r="G352" s="547"/>
      <c r="H352" s="547"/>
    </row>
    <row r="353" spans="1:8" s="19" customFormat="1" ht="31.5" x14ac:dyDescent="0.25">
      <c r="A353" s="580" t="s">
        <v>657</v>
      </c>
      <c r="B353" s="541" t="s">
        <v>1208</v>
      </c>
      <c r="C353" s="542" t="s">
        <v>529</v>
      </c>
      <c r="D353" s="525">
        <v>10</v>
      </c>
      <c r="E353" s="541" t="s">
        <v>38</v>
      </c>
      <c r="F353" s="547"/>
      <c r="G353" s="547"/>
      <c r="H353" s="547"/>
    </row>
    <row r="354" spans="1:8" s="19" customFormat="1" x14ac:dyDescent="0.25">
      <c r="A354" s="580" t="s">
        <v>658</v>
      </c>
      <c r="B354" s="541" t="s">
        <v>1209</v>
      </c>
      <c r="C354" s="542" t="s">
        <v>530</v>
      </c>
      <c r="D354" s="525">
        <v>2</v>
      </c>
      <c r="E354" s="541" t="s">
        <v>38</v>
      </c>
      <c r="F354" s="547"/>
      <c r="G354" s="547"/>
      <c r="H354" s="547"/>
    </row>
    <row r="355" spans="1:8" s="19" customFormat="1" ht="47.25" x14ac:dyDescent="0.25">
      <c r="A355" s="580" t="s">
        <v>531</v>
      </c>
      <c r="B355" s="541" t="s">
        <v>1210</v>
      </c>
      <c r="C355" s="542" t="s">
        <v>532</v>
      </c>
      <c r="D355" s="525">
        <v>1</v>
      </c>
      <c r="E355" s="541" t="s">
        <v>38</v>
      </c>
      <c r="F355" s="547"/>
      <c r="G355" s="547"/>
      <c r="H355" s="547"/>
    </row>
    <row r="356" spans="1:8" s="19" customFormat="1" ht="31.5" x14ac:dyDescent="0.25">
      <c r="A356" s="580" t="s">
        <v>533</v>
      </c>
      <c r="B356" s="541" t="s">
        <v>1211</v>
      </c>
      <c r="C356" s="542" t="s">
        <v>534</v>
      </c>
      <c r="D356" s="525">
        <v>162</v>
      </c>
      <c r="E356" s="541" t="s">
        <v>73</v>
      </c>
      <c r="F356" s="547"/>
      <c r="G356" s="547"/>
      <c r="H356" s="547"/>
    </row>
    <row r="357" spans="1:8" s="19" customFormat="1" ht="31.5" x14ac:dyDescent="0.25">
      <c r="A357" s="580" t="s">
        <v>2010</v>
      </c>
      <c r="B357" s="541" t="s">
        <v>1212</v>
      </c>
      <c r="C357" s="542" t="s">
        <v>535</v>
      </c>
      <c r="D357" s="525">
        <v>5</v>
      </c>
      <c r="E357" s="541" t="s">
        <v>38</v>
      </c>
      <c r="F357" s="547"/>
      <c r="G357" s="547"/>
      <c r="H357" s="547"/>
    </row>
    <row r="358" spans="1:8" s="19" customFormat="1" ht="31.5" x14ac:dyDescent="0.25">
      <c r="A358" s="580" t="s">
        <v>536</v>
      </c>
      <c r="B358" s="541" t="s">
        <v>1213</v>
      </c>
      <c r="C358" s="542" t="s">
        <v>537</v>
      </c>
      <c r="D358" s="525">
        <v>1</v>
      </c>
      <c r="E358" s="541" t="s">
        <v>38</v>
      </c>
      <c r="F358" s="547"/>
      <c r="G358" s="547"/>
      <c r="H358" s="547"/>
    </row>
    <row r="359" spans="1:8" s="19" customFormat="1" ht="47.25" x14ac:dyDescent="0.25">
      <c r="A359" s="580" t="s">
        <v>1966</v>
      </c>
      <c r="B359" s="541" t="s">
        <v>1214</v>
      </c>
      <c r="C359" s="542" t="s">
        <v>538</v>
      </c>
      <c r="D359" s="525">
        <v>1</v>
      </c>
      <c r="E359" s="541" t="s">
        <v>38</v>
      </c>
      <c r="F359" s="547"/>
      <c r="G359" s="547"/>
      <c r="H359" s="547"/>
    </row>
    <row r="360" spans="1:8" s="19" customFormat="1" ht="47.25" x14ac:dyDescent="0.25">
      <c r="A360" s="580" t="s">
        <v>1967</v>
      </c>
      <c r="B360" s="541" t="s">
        <v>1215</v>
      </c>
      <c r="C360" s="542" t="s">
        <v>539</v>
      </c>
      <c r="D360" s="525">
        <v>1</v>
      </c>
      <c r="E360" s="541" t="s">
        <v>38</v>
      </c>
      <c r="F360" s="547"/>
      <c r="G360" s="547"/>
      <c r="H360" s="547"/>
    </row>
    <row r="361" spans="1:8" s="19" customFormat="1" ht="47.25" x14ac:dyDescent="0.25">
      <c r="A361" s="580" t="s">
        <v>1968</v>
      </c>
      <c r="B361" s="541" t="s">
        <v>1216</v>
      </c>
      <c r="C361" s="542" t="s">
        <v>540</v>
      </c>
      <c r="D361" s="525">
        <v>1</v>
      </c>
      <c r="E361" s="541" t="s">
        <v>38</v>
      </c>
      <c r="F361" s="547"/>
      <c r="G361" s="547"/>
      <c r="H361" s="547"/>
    </row>
    <row r="362" spans="1:8" s="19" customFormat="1" x14ac:dyDescent="0.25">
      <c r="A362" s="580" t="s">
        <v>541</v>
      </c>
      <c r="B362" s="541" t="s">
        <v>1217</v>
      </c>
      <c r="C362" s="542" t="s">
        <v>542</v>
      </c>
      <c r="D362" s="525">
        <v>6</v>
      </c>
      <c r="E362" s="541" t="s">
        <v>38</v>
      </c>
      <c r="F362" s="547"/>
      <c r="G362" s="547"/>
      <c r="H362" s="547"/>
    </row>
    <row r="363" spans="1:8" s="19" customFormat="1" x14ac:dyDescent="0.25">
      <c r="A363" s="580" t="s">
        <v>543</v>
      </c>
      <c r="B363" s="541" t="s">
        <v>1218</v>
      </c>
      <c r="C363" s="542" t="s">
        <v>544</v>
      </c>
      <c r="D363" s="525">
        <v>12</v>
      </c>
      <c r="E363" s="541" t="s">
        <v>38</v>
      </c>
      <c r="F363" s="547"/>
      <c r="G363" s="547"/>
      <c r="H363" s="547"/>
    </row>
    <row r="364" spans="1:8" s="19" customFormat="1" x14ac:dyDescent="0.25">
      <c r="A364" s="580" t="s">
        <v>659</v>
      </c>
      <c r="B364" s="541" t="s">
        <v>1219</v>
      </c>
      <c r="C364" s="542" t="s">
        <v>545</v>
      </c>
      <c r="D364" s="525">
        <v>10</v>
      </c>
      <c r="E364" s="541" t="s">
        <v>38</v>
      </c>
      <c r="F364" s="547"/>
      <c r="G364" s="547"/>
      <c r="H364" s="547"/>
    </row>
    <row r="365" spans="1:8" s="19" customFormat="1" ht="31.5" x14ac:dyDescent="0.25">
      <c r="A365" s="580" t="s">
        <v>660</v>
      </c>
      <c r="B365" s="541" t="s">
        <v>1220</v>
      </c>
      <c r="C365" s="542" t="s">
        <v>546</v>
      </c>
      <c r="D365" s="525">
        <v>380</v>
      </c>
      <c r="E365" s="541" t="s">
        <v>38</v>
      </c>
      <c r="F365" s="547"/>
      <c r="G365" s="547"/>
      <c r="H365" s="547"/>
    </row>
    <row r="366" spans="1:8" s="19" customFormat="1" x14ac:dyDescent="0.25">
      <c r="A366" s="580" t="s">
        <v>661</v>
      </c>
      <c r="B366" s="541" t="s">
        <v>1221</v>
      </c>
      <c r="C366" s="542" t="s">
        <v>1965</v>
      </c>
      <c r="D366" s="525">
        <v>12</v>
      </c>
      <c r="E366" s="541" t="s">
        <v>38</v>
      </c>
      <c r="F366" s="547"/>
      <c r="G366" s="547"/>
      <c r="H366" s="547"/>
    </row>
    <row r="367" spans="1:8" s="19" customFormat="1" x14ac:dyDescent="0.25">
      <c r="A367" s="580" t="s">
        <v>662</v>
      </c>
      <c r="B367" s="541" t="s">
        <v>1222</v>
      </c>
      <c r="C367" s="542" t="s">
        <v>547</v>
      </c>
      <c r="D367" s="525">
        <v>12</v>
      </c>
      <c r="E367" s="541" t="s">
        <v>38</v>
      </c>
      <c r="F367" s="547"/>
      <c r="G367" s="547"/>
      <c r="H367" s="547"/>
    </row>
    <row r="368" spans="1:8" s="19" customFormat="1" x14ac:dyDescent="0.25">
      <c r="A368" s="580" t="s">
        <v>663</v>
      </c>
      <c r="B368" s="541" t="s">
        <v>1223</v>
      </c>
      <c r="C368" s="542" t="s">
        <v>548</v>
      </c>
      <c r="D368" s="525">
        <v>30</v>
      </c>
      <c r="E368" s="541" t="s">
        <v>38</v>
      </c>
      <c r="F368" s="547"/>
      <c r="G368" s="547"/>
      <c r="H368" s="547"/>
    </row>
    <row r="369" spans="1:8" s="19" customFormat="1" ht="31.5" x14ac:dyDescent="0.25">
      <c r="A369" s="580" t="s">
        <v>664</v>
      </c>
      <c r="B369" s="541" t="s">
        <v>1224</v>
      </c>
      <c r="C369" s="542" t="s">
        <v>549</v>
      </c>
      <c r="D369" s="525">
        <v>25</v>
      </c>
      <c r="E369" s="541" t="s">
        <v>38</v>
      </c>
      <c r="F369" s="547"/>
      <c r="G369" s="547"/>
      <c r="H369" s="547"/>
    </row>
    <row r="370" spans="1:8" s="19" customFormat="1" ht="31.5" x14ac:dyDescent="0.25">
      <c r="A370" s="580" t="s">
        <v>665</v>
      </c>
      <c r="B370" s="541" t="s">
        <v>1225</v>
      </c>
      <c r="C370" s="542" t="s">
        <v>550</v>
      </c>
      <c r="D370" s="525">
        <v>8</v>
      </c>
      <c r="E370" s="541" t="s">
        <v>38</v>
      </c>
      <c r="F370" s="547"/>
      <c r="G370" s="547"/>
      <c r="H370" s="547"/>
    </row>
    <row r="371" spans="1:8" s="19" customFormat="1" ht="31.5" x14ac:dyDescent="0.25">
      <c r="A371" s="580" t="s">
        <v>666</v>
      </c>
      <c r="B371" s="541" t="s">
        <v>1226</v>
      </c>
      <c r="C371" s="542" t="s">
        <v>551</v>
      </c>
      <c r="D371" s="525">
        <v>2</v>
      </c>
      <c r="E371" s="541" t="s">
        <v>38</v>
      </c>
      <c r="F371" s="547"/>
      <c r="G371" s="547"/>
      <c r="H371" s="547"/>
    </row>
    <row r="372" spans="1:8" s="19" customFormat="1" ht="31.5" x14ac:dyDescent="0.25">
      <c r="A372" s="580" t="s">
        <v>667</v>
      </c>
      <c r="B372" s="541" t="s">
        <v>1227</v>
      </c>
      <c r="C372" s="542" t="s">
        <v>552</v>
      </c>
      <c r="D372" s="525">
        <v>53</v>
      </c>
      <c r="E372" s="541" t="s">
        <v>38</v>
      </c>
      <c r="F372" s="547"/>
      <c r="G372" s="547"/>
      <c r="H372" s="547"/>
    </row>
    <row r="373" spans="1:8" s="19" customFormat="1" ht="31.5" x14ac:dyDescent="0.25">
      <c r="A373" s="580" t="s">
        <v>553</v>
      </c>
      <c r="B373" s="541" t="s">
        <v>1228</v>
      </c>
      <c r="C373" s="542" t="s">
        <v>554</v>
      </c>
      <c r="D373" s="525">
        <v>1</v>
      </c>
      <c r="E373" s="541" t="s">
        <v>38</v>
      </c>
      <c r="F373" s="547"/>
      <c r="G373" s="547"/>
      <c r="H373" s="547"/>
    </row>
    <row r="374" spans="1:8" s="19" customFormat="1" x14ac:dyDescent="0.25">
      <c r="A374" s="580" t="s">
        <v>555</v>
      </c>
      <c r="B374" s="541" t="s">
        <v>1229</v>
      </c>
      <c r="C374" s="542" t="s">
        <v>556</v>
      </c>
      <c r="D374" s="525">
        <v>2</v>
      </c>
      <c r="E374" s="541" t="s">
        <v>38</v>
      </c>
      <c r="F374" s="547"/>
      <c r="G374" s="547"/>
      <c r="H374" s="547"/>
    </row>
    <row r="375" spans="1:8" s="19" customFormat="1" ht="31.5" x14ac:dyDescent="0.25">
      <c r="A375" s="580" t="s">
        <v>668</v>
      </c>
      <c r="B375" s="541" t="s">
        <v>1230</v>
      </c>
      <c r="C375" s="542" t="s">
        <v>557</v>
      </c>
      <c r="D375" s="525">
        <v>2</v>
      </c>
      <c r="E375" s="541" t="s">
        <v>38</v>
      </c>
      <c r="F375" s="547"/>
      <c r="G375" s="547"/>
      <c r="H375" s="547"/>
    </row>
    <row r="376" spans="1:8" s="19" customFormat="1" ht="31.5" x14ac:dyDescent="0.25">
      <c r="A376" s="580" t="s">
        <v>669</v>
      </c>
      <c r="B376" s="541" t="s">
        <v>1231</v>
      </c>
      <c r="C376" s="542" t="s">
        <v>558</v>
      </c>
      <c r="D376" s="525">
        <v>9</v>
      </c>
      <c r="E376" s="541" t="s">
        <v>38</v>
      </c>
      <c r="F376" s="547"/>
      <c r="G376" s="547"/>
      <c r="H376" s="547"/>
    </row>
    <row r="377" spans="1:8" s="19" customFormat="1" ht="31.5" x14ac:dyDescent="0.25">
      <c r="A377" s="580" t="s">
        <v>559</v>
      </c>
      <c r="B377" s="541" t="s">
        <v>1232</v>
      </c>
      <c r="C377" s="542" t="s">
        <v>560</v>
      </c>
      <c r="D377" s="525">
        <v>6</v>
      </c>
      <c r="E377" s="541" t="s">
        <v>38</v>
      </c>
      <c r="F377" s="547"/>
      <c r="G377" s="547"/>
      <c r="H377" s="547"/>
    </row>
    <row r="378" spans="1:8" s="110" customFormat="1" x14ac:dyDescent="0.25">
      <c r="A378" s="219"/>
      <c r="B378" s="219" t="s">
        <v>1233</v>
      </c>
      <c r="C378" s="220" t="s">
        <v>561</v>
      </c>
      <c r="D378" s="217"/>
      <c r="E378" s="219"/>
      <c r="F378" s="221"/>
      <c r="G378" s="221"/>
      <c r="H378" s="221"/>
    </row>
    <row r="379" spans="1:8" s="19" customFormat="1" ht="31.5" x14ac:dyDescent="0.25">
      <c r="A379" s="580" t="s">
        <v>670</v>
      </c>
      <c r="B379" s="541" t="s">
        <v>1234</v>
      </c>
      <c r="C379" s="542" t="s">
        <v>572</v>
      </c>
      <c r="D379" s="525">
        <v>10</v>
      </c>
      <c r="E379" s="541" t="s">
        <v>73</v>
      </c>
      <c r="F379" s="547"/>
      <c r="G379" s="547"/>
      <c r="H379" s="547"/>
    </row>
    <row r="380" spans="1:8" s="19" customFormat="1" x14ac:dyDescent="0.25">
      <c r="A380" s="580" t="s">
        <v>2026</v>
      </c>
      <c r="B380" s="541" t="s">
        <v>1235</v>
      </c>
      <c r="C380" s="542" t="s">
        <v>573</v>
      </c>
      <c r="D380" s="525">
        <v>270</v>
      </c>
      <c r="E380" s="541" t="s">
        <v>73</v>
      </c>
      <c r="F380" s="547"/>
      <c r="G380" s="547"/>
      <c r="H380" s="547"/>
    </row>
    <row r="381" spans="1:8" s="19" customFormat="1" x14ac:dyDescent="0.25">
      <c r="A381" s="580" t="s">
        <v>671</v>
      </c>
      <c r="B381" s="541" t="s">
        <v>1236</v>
      </c>
      <c r="C381" s="542" t="s">
        <v>574</v>
      </c>
      <c r="D381" s="525">
        <v>10</v>
      </c>
      <c r="E381" s="541" t="s">
        <v>38</v>
      </c>
      <c r="F381" s="547"/>
      <c r="G381" s="547"/>
      <c r="H381" s="547"/>
    </row>
    <row r="382" spans="1:8" s="19" customFormat="1" ht="31.5" x14ac:dyDescent="0.25">
      <c r="A382" s="580" t="s">
        <v>638</v>
      </c>
      <c r="B382" s="541" t="s">
        <v>1237</v>
      </c>
      <c r="C382" s="542" t="s">
        <v>575</v>
      </c>
      <c r="D382" s="525">
        <v>1</v>
      </c>
      <c r="E382" s="541" t="s">
        <v>38</v>
      </c>
      <c r="F382" s="547"/>
      <c r="G382" s="547"/>
      <c r="H382" s="547"/>
    </row>
    <row r="383" spans="1:8" s="19" customFormat="1" ht="31.5" x14ac:dyDescent="0.25">
      <c r="A383" s="580" t="s">
        <v>643</v>
      </c>
      <c r="B383" s="541" t="s">
        <v>1238</v>
      </c>
      <c r="C383" s="542" t="s">
        <v>576</v>
      </c>
      <c r="D383" s="525">
        <v>54</v>
      </c>
      <c r="E383" s="541" t="s">
        <v>73</v>
      </c>
      <c r="F383" s="547"/>
      <c r="G383" s="547"/>
      <c r="H383" s="547"/>
    </row>
    <row r="384" spans="1:8" s="19" customFormat="1" ht="31.5" x14ac:dyDescent="0.25">
      <c r="A384" s="580" t="s">
        <v>645</v>
      </c>
      <c r="B384" s="541" t="s">
        <v>1239</v>
      </c>
      <c r="C384" s="542" t="s">
        <v>577</v>
      </c>
      <c r="D384" s="525">
        <v>3</v>
      </c>
      <c r="E384" s="541" t="s">
        <v>73</v>
      </c>
      <c r="F384" s="547"/>
      <c r="G384" s="547"/>
      <c r="H384" s="547"/>
    </row>
    <row r="385" spans="1:9" s="19" customFormat="1" x14ac:dyDescent="0.25">
      <c r="A385" s="580" t="s">
        <v>136</v>
      </c>
      <c r="B385" s="541" t="s">
        <v>1240</v>
      </c>
      <c r="C385" s="542" t="s">
        <v>578</v>
      </c>
      <c r="D385" s="525">
        <v>26</v>
      </c>
      <c r="E385" s="541" t="s">
        <v>38</v>
      </c>
      <c r="F385" s="547"/>
      <c r="G385" s="547"/>
      <c r="H385" s="547"/>
    </row>
    <row r="386" spans="1:9" s="19" customFormat="1" ht="31.5" x14ac:dyDescent="0.25">
      <c r="A386" s="580" t="s">
        <v>672</v>
      </c>
      <c r="B386" s="541" t="s">
        <v>1241</v>
      </c>
      <c r="C386" s="575" t="s">
        <v>579</v>
      </c>
      <c r="D386" s="525">
        <v>20</v>
      </c>
      <c r="E386" s="541" t="s">
        <v>38</v>
      </c>
      <c r="F386" s="547"/>
      <c r="G386" s="547"/>
      <c r="H386" s="547"/>
    </row>
    <row r="387" spans="1:9" s="19" customFormat="1" x14ac:dyDescent="0.25">
      <c r="A387" s="580" t="s">
        <v>658</v>
      </c>
      <c r="B387" s="541" t="s">
        <v>1242</v>
      </c>
      <c r="C387" s="542" t="s">
        <v>580</v>
      </c>
      <c r="D387" s="525">
        <v>2</v>
      </c>
      <c r="E387" s="541" t="s">
        <v>38</v>
      </c>
      <c r="F387" s="547"/>
      <c r="G387" s="547"/>
      <c r="H387" s="547"/>
    </row>
    <row r="388" spans="1:9" s="19" customFormat="1" x14ac:dyDescent="0.25">
      <c r="A388" s="580" t="s">
        <v>562</v>
      </c>
      <c r="B388" s="541" t="s">
        <v>1243</v>
      </c>
      <c r="C388" s="542" t="s">
        <v>581</v>
      </c>
      <c r="D388" s="525">
        <v>1</v>
      </c>
      <c r="E388" s="541" t="s">
        <v>38</v>
      </c>
      <c r="F388" s="547"/>
      <c r="G388" s="547"/>
      <c r="H388" s="547"/>
      <c r="I388" s="567"/>
    </row>
    <row r="389" spans="1:9" s="19" customFormat="1" x14ac:dyDescent="0.25">
      <c r="A389" s="580" t="s">
        <v>673</v>
      </c>
      <c r="B389" s="541" t="s">
        <v>1244</v>
      </c>
      <c r="C389" s="575" t="s">
        <v>582</v>
      </c>
      <c r="D389" s="525">
        <v>15</v>
      </c>
      <c r="E389" s="541" t="s">
        <v>38</v>
      </c>
      <c r="F389" s="547"/>
      <c r="G389" s="547"/>
      <c r="H389" s="547"/>
    </row>
    <row r="390" spans="1:9" s="19" customFormat="1" x14ac:dyDescent="0.25">
      <c r="A390" s="580" t="s">
        <v>674</v>
      </c>
      <c r="B390" s="541" t="s">
        <v>1245</v>
      </c>
      <c r="C390" s="542" t="s">
        <v>583</v>
      </c>
      <c r="D390" s="525">
        <v>1</v>
      </c>
      <c r="E390" s="541" t="s">
        <v>38</v>
      </c>
      <c r="F390" s="547"/>
      <c r="G390" s="547"/>
      <c r="H390" s="547"/>
    </row>
    <row r="391" spans="1:9" s="19" customFormat="1" ht="31.5" x14ac:dyDescent="0.25">
      <c r="A391" s="580" t="s">
        <v>533</v>
      </c>
      <c r="B391" s="541" t="s">
        <v>1246</v>
      </c>
      <c r="C391" s="542" t="s">
        <v>584</v>
      </c>
      <c r="D391" s="525">
        <v>24</v>
      </c>
      <c r="E391" s="541" t="s">
        <v>73</v>
      </c>
      <c r="F391" s="547"/>
      <c r="G391" s="547"/>
      <c r="H391" s="547"/>
    </row>
    <row r="392" spans="1:9" s="19" customFormat="1" x14ac:dyDescent="0.25">
      <c r="A392" s="580" t="s">
        <v>564</v>
      </c>
      <c r="B392" s="541" t="s">
        <v>1247</v>
      </c>
      <c r="C392" s="542" t="s">
        <v>585</v>
      </c>
      <c r="D392" s="525">
        <v>1</v>
      </c>
      <c r="E392" s="541" t="s">
        <v>38</v>
      </c>
      <c r="F392" s="547"/>
      <c r="G392" s="547"/>
      <c r="H392" s="547"/>
    </row>
    <row r="393" spans="1:9" s="19" customFormat="1" ht="31.5" x14ac:dyDescent="0.25">
      <c r="A393" s="580" t="s">
        <v>663</v>
      </c>
      <c r="B393" s="541" t="s">
        <v>1248</v>
      </c>
      <c r="C393" s="575" t="s">
        <v>586</v>
      </c>
      <c r="D393" s="525">
        <v>6</v>
      </c>
      <c r="E393" s="541" t="s">
        <v>38</v>
      </c>
      <c r="F393" s="547"/>
      <c r="G393" s="547"/>
      <c r="H393" s="547"/>
    </row>
    <row r="394" spans="1:9" s="19" customFormat="1" x14ac:dyDescent="0.25">
      <c r="A394" s="580" t="s">
        <v>566</v>
      </c>
      <c r="B394" s="541" t="s">
        <v>1249</v>
      </c>
      <c r="C394" s="542" t="s">
        <v>587</v>
      </c>
      <c r="D394" s="525">
        <v>3</v>
      </c>
      <c r="E394" s="541" t="s">
        <v>38</v>
      </c>
      <c r="F394" s="547"/>
      <c r="G394" s="547"/>
      <c r="H394" s="547"/>
    </row>
    <row r="395" spans="1:9" s="19" customFormat="1" ht="15.75" customHeight="1" x14ac:dyDescent="0.25">
      <c r="A395" s="580" t="s">
        <v>568</v>
      </c>
      <c r="B395" s="541" t="s">
        <v>1250</v>
      </c>
      <c r="C395" s="542" t="s">
        <v>571</v>
      </c>
      <c r="D395" s="525">
        <v>4</v>
      </c>
      <c r="E395" s="541" t="s">
        <v>38</v>
      </c>
      <c r="F395" s="547"/>
      <c r="G395" s="547"/>
      <c r="H395" s="547"/>
    </row>
    <row r="396" spans="1:9" s="110" customFormat="1" x14ac:dyDescent="0.25">
      <c r="A396" s="219"/>
      <c r="B396" s="219" t="s">
        <v>1251</v>
      </c>
      <c r="C396" s="220" t="s">
        <v>570</v>
      </c>
      <c r="D396" s="217"/>
      <c r="E396" s="219"/>
      <c r="F396" s="221"/>
      <c r="G396" s="221"/>
      <c r="H396" s="221"/>
    </row>
    <row r="397" spans="1:9" s="19" customFormat="1" ht="31.5" x14ac:dyDescent="0.25">
      <c r="A397" s="580" t="s">
        <v>675</v>
      </c>
      <c r="B397" s="541" t="s">
        <v>1252</v>
      </c>
      <c r="C397" s="575" t="s">
        <v>588</v>
      </c>
      <c r="D397" s="525">
        <v>300</v>
      </c>
      <c r="E397" s="541" t="s">
        <v>38</v>
      </c>
      <c r="F397" s="547"/>
      <c r="G397" s="547"/>
      <c r="H397" s="547"/>
    </row>
    <row r="398" spans="1:9" s="19" customFormat="1" x14ac:dyDescent="0.25">
      <c r="A398" s="580" t="s">
        <v>676</v>
      </c>
      <c r="B398" s="541" t="s">
        <v>1253</v>
      </c>
      <c r="C398" s="542" t="s">
        <v>888</v>
      </c>
      <c r="D398" s="525">
        <v>280</v>
      </c>
      <c r="E398" s="541" t="s">
        <v>73</v>
      </c>
      <c r="F398" s="547"/>
      <c r="G398" s="547"/>
      <c r="H398" s="547"/>
    </row>
    <row r="399" spans="1:9" s="19" customFormat="1" x14ac:dyDescent="0.25">
      <c r="A399" s="580" t="s">
        <v>677</v>
      </c>
      <c r="B399" s="541" t="s">
        <v>1254</v>
      </c>
      <c r="C399" s="542" t="s">
        <v>889</v>
      </c>
      <c r="D399" s="525">
        <v>26</v>
      </c>
      <c r="E399" s="541" t="s">
        <v>73</v>
      </c>
      <c r="F399" s="547"/>
      <c r="G399" s="547"/>
      <c r="H399" s="547"/>
    </row>
    <row r="400" spans="1:9" s="19" customFormat="1" ht="31.5" x14ac:dyDescent="0.25">
      <c r="A400" s="580" t="s">
        <v>2011</v>
      </c>
      <c r="B400" s="541" t="s">
        <v>1255</v>
      </c>
      <c r="C400" s="542" t="s">
        <v>890</v>
      </c>
      <c r="D400" s="525">
        <v>1</v>
      </c>
      <c r="E400" s="541" t="s">
        <v>38</v>
      </c>
      <c r="F400" s="547"/>
      <c r="G400" s="547"/>
      <c r="H400" s="547"/>
    </row>
    <row r="401" spans="1:9" s="19" customFormat="1" ht="31.5" x14ac:dyDescent="0.25">
      <c r="A401" s="580" t="s">
        <v>632</v>
      </c>
      <c r="B401" s="541" t="s">
        <v>1256</v>
      </c>
      <c r="C401" s="542" t="s">
        <v>891</v>
      </c>
      <c r="D401" s="525">
        <v>17</v>
      </c>
      <c r="E401" s="541" t="s">
        <v>38</v>
      </c>
      <c r="F401" s="547"/>
      <c r="G401" s="547"/>
      <c r="H401" s="547"/>
    </row>
    <row r="402" spans="1:9" s="19" customFormat="1" x14ac:dyDescent="0.25">
      <c r="A402" s="580" t="s">
        <v>589</v>
      </c>
      <c r="B402" s="541" t="s">
        <v>1257</v>
      </c>
      <c r="C402" s="542" t="s">
        <v>892</v>
      </c>
      <c r="D402" s="525">
        <v>9</v>
      </c>
      <c r="E402" s="541" t="s">
        <v>38</v>
      </c>
      <c r="F402" s="547"/>
      <c r="G402" s="547"/>
      <c r="H402" s="547"/>
    </row>
    <row r="403" spans="1:9" s="19" customFormat="1" x14ac:dyDescent="0.25">
      <c r="A403" s="580" t="s">
        <v>2038</v>
      </c>
      <c r="B403" s="541" t="s">
        <v>1258</v>
      </c>
      <c r="C403" s="575" t="s">
        <v>591</v>
      </c>
      <c r="D403" s="525">
        <v>12</v>
      </c>
      <c r="E403" s="541" t="s">
        <v>38</v>
      </c>
      <c r="F403" s="547"/>
      <c r="G403" s="547"/>
      <c r="H403" s="547"/>
    </row>
    <row r="404" spans="1:9" s="19" customFormat="1" ht="31.5" x14ac:dyDescent="0.25">
      <c r="A404" s="580" t="s">
        <v>2012</v>
      </c>
      <c r="B404" s="541" t="s">
        <v>1259</v>
      </c>
      <c r="C404" s="542" t="s">
        <v>893</v>
      </c>
      <c r="D404" s="525">
        <v>9</v>
      </c>
      <c r="E404" s="541" t="s">
        <v>38</v>
      </c>
      <c r="F404" s="547"/>
      <c r="G404" s="547"/>
      <c r="H404" s="547"/>
    </row>
    <row r="405" spans="1:9" s="19" customFormat="1" ht="15.75" customHeight="1" x14ac:dyDescent="0.25">
      <c r="A405" s="580" t="s">
        <v>2044</v>
      </c>
      <c r="B405" s="541" t="s">
        <v>1260</v>
      </c>
      <c r="C405" s="542" t="s">
        <v>2030</v>
      </c>
      <c r="D405" s="525">
        <v>47</v>
      </c>
      <c r="E405" s="541" t="s">
        <v>38</v>
      </c>
      <c r="F405" s="547"/>
      <c r="G405" s="547"/>
      <c r="H405" s="547"/>
    </row>
    <row r="406" spans="1:9" s="19" customFormat="1" ht="15.75" customHeight="1" x14ac:dyDescent="0.25">
      <c r="A406" s="580" t="s">
        <v>678</v>
      </c>
      <c r="B406" s="541" t="s">
        <v>1261</v>
      </c>
      <c r="C406" s="542" t="s">
        <v>894</v>
      </c>
      <c r="D406" s="525">
        <v>130</v>
      </c>
      <c r="E406" s="541" t="s">
        <v>38</v>
      </c>
      <c r="F406" s="547"/>
      <c r="G406" s="547"/>
      <c r="H406" s="547"/>
    </row>
    <row r="407" spans="1:9" s="19" customFormat="1" ht="31.5" x14ac:dyDescent="0.25">
      <c r="A407" s="580" t="s">
        <v>679</v>
      </c>
      <c r="B407" s="541" t="s">
        <v>1262</v>
      </c>
      <c r="C407" s="542" t="s">
        <v>895</v>
      </c>
      <c r="D407" s="525">
        <v>27</v>
      </c>
      <c r="E407" s="541" t="s">
        <v>73</v>
      </c>
      <c r="F407" s="547"/>
      <c r="G407" s="547"/>
      <c r="H407" s="547"/>
    </row>
    <row r="408" spans="1:9" s="19" customFormat="1" x14ac:dyDescent="0.25">
      <c r="A408" s="580" t="s">
        <v>680</v>
      </c>
      <c r="B408" s="541" t="s">
        <v>1263</v>
      </c>
      <c r="C408" s="542" t="s">
        <v>592</v>
      </c>
      <c r="D408" s="525">
        <v>2</v>
      </c>
      <c r="E408" s="541" t="s">
        <v>73</v>
      </c>
      <c r="F408" s="547"/>
      <c r="G408" s="547"/>
      <c r="H408" s="547"/>
    </row>
    <row r="409" spans="1:9" s="19" customFormat="1" x14ac:dyDescent="0.25">
      <c r="A409" s="580" t="s">
        <v>681</v>
      </c>
      <c r="B409" s="541" t="s">
        <v>1264</v>
      </c>
      <c r="C409" s="542" t="s">
        <v>896</v>
      </c>
      <c r="D409" s="525">
        <v>9</v>
      </c>
      <c r="E409" s="541" t="s">
        <v>38</v>
      </c>
      <c r="F409" s="547"/>
      <c r="G409" s="547"/>
      <c r="H409" s="547"/>
    </row>
    <row r="410" spans="1:9" s="19" customFormat="1" ht="31.5" x14ac:dyDescent="0.25">
      <c r="A410" s="580" t="s">
        <v>682</v>
      </c>
      <c r="B410" s="541" t="s">
        <v>1265</v>
      </c>
      <c r="C410" s="575" t="s">
        <v>897</v>
      </c>
      <c r="D410" s="525">
        <v>12</v>
      </c>
      <c r="E410" s="541" t="s">
        <v>38</v>
      </c>
      <c r="F410" s="547"/>
      <c r="G410" s="547"/>
      <c r="H410" s="547"/>
    </row>
    <row r="411" spans="1:9" s="19" customFormat="1" ht="31.5" x14ac:dyDescent="0.25">
      <c r="A411" s="580" t="s">
        <v>2010</v>
      </c>
      <c r="B411" s="541" t="s">
        <v>1266</v>
      </c>
      <c r="C411" s="542" t="s">
        <v>898</v>
      </c>
      <c r="D411" s="525">
        <v>9</v>
      </c>
      <c r="E411" s="541" t="s">
        <v>38</v>
      </c>
      <c r="F411" s="547"/>
      <c r="G411" s="547"/>
      <c r="H411" s="547"/>
    </row>
    <row r="412" spans="1:9" s="19" customFormat="1" ht="31.5" x14ac:dyDescent="0.25">
      <c r="A412" s="580" t="s">
        <v>2013</v>
      </c>
      <c r="B412" s="541" t="s">
        <v>1267</v>
      </c>
      <c r="C412" s="542" t="s">
        <v>899</v>
      </c>
      <c r="D412" s="525">
        <v>300</v>
      </c>
      <c r="E412" s="541" t="s">
        <v>38</v>
      </c>
      <c r="F412" s="547"/>
      <c r="G412" s="547"/>
      <c r="H412" s="547"/>
    </row>
    <row r="413" spans="1:9" s="19" customFormat="1" ht="14.25" customHeight="1" x14ac:dyDescent="0.25">
      <c r="A413" s="580" t="s">
        <v>683</v>
      </c>
      <c r="B413" s="541" t="s">
        <v>1268</v>
      </c>
      <c r="C413" s="542" t="s">
        <v>593</v>
      </c>
      <c r="D413" s="525">
        <v>30</v>
      </c>
      <c r="E413" s="541" t="s">
        <v>38</v>
      </c>
      <c r="F413" s="547"/>
      <c r="G413" s="547"/>
      <c r="H413" s="547"/>
    </row>
    <row r="414" spans="1:9" s="19" customFormat="1" x14ac:dyDescent="0.25">
      <c r="A414" s="580" t="s">
        <v>684</v>
      </c>
      <c r="B414" s="541" t="s">
        <v>1269</v>
      </c>
      <c r="C414" s="575" t="s">
        <v>900</v>
      </c>
      <c r="D414" s="568" t="s">
        <v>1969</v>
      </c>
      <c r="E414" s="541" t="s">
        <v>38</v>
      </c>
      <c r="F414" s="547"/>
      <c r="G414" s="547"/>
      <c r="H414" s="547"/>
      <c r="I414" s="569"/>
    </row>
    <row r="415" spans="1:9" s="19" customFormat="1" x14ac:dyDescent="0.25">
      <c r="A415" s="580" t="s">
        <v>2033</v>
      </c>
      <c r="B415" s="541" t="s">
        <v>1270</v>
      </c>
      <c r="C415" s="542" t="s">
        <v>901</v>
      </c>
      <c r="D415" s="525">
        <v>35</v>
      </c>
      <c r="E415" s="541" t="s">
        <v>38</v>
      </c>
      <c r="F415" s="547"/>
      <c r="G415" s="547"/>
      <c r="H415" s="547"/>
    </row>
    <row r="416" spans="1:9" s="19" customFormat="1" x14ac:dyDescent="0.25">
      <c r="A416" s="580" t="s">
        <v>2034</v>
      </c>
      <c r="B416" s="541" t="s">
        <v>1271</v>
      </c>
      <c r="C416" s="542" t="s">
        <v>902</v>
      </c>
      <c r="D416" s="525">
        <v>10</v>
      </c>
      <c r="E416" s="541" t="s">
        <v>38</v>
      </c>
      <c r="F416" s="547"/>
      <c r="G416" s="547"/>
      <c r="H416" s="547"/>
    </row>
    <row r="417" spans="1:8" s="5" customFormat="1" x14ac:dyDescent="0.25">
      <c r="A417" s="203"/>
      <c r="B417" s="203">
        <v>16</v>
      </c>
      <c r="C417" s="204" t="s">
        <v>79</v>
      </c>
      <c r="D417" s="205"/>
      <c r="E417" s="203"/>
      <c r="F417" s="206"/>
      <c r="G417" s="206"/>
      <c r="H417" s="206">
        <f>ROUND(SUM(H418:H427),2)</f>
        <v>0</v>
      </c>
    </row>
    <row r="418" spans="1:8" s="19" customFormat="1" ht="31.5" x14ac:dyDescent="0.25">
      <c r="A418" s="580" t="s">
        <v>1993</v>
      </c>
      <c r="B418" s="541" t="s">
        <v>1272</v>
      </c>
      <c r="C418" s="542" t="s">
        <v>855</v>
      </c>
      <c r="D418" s="525">
        <v>6</v>
      </c>
      <c r="E418" s="541" t="s">
        <v>31</v>
      </c>
      <c r="F418" s="547"/>
      <c r="G418" s="547"/>
      <c r="H418" s="547"/>
    </row>
    <row r="419" spans="1:8" s="19" customFormat="1" x14ac:dyDescent="0.25">
      <c r="A419" s="580" t="s">
        <v>709</v>
      </c>
      <c r="B419" s="541" t="s">
        <v>1273</v>
      </c>
      <c r="C419" s="542" t="s">
        <v>856</v>
      </c>
      <c r="D419" s="525">
        <v>2</v>
      </c>
      <c r="E419" s="541" t="s">
        <v>31</v>
      </c>
      <c r="F419" s="547"/>
      <c r="G419" s="547"/>
      <c r="H419" s="547"/>
    </row>
    <row r="420" spans="1:8" s="19" customFormat="1" ht="31.5" x14ac:dyDescent="0.25">
      <c r="A420" s="580" t="s">
        <v>686</v>
      </c>
      <c r="B420" s="541" t="s">
        <v>1274</v>
      </c>
      <c r="C420" s="542" t="s">
        <v>857</v>
      </c>
      <c r="D420" s="525">
        <v>2</v>
      </c>
      <c r="E420" s="541" t="s">
        <v>858</v>
      </c>
      <c r="F420" s="547"/>
      <c r="G420" s="547"/>
      <c r="H420" s="547"/>
    </row>
    <row r="421" spans="1:8" s="19" customFormat="1" ht="31.5" x14ac:dyDescent="0.25">
      <c r="A421" s="580" t="s">
        <v>691</v>
      </c>
      <c r="B421" s="541" t="s">
        <v>1275</v>
      </c>
      <c r="C421" s="542" t="s">
        <v>859</v>
      </c>
      <c r="D421" s="525">
        <v>5</v>
      </c>
      <c r="E421" s="541" t="s">
        <v>31</v>
      </c>
      <c r="F421" s="547"/>
      <c r="G421" s="547"/>
      <c r="H421" s="547"/>
    </row>
    <row r="422" spans="1:8" s="19" customFormat="1" ht="31.5" x14ac:dyDescent="0.25">
      <c r="A422" s="580" t="s">
        <v>692</v>
      </c>
      <c r="B422" s="541" t="s">
        <v>1276</v>
      </c>
      <c r="C422" s="542" t="s">
        <v>860</v>
      </c>
      <c r="D422" s="525">
        <v>1</v>
      </c>
      <c r="E422" s="541" t="s">
        <v>31</v>
      </c>
      <c r="F422" s="547"/>
      <c r="G422" s="547"/>
      <c r="H422" s="547"/>
    </row>
    <row r="423" spans="1:8" s="19" customFormat="1" ht="31.5" x14ac:dyDescent="0.25">
      <c r="A423" s="580" t="s">
        <v>693</v>
      </c>
      <c r="B423" s="541" t="s">
        <v>1277</v>
      </c>
      <c r="C423" s="542" t="s">
        <v>861</v>
      </c>
      <c r="D423" s="525">
        <v>4</v>
      </c>
      <c r="E423" s="541" t="s">
        <v>31</v>
      </c>
      <c r="F423" s="547"/>
      <c r="G423" s="547"/>
      <c r="H423" s="547"/>
    </row>
    <row r="424" spans="1:8" s="19" customFormat="1" ht="31.5" customHeight="1" x14ac:dyDescent="0.25">
      <c r="A424" s="580" t="s">
        <v>703</v>
      </c>
      <c r="B424" s="541" t="s">
        <v>1278</v>
      </c>
      <c r="C424" s="542" t="s">
        <v>862</v>
      </c>
      <c r="D424" s="525">
        <v>7</v>
      </c>
      <c r="E424" s="541" t="s">
        <v>31</v>
      </c>
      <c r="F424" s="547"/>
      <c r="G424" s="547"/>
      <c r="H424" s="547"/>
    </row>
    <row r="425" spans="1:8" s="19" customFormat="1" ht="31.5" x14ac:dyDescent="0.25">
      <c r="A425" s="580" t="s">
        <v>704</v>
      </c>
      <c r="B425" s="541" t="s">
        <v>1279</v>
      </c>
      <c r="C425" s="542" t="s">
        <v>863</v>
      </c>
      <c r="D425" s="525">
        <v>12</v>
      </c>
      <c r="E425" s="541" t="s">
        <v>31</v>
      </c>
      <c r="F425" s="547"/>
      <c r="G425" s="547"/>
      <c r="H425" s="547"/>
    </row>
    <row r="426" spans="1:8" s="19" customFormat="1" ht="31.5" x14ac:dyDescent="0.25">
      <c r="A426" s="580" t="s">
        <v>710</v>
      </c>
      <c r="B426" s="541" t="s">
        <v>1280</v>
      </c>
      <c r="C426" s="542" t="s">
        <v>864</v>
      </c>
      <c r="D426" s="525">
        <v>3</v>
      </c>
      <c r="E426" s="541" t="s">
        <v>31</v>
      </c>
      <c r="F426" s="547"/>
      <c r="G426" s="547"/>
      <c r="H426" s="547"/>
    </row>
    <row r="427" spans="1:8" s="19" customFormat="1" x14ac:dyDescent="0.25">
      <c r="A427" s="580" t="s">
        <v>874</v>
      </c>
      <c r="B427" s="541" t="s">
        <v>1281</v>
      </c>
      <c r="C427" s="542" t="s">
        <v>865</v>
      </c>
      <c r="D427" s="525">
        <v>23</v>
      </c>
      <c r="E427" s="541" t="s">
        <v>31</v>
      </c>
      <c r="F427" s="547"/>
      <c r="G427" s="547"/>
      <c r="H427" s="547"/>
    </row>
    <row r="428" spans="1:8" s="5" customFormat="1" x14ac:dyDescent="0.25">
      <c r="A428" s="203"/>
      <c r="B428" s="203">
        <v>17</v>
      </c>
      <c r="C428" s="204" t="s">
        <v>713</v>
      </c>
      <c r="D428" s="205"/>
      <c r="E428" s="203"/>
      <c r="F428" s="206"/>
      <c r="G428" s="206"/>
      <c r="H428" s="206">
        <f>ROUND(SUM(H429:H444),2)</f>
        <v>0</v>
      </c>
    </row>
    <row r="429" spans="1:8" s="19" customFormat="1" ht="31.5" customHeight="1" x14ac:dyDescent="0.25">
      <c r="A429" s="573" t="s">
        <v>727</v>
      </c>
      <c r="B429" s="210" t="s">
        <v>1282</v>
      </c>
      <c r="C429" s="211" t="s">
        <v>886</v>
      </c>
      <c r="D429" s="525">
        <v>11</v>
      </c>
      <c r="E429" s="541" t="s">
        <v>38</v>
      </c>
      <c r="F429" s="526"/>
      <c r="G429" s="526"/>
      <c r="H429" s="526"/>
    </row>
    <row r="430" spans="1:8" s="19" customFormat="1" ht="31.5" x14ac:dyDescent="0.25">
      <c r="A430" s="573" t="s">
        <v>728</v>
      </c>
      <c r="B430" s="210" t="s">
        <v>1283</v>
      </c>
      <c r="C430" s="211" t="s">
        <v>887</v>
      </c>
      <c r="D430" s="525">
        <v>19.190000000000001</v>
      </c>
      <c r="E430" s="541" t="s">
        <v>38</v>
      </c>
      <c r="F430" s="526"/>
      <c r="G430" s="526"/>
      <c r="H430" s="526"/>
    </row>
    <row r="431" spans="1:8" s="19" customFormat="1" ht="31.5" x14ac:dyDescent="0.25">
      <c r="A431" s="573" t="s">
        <v>729</v>
      </c>
      <c r="B431" s="210" t="s">
        <v>1284</v>
      </c>
      <c r="C431" s="211" t="s">
        <v>885</v>
      </c>
      <c r="D431" s="525">
        <v>17</v>
      </c>
      <c r="E431" s="541" t="s">
        <v>38</v>
      </c>
      <c r="F431" s="526"/>
      <c r="G431" s="526"/>
      <c r="H431" s="526"/>
    </row>
    <row r="432" spans="1:8" s="19" customFormat="1" ht="31.5" x14ac:dyDescent="0.25">
      <c r="A432" s="573" t="s">
        <v>730</v>
      </c>
      <c r="B432" s="210" t="s">
        <v>1285</v>
      </c>
      <c r="C432" s="211" t="s">
        <v>884</v>
      </c>
      <c r="D432" s="525">
        <v>2</v>
      </c>
      <c r="E432" s="210" t="s">
        <v>73</v>
      </c>
      <c r="F432" s="526"/>
      <c r="G432" s="526"/>
      <c r="H432" s="526"/>
    </row>
    <row r="433" spans="1:8" s="19" customFormat="1" x14ac:dyDescent="0.25">
      <c r="A433" s="573" t="s">
        <v>738</v>
      </c>
      <c r="B433" s="210" t="s">
        <v>1286</v>
      </c>
      <c r="C433" s="211" t="s">
        <v>737</v>
      </c>
      <c r="D433" s="525">
        <v>1</v>
      </c>
      <c r="E433" s="210" t="s">
        <v>73</v>
      </c>
      <c r="F433" s="526"/>
      <c r="G433" s="526"/>
      <c r="H433" s="526"/>
    </row>
    <row r="434" spans="1:8" s="19" customFormat="1" x14ac:dyDescent="0.25">
      <c r="A434" s="573" t="s">
        <v>1945</v>
      </c>
      <c r="B434" s="210" t="s">
        <v>1287</v>
      </c>
      <c r="C434" s="211" t="s">
        <v>718</v>
      </c>
      <c r="D434" s="525">
        <v>1.28</v>
      </c>
      <c r="E434" s="210" t="s">
        <v>53</v>
      </c>
      <c r="F434" s="526"/>
      <c r="G434" s="526"/>
      <c r="H434" s="526"/>
    </row>
    <row r="435" spans="1:8" s="19" customFormat="1" ht="31.5" x14ac:dyDescent="0.25">
      <c r="A435" s="573" t="s">
        <v>1944</v>
      </c>
      <c r="B435" s="210" t="s">
        <v>1288</v>
      </c>
      <c r="C435" s="211" t="s">
        <v>883</v>
      </c>
      <c r="D435" s="525">
        <v>1.28</v>
      </c>
      <c r="E435" s="210" t="s">
        <v>53</v>
      </c>
      <c r="F435" s="526"/>
      <c r="G435" s="526"/>
      <c r="H435" s="526"/>
    </row>
    <row r="436" spans="1:8" s="19" customFormat="1" ht="15.75" customHeight="1" x14ac:dyDescent="0.25">
      <c r="A436" s="573" t="s">
        <v>739</v>
      </c>
      <c r="B436" s="210" t="s">
        <v>1289</v>
      </c>
      <c r="C436" s="211" t="s">
        <v>719</v>
      </c>
      <c r="D436" s="525">
        <v>10</v>
      </c>
      <c r="E436" s="210" t="s">
        <v>73</v>
      </c>
      <c r="F436" s="526"/>
      <c r="G436" s="526"/>
      <c r="H436" s="526"/>
    </row>
    <row r="437" spans="1:8" s="19" customFormat="1" x14ac:dyDescent="0.25">
      <c r="A437" s="573" t="s">
        <v>740</v>
      </c>
      <c r="B437" s="210" t="s">
        <v>1290</v>
      </c>
      <c r="C437" s="211" t="s">
        <v>720</v>
      </c>
      <c r="D437" s="525">
        <v>2</v>
      </c>
      <c r="E437" s="541" t="s">
        <v>38</v>
      </c>
      <c r="F437" s="526"/>
      <c r="G437" s="526"/>
      <c r="H437" s="526"/>
    </row>
    <row r="438" spans="1:8" s="19" customFormat="1" ht="47.25" x14ac:dyDescent="0.25">
      <c r="A438" s="573" t="s">
        <v>741</v>
      </c>
      <c r="B438" s="210" t="s">
        <v>1291</v>
      </c>
      <c r="C438" s="211" t="s">
        <v>736</v>
      </c>
      <c r="D438" s="525">
        <v>1</v>
      </c>
      <c r="E438" s="541" t="s">
        <v>38</v>
      </c>
      <c r="F438" s="526"/>
      <c r="G438" s="526"/>
      <c r="H438" s="526"/>
    </row>
    <row r="439" spans="1:8" s="19" customFormat="1" x14ac:dyDescent="0.25">
      <c r="A439" s="573" t="s">
        <v>731</v>
      </c>
      <c r="B439" s="210" t="s">
        <v>1292</v>
      </c>
      <c r="C439" s="211" t="s">
        <v>722</v>
      </c>
      <c r="D439" s="525">
        <v>0.1</v>
      </c>
      <c r="E439" s="210" t="s">
        <v>41</v>
      </c>
      <c r="F439" s="526"/>
      <c r="G439" s="526"/>
      <c r="H439" s="526"/>
    </row>
    <row r="440" spans="1:8" s="19" customFormat="1" x14ac:dyDescent="0.25">
      <c r="A440" s="573" t="s">
        <v>742</v>
      </c>
      <c r="B440" s="210" t="s">
        <v>1293</v>
      </c>
      <c r="C440" s="211" t="s">
        <v>723</v>
      </c>
      <c r="D440" s="525">
        <v>1</v>
      </c>
      <c r="E440" s="541" t="s">
        <v>38</v>
      </c>
      <c r="F440" s="526"/>
      <c r="G440" s="526"/>
      <c r="H440" s="526"/>
    </row>
    <row r="441" spans="1:8" s="19" customFormat="1" x14ac:dyDescent="0.25">
      <c r="A441" s="573" t="s">
        <v>1943</v>
      </c>
      <c r="B441" s="210" t="s">
        <v>1294</v>
      </c>
      <c r="C441" s="211" t="s">
        <v>724</v>
      </c>
      <c r="D441" s="525">
        <v>2</v>
      </c>
      <c r="E441" s="541" t="s">
        <v>38</v>
      </c>
      <c r="F441" s="526"/>
      <c r="G441" s="526"/>
      <c r="H441" s="526"/>
    </row>
    <row r="442" spans="1:8" s="19" customFormat="1" x14ac:dyDescent="0.25">
      <c r="A442" s="573" t="s">
        <v>743</v>
      </c>
      <c r="B442" s="210" t="s">
        <v>1295</v>
      </c>
      <c r="C442" s="211" t="s">
        <v>725</v>
      </c>
      <c r="D442" s="525">
        <v>9</v>
      </c>
      <c r="E442" s="541" t="s">
        <v>38</v>
      </c>
      <c r="F442" s="526"/>
      <c r="G442" s="526"/>
      <c r="H442" s="526"/>
    </row>
    <row r="443" spans="1:8" s="19" customFormat="1" x14ac:dyDescent="0.25">
      <c r="A443" s="573" t="s">
        <v>744</v>
      </c>
      <c r="B443" s="210" t="s">
        <v>1296</v>
      </c>
      <c r="C443" s="211" t="s">
        <v>732</v>
      </c>
      <c r="D443" s="525">
        <v>2</v>
      </c>
      <c r="E443" s="541" t="s">
        <v>38</v>
      </c>
      <c r="F443" s="526"/>
      <c r="G443" s="526"/>
      <c r="H443" s="526"/>
    </row>
    <row r="444" spans="1:8" s="19" customFormat="1" ht="31.5" x14ac:dyDescent="0.25">
      <c r="A444" s="573" t="s">
        <v>745</v>
      </c>
      <c r="B444" s="210" t="s">
        <v>1297</v>
      </c>
      <c r="C444" s="211" t="s">
        <v>726</v>
      </c>
      <c r="D444" s="525">
        <v>2</v>
      </c>
      <c r="E444" s="541" t="s">
        <v>38</v>
      </c>
      <c r="F444" s="526"/>
      <c r="G444" s="526"/>
      <c r="H444" s="526"/>
    </row>
    <row r="445" spans="1:8" s="5" customFormat="1" x14ac:dyDescent="0.25">
      <c r="A445" s="203"/>
      <c r="B445" s="203">
        <v>18</v>
      </c>
      <c r="C445" s="204" t="str">
        <f>RESUMO!B30</f>
        <v>INSTALAÇÕES DE AR CONDICIONADO</v>
      </c>
      <c r="D445" s="205"/>
      <c r="E445" s="203"/>
      <c r="F445" s="206"/>
      <c r="G445" s="206"/>
      <c r="H445" s="206">
        <f>ROUND(SUM(H447:H456),2)</f>
        <v>0</v>
      </c>
    </row>
    <row r="446" spans="1:8" s="18" customFormat="1" x14ac:dyDescent="0.25">
      <c r="A446" s="215"/>
      <c r="B446" s="215" t="s">
        <v>1298</v>
      </c>
      <c r="C446" s="216" t="s">
        <v>183</v>
      </c>
      <c r="D446" s="217"/>
      <c r="E446" s="215"/>
      <c r="F446" s="218"/>
      <c r="G446" s="218"/>
      <c r="H446" s="218"/>
    </row>
    <row r="447" spans="1:8" s="31" customFormat="1" ht="63" x14ac:dyDescent="0.25">
      <c r="A447" s="580" t="s">
        <v>709</v>
      </c>
      <c r="B447" s="580" t="s">
        <v>1299</v>
      </c>
      <c r="C447" s="607" t="s">
        <v>2018</v>
      </c>
      <c r="D447" s="608">
        <v>2</v>
      </c>
      <c r="E447" s="580" t="s">
        <v>685</v>
      </c>
      <c r="F447" s="609"/>
      <c r="G447" s="609"/>
      <c r="H447" s="609"/>
    </row>
    <row r="448" spans="1:8" s="31" customFormat="1" ht="63" x14ac:dyDescent="0.25">
      <c r="A448" s="580" t="s">
        <v>686</v>
      </c>
      <c r="B448" s="580" t="s">
        <v>1300</v>
      </c>
      <c r="C448" s="607" t="s">
        <v>2019</v>
      </c>
      <c r="D448" s="608">
        <v>2</v>
      </c>
      <c r="E448" s="580" t="s">
        <v>685</v>
      </c>
      <c r="F448" s="609"/>
      <c r="G448" s="609"/>
      <c r="H448" s="609"/>
    </row>
    <row r="449" spans="1:8" s="31" customFormat="1" ht="63" x14ac:dyDescent="0.25">
      <c r="A449" s="580" t="s">
        <v>691</v>
      </c>
      <c r="B449" s="580" t="s">
        <v>1301</v>
      </c>
      <c r="C449" s="607" t="s">
        <v>2020</v>
      </c>
      <c r="D449" s="608">
        <v>1</v>
      </c>
      <c r="E449" s="580" t="s">
        <v>685</v>
      </c>
      <c r="F449" s="609"/>
      <c r="G449" s="609"/>
      <c r="H449" s="609"/>
    </row>
    <row r="450" spans="1:8" s="18" customFormat="1" x14ac:dyDescent="0.25">
      <c r="A450" s="215"/>
      <c r="B450" s="215" t="s">
        <v>1302</v>
      </c>
      <c r="C450" s="216" t="s">
        <v>184</v>
      </c>
      <c r="D450" s="217"/>
      <c r="E450" s="215"/>
      <c r="F450" s="218"/>
      <c r="G450" s="218"/>
      <c r="H450" s="218"/>
    </row>
    <row r="451" spans="1:8" s="19" customFormat="1" ht="47.25" x14ac:dyDescent="0.25">
      <c r="A451" s="580" t="s">
        <v>692</v>
      </c>
      <c r="B451" s="541" t="s">
        <v>1303</v>
      </c>
      <c r="C451" s="542" t="s">
        <v>714</v>
      </c>
      <c r="D451" s="525">
        <v>2</v>
      </c>
      <c r="E451" s="541" t="s">
        <v>706</v>
      </c>
      <c r="F451" s="547"/>
      <c r="G451" s="547"/>
      <c r="H451" s="547"/>
    </row>
    <row r="452" spans="1:8" s="19" customFormat="1" ht="47.25" x14ac:dyDescent="0.25">
      <c r="A452" s="580" t="s">
        <v>693</v>
      </c>
      <c r="B452" s="541" t="s">
        <v>1304</v>
      </c>
      <c r="C452" s="542" t="s">
        <v>715</v>
      </c>
      <c r="D452" s="525">
        <v>4</v>
      </c>
      <c r="E452" s="541" t="s">
        <v>706</v>
      </c>
      <c r="F452" s="547"/>
      <c r="G452" s="547"/>
      <c r="H452" s="547"/>
    </row>
    <row r="453" spans="1:8" s="19" customFormat="1" ht="47.25" x14ac:dyDescent="0.25">
      <c r="A453" s="580" t="s">
        <v>703</v>
      </c>
      <c r="B453" s="541" t="s">
        <v>1305</v>
      </c>
      <c r="C453" s="542" t="s">
        <v>716</v>
      </c>
      <c r="D453" s="525">
        <v>4</v>
      </c>
      <c r="E453" s="541" t="s">
        <v>706</v>
      </c>
      <c r="F453" s="547"/>
      <c r="G453" s="547"/>
      <c r="H453" s="547"/>
    </row>
    <row r="454" spans="1:8" s="19" customFormat="1" x14ac:dyDescent="0.25">
      <c r="A454" s="580" t="s">
        <v>704</v>
      </c>
      <c r="B454" s="541" t="s">
        <v>1306</v>
      </c>
      <c r="C454" s="542" t="s">
        <v>707</v>
      </c>
      <c r="D454" s="525">
        <v>5</v>
      </c>
      <c r="E454" s="541" t="s">
        <v>708</v>
      </c>
      <c r="F454" s="547"/>
      <c r="G454" s="547"/>
      <c r="H454" s="547"/>
    </row>
    <row r="455" spans="1:8" s="18" customFormat="1" x14ac:dyDescent="0.25">
      <c r="A455" s="215"/>
      <c r="B455" s="215" t="s">
        <v>1307</v>
      </c>
      <c r="C455" s="216" t="s">
        <v>711</v>
      </c>
      <c r="D455" s="217"/>
      <c r="E455" s="215"/>
      <c r="F455" s="218"/>
      <c r="G455" s="218"/>
      <c r="H455" s="218"/>
    </row>
    <row r="456" spans="1:8" s="19" customFormat="1" ht="47.25" x14ac:dyDescent="0.25">
      <c r="A456" s="580" t="s">
        <v>710</v>
      </c>
      <c r="B456" s="541" t="s">
        <v>1308</v>
      </c>
      <c r="C456" s="542" t="s">
        <v>903</v>
      </c>
      <c r="D456" s="525">
        <v>1</v>
      </c>
      <c r="E456" s="541" t="s">
        <v>712</v>
      </c>
      <c r="F456" s="547"/>
      <c r="G456" s="547"/>
      <c r="H456" s="547"/>
    </row>
    <row r="457" spans="1:8" s="5" customFormat="1" x14ac:dyDescent="0.25">
      <c r="A457" s="203"/>
      <c r="B457" s="203">
        <v>19</v>
      </c>
      <c r="C457" s="204" t="s">
        <v>81</v>
      </c>
      <c r="D457" s="205"/>
      <c r="E457" s="203"/>
      <c r="F457" s="206"/>
      <c r="G457" s="206"/>
      <c r="H457" s="206">
        <f>ROUND(SUM(H458:H465),2)</f>
        <v>0</v>
      </c>
    </row>
    <row r="458" spans="1:8" s="105" customFormat="1" ht="47.25" x14ac:dyDescent="0.25">
      <c r="A458" s="573" t="s">
        <v>1961</v>
      </c>
      <c r="B458" s="210" t="s">
        <v>1599</v>
      </c>
      <c r="C458" s="211" t="s">
        <v>418</v>
      </c>
      <c r="D458" s="525">
        <v>32</v>
      </c>
      <c r="E458" s="210" t="s">
        <v>36</v>
      </c>
      <c r="F458" s="526"/>
      <c r="G458" s="526"/>
      <c r="H458" s="526"/>
    </row>
    <row r="459" spans="1:8" s="105" customFormat="1" ht="31.5" x14ac:dyDescent="0.25">
      <c r="A459" s="573" t="s">
        <v>1994</v>
      </c>
      <c r="B459" s="210" t="s">
        <v>1603</v>
      </c>
      <c r="C459" s="211" t="s">
        <v>142</v>
      </c>
      <c r="D459" s="525">
        <v>535.20000000000005</v>
      </c>
      <c r="E459" s="210" t="s">
        <v>36</v>
      </c>
      <c r="F459" s="526"/>
      <c r="G459" s="526"/>
      <c r="H459" s="526"/>
    </row>
    <row r="460" spans="1:8" s="105" customFormat="1" x14ac:dyDescent="0.25">
      <c r="A460" s="573" t="s">
        <v>1995</v>
      </c>
      <c r="B460" s="210" t="s">
        <v>1604</v>
      </c>
      <c r="C460" s="211" t="s">
        <v>338</v>
      </c>
      <c r="D460" s="525">
        <v>0.98</v>
      </c>
      <c r="E460" s="210" t="s">
        <v>53</v>
      </c>
      <c r="F460" s="526"/>
      <c r="G460" s="526"/>
      <c r="H460" s="526"/>
    </row>
    <row r="461" spans="1:8" s="105" customFormat="1" x14ac:dyDescent="0.25">
      <c r="A461" s="573" t="s">
        <v>1996</v>
      </c>
      <c r="B461" s="210" t="s">
        <v>1605</v>
      </c>
      <c r="C461" s="211" t="s">
        <v>337</v>
      </c>
      <c r="D461" s="525">
        <v>3.12</v>
      </c>
      <c r="E461" s="210" t="s">
        <v>73</v>
      </c>
      <c r="F461" s="526"/>
      <c r="G461" s="526"/>
      <c r="H461" s="526"/>
    </row>
    <row r="462" spans="1:8" s="105" customFormat="1" ht="47.25" x14ac:dyDescent="0.25">
      <c r="A462" s="573" t="s">
        <v>49</v>
      </c>
      <c r="B462" s="210" t="s">
        <v>1606</v>
      </c>
      <c r="C462" s="211" t="s">
        <v>341</v>
      </c>
      <c r="D462" s="525">
        <v>2</v>
      </c>
      <c r="E462" s="210" t="s">
        <v>50</v>
      </c>
      <c r="F462" s="526"/>
      <c r="G462" s="526"/>
      <c r="H462" s="526"/>
    </row>
    <row r="463" spans="1:8" s="105" customFormat="1" x14ac:dyDescent="0.25">
      <c r="A463" s="573" t="s">
        <v>100</v>
      </c>
      <c r="B463" s="210" t="s">
        <v>1607</v>
      </c>
      <c r="C463" s="211" t="s">
        <v>180</v>
      </c>
      <c r="D463" s="525">
        <v>18</v>
      </c>
      <c r="E463" s="210" t="s">
        <v>50</v>
      </c>
      <c r="F463" s="526"/>
      <c r="G463" s="526"/>
      <c r="H463" s="526"/>
    </row>
    <row r="464" spans="1:8" s="105" customFormat="1" ht="31.5" x14ac:dyDescent="0.25">
      <c r="A464" s="573" t="s">
        <v>120</v>
      </c>
      <c r="B464" s="210" t="s">
        <v>1608</v>
      </c>
      <c r="C464" s="211" t="s">
        <v>143</v>
      </c>
      <c r="D464" s="525">
        <v>4</v>
      </c>
      <c r="E464" s="210" t="s">
        <v>50</v>
      </c>
      <c r="F464" s="526"/>
      <c r="G464" s="526"/>
      <c r="H464" s="526"/>
    </row>
    <row r="465" spans="1:10" s="105" customFormat="1" x14ac:dyDescent="0.25">
      <c r="A465" s="573" t="s">
        <v>342</v>
      </c>
      <c r="B465" s="210" t="s">
        <v>1609</v>
      </c>
      <c r="C465" s="211" t="s">
        <v>379</v>
      </c>
      <c r="D465" s="525">
        <v>40</v>
      </c>
      <c r="E465" s="210" t="s">
        <v>73</v>
      </c>
      <c r="F465" s="526"/>
      <c r="G465" s="526"/>
      <c r="H465" s="526"/>
    </row>
    <row r="466" spans="1:10" s="114" customFormat="1" x14ac:dyDescent="0.25">
      <c r="A466" s="222"/>
      <c r="B466" s="222"/>
      <c r="C466" s="223" t="s">
        <v>82</v>
      </c>
      <c r="D466" s="224"/>
      <c r="E466" s="222"/>
      <c r="F466" s="225"/>
      <c r="G466" s="225"/>
      <c r="H466" s="225"/>
    </row>
    <row r="468" spans="1:10" x14ac:dyDescent="0.25">
      <c r="A468" s="59" t="s">
        <v>83</v>
      </c>
      <c r="B468" s="164"/>
      <c r="C468" s="51"/>
      <c r="D468" s="46"/>
      <c r="E468" s="52"/>
      <c r="F468" s="52"/>
    </row>
    <row r="469" spans="1:10" ht="34.5" customHeight="1" x14ac:dyDescent="0.25">
      <c r="A469" s="617" t="s">
        <v>218</v>
      </c>
      <c r="B469" s="617"/>
      <c r="C469" s="617"/>
      <c r="D469" s="617"/>
      <c r="E469" s="617"/>
      <c r="F469" s="617"/>
      <c r="G469" s="617"/>
      <c r="H469" s="617"/>
    </row>
    <row r="470" spans="1:10" x14ac:dyDescent="0.25">
      <c r="A470" s="617" t="s">
        <v>219</v>
      </c>
      <c r="B470" s="617"/>
      <c r="C470" s="617"/>
      <c r="D470" s="617"/>
      <c r="E470" s="617"/>
      <c r="F470" s="617"/>
      <c r="G470" s="617"/>
      <c r="H470" s="617"/>
    </row>
    <row r="471" spans="1:10" s="19" customFormat="1" ht="33" customHeight="1" x14ac:dyDescent="0.25">
      <c r="A471" s="617" t="s">
        <v>220</v>
      </c>
      <c r="B471" s="617"/>
      <c r="C471" s="617"/>
      <c r="D471" s="617"/>
      <c r="E471" s="617"/>
      <c r="F471" s="617"/>
      <c r="G471" s="617"/>
      <c r="H471" s="617"/>
    </row>
    <row r="472" spans="1:10" s="19" customFormat="1" x14ac:dyDescent="0.25">
      <c r="A472" s="617" t="s">
        <v>1613</v>
      </c>
      <c r="B472" s="617"/>
      <c r="C472" s="617"/>
      <c r="D472" s="617"/>
      <c r="E472" s="617"/>
      <c r="F472" s="617"/>
      <c r="G472" s="617"/>
      <c r="H472" s="617"/>
    </row>
    <row r="473" spans="1:10" s="19" customFormat="1" x14ac:dyDescent="0.25">
      <c r="A473" s="617" t="s">
        <v>1610</v>
      </c>
      <c r="B473" s="617"/>
      <c r="C473" s="617"/>
      <c r="D473" s="617"/>
      <c r="E473" s="617"/>
      <c r="F473" s="617"/>
      <c r="G473" s="617"/>
      <c r="H473" s="617"/>
    </row>
    <row r="474" spans="1:10" s="19" customFormat="1" x14ac:dyDescent="0.25">
      <c r="A474" s="617" t="s">
        <v>1611</v>
      </c>
      <c r="B474" s="617"/>
      <c r="C474" s="617"/>
      <c r="D474" s="617"/>
      <c r="E474" s="617"/>
      <c r="F474" s="617"/>
      <c r="G474" s="617"/>
      <c r="H474" s="617"/>
    </row>
    <row r="475" spans="1:10" s="19" customFormat="1" x14ac:dyDescent="0.25">
      <c r="A475" s="617" t="s">
        <v>1612</v>
      </c>
      <c r="B475" s="617"/>
      <c r="C475" s="617"/>
      <c r="D475" s="617"/>
      <c r="E475" s="617"/>
      <c r="F475" s="617"/>
      <c r="G475" s="617"/>
      <c r="H475" s="617"/>
    </row>
    <row r="476" spans="1:10" s="19" customFormat="1" x14ac:dyDescent="0.25">
      <c r="A476" s="617" t="s">
        <v>1614</v>
      </c>
      <c r="B476" s="617"/>
      <c r="C476" s="617"/>
      <c r="D476" s="617"/>
      <c r="E476" s="617"/>
      <c r="F476" s="617"/>
      <c r="G476" s="617"/>
      <c r="H476" s="617"/>
    </row>
    <row r="477" spans="1:10" s="23" customFormat="1" x14ac:dyDescent="0.25">
      <c r="A477" s="41" t="s">
        <v>2039</v>
      </c>
      <c r="B477" s="46"/>
      <c r="C477" s="50"/>
      <c r="D477" s="51"/>
      <c r="E477" s="46"/>
      <c r="F477" s="52"/>
      <c r="G477" s="52"/>
      <c r="H477" s="45"/>
      <c r="J477" s="32"/>
    </row>
    <row r="478" spans="1:10" s="34" customFormat="1" x14ac:dyDescent="0.25">
      <c r="A478" s="91" t="s">
        <v>2053</v>
      </c>
      <c r="B478" s="53"/>
      <c r="C478" s="54"/>
      <c r="D478" s="51"/>
      <c r="E478" s="53"/>
      <c r="F478" s="55"/>
      <c r="G478" s="55"/>
      <c r="H478" s="56"/>
    </row>
    <row r="479" spans="1:10" s="155" customFormat="1" x14ac:dyDescent="0.25">
      <c r="A479" s="47"/>
      <c r="B479" s="53"/>
      <c r="C479" s="54"/>
      <c r="D479" s="51"/>
      <c r="E479" s="53"/>
      <c r="F479" s="55"/>
      <c r="G479" s="55"/>
      <c r="H479" s="56"/>
    </row>
    <row r="480" spans="1:10" s="155" customFormat="1" x14ac:dyDescent="0.25">
      <c r="A480" s="47"/>
      <c r="B480" s="53"/>
      <c r="C480" s="54"/>
      <c r="D480" s="51"/>
      <c r="E480" s="53"/>
      <c r="F480" s="55"/>
      <c r="G480" s="55"/>
      <c r="H480" s="56"/>
    </row>
    <row r="481" spans="1:8" s="155" customFormat="1" x14ac:dyDescent="0.25">
      <c r="A481" s="47" t="s">
        <v>2054</v>
      </c>
      <c r="B481" s="53"/>
      <c r="C481" s="54"/>
      <c r="D481" s="51"/>
      <c r="E481" s="53"/>
      <c r="F481" s="55"/>
      <c r="G481" s="55"/>
      <c r="H481" s="56"/>
    </row>
    <row r="482" spans="1:8" s="155" customFormat="1" x14ac:dyDescent="0.25">
      <c r="A482" s="47"/>
      <c r="B482" s="53"/>
      <c r="C482" s="54"/>
      <c r="D482" s="51"/>
      <c r="E482" s="53"/>
      <c r="F482" s="55"/>
      <c r="G482" s="55"/>
      <c r="H482" s="56"/>
    </row>
    <row r="483" spans="1:8" s="155" customFormat="1" x14ac:dyDescent="0.25">
      <c r="A483" s="47"/>
      <c r="B483" s="53"/>
      <c r="C483" s="54"/>
      <c r="D483" s="51"/>
      <c r="E483" s="53"/>
      <c r="F483" s="55"/>
      <c r="G483" s="55"/>
      <c r="H483" s="56"/>
    </row>
    <row r="484" spans="1:8" s="155" customFormat="1" x14ac:dyDescent="0.25">
      <c r="A484" s="47"/>
      <c r="B484" s="53"/>
      <c r="C484" s="54"/>
      <c r="D484" s="51"/>
      <c r="E484" s="53"/>
      <c r="F484" s="55"/>
      <c r="G484" s="55"/>
      <c r="H484" s="56"/>
    </row>
    <row r="485" spans="1:8" s="156" customFormat="1" x14ac:dyDescent="0.25">
      <c r="A485" s="91"/>
      <c r="B485" s="42"/>
      <c r="C485" s="43"/>
      <c r="D485" s="44"/>
      <c r="E485" s="42"/>
      <c r="F485" s="45"/>
      <c r="G485" s="45"/>
      <c r="H485" s="45"/>
    </row>
    <row r="486" spans="1:8" s="156" customFormat="1" x14ac:dyDescent="0.25">
      <c r="A486" s="91"/>
      <c r="B486" s="42"/>
      <c r="C486" s="43"/>
      <c r="D486" s="44"/>
      <c r="E486" s="42"/>
      <c r="F486" s="45"/>
      <c r="G486" s="45"/>
      <c r="H486" s="45"/>
    </row>
    <row r="488" spans="1:8" x14ac:dyDescent="0.25">
      <c r="B488" s="616" t="s">
        <v>23</v>
      </c>
      <c r="C488" s="616"/>
      <c r="D488" s="616"/>
    </row>
    <row r="489" spans="1:8" x14ac:dyDescent="0.25">
      <c r="B489" s="616" t="s">
        <v>2056</v>
      </c>
      <c r="C489" s="616"/>
      <c r="D489" s="616"/>
    </row>
    <row r="490" spans="1:8" x14ac:dyDescent="0.25">
      <c r="B490" s="616"/>
      <c r="C490" s="616"/>
      <c r="D490" s="616"/>
    </row>
    <row r="491" spans="1:8" x14ac:dyDescent="0.25">
      <c r="B491" s="616"/>
      <c r="C491" s="616"/>
      <c r="D491" s="616"/>
    </row>
  </sheetData>
  <mergeCells count="16">
    <mergeCell ref="B490:D490"/>
    <mergeCell ref="B491:D491"/>
    <mergeCell ref="B488:D488"/>
    <mergeCell ref="A474:H474"/>
    <mergeCell ref="A475:H475"/>
    <mergeCell ref="A476:H476"/>
    <mergeCell ref="A10:H10"/>
    <mergeCell ref="E6:G6"/>
    <mergeCell ref="E7:G7"/>
    <mergeCell ref="I139:L139"/>
    <mergeCell ref="B489:D489"/>
    <mergeCell ref="A469:H469"/>
    <mergeCell ref="A470:H470"/>
    <mergeCell ref="A471:H471"/>
    <mergeCell ref="A472:H472"/>
    <mergeCell ref="A473:H473"/>
  </mergeCells>
  <pageMargins left="0.51181102362204722" right="0.51181102362204722" top="0.98425196850393704" bottom="0.59055118110236227" header="0.31496062992125984" footer="0.31496062992125984"/>
  <pageSetup paperSize="9" scale="44" fitToHeight="0" orientation="portrait" r:id="rId1"/>
  <headerFooter>
    <oddHeader xml:space="preserve">&amp;C
</oddHeader>
    <oddFooter>&amp;R&amp;P/&amp;N</oddFooter>
  </headerFooter>
  <rowBreaks count="1" manualBreakCount="1">
    <brk id="44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1452"/>
  <sheetViews>
    <sheetView view="pageBreakPreview" topLeftCell="B1440" zoomScaleNormal="80" zoomScaleSheetLayoutView="100" workbookViewId="0">
      <selection activeCell="C50" sqref="C50"/>
    </sheetView>
  </sheetViews>
  <sheetFormatPr defaultRowHeight="15.75" x14ac:dyDescent="0.25"/>
  <cols>
    <col min="1" max="1" width="2.7109375" hidden="1" customWidth="1"/>
    <col min="2" max="2" width="25.140625" style="249" customWidth="1"/>
    <col min="3" max="3" width="97" style="249" customWidth="1"/>
    <col min="4" max="4" width="7.5703125" style="473" bestFit="1" customWidth="1"/>
    <col min="5" max="5" width="10.5703125" style="386" bestFit="1" customWidth="1"/>
    <col min="6" max="6" width="17" style="249" bestFit="1" customWidth="1"/>
    <col min="7" max="7" width="13.140625" style="249" bestFit="1" customWidth="1"/>
    <col min="8" max="8" width="16.7109375" style="35" bestFit="1" customWidth="1"/>
    <col min="9" max="9" width="9.28515625" style="35" bestFit="1" customWidth="1"/>
    <col min="10" max="10" width="12.140625" style="21" customWidth="1"/>
    <col min="11" max="11" width="10.5703125" customWidth="1"/>
  </cols>
  <sheetData>
    <row r="2" spans="1:10" s="34" customFormat="1" x14ac:dyDescent="0.25">
      <c r="A2" s="9"/>
      <c r="B2" s="653" t="s">
        <v>1600</v>
      </c>
      <c r="C2" s="653"/>
      <c r="D2" s="653"/>
      <c r="E2" s="653"/>
      <c r="F2" s="653"/>
      <c r="G2" s="653"/>
      <c r="H2" s="35"/>
      <c r="I2" s="35"/>
      <c r="J2" s="22"/>
    </row>
    <row r="4" spans="1:10" s="34" customFormat="1" x14ac:dyDescent="0.25">
      <c r="A4" s="10"/>
      <c r="B4" s="226" t="s">
        <v>144</v>
      </c>
      <c r="C4" s="227"/>
      <c r="D4" s="472"/>
      <c r="E4" s="228"/>
      <c r="F4" s="229"/>
      <c r="G4" s="230"/>
      <c r="H4" s="35"/>
      <c r="I4" s="35"/>
      <c r="J4" s="22"/>
    </row>
    <row r="5" spans="1:10" s="155" customFormat="1" x14ac:dyDescent="0.25">
      <c r="A5" s="10"/>
      <c r="B5" s="174"/>
      <c r="C5" s="231"/>
      <c r="D5" s="443"/>
      <c r="E5" s="232"/>
      <c r="F5" s="233"/>
      <c r="G5" s="234"/>
      <c r="H5" s="35"/>
      <c r="I5" s="35"/>
      <c r="J5" s="22"/>
    </row>
    <row r="6" spans="1:10" s="155" customFormat="1" x14ac:dyDescent="0.25">
      <c r="A6" s="10"/>
      <c r="B6" s="235" t="s">
        <v>49</v>
      </c>
      <c r="C6" s="622" t="str">
        <f>ORÇAMENTO!C14</f>
        <v>PLACA DE OBRA EM CHAPA DE AÇO GALVANIZADO, CONFORME MANUAL DE PLACAS DO GOVERNO FEDERAL</v>
      </c>
      <c r="D6" s="622"/>
      <c r="E6" s="622"/>
      <c r="F6" s="622"/>
      <c r="G6" s="622"/>
      <c r="H6" s="35"/>
      <c r="I6" s="35"/>
      <c r="J6" s="22"/>
    </row>
    <row r="7" spans="1:10" s="155" customFormat="1" x14ac:dyDescent="0.25">
      <c r="A7" s="10"/>
      <c r="B7" s="113" t="s">
        <v>84</v>
      </c>
      <c r="C7" s="236" t="s">
        <v>85</v>
      </c>
      <c r="D7" s="113" t="s">
        <v>31</v>
      </c>
      <c r="E7" s="237" t="s">
        <v>86</v>
      </c>
      <c r="F7" s="238" t="s">
        <v>87</v>
      </c>
      <c r="G7" s="239" t="s">
        <v>88</v>
      </c>
      <c r="H7" s="35"/>
      <c r="I7" s="35"/>
      <c r="J7" s="22"/>
    </row>
    <row r="8" spans="1:10" s="155" customFormat="1" ht="31.5" x14ac:dyDescent="0.25">
      <c r="A8" s="10"/>
      <c r="B8" s="583" t="s">
        <v>1636</v>
      </c>
      <c r="C8" s="240" t="s">
        <v>1637</v>
      </c>
      <c r="D8" s="48" t="s">
        <v>41</v>
      </c>
      <c r="E8" s="241">
        <v>0.01</v>
      </c>
      <c r="F8" s="242">
        <v>337.4</v>
      </c>
      <c r="G8" s="243">
        <f t="shared" ref="G8:G14" si="0">E8*F8</f>
        <v>3.3739999999999997</v>
      </c>
      <c r="H8" s="35"/>
      <c r="I8" s="35"/>
      <c r="J8" s="22"/>
    </row>
    <row r="9" spans="1:10" s="155" customFormat="1" x14ac:dyDescent="0.25">
      <c r="A9" s="10"/>
      <c r="B9" s="583" t="s">
        <v>1638</v>
      </c>
      <c r="C9" s="240" t="s">
        <v>1639</v>
      </c>
      <c r="D9" s="48" t="s">
        <v>91</v>
      </c>
      <c r="E9" s="241">
        <v>20.5</v>
      </c>
      <c r="F9" s="242">
        <v>22.53</v>
      </c>
      <c r="G9" s="243">
        <f t="shared" si="0"/>
        <v>461.86500000000001</v>
      </c>
      <c r="H9" s="35"/>
      <c r="I9" s="35"/>
      <c r="J9" s="22"/>
    </row>
    <row r="10" spans="1:10" s="155" customFormat="1" x14ac:dyDescent="0.25">
      <c r="A10" s="10"/>
      <c r="B10" s="583" t="s">
        <v>93</v>
      </c>
      <c r="C10" s="240" t="s">
        <v>94</v>
      </c>
      <c r="D10" s="48" t="s">
        <v>91</v>
      </c>
      <c r="E10" s="241">
        <v>17.11</v>
      </c>
      <c r="F10" s="242">
        <v>18.84</v>
      </c>
      <c r="G10" s="243">
        <f t="shared" si="0"/>
        <v>322.35239999999999</v>
      </c>
      <c r="H10" s="35"/>
      <c r="I10" s="35"/>
      <c r="J10" s="22"/>
    </row>
    <row r="11" spans="1:10" s="155" customFormat="1" x14ac:dyDescent="0.25">
      <c r="A11" s="10"/>
      <c r="B11" s="583" t="s">
        <v>1644</v>
      </c>
      <c r="C11" s="240" t="s">
        <v>1640</v>
      </c>
      <c r="D11" s="48" t="s">
        <v>42</v>
      </c>
      <c r="E11" s="241">
        <v>21.11</v>
      </c>
      <c r="F11" s="242">
        <v>20.72</v>
      </c>
      <c r="G11" s="243">
        <f t="shared" si="0"/>
        <v>437.39919999999995</v>
      </c>
      <c r="H11" s="35"/>
      <c r="I11" s="35"/>
      <c r="J11" s="22"/>
    </row>
    <row r="12" spans="1:10" s="155" customFormat="1" ht="31.5" x14ac:dyDescent="0.25">
      <c r="A12" s="10"/>
      <c r="B12" s="583" t="s">
        <v>1645</v>
      </c>
      <c r="C12" s="240" t="s">
        <v>1641</v>
      </c>
      <c r="D12" s="48" t="s">
        <v>53</v>
      </c>
      <c r="E12" s="241">
        <v>1</v>
      </c>
      <c r="F12" s="242">
        <v>225</v>
      </c>
      <c r="G12" s="243">
        <f t="shared" si="0"/>
        <v>225</v>
      </c>
      <c r="H12" s="35"/>
      <c r="I12" s="35"/>
      <c r="J12" s="22"/>
    </row>
    <row r="13" spans="1:10" s="155" customFormat="1" x14ac:dyDescent="0.25">
      <c r="A13" s="10"/>
      <c r="B13" s="583" t="s">
        <v>1646</v>
      </c>
      <c r="C13" s="240" t="s">
        <v>1642</v>
      </c>
      <c r="D13" s="48" t="s">
        <v>73</v>
      </c>
      <c r="E13" s="241">
        <v>4.38</v>
      </c>
      <c r="F13" s="242">
        <v>6.25</v>
      </c>
      <c r="G13" s="243">
        <f t="shared" si="0"/>
        <v>27.375</v>
      </c>
      <c r="H13" s="35"/>
      <c r="I13" s="35"/>
      <c r="J13" s="22"/>
    </row>
    <row r="14" spans="1:10" s="155" customFormat="1" ht="31.5" x14ac:dyDescent="0.25">
      <c r="A14" s="10"/>
      <c r="B14" s="583" t="s">
        <v>1647</v>
      </c>
      <c r="C14" s="240" t="s">
        <v>1643</v>
      </c>
      <c r="D14" s="48" t="s">
        <v>73</v>
      </c>
      <c r="E14" s="241">
        <v>5.76</v>
      </c>
      <c r="F14" s="242">
        <v>4.32</v>
      </c>
      <c r="G14" s="243">
        <f t="shared" si="0"/>
        <v>24.883200000000002</v>
      </c>
      <c r="H14" s="35"/>
      <c r="I14" s="35"/>
      <c r="J14" s="22"/>
    </row>
    <row r="15" spans="1:10" s="155" customFormat="1" x14ac:dyDescent="0.25">
      <c r="A15" s="10"/>
      <c r="B15" s="623" t="s">
        <v>34</v>
      </c>
      <c r="C15" s="623"/>
      <c r="D15" s="623"/>
      <c r="E15" s="623"/>
      <c r="F15" s="623"/>
      <c r="G15" s="245">
        <f>SUM(G8:G14)</f>
        <v>1502.2488000000001</v>
      </c>
      <c r="H15" s="35"/>
      <c r="I15" s="35"/>
      <c r="J15" s="22"/>
    </row>
    <row r="16" spans="1:10" s="155" customFormat="1" x14ac:dyDescent="0.25">
      <c r="A16" s="10"/>
      <c r="B16" s="443"/>
      <c r="C16" s="83"/>
      <c r="D16" s="310"/>
      <c r="E16" s="232"/>
      <c r="F16" s="233"/>
      <c r="G16" s="444"/>
      <c r="H16" s="35"/>
      <c r="I16" s="35"/>
      <c r="J16" s="22"/>
    </row>
    <row r="17" spans="1:10" x14ac:dyDescent="0.25">
      <c r="A17" s="8"/>
      <c r="B17" s="174"/>
      <c r="C17" s="231"/>
      <c r="D17" s="443"/>
      <c r="E17" s="232"/>
      <c r="F17" s="233"/>
      <c r="G17" s="234"/>
    </row>
    <row r="18" spans="1:10" s="34" customFormat="1" ht="36" customHeight="1" x14ac:dyDescent="0.25">
      <c r="B18" s="235" t="s">
        <v>100</v>
      </c>
      <c r="C18" s="622" t="str">
        <f>ORÇAMENTO!C15</f>
        <v>INSTALAÇÕES PROVISÓRIAS DE OBRA - INCLUINDO ESCRITÓRIO, REFEITÓRIO, SANITÁRIOS, VESTIÁRIO, CENTRAL DE ARMADURA, CENTRAL DE FORMA E DEPÓSITO - DEVEM ATENDER A NR 18 (ÁREA TOTAL DE 80 M²)</v>
      </c>
      <c r="D18" s="622"/>
      <c r="E18" s="622"/>
      <c r="F18" s="622"/>
      <c r="G18" s="622"/>
      <c r="H18" s="35"/>
      <c r="I18" s="35"/>
      <c r="J18" s="22"/>
    </row>
    <row r="19" spans="1:10" s="34" customFormat="1" x14ac:dyDescent="0.25">
      <c r="B19" s="113" t="s">
        <v>84</v>
      </c>
      <c r="C19" s="236" t="s">
        <v>85</v>
      </c>
      <c r="D19" s="113" t="s">
        <v>31</v>
      </c>
      <c r="E19" s="237" t="s">
        <v>86</v>
      </c>
      <c r="F19" s="238" t="s">
        <v>87</v>
      </c>
      <c r="G19" s="239" t="s">
        <v>88</v>
      </c>
      <c r="H19" s="35"/>
      <c r="I19" s="35"/>
      <c r="J19" s="22"/>
    </row>
    <row r="20" spans="1:10" s="34" customFormat="1" x14ac:dyDescent="0.25">
      <c r="B20" s="583" t="s">
        <v>156</v>
      </c>
      <c r="C20" s="240" t="s">
        <v>163</v>
      </c>
      <c r="D20" s="48" t="s">
        <v>53</v>
      </c>
      <c r="E20" s="241">
        <v>5</v>
      </c>
      <c r="F20" s="242">
        <v>1099.81</v>
      </c>
      <c r="G20" s="243">
        <f>E20*F20</f>
        <v>5499.0499999999993</v>
      </c>
      <c r="H20" s="35"/>
      <c r="I20" s="35"/>
      <c r="J20" s="22"/>
    </row>
    <row r="21" spans="1:10" s="34" customFormat="1" x14ac:dyDescent="0.25">
      <c r="B21" s="583" t="s">
        <v>157</v>
      </c>
      <c r="C21" s="240" t="s">
        <v>164</v>
      </c>
      <c r="D21" s="48" t="s">
        <v>53</v>
      </c>
      <c r="E21" s="241">
        <v>18</v>
      </c>
      <c r="F21" s="242">
        <v>589.04999999999995</v>
      </c>
      <c r="G21" s="243">
        <f t="shared" ref="G21:G25" si="1">E21*F21</f>
        <v>10602.9</v>
      </c>
      <c r="H21" s="198"/>
      <c r="I21" s="198"/>
      <c r="J21" s="22"/>
    </row>
    <row r="22" spans="1:10" s="34" customFormat="1" x14ac:dyDescent="0.25">
      <c r="B22" s="584" t="s">
        <v>158</v>
      </c>
      <c r="C22" s="240" t="s">
        <v>165</v>
      </c>
      <c r="D22" s="48" t="s">
        <v>53</v>
      </c>
      <c r="E22" s="241">
        <v>10</v>
      </c>
      <c r="F22" s="242">
        <v>989.78</v>
      </c>
      <c r="G22" s="243">
        <f t="shared" si="1"/>
        <v>9897.7999999999993</v>
      </c>
      <c r="H22" s="35"/>
      <c r="I22" s="35"/>
      <c r="J22" s="22"/>
    </row>
    <row r="23" spans="1:10" s="34" customFormat="1" x14ac:dyDescent="0.25">
      <c r="B23" s="584" t="s">
        <v>161</v>
      </c>
      <c r="C23" s="240" t="s">
        <v>159</v>
      </c>
      <c r="D23" s="48" t="s">
        <v>53</v>
      </c>
      <c r="E23" s="241">
        <v>18</v>
      </c>
      <c r="F23" s="242">
        <v>258.45999999999998</v>
      </c>
      <c r="G23" s="243">
        <f t="shared" si="1"/>
        <v>4652.28</v>
      </c>
      <c r="H23" s="35"/>
      <c r="I23" s="35"/>
      <c r="J23" s="22"/>
    </row>
    <row r="24" spans="1:10" s="34" customFormat="1" ht="31.5" x14ac:dyDescent="0.25">
      <c r="B24" s="583" t="s">
        <v>160</v>
      </c>
      <c r="C24" s="244" t="s">
        <v>166</v>
      </c>
      <c r="D24" s="48" t="s">
        <v>53</v>
      </c>
      <c r="E24" s="241">
        <v>21</v>
      </c>
      <c r="F24" s="242">
        <v>430.28</v>
      </c>
      <c r="G24" s="243">
        <f t="shared" si="1"/>
        <v>9035.8799999999992</v>
      </c>
      <c r="H24" s="35"/>
      <c r="I24" s="35"/>
      <c r="J24" s="22"/>
    </row>
    <row r="25" spans="1:10" s="34" customFormat="1" x14ac:dyDescent="0.25">
      <c r="B25" s="583" t="s">
        <v>162</v>
      </c>
      <c r="C25" s="240" t="s">
        <v>167</v>
      </c>
      <c r="D25" s="48" t="s">
        <v>53</v>
      </c>
      <c r="E25" s="241">
        <v>8</v>
      </c>
      <c r="F25" s="242">
        <v>842.11</v>
      </c>
      <c r="G25" s="243">
        <f t="shared" si="1"/>
        <v>6736.88</v>
      </c>
      <c r="H25" s="35"/>
      <c r="I25" s="35"/>
      <c r="J25" s="22"/>
    </row>
    <row r="26" spans="1:10" s="34" customFormat="1" x14ac:dyDescent="0.25">
      <c r="B26" s="623" t="s">
        <v>34</v>
      </c>
      <c r="C26" s="623"/>
      <c r="D26" s="623"/>
      <c r="E26" s="623"/>
      <c r="F26" s="623"/>
      <c r="G26" s="245">
        <f>SUM(G20:G25)</f>
        <v>46424.789999999994</v>
      </c>
      <c r="H26" s="35"/>
      <c r="I26" s="35"/>
      <c r="J26" s="22"/>
    </row>
    <row r="27" spans="1:10" s="23" customFormat="1" x14ac:dyDescent="0.25">
      <c r="B27" s="246"/>
      <c r="C27" s="246"/>
      <c r="D27" s="80"/>
      <c r="E27" s="247"/>
      <c r="F27" s="246"/>
      <c r="G27" s="248"/>
      <c r="H27" s="35"/>
      <c r="I27" s="198"/>
      <c r="J27" s="21"/>
    </row>
    <row r="28" spans="1:10" s="34" customFormat="1" x14ac:dyDescent="0.25">
      <c r="A28" s="10"/>
      <c r="B28" s="226" t="s">
        <v>179</v>
      </c>
      <c r="C28" s="227"/>
      <c r="D28" s="472"/>
      <c r="E28" s="228"/>
      <c r="F28" s="229"/>
      <c r="G28" s="230"/>
      <c r="H28" s="35"/>
      <c r="I28" s="35"/>
      <c r="J28" s="22"/>
    </row>
    <row r="29" spans="1:10" s="34" customFormat="1" x14ac:dyDescent="0.25">
      <c r="B29" s="249"/>
      <c r="C29" s="249"/>
      <c r="D29" s="473"/>
      <c r="E29" s="250"/>
      <c r="F29" s="249"/>
      <c r="G29" s="251"/>
      <c r="H29" s="35"/>
      <c r="I29" s="35"/>
      <c r="J29" s="22"/>
    </row>
    <row r="30" spans="1:10" s="34" customFormat="1" ht="36" customHeight="1" x14ac:dyDescent="0.25">
      <c r="B30" s="235" t="s">
        <v>49</v>
      </c>
      <c r="C30" s="622" t="str">
        <f>ORÇAMENTO!C21</f>
        <v>ADMINISTRAÇÃO LOCAL DA OBRA, CONTENDO ENGENHEIRO CIVIL, MESTRE DE OBRAS, TÉCNICO DE SEGURANÇA DO TRABALHO, APONTADOR E LIMPEZA PERMANENTE DA OBRA, CONSIDERANDO 15 MESES DE OBRA - UNIDADE PORCENTAGEM DE OBRA EXECUTADA</v>
      </c>
      <c r="D30" s="622"/>
      <c r="E30" s="622"/>
      <c r="F30" s="622"/>
      <c r="G30" s="622"/>
      <c r="H30" s="35"/>
      <c r="I30" s="35"/>
      <c r="J30" s="22"/>
    </row>
    <row r="31" spans="1:10" s="34" customFormat="1" x14ac:dyDescent="0.25">
      <c r="B31" s="113" t="s">
        <v>84</v>
      </c>
      <c r="C31" s="236" t="s">
        <v>85</v>
      </c>
      <c r="D31" s="113" t="s">
        <v>31</v>
      </c>
      <c r="E31" s="237" t="s">
        <v>86</v>
      </c>
      <c r="F31" s="238" t="s">
        <v>87</v>
      </c>
      <c r="G31" s="239" t="s">
        <v>88</v>
      </c>
      <c r="H31" s="35"/>
      <c r="I31" s="35"/>
      <c r="J31" s="22"/>
    </row>
    <row r="32" spans="1:10" s="34" customFormat="1" x14ac:dyDescent="0.25">
      <c r="B32" s="583" t="s">
        <v>1651</v>
      </c>
      <c r="C32" s="240" t="s">
        <v>97</v>
      </c>
      <c r="D32" s="48" t="s">
        <v>91</v>
      </c>
      <c r="E32" s="241">
        <f>4*6</f>
        <v>24</v>
      </c>
      <c r="F32" s="242">
        <v>100.84</v>
      </c>
      <c r="G32" s="243">
        <f>E32*F32</f>
        <v>2420.16</v>
      </c>
      <c r="H32" s="35"/>
      <c r="I32" s="35"/>
      <c r="J32" s="22"/>
    </row>
    <row r="33" spans="1:10" s="34" customFormat="1" x14ac:dyDescent="0.25">
      <c r="B33" s="583" t="s">
        <v>1652</v>
      </c>
      <c r="C33" s="240" t="s">
        <v>98</v>
      </c>
      <c r="D33" s="48" t="s">
        <v>91</v>
      </c>
      <c r="E33" s="241">
        <f>22*8.4</f>
        <v>184.8</v>
      </c>
      <c r="F33" s="242">
        <v>72.099999999999994</v>
      </c>
      <c r="G33" s="243">
        <f t="shared" ref="G33:G35" si="2">E33*F33</f>
        <v>13324.08</v>
      </c>
      <c r="H33" s="35"/>
      <c r="I33" s="35"/>
      <c r="J33" s="22"/>
    </row>
    <row r="34" spans="1:10" s="34" customFormat="1" x14ac:dyDescent="0.25">
      <c r="B34" s="583" t="s">
        <v>93</v>
      </c>
      <c r="C34" s="240" t="s">
        <v>419</v>
      </c>
      <c r="D34" s="48" t="s">
        <v>91</v>
      </c>
      <c r="E34" s="241">
        <v>11</v>
      </c>
      <c r="F34" s="242">
        <v>18.84</v>
      </c>
      <c r="G34" s="243">
        <f t="shared" si="2"/>
        <v>207.24</v>
      </c>
      <c r="H34" s="35"/>
      <c r="I34" s="35"/>
      <c r="J34" s="22"/>
    </row>
    <row r="35" spans="1:10" s="34" customFormat="1" x14ac:dyDescent="0.25">
      <c r="A35" s="11"/>
      <c r="B35" s="585" t="s">
        <v>99</v>
      </c>
      <c r="C35" s="253" t="s">
        <v>1653</v>
      </c>
      <c r="D35" s="252" t="s">
        <v>91</v>
      </c>
      <c r="E35" s="241">
        <v>8</v>
      </c>
      <c r="F35" s="242">
        <v>29.03</v>
      </c>
      <c r="G35" s="243">
        <f t="shared" si="2"/>
        <v>232.24</v>
      </c>
      <c r="H35" s="35"/>
      <c r="I35" s="35"/>
      <c r="J35" s="22"/>
    </row>
    <row r="36" spans="1:10" s="34" customFormat="1" x14ac:dyDescent="0.25">
      <c r="B36" s="623" t="s">
        <v>153</v>
      </c>
      <c r="C36" s="623"/>
      <c r="D36" s="623"/>
      <c r="E36" s="623"/>
      <c r="F36" s="623"/>
      <c r="G36" s="245">
        <f>SUM(G32:G35)</f>
        <v>16183.72</v>
      </c>
      <c r="H36" s="35"/>
      <c r="I36" s="35"/>
      <c r="J36" s="22"/>
    </row>
    <row r="37" spans="1:10" s="34" customFormat="1" x14ac:dyDescent="0.25">
      <c r="B37" s="623" t="s">
        <v>420</v>
      </c>
      <c r="C37" s="623"/>
      <c r="D37" s="623"/>
      <c r="E37" s="623"/>
      <c r="F37" s="623"/>
      <c r="G37" s="245">
        <f>G36*15</f>
        <v>242755.8</v>
      </c>
      <c r="H37" s="254"/>
      <c r="I37" s="35"/>
      <c r="J37" s="22"/>
    </row>
    <row r="38" spans="1:10" x14ac:dyDescent="0.25">
      <c r="A38" s="7"/>
      <c r="B38" s="47"/>
      <c r="C38" s="47"/>
      <c r="D38" s="310"/>
      <c r="E38" s="255"/>
      <c r="F38" s="256"/>
      <c r="G38" s="251"/>
    </row>
    <row r="39" spans="1:10" s="155" customFormat="1" x14ac:dyDescent="0.25">
      <c r="A39" s="10"/>
      <c r="B39" s="226" t="s">
        <v>1978</v>
      </c>
      <c r="C39" s="227"/>
      <c r="D39" s="472"/>
      <c r="E39" s="228"/>
      <c r="F39" s="229"/>
      <c r="G39" s="230"/>
      <c r="H39" s="35"/>
      <c r="I39" s="35"/>
      <c r="J39" s="22"/>
    </row>
    <row r="40" spans="1:10" s="156" customFormat="1" x14ac:dyDescent="0.25">
      <c r="A40" s="33"/>
      <c r="B40" s="47"/>
      <c r="C40" s="47"/>
      <c r="D40" s="310"/>
      <c r="E40" s="255"/>
      <c r="F40" s="256"/>
      <c r="G40" s="251"/>
      <c r="H40" s="35"/>
      <c r="I40" s="35"/>
      <c r="J40" s="157"/>
    </row>
    <row r="41" spans="1:10" s="155" customFormat="1" ht="36" customHeight="1" x14ac:dyDescent="0.25">
      <c r="B41" s="165" t="s">
        <v>1455</v>
      </c>
      <c r="C41" s="622" t="s">
        <v>1107</v>
      </c>
      <c r="D41" s="622"/>
      <c r="E41" s="622"/>
      <c r="F41" s="622"/>
      <c r="G41" s="622"/>
      <c r="H41" s="35"/>
      <c r="I41" s="35"/>
      <c r="J41" s="22"/>
    </row>
    <row r="42" spans="1:10" s="156" customFormat="1" x14ac:dyDescent="0.25">
      <c r="A42" s="33"/>
      <c r="B42" s="257" t="s">
        <v>932</v>
      </c>
      <c r="C42" s="257" t="s">
        <v>933</v>
      </c>
      <c r="D42" s="257" t="s">
        <v>978</v>
      </c>
      <c r="E42" s="257" t="s">
        <v>934</v>
      </c>
      <c r="F42" s="258" t="s">
        <v>935</v>
      </c>
      <c r="G42" s="258" t="s">
        <v>936</v>
      </c>
      <c r="H42" s="35"/>
      <c r="I42" s="35"/>
      <c r="J42" s="157"/>
    </row>
    <row r="43" spans="1:10" s="156" customFormat="1" ht="31.5" x14ac:dyDescent="0.25">
      <c r="A43" s="33"/>
      <c r="B43" s="586" t="s">
        <v>1398</v>
      </c>
      <c r="C43" s="260" t="s">
        <v>1399</v>
      </c>
      <c r="D43" s="259" t="s">
        <v>41</v>
      </c>
      <c r="E43" s="261">
        <v>0.12566370614359174</v>
      </c>
      <c r="F43" s="262">
        <v>523.85</v>
      </c>
      <c r="G43" s="263">
        <f>F43*E43</f>
        <v>65.828932463320527</v>
      </c>
      <c r="H43" s="35"/>
      <c r="I43" s="35"/>
      <c r="J43" s="157"/>
    </row>
    <row r="44" spans="1:10" s="19" customFormat="1" x14ac:dyDescent="0.25">
      <c r="A44" s="8"/>
      <c r="B44" s="587" t="s">
        <v>1400</v>
      </c>
      <c r="C44" s="550" t="s">
        <v>1401</v>
      </c>
      <c r="D44" s="454" t="s">
        <v>42</v>
      </c>
      <c r="E44" s="551">
        <v>4.4001349527665319</v>
      </c>
      <c r="F44" s="552">
        <v>8.59</v>
      </c>
      <c r="G44" s="553">
        <f t="shared" ref="G44:G51" si="3">F44*E44</f>
        <v>37.797159244264506</v>
      </c>
      <c r="H44" s="311"/>
      <c r="I44" s="311"/>
      <c r="J44" s="450"/>
    </row>
    <row r="45" spans="1:10" s="19" customFormat="1" x14ac:dyDescent="0.25">
      <c r="A45" s="8"/>
      <c r="B45" s="587" t="s">
        <v>1661</v>
      </c>
      <c r="C45" s="550" t="s">
        <v>1402</v>
      </c>
      <c r="D45" s="454" t="s">
        <v>42</v>
      </c>
      <c r="E45" s="551">
        <v>0.73630229419703108</v>
      </c>
      <c r="F45" s="552">
        <v>10.95</v>
      </c>
      <c r="G45" s="553">
        <f t="shared" si="3"/>
        <v>8.062510121457489</v>
      </c>
      <c r="H45" s="311"/>
      <c r="I45" s="311"/>
      <c r="J45" s="450"/>
    </row>
    <row r="46" spans="1:10" s="156" customFormat="1" x14ac:dyDescent="0.25">
      <c r="A46" s="33"/>
      <c r="B46" s="586" t="s">
        <v>93</v>
      </c>
      <c r="C46" s="260" t="s">
        <v>94</v>
      </c>
      <c r="D46" s="259" t="s">
        <v>91</v>
      </c>
      <c r="E46" s="261">
        <v>0.1401</v>
      </c>
      <c r="F46" s="262">
        <v>18.84</v>
      </c>
      <c r="G46" s="263">
        <f t="shared" si="3"/>
        <v>2.6394839999999999</v>
      </c>
      <c r="H46" s="35"/>
      <c r="I46" s="35"/>
      <c r="J46" s="157"/>
    </row>
    <row r="47" spans="1:10" s="156" customFormat="1" ht="47.25" x14ac:dyDescent="0.25">
      <c r="A47" s="33"/>
      <c r="B47" s="586" t="s">
        <v>1403</v>
      </c>
      <c r="C47" s="260" t="s">
        <v>1404</v>
      </c>
      <c r="D47" s="259" t="s">
        <v>124</v>
      </c>
      <c r="E47" s="261">
        <v>2.41E-2</v>
      </c>
      <c r="F47" s="262">
        <v>647.6</v>
      </c>
      <c r="G47" s="263">
        <f t="shared" si="3"/>
        <v>15.60716</v>
      </c>
      <c r="H47" s="35"/>
      <c r="I47" s="35"/>
      <c r="J47" s="157"/>
    </row>
    <row r="48" spans="1:10" s="156" customFormat="1" ht="47.25" x14ac:dyDescent="0.25">
      <c r="A48" s="33"/>
      <c r="B48" s="586" t="s">
        <v>1405</v>
      </c>
      <c r="C48" s="260" t="s">
        <v>1406</v>
      </c>
      <c r="D48" s="259" t="s">
        <v>125</v>
      </c>
      <c r="E48" s="261">
        <v>2.2599999999999999E-2</v>
      </c>
      <c r="F48" s="262">
        <v>269.63</v>
      </c>
      <c r="G48" s="263">
        <f t="shared" si="3"/>
        <v>6.0936379999999994</v>
      </c>
      <c r="H48" s="35"/>
      <c r="I48" s="35"/>
      <c r="J48" s="157"/>
    </row>
    <row r="49" spans="1:10" s="156" customFormat="1" ht="31.5" x14ac:dyDescent="0.25">
      <c r="A49" s="33"/>
      <c r="B49" s="586" t="s">
        <v>1407</v>
      </c>
      <c r="C49" s="260" t="s">
        <v>1408</v>
      </c>
      <c r="D49" s="259" t="s">
        <v>1409</v>
      </c>
      <c r="E49" s="261">
        <v>7.8539816339744828E-2</v>
      </c>
      <c r="F49" s="262">
        <v>2.62</v>
      </c>
      <c r="G49" s="263">
        <f>F49*E49</f>
        <v>0.20577431881013145</v>
      </c>
      <c r="H49" s="35"/>
      <c r="I49" s="35"/>
      <c r="J49" s="157"/>
    </row>
    <row r="50" spans="1:10" s="156" customFormat="1" ht="31.5" x14ac:dyDescent="0.25">
      <c r="A50" s="33"/>
      <c r="B50" s="586" t="s">
        <v>1410</v>
      </c>
      <c r="C50" s="260" t="s">
        <v>1411</v>
      </c>
      <c r="D50" s="259" t="s">
        <v>91</v>
      </c>
      <c r="E50" s="259">
        <v>4.6699999999999998E-2</v>
      </c>
      <c r="F50" s="262">
        <v>162.79</v>
      </c>
      <c r="G50" s="263">
        <f t="shared" si="3"/>
        <v>7.6022929999999995</v>
      </c>
      <c r="H50" s="35"/>
      <c r="I50" s="35"/>
      <c r="J50" s="157"/>
    </row>
    <row r="51" spans="1:10" s="156" customFormat="1" ht="52.5" customHeight="1" x14ac:dyDescent="0.25">
      <c r="A51" s="33"/>
      <c r="B51" s="588" t="s">
        <v>1663</v>
      </c>
      <c r="C51" s="260" t="s">
        <v>1662</v>
      </c>
      <c r="D51" s="259" t="s">
        <v>41</v>
      </c>
      <c r="E51" s="261">
        <v>0.15707963267948966</v>
      </c>
      <c r="F51" s="262">
        <v>7.54</v>
      </c>
      <c r="G51" s="263">
        <f t="shared" si="3"/>
        <v>1.1843804304033521</v>
      </c>
      <c r="H51" s="35"/>
      <c r="I51" s="35"/>
      <c r="J51" s="157"/>
    </row>
    <row r="52" spans="1:10" s="156" customFormat="1" x14ac:dyDescent="0.25">
      <c r="A52" s="33"/>
      <c r="B52" s="654" t="s">
        <v>155</v>
      </c>
      <c r="C52" s="655"/>
      <c r="D52" s="655"/>
      <c r="E52" s="655"/>
      <c r="F52" s="656"/>
      <c r="G52" s="264">
        <f>SUM(G43:G51)</f>
        <v>145.02133157825602</v>
      </c>
      <c r="H52" s="35"/>
      <c r="I52" s="35"/>
      <c r="J52" s="157"/>
    </row>
    <row r="53" spans="1:10" s="156" customFormat="1" x14ac:dyDescent="0.25">
      <c r="A53" s="33"/>
      <c r="B53" s="265"/>
      <c r="C53" s="265"/>
      <c r="D53" s="474"/>
      <c r="E53" s="265"/>
      <c r="F53" s="266"/>
      <c r="G53" s="266"/>
      <c r="H53" s="35"/>
      <c r="I53" s="35"/>
      <c r="J53" s="157"/>
    </row>
    <row r="54" spans="1:10" s="155" customFormat="1" ht="36" customHeight="1" x14ac:dyDescent="0.25">
      <c r="B54" s="165" t="s">
        <v>686</v>
      </c>
      <c r="C54" s="622" t="s">
        <v>1412</v>
      </c>
      <c r="D54" s="622"/>
      <c r="E54" s="622"/>
      <c r="F54" s="622"/>
      <c r="G54" s="622"/>
      <c r="H54" s="35"/>
      <c r="I54" s="35"/>
      <c r="J54" s="22"/>
    </row>
    <row r="55" spans="1:10" s="156" customFormat="1" x14ac:dyDescent="0.25">
      <c r="A55" s="33"/>
      <c r="B55" s="257" t="s">
        <v>932</v>
      </c>
      <c r="C55" s="257" t="s">
        <v>933</v>
      </c>
      <c r="D55" s="257" t="s">
        <v>978</v>
      </c>
      <c r="E55" s="257" t="s">
        <v>934</v>
      </c>
      <c r="F55" s="258" t="s">
        <v>935</v>
      </c>
      <c r="G55" s="258" t="s">
        <v>936</v>
      </c>
      <c r="H55" s="35"/>
      <c r="I55" s="35"/>
      <c r="J55" s="157"/>
    </row>
    <row r="56" spans="1:10" s="156" customFormat="1" ht="31.5" x14ac:dyDescent="0.25">
      <c r="A56" s="33"/>
      <c r="B56" s="586" t="s">
        <v>1926</v>
      </c>
      <c r="C56" s="267" t="s">
        <v>1414</v>
      </c>
      <c r="D56" s="268">
        <v>1.5715000000000001</v>
      </c>
      <c r="E56" s="259" t="s">
        <v>41</v>
      </c>
      <c r="F56" s="269">
        <v>337.4</v>
      </c>
      <c r="G56" s="269">
        <f>F56*D56</f>
        <v>530.22410000000002</v>
      </c>
      <c r="H56" s="35"/>
      <c r="I56" s="35"/>
      <c r="J56" s="157"/>
    </row>
    <row r="57" spans="1:10" s="156" customFormat="1" ht="31.5" x14ac:dyDescent="0.25">
      <c r="A57" s="33"/>
      <c r="B57" s="586" t="s">
        <v>1927</v>
      </c>
      <c r="C57" s="267" t="s">
        <v>1416</v>
      </c>
      <c r="D57" s="268">
        <v>20.187999999999995</v>
      </c>
      <c r="E57" s="259" t="s">
        <v>41</v>
      </c>
      <c r="F57" s="269">
        <v>447.26</v>
      </c>
      <c r="G57" s="269">
        <f t="shared" ref="G57:G65" si="4">F57*D57</f>
        <v>9029.2848799999974</v>
      </c>
      <c r="H57" s="35"/>
      <c r="I57" s="35"/>
      <c r="J57" s="157"/>
    </row>
    <row r="58" spans="1:10" s="156" customFormat="1" ht="26.25" customHeight="1" x14ac:dyDescent="0.25">
      <c r="A58" s="33"/>
      <c r="B58" s="586" t="s">
        <v>2043</v>
      </c>
      <c r="C58" s="267" t="s">
        <v>1417</v>
      </c>
      <c r="D58" s="268">
        <v>20.187999999999995</v>
      </c>
      <c r="E58" s="259" t="s">
        <v>41</v>
      </c>
      <c r="F58" s="269">
        <v>35.61</v>
      </c>
      <c r="G58" s="269">
        <f t="shared" si="4"/>
        <v>718.89467999999977</v>
      </c>
      <c r="H58" s="35"/>
      <c r="I58" s="35"/>
      <c r="J58" s="157"/>
    </row>
    <row r="59" spans="1:10" s="156" customFormat="1" ht="31.5" x14ac:dyDescent="0.25">
      <c r="A59" s="33"/>
      <c r="B59" s="586" t="s">
        <v>1928</v>
      </c>
      <c r="C59" s="267" t="s">
        <v>1418</v>
      </c>
      <c r="D59" s="268">
        <v>108.91999999999999</v>
      </c>
      <c r="E59" s="259" t="s">
        <v>53</v>
      </c>
      <c r="F59" s="269">
        <v>69.06</v>
      </c>
      <c r="G59" s="269">
        <f t="shared" si="4"/>
        <v>7522.0151999999998</v>
      </c>
      <c r="H59" s="35"/>
      <c r="I59" s="35"/>
      <c r="J59" s="157"/>
    </row>
    <row r="60" spans="1:10" s="19" customFormat="1" x14ac:dyDescent="0.25">
      <c r="A60" s="8"/>
      <c r="B60" s="586" t="s">
        <v>1929</v>
      </c>
      <c r="C60" s="554" t="s">
        <v>1420</v>
      </c>
      <c r="D60" s="555">
        <v>147.69999999999999</v>
      </c>
      <c r="E60" s="454" t="s">
        <v>42</v>
      </c>
      <c r="F60" s="274">
        <v>10.95</v>
      </c>
      <c r="G60" s="274">
        <f t="shared" si="4"/>
        <v>1617.3149999999998</v>
      </c>
      <c r="H60" s="311"/>
      <c r="I60" s="311"/>
      <c r="J60" s="450"/>
    </row>
    <row r="61" spans="1:10" s="19" customFormat="1" x14ac:dyDescent="0.25">
      <c r="A61" s="8"/>
      <c r="B61" s="586" t="s">
        <v>1930</v>
      </c>
      <c r="C61" s="554" t="s">
        <v>1422</v>
      </c>
      <c r="D61" s="555">
        <v>91.5</v>
      </c>
      <c r="E61" s="454" t="s">
        <v>42</v>
      </c>
      <c r="F61" s="274">
        <v>10.89</v>
      </c>
      <c r="G61" s="274">
        <f t="shared" si="4"/>
        <v>996.43500000000006</v>
      </c>
      <c r="H61" s="311"/>
      <c r="I61" s="311"/>
      <c r="J61" s="450"/>
    </row>
    <row r="62" spans="1:10" s="19" customFormat="1" x14ac:dyDescent="0.25">
      <c r="A62" s="8"/>
      <c r="B62" s="586" t="s">
        <v>1931</v>
      </c>
      <c r="C62" s="554" t="s">
        <v>1424</v>
      </c>
      <c r="D62" s="555">
        <v>258</v>
      </c>
      <c r="E62" s="454" t="s">
        <v>42</v>
      </c>
      <c r="F62" s="274">
        <v>10.039999999999999</v>
      </c>
      <c r="G62" s="274">
        <f t="shared" si="4"/>
        <v>2590.3199999999997</v>
      </c>
      <c r="H62" s="311"/>
      <c r="I62" s="311"/>
      <c r="J62" s="450"/>
    </row>
    <row r="63" spans="1:10" s="19" customFormat="1" x14ac:dyDescent="0.25">
      <c r="A63" s="8"/>
      <c r="B63" s="586" t="s">
        <v>1932</v>
      </c>
      <c r="C63" s="554" t="s">
        <v>1426</v>
      </c>
      <c r="D63" s="555">
        <v>189.6</v>
      </c>
      <c r="E63" s="454" t="s">
        <v>42</v>
      </c>
      <c r="F63" s="274">
        <v>8.51</v>
      </c>
      <c r="G63" s="274">
        <f t="shared" si="4"/>
        <v>1613.4959999999999</v>
      </c>
      <c r="H63" s="311"/>
      <c r="I63" s="311"/>
      <c r="J63" s="450"/>
    </row>
    <row r="64" spans="1:10" s="156" customFormat="1" x14ac:dyDescent="0.25">
      <c r="A64" s="33"/>
      <c r="B64" s="586" t="s">
        <v>1933</v>
      </c>
      <c r="C64" s="267" t="s">
        <v>1428</v>
      </c>
      <c r="D64" s="268">
        <v>35.379000000000005</v>
      </c>
      <c r="E64" s="259" t="s">
        <v>41</v>
      </c>
      <c r="F64" s="269">
        <v>14.1</v>
      </c>
      <c r="G64" s="269">
        <f t="shared" si="4"/>
        <v>498.84390000000008</v>
      </c>
      <c r="H64" s="35"/>
      <c r="I64" s="35"/>
      <c r="J64" s="157"/>
    </row>
    <row r="65" spans="1:10" s="156" customFormat="1" x14ac:dyDescent="0.25">
      <c r="A65" s="33"/>
      <c r="B65" s="586" t="s">
        <v>1934</v>
      </c>
      <c r="C65" s="267" t="s">
        <v>1635</v>
      </c>
      <c r="D65" s="268">
        <v>19.748300000000015</v>
      </c>
      <c r="E65" s="259" t="s">
        <v>41</v>
      </c>
      <c r="F65" s="269">
        <v>45.18</v>
      </c>
      <c r="G65" s="269">
        <f t="shared" si="4"/>
        <v>892.2281940000006</v>
      </c>
      <c r="H65" s="35"/>
      <c r="I65" s="35"/>
      <c r="J65" s="157"/>
    </row>
    <row r="66" spans="1:10" s="156" customFormat="1" x14ac:dyDescent="0.25">
      <c r="A66" s="33"/>
      <c r="B66" s="265"/>
      <c r="C66" s="265"/>
      <c r="D66" s="474"/>
      <c r="E66" s="265"/>
      <c r="F66" s="270" t="s">
        <v>34</v>
      </c>
      <c r="G66" s="269">
        <f>SUM(G56:G65)</f>
        <v>26009.056953999996</v>
      </c>
      <c r="H66" s="35"/>
      <c r="I66" s="35"/>
      <c r="J66" s="157"/>
    </row>
    <row r="67" spans="1:10" s="156" customFormat="1" x14ac:dyDescent="0.25">
      <c r="A67" s="33"/>
      <c r="B67" s="265"/>
      <c r="C67" s="265"/>
      <c r="D67" s="474"/>
      <c r="E67" s="265"/>
      <c r="F67" s="270" t="s">
        <v>1454</v>
      </c>
      <c r="G67" s="269">
        <f>G66/D57</f>
        <v>1288.3424288686349</v>
      </c>
      <c r="H67" s="35"/>
      <c r="I67" s="35"/>
      <c r="J67" s="157"/>
    </row>
    <row r="68" spans="1:10" s="156" customFormat="1" x14ac:dyDescent="0.25">
      <c r="A68" s="33"/>
      <c r="B68" s="265"/>
      <c r="C68" s="265"/>
      <c r="D68" s="474"/>
      <c r="E68" s="265"/>
      <c r="F68" s="266"/>
      <c r="G68" s="266"/>
      <c r="H68" s="35"/>
      <c r="I68" s="35"/>
      <c r="J68" s="157"/>
    </row>
    <row r="69" spans="1:10" s="155" customFormat="1" ht="36" customHeight="1" x14ac:dyDescent="0.25">
      <c r="B69" s="165" t="s">
        <v>691</v>
      </c>
      <c r="C69" s="622" t="s">
        <v>1429</v>
      </c>
      <c r="D69" s="622"/>
      <c r="E69" s="622"/>
      <c r="F69" s="622"/>
      <c r="G69" s="622"/>
      <c r="H69" s="35"/>
      <c r="I69" s="35"/>
      <c r="J69" s="22"/>
    </row>
    <row r="70" spans="1:10" s="156" customFormat="1" x14ac:dyDescent="0.25">
      <c r="A70" s="33"/>
      <c r="B70" s="257" t="s">
        <v>932</v>
      </c>
      <c r="C70" s="257" t="s">
        <v>933</v>
      </c>
      <c r="D70" s="257" t="s">
        <v>978</v>
      </c>
      <c r="E70" s="257" t="s">
        <v>934</v>
      </c>
      <c r="F70" s="258" t="s">
        <v>935</v>
      </c>
      <c r="G70" s="258" t="s">
        <v>936</v>
      </c>
      <c r="H70" s="35"/>
      <c r="I70" s="35"/>
      <c r="J70" s="157"/>
    </row>
    <row r="71" spans="1:10" s="156" customFormat="1" ht="31.5" x14ac:dyDescent="0.25">
      <c r="A71" s="33"/>
      <c r="B71" s="586" t="s">
        <v>1413</v>
      </c>
      <c r="C71" s="267" t="s">
        <v>1414</v>
      </c>
      <c r="D71" s="259">
        <v>3.49</v>
      </c>
      <c r="E71" s="259" t="s">
        <v>41</v>
      </c>
      <c r="F71" s="269">
        <v>337.4</v>
      </c>
      <c r="G71" s="269">
        <f>D71*F71</f>
        <v>1177.5260000000001</v>
      </c>
      <c r="H71" s="35"/>
      <c r="I71" s="35"/>
      <c r="J71" s="157"/>
    </row>
    <row r="72" spans="1:10" s="156" customFormat="1" ht="31.5" x14ac:dyDescent="0.25">
      <c r="A72" s="33"/>
      <c r="B72" s="586" t="s">
        <v>1415</v>
      </c>
      <c r="C72" s="267" t="s">
        <v>1416</v>
      </c>
      <c r="D72" s="259">
        <v>35.51</v>
      </c>
      <c r="E72" s="259" t="s">
        <v>41</v>
      </c>
      <c r="F72" s="269">
        <v>447.26</v>
      </c>
      <c r="G72" s="269">
        <f t="shared" ref="G72:G82" si="5">D72*F72</f>
        <v>15882.202599999999</v>
      </c>
      <c r="H72" s="35"/>
      <c r="I72" s="35"/>
      <c r="J72" s="157"/>
    </row>
    <row r="73" spans="1:10" s="156" customFormat="1" ht="15.75" customHeight="1" x14ac:dyDescent="0.25">
      <c r="A73" s="33"/>
      <c r="B73" s="586" t="s">
        <v>2042</v>
      </c>
      <c r="C73" s="267" t="s">
        <v>1417</v>
      </c>
      <c r="D73" s="259">
        <v>35.51</v>
      </c>
      <c r="E73" s="259" t="s">
        <v>41</v>
      </c>
      <c r="F73" s="269">
        <v>35.61</v>
      </c>
      <c r="G73" s="269">
        <f t="shared" si="5"/>
        <v>1264.5110999999999</v>
      </c>
      <c r="H73" s="35"/>
      <c r="I73" s="35"/>
      <c r="J73" s="157"/>
    </row>
    <row r="74" spans="1:10" s="156" customFormat="1" ht="33" customHeight="1" x14ac:dyDescent="0.25">
      <c r="A74" s="33"/>
      <c r="B74" s="586" t="s">
        <v>1430</v>
      </c>
      <c r="C74" s="267" t="s">
        <v>1633</v>
      </c>
      <c r="D74" s="259">
        <v>349.04</v>
      </c>
      <c r="E74" s="259" t="s">
        <v>53</v>
      </c>
      <c r="F74" s="269">
        <v>58.96</v>
      </c>
      <c r="G74" s="269">
        <f t="shared" si="5"/>
        <v>20579.398400000002</v>
      </c>
      <c r="H74" s="35"/>
      <c r="I74" s="35"/>
      <c r="J74" s="157"/>
    </row>
    <row r="75" spans="1:10" s="19" customFormat="1" x14ac:dyDescent="0.25">
      <c r="A75" s="8"/>
      <c r="B75" s="586" t="s">
        <v>1432</v>
      </c>
      <c r="C75" s="554" t="s">
        <v>1433</v>
      </c>
      <c r="D75" s="454">
        <v>418.6</v>
      </c>
      <c r="E75" s="454" t="s">
        <v>42</v>
      </c>
      <c r="F75" s="274">
        <v>10.82</v>
      </c>
      <c r="G75" s="274">
        <f t="shared" si="5"/>
        <v>4529.2520000000004</v>
      </c>
      <c r="H75" s="311"/>
      <c r="I75" s="311"/>
      <c r="J75" s="450"/>
    </row>
    <row r="76" spans="1:10" s="19" customFormat="1" x14ac:dyDescent="0.25">
      <c r="A76" s="8"/>
      <c r="B76" s="586" t="s">
        <v>1419</v>
      </c>
      <c r="C76" s="554" t="s">
        <v>1420</v>
      </c>
      <c r="D76" s="454">
        <v>102.1</v>
      </c>
      <c r="E76" s="454" t="s">
        <v>42</v>
      </c>
      <c r="F76" s="274">
        <v>10.95</v>
      </c>
      <c r="G76" s="274">
        <f t="shared" si="5"/>
        <v>1117.9949999999999</v>
      </c>
      <c r="H76" s="311"/>
      <c r="I76" s="311"/>
      <c r="J76" s="450"/>
    </row>
    <row r="77" spans="1:10" s="19" customFormat="1" x14ac:dyDescent="0.25">
      <c r="A77" s="8"/>
      <c r="B77" s="586" t="s">
        <v>1421</v>
      </c>
      <c r="C77" s="554" t="s">
        <v>1422</v>
      </c>
      <c r="D77" s="454">
        <v>331.1</v>
      </c>
      <c r="E77" s="454" t="s">
        <v>42</v>
      </c>
      <c r="F77" s="274">
        <v>10.89</v>
      </c>
      <c r="G77" s="274">
        <f t="shared" si="5"/>
        <v>3605.6790000000005</v>
      </c>
      <c r="H77" s="311"/>
      <c r="I77" s="311"/>
      <c r="J77" s="450"/>
    </row>
    <row r="78" spans="1:10" s="19" customFormat="1" x14ac:dyDescent="0.25">
      <c r="A78" s="8"/>
      <c r="B78" s="586" t="s">
        <v>1423</v>
      </c>
      <c r="C78" s="554" t="s">
        <v>1424</v>
      </c>
      <c r="D78" s="454">
        <v>306.7</v>
      </c>
      <c r="E78" s="454" t="s">
        <v>42</v>
      </c>
      <c r="F78" s="274">
        <v>10.039999999999999</v>
      </c>
      <c r="G78" s="274">
        <f t="shared" si="5"/>
        <v>3079.2679999999996</v>
      </c>
      <c r="H78" s="311"/>
      <c r="I78" s="311"/>
      <c r="J78" s="450"/>
    </row>
    <row r="79" spans="1:10" s="19" customFormat="1" x14ac:dyDescent="0.25">
      <c r="A79" s="8"/>
      <c r="B79" s="586" t="s">
        <v>1435</v>
      </c>
      <c r="C79" s="554" t="s">
        <v>1436</v>
      </c>
      <c r="D79" s="555">
        <v>997.7</v>
      </c>
      <c r="E79" s="454" t="s">
        <v>42</v>
      </c>
      <c r="F79" s="274">
        <v>8.59</v>
      </c>
      <c r="G79" s="274">
        <f t="shared" si="5"/>
        <v>8570.2430000000004</v>
      </c>
      <c r="H79" s="311"/>
      <c r="I79" s="311"/>
      <c r="J79" s="450"/>
    </row>
    <row r="80" spans="1:10" s="19" customFormat="1" x14ac:dyDescent="0.25">
      <c r="A80" s="8"/>
      <c r="B80" s="586" t="s">
        <v>1425</v>
      </c>
      <c r="C80" s="554" t="s">
        <v>1426</v>
      </c>
      <c r="D80" s="555">
        <v>486.2</v>
      </c>
      <c r="E80" s="454" t="s">
        <v>42</v>
      </c>
      <c r="F80" s="274">
        <v>8.51</v>
      </c>
      <c r="G80" s="274">
        <f t="shared" si="5"/>
        <v>4137.5619999999999</v>
      </c>
      <c r="H80" s="311"/>
      <c r="I80" s="311"/>
      <c r="J80" s="450"/>
    </row>
    <row r="81" spans="1:10" s="156" customFormat="1" x14ac:dyDescent="0.25">
      <c r="A81" s="33"/>
      <c r="B81" s="586" t="s">
        <v>1427</v>
      </c>
      <c r="C81" s="267" t="s">
        <v>1428</v>
      </c>
      <c r="D81" s="268">
        <v>62.14</v>
      </c>
      <c r="E81" s="259" t="s">
        <v>41</v>
      </c>
      <c r="F81" s="269">
        <v>14.1</v>
      </c>
      <c r="G81" s="269">
        <f t="shared" si="5"/>
        <v>876.17399999999998</v>
      </c>
      <c r="H81" s="35"/>
      <c r="I81" s="35"/>
      <c r="J81" s="157"/>
    </row>
    <row r="82" spans="1:10" s="156" customFormat="1" x14ac:dyDescent="0.25">
      <c r="A82" s="33"/>
      <c r="B82" s="586" t="s">
        <v>999</v>
      </c>
      <c r="C82" s="267" t="s">
        <v>1634</v>
      </c>
      <c r="D82" s="268">
        <v>34.619999999999997</v>
      </c>
      <c r="E82" s="259" t="s">
        <v>41</v>
      </c>
      <c r="F82" s="269">
        <v>45.18</v>
      </c>
      <c r="G82" s="269">
        <f t="shared" si="5"/>
        <v>1564.1315999999999</v>
      </c>
      <c r="H82" s="35"/>
      <c r="I82" s="35"/>
      <c r="J82" s="157"/>
    </row>
    <row r="83" spans="1:10" s="156" customFormat="1" x14ac:dyDescent="0.25">
      <c r="A83" s="33"/>
      <c r="B83" s="265"/>
      <c r="C83" s="265"/>
      <c r="D83" s="474"/>
      <c r="E83" s="265"/>
      <c r="F83" s="270" t="s">
        <v>34</v>
      </c>
      <c r="G83" s="269">
        <f>SUM(G71:G82)</f>
        <v>66383.9427</v>
      </c>
      <c r="H83" s="35"/>
      <c r="I83" s="35"/>
      <c r="J83" s="157"/>
    </row>
    <row r="84" spans="1:10" s="156" customFormat="1" x14ac:dyDescent="0.25">
      <c r="A84" s="33"/>
      <c r="B84" s="265"/>
      <c r="C84" s="265"/>
      <c r="D84" s="474"/>
      <c r="E84" s="265"/>
      <c r="F84" s="270" t="s">
        <v>1454</v>
      </c>
      <c r="G84" s="269">
        <f>G83/D72</f>
        <v>1869.4436130667418</v>
      </c>
      <c r="H84" s="35"/>
      <c r="I84" s="35"/>
      <c r="J84" s="157"/>
    </row>
    <row r="85" spans="1:10" s="19" customFormat="1" x14ac:dyDescent="0.25">
      <c r="A85" s="8"/>
      <c r="B85" s="448"/>
      <c r="C85" s="448"/>
      <c r="D85" s="475"/>
      <c r="E85" s="448"/>
      <c r="F85" s="449"/>
      <c r="G85" s="449"/>
      <c r="H85" s="311"/>
      <c r="I85" s="311"/>
      <c r="J85" s="450"/>
    </row>
    <row r="86" spans="1:10" s="155" customFormat="1" ht="36" customHeight="1" x14ac:dyDescent="0.25">
      <c r="B86" s="165" t="s">
        <v>692</v>
      </c>
      <c r="C86" s="622" t="s">
        <v>1112</v>
      </c>
      <c r="D86" s="622"/>
      <c r="E86" s="622"/>
      <c r="F86" s="622"/>
      <c r="G86" s="622"/>
      <c r="H86" s="35"/>
      <c r="I86" s="35"/>
      <c r="J86" s="22"/>
    </row>
    <row r="87" spans="1:10" s="156" customFormat="1" x14ac:dyDescent="0.25">
      <c r="A87" s="33"/>
      <c r="B87" s="257" t="s">
        <v>932</v>
      </c>
      <c r="C87" s="257" t="s">
        <v>933</v>
      </c>
      <c r="D87" s="257" t="s">
        <v>978</v>
      </c>
      <c r="E87" s="257" t="s">
        <v>934</v>
      </c>
      <c r="F87" s="258" t="s">
        <v>935</v>
      </c>
      <c r="G87" s="258" t="s">
        <v>936</v>
      </c>
      <c r="H87" s="35"/>
      <c r="I87" s="35"/>
      <c r="J87" s="157"/>
    </row>
    <row r="88" spans="1:10" s="156" customFormat="1" ht="31.5" x14ac:dyDescent="0.25">
      <c r="A88" s="33"/>
      <c r="B88" s="586" t="s">
        <v>1413</v>
      </c>
      <c r="C88" s="267" t="s">
        <v>1414</v>
      </c>
      <c r="D88" s="268">
        <v>0.06</v>
      </c>
      <c r="E88" s="259" t="s">
        <v>994</v>
      </c>
      <c r="F88" s="269">
        <v>337.4</v>
      </c>
      <c r="G88" s="269">
        <f>D88*F88</f>
        <v>20.243999999999996</v>
      </c>
      <c r="H88" s="35"/>
      <c r="I88" s="35"/>
      <c r="J88" s="157"/>
    </row>
    <row r="89" spans="1:10" s="156" customFormat="1" ht="31.5" x14ac:dyDescent="0.25">
      <c r="A89" s="33"/>
      <c r="B89" s="586" t="s">
        <v>1415</v>
      </c>
      <c r="C89" s="267" t="s">
        <v>1416</v>
      </c>
      <c r="D89" s="259">
        <v>0.47</v>
      </c>
      <c r="E89" s="259" t="s">
        <v>994</v>
      </c>
      <c r="F89" s="269">
        <v>447.26</v>
      </c>
      <c r="G89" s="269">
        <f t="shared" ref="G89:G95" si="6">D89*F89</f>
        <v>210.2122</v>
      </c>
      <c r="H89" s="35"/>
      <c r="I89" s="35"/>
      <c r="J89" s="157"/>
    </row>
    <row r="90" spans="1:10" s="156" customFormat="1" ht="19.5" customHeight="1" x14ac:dyDescent="0.25">
      <c r="A90" s="33"/>
      <c r="B90" s="586" t="s">
        <v>2042</v>
      </c>
      <c r="C90" s="267" t="s">
        <v>1417</v>
      </c>
      <c r="D90" s="259">
        <v>0.47</v>
      </c>
      <c r="E90" s="259" t="s">
        <v>994</v>
      </c>
      <c r="F90" s="269">
        <v>35.61</v>
      </c>
      <c r="G90" s="269">
        <f t="shared" si="6"/>
        <v>16.736699999999999</v>
      </c>
      <c r="H90" s="35"/>
      <c r="I90" s="35"/>
      <c r="J90" s="157"/>
    </row>
    <row r="91" spans="1:10" s="156" customFormat="1" ht="32.25" customHeight="1" x14ac:dyDescent="0.25">
      <c r="A91" s="33"/>
      <c r="B91" s="586" t="s">
        <v>1430</v>
      </c>
      <c r="C91" s="267" t="s">
        <v>1633</v>
      </c>
      <c r="D91" s="268">
        <v>6.05</v>
      </c>
      <c r="E91" s="259" t="s">
        <v>1431</v>
      </c>
      <c r="F91" s="269">
        <v>58.96</v>
      </c>
      <c r="G91" s="269">
        <f t="shared" si="6"/>
        <v>356.70799999999997</v>
      </c>
      <c r="H91" s="35"/>
      <c r="I91" s="35"/>
      <c r="J91" s="157"/>
    </row>
    <row r="92" spans="1:10" s="156" customFormat="1" x14ac:dyDescent="0.25">
      <c r="A92" s="33"/>
      <c r="B92" s="586" t="s">
        <v>1432</v>
      </c>
      <c r="C92" s="267" t="s">
        <v>1433</v>
      </c>
      <c r="D92" s="268">
        <v>6</v>
      </c>
      <c r="E92" s="259" t="s">
        <v>1434</v>
      </c>
      <c r="F92" s="269">
        <v>10.82</v>
      </c>
      <c r="G92" s="269">
        <f t="shared" si="6"/>
        <v>64.92</v>
      </c>
      <c r="H92" s="35"/>
      <c r="I92" s="35"/>
      <c r="J92" s="157"/>
    </row>
    <row r="93" spans="1:10" s="156" customFormat="1" x14ac:dyDescent="0.25">
      <c r="A93" s="33"/>
      <c r="B93" s="586" t="s">
        <v>1423</v>
      </c>
      <c r="C93" s="267" t="s">
        <v>1424</v>
      </c>
      <c r="D93" s="268">
        <v>23.1</v>
      </c>
      <c r="E93" s="259" t="s">
        <v>1434</v>
      </c>
      <c r="F93" s="269">
        <v>10.039999999999999</v>
      </c>
      <c r="G93" s="269">
        <f t="shared" si="6"/>
        <v>231.92400000000001</v>
      </c>
      <c r="H93" s="35"/>
      <c r="I93" s="35"/>
      <c r="J93" s="157"/>
    </row>
    <row r="94" spans="1:10" s="156" customFormat="1" x14ac:dyDescent="0.25">
      <c r="A94" s="33"/>
      <c r="B94" s="586" t="s">
        <v>1427</v>
      </c>
      <c r="C94" s="267" t="s">
        <v>1428</v>
      </c>
      <c r="D94" s="268">
        <f>D89*1.75</f>
        <v>0.82250000000000001</v>
      </c>
      <c r="E94" s="259" t="s">
        <v>994</v>
      </c>
      <c r="F94" s="269">
        <v>14.1</v>
      </c>
      <c r="G94" s="269">
        <f t="shared" si="6"/>
        <v>11.597249999999999</v>
      </c>
      <c r="H94" s="35"/>
      <c r="I94" s="35"/>
      <c r="J94" s="157"/>
    </row>
    <row r="95" spans="1:10" s="156" customFormat="1" x14ac:dyDescent="0.25">
      <c r="A95" s="33"/>
      <c r="B95" s="586" t="s">
        <v>999</v>
      </c>
      <c r="C95" s="267" t="s">
        <v>1437</v>
      </c>
      <c r="D95" s="268">
        <f>(D94-D89)*1.3</f>
        <v>0.45825000000000005</v>
      </c>
      <c r="E95" s="259" t="s">
        <v>994</v>
      </c>
      <c r="F95" s="269">
        <v>45.18</v>
      </c>
      <c r="G95" s="269">
        <f t="shared" si="6"/>
        <v>20.703735000000002</v>
      </c>
      <c r="H95" s="35"/>
      <c r="I95" s="35"/>
      <c r="J95" s="157"/>
    </row>
    <row r="96" spans="1:10" s="156" customFormat="1" x14ac:dyDescent="0.25">
      <c r="A96" s="33"/>
      <c r="B96" s="265"/>
      <c r="C96" s="265"/>
      <c r="D96" s="474"/>
      <c r="E96" s="265"/>
      <c r="F96" s="270" t="s">
        <v>34</v>
      </c>
      <c r="G96" s="269">
        <f>SUM(G88:G95)</f>
        <v>933.045885</v>
      </c>
      <c r="H96" s="35"/>
      <c r="I96" s="35"/>
      <c r="J96" s="157"/>
    </row>
    <row r="97" spans="1:10" s="156" customFormat="1" x14ac:dyDescent="0.25">
      <c r="A97" s="33"/>
      <c r="B97" s="265"/>
      <c r="C97" s="265"/>
      <c r="D97" s="474"/>
      <c r="E97" s="265"/>
      <c r="F97" s="270" t="s">
        <v>1454</v>
      </c>
      <c r="G97" s="269">
        <f>G96/D89</f>
        <v>1985.2040106382981</v>
      </c>
      <c r="H97" s="35"/>
      <c r="I97" s="35"/>
      <c r="J97" s="157"/>
    </row>
    <row r="98" spans="1:10" s="156" customFormat="1" x14ac:dyDescent="0.25">
      <c r="A98" s="33"/>
      <c r="B98" s="265"/>
      <c r="C98" s="265"/>
      <c r="D98" s="474"/>
      <c r="E98" s="265"/>
      <c r="F98" s="266"/>
      <c r="G98" s="266"/>
      <c r="H98" s="35"/>
      <c r="I98" s="35"/>
      <c r="J98" s="157"/>
    </row>
    <row r="99" spans="1:10" s="155" customFormat="1" ht="36" customHeight="1" x14ac:dyDescent="0.25">
      <c r="B99" s="165" t="s">
        <v>693</v>
      </c>
      <c r="C99" s="271" t="s">
        <v>1111</v>
      </c>
      <c r="D99" s="476"/>
      <c r="E99" s="271"/>
      <c r="F99" s="271"/>
      <c r="G99" s="271"/>
      <c r="H99" s="35"/>
      <c r="I99" s="35"/>
      <c r="J99" s="22"/>
    </row>
    <row r="100" spans="1:10" s="156" customFormat="1" x14ac:dyDescent="0.25">
      <c r="A100" s="33"/>
      <c r="B100" s="257" t="s">
        <v>932</v>
      </c>
      <c r="C100" s="257" t="s">
        <v>933</v>
      </c>
      <c r="D100" s="257" t="s">
        <v>978</v>
      </c>
      <c r="E100" s="257" t="s">
        <v>934</v>
      </c>
      <c r="F100" s="258" t="s">
        <v>935</v>
      </c>
      <c r="G100" s="258" t="s">
        <v>936</v>
      </c>
      <c r="H100" s="35"/>
      <c r="I100" s="35"/>
      <c r="J100" s="157"/>
    </row>
    <row r="101" spans="1:10" s="156" customFormat="1" ht="31.5" customHeight="1" x14ac:dyDescent="0.25">
      <c r="A101" s="33"/>
      <c r="B101" s="586" t="s">
        <v>1413</v>
      </c>
      <c r="C101" s="267" t="s">
        <v>1414</v>
      </c>
      <c r="D101" s="262">
        <v>0.15</v>
      </c>
      <c r="E101" s="259" t="s">
        <v>994</v>
      </c>
      <c r="F101" s="269">
        <v>337.4</v>
      </c>
      <c r="G101" s="269">
        <f>D101*F101</f>
        <v>50.609999999999992</v>
      </c>
      <c r="H101" s="35"/>
      <c r="I101" s="35"/>
      <c r="J101" s="157"/>
    </row>
    <row r="102" spans="1:10" s="156" customFormat="1" ht="36" customHeight="1" x14ac:dyDescent="0.25">
      <c r="A102" s="33"/>
      <c r="B102" s="586" t="s">
        <v>1415</v>
      </c>
      <c r="C102" s="267" t="s">
        <v>1416</v>
      </c>
      <c r="D102" s="259">
        <v>0.75</v>
      </c>
      <c r="E102" s="259" t="s">
        <v>994</v>
      </c>
      <c r="F102" s="269">
        <v>447.26</v>
      </c>
      <c r="G102" s="269">
        <f t="shared" ref="G102:G107" si="7">D102*F102</f>
        <v>335.44499999999999</v>
      </c>
      <c r="H102" s="35"/>
      <c r="I102" s="35"/>
      <c r="J102" s="157"/>
    </row>
    <row r="103" spans="1:10" s="156" customFormat="1" ht="15.75" customHeight="1" x14ac:dyDescent="0.25">
      <c r="A103" s="33"/>
      <c r="B103" s="586" t="s">
        <v>2042</v>
      </c>
      <c r="C103" s="267" t="s">
        <v>1417</v>
      </c>
      <c r="D103" s="259">
        <v>0.75</v>
      </c>
      <c r="E103" s="259" t="s">
        <v>994</v>
      </c>
      <c r="F103" s="269">
        <v>35.61</v>
      </c>
      <c r="G103" s="269">
        <f t="shared" si="7"/>
        <v>26.7075</v>
      </c>
      <c r="H103" s="35"/>
      <c r="I103" s="35"/>
      <c r="J103" s="157"/>
    </row>
    <row r="104" spans="1:10" s="156" customFormat="1" ht="33" customHeight="1" x14ac:dyDescent="0.25">
      <c r="A104" s="33"/>
      <c r="B104" s="586" t="s">
        <v>1430</v>
      </c>
      <c r="C104" s="267" t="s">
        <v>1633</v>
      </c>
      <c r="D104" s="259">
        <v>4.9000000000000004</v>
      </c>
      <c r="E104" s="259" t="s">
        <v>1431</v>
      </c>
      <c r="F104" s="269">
        <v>58.96</v>
      </c>
      <c r="G104" s="269">
        <f t="shared" si="7"/>
        <v>288.90400000000005</v>
      </c>
      <c r="H104" s="35"/>
      <c r="I104" s="35"/>
      <c r="J104" s="157"/>
    </row>
    <row r="105" spans="1:10" s="156" customFormat="1" x14ac:dyDescent="0.25">
      <c r="A105" s="33"/>
      <c r="B105" s="586" t="s">
        <v>1421</v>
      </c>
      <c r="C105" s="267" t="s">
        <v>1422</v>
      </c>
      <c r="D105" s="268">
        <v>33.5</v>
      </c>
      <c r="E105" s="259" t="s">
        <v>42</v>
      </c>
      <c r="F105" s="269">
        <v>10.89</v>
      </c>
      <c r="G105" s="269">
        <f t="shared" si="7"/>
        <v>364.815</v>
      </c>
      <c r="H105" s="35"/>
      <c r="I105" s="35"/>
      <c r="J105" s="157"/>
    </row>
    <row r="106" spans="1:10" s="156" customFormat="1" x14ac:dyDescent="0.25">
      <c r="A106" s="33"/>
      <c r="B106" s="586" t="s">
        <v>1427</v>
      </c>
      <c r="C106" s="267" t="s">
        <v>1428</v>
      </c>
      <c r="D106" s="268">
        <v>16</v>
      </c>
      <c r="E106" s="259" t="s">
        <v>994</v>
      </c>
      <c r="F106" s="269">
        <v>14.1</v>
      </c>
      <c r="G106" s="269">
        <f t="shared" si="7"/>
        <v>225.6</v>
      </c>
      <c r="H106" s="35"/>
      <c r="I106" s="35"/>
      <c r="J106" s="157"/>
    </row>
    <row r="107" spans="1:10" s="156" customFormat="1" x14ac:dyDescent="0.25">
      <c r="A107" s="33"/>
      <c r="B107" s="586" t="s">
        <v>999</v>
      </c>
      <c r="C107" s="267" t="s">
        <v>1437</v>
      </c>
      <c r="D107" s="268">
        <f>(D106-D103)*1.3</f>
        <v>19.824999999999999</v>
      </c>
      <c r="E107" s="259" t="s">
        <v>994</v>
      </c>
      <c r="F107" s="269">
        <v>45.18</v>
      </c>
      <c r="G107" s="269">
        <f t="shared" si="7"/>
        <v>895.69349999999997</v>
      </c>
      <c r="H107" s="35"/>
      <c r="I107" s="35"/>
      <c r="J107" s="157"/>
    </row>
    <row r="108" spans="1:10" s="156" customFormat="1" x14ac:dyDescent="0.25">
      <c r="A108" s="33"/>
      <c r="B108" s="265"/>
      <c r="C108" s="265"/>
      <c r="D108" s="474"/>
      <c r="E108" s="265"/>
      <c r="F108" s="270" t="s">
        <v>34</v>
      </c>
      <c r="G108" s="269">
        <f>SUM(G101:G107)</f>
        <v>2187.7750000000001</v>
      </c>
      <c r="H108" s="35"/>
      <c r="I108" s="35"/>
      <c r="J108" s="157"/>
    </row>
    <row r="109" spans="1:10" s="156" customFormat="1" x14ac:dyDescent="0.25">
      <c r="A109" s="33"/>
      <c r="B109" s="265"/>
      <c r="C109" s="265"/>
      <c r="D109" s="474"/>
      <c r="E109" s="265"/>
      <c r="F109" s="270" t="s">
        <v>1601</v>
      </c>
      <c r="G109" s="269">
        <f>G108/D102</f>
        <v>2917.0333333333333</v>
      </c>
      <c r="H109" s="35"/>
      <c r="I109" s="35"/>
      <c r="J109" s="157"/>
    </row>
    <row r="110" spans="1:10" s="156" customFormat="1" x14ac:dyDescent="0.25">
      <c r="A110" s="33"/>
      <c r="B110" s="47"/>
      <c r="C110" s="47"/>
      <c r="D110" s="310"/>
      <c r="E110" s="255"/>
      <c r="F110" s="256"/>
      <c r="G110" s="251"/>
      <c r="H110" s="35"/>
      <c r="I110" s="35"/>
      <c r="J110" s="157"/>
    </row>
    <row r="111" spans="1:10" s="155" customFormat="1" x14ac:dyDescent="0.25">
      <c r="A111" s="10"/>
      <c r="B111" s="226" t="s">
        <v>1979</v>
      </c>
      <c r="C111" s="227"/>
      <c r="D111" s="472"/>
      <c r="E111" s="228"/>
      <c r="F111" s="229"/>
      <c r="G111" s="230"/>
      <c r="H111" s="35"/>
      <c r="I111" s="35"/>
      <c r="J111" s="22"/>
    </row>
    <row r="112" spans="1:10" s="156" customFormat="1" x14ac:dyDescent="0.25">
      <c r="A112" s="33"/>
      <c r="B112" s="47"/>
      <c r="C112" s="47"/>
      <c r="D112" s="310"/>
      <c r="E112" s="255"/>
      <c r="F112" s="256"/>
      <c r="G112" s="251"/>
      <c r="H112" s="35"/>
      <c r="I112" s="35"/>
      <c r="J112" s="157"/>
    </row>
    <row r="113" spans="1:10" s="155" customFormat="1" ht="36" customHeight="1" x14ac:dyDescent="0.25">
      <c r="B113" s="165" t="s">
        <v>709</v>
      </c>
      <c r="C113" s="622" t="s">
        <v>1115</v>
      </c>
      <c r="D113" s="622"/>
      <c r="E113" s="622"/>
      <c r="F113" s="622"/>
      <c r="G113" s="622"/>
      <c r="H113" s="35"/>
      <c r="I113" s="35"/>
      <c r="J113" s="22"/>
    </row>
    <row r="114" spans="1:10" s="156" customFormat="1" x14ac:dyDescent="0.25">
      <c r="A114" s="33"/>
      <c r="B114" s="113" t="s">
        <v>84</v>
      </c>
      <c r="C114" s="236" t="s">
        <v>85</v>
      </c>
      <c r="D114" s="113" t="s">
        <v>31</v>
      </c>
      <c r="E114" s="237" t="s">
        <v>86</v>
      </c>
      <c r="F114" s="238" t="s">
        <v>87</v>
      </c>
      <c r="G114" s="239" t="s">
        <v>88</v>
      </c>
      <c r="H114" s="272"/>
      <c r="I114" s="35"/>
      <c r="J114" s="157"/>
    </row>
    <row r="115" spans="1:10" s="156" customFormat="1" ht="15.75" customHeight="1" x14ac:dyDescent="0.25">
      <c r="A115" s="33"/>
      <c r="B115" s="586" t="s">
        <v>1415</v>
      </c>
      <c r="C115" s="273" t="s">
        <v>1416</v>
      </c>
      <c r="D115" s="268">
        <v>0.16</v>
      </c>
      <c r="E115" s="259" t="s">
        <v>41</v>
      </c>
      <c r="F115" s="274">
        <v>447.26</v>
      </c>
      <c r="G115" s="269">
        <f>F115*D115</f>
        <v>71.561599999999999</v>
      </c>
      <c r="H115" s="272"/>
      <c r="I115" s="35"/>
      <c r="J115" s="157"/>
    </row>
    <row r="116" spans="1:10" s="156" customFormat="1" ht="16.5" customHeight="1" x14ac:dyDescent="0.25">
      <c r="A116" s="33"/>
      <c r="B116" s="586" t="s">
        <v>2042</v>
      </c>
      <c r="C116" s="273" t="s">
        <v>1417</v>
      </c>
      <c r="D116" s="268">
        <v>0.16</v>
      </c>
      <c r="E116" s="259" t="s">
        <v>41</v>
      </c>
      <c r="F116" s="274">
        <v>35.61</v>
      </c>
      <c r="G116" s="269">
        <f t="shared" ref="G116:G119" si="8">F116*D116</f>
        <v>5.6976000000000004</v>
      </c>
      <c r="H116" s="272"/>
      <c r="I116" s="35"/>
      <c r="J116" s="157"/>
    </row>
    <row r="117" spans="1:10" s="156" customFormat="1" ht="31.5" x14ac:dyDescent="0.25">
      <c r="A117" s="33"/>
      <c r="B117" s="586" t="s">
        <v>1438</v>
      </c>
      <c r="C117" s="273" t="s">
        <v>1439</v>
      </c>
      <c r="D117" s="268">
        <v>2.75</v>
      </c>
      <c r="E117" s="259" t="s">
        <v>53</v>
      </c>
      <c r="F117" s="274">
        <v>119.43</v>
      </c>
      <c r="G117" s="269">
        <f t="shared" si="8"/>
        <v>328.4325</v>
      </c>
      <c r="H117" s="275"/>
      <c r="I117" s="35"/>
      <c r="J117" s="157"/>
    </row>
    <row r="118" spans="1:10" s="156" customFormat="1" x14ac:dyDescent="0.25">
      <c r="A118" s="33"/>
      <c r="B118" s="586" t="s">
        <v>1421</v>
      </c>
      <c r="C118" s="273" t="s">
        <v>1422</v>
      </c>
      <c r="D118" s="268">
        <v>7</v>
      </c>
      <c r="E118" s="259" t="s">
        <v>42</v>
      </c>
      <c r="F118" s="274">
        <v>10.89</v>
      </c>
      <c r="G118" s="269">
        <f t="shared" si="8"/>
        <v>76.23</v>
      </c>
      <c r="H118" s="272"/>
      <c r="I118" s="35"/>
      <c r="J118" s="157"/>
    </row>
    <row r="119" spans="1:10" s="156" customFormat="1" x14ac:dyDescent="0.25">
      <c r="A119" s="33"/>
      <c r="B119" s="586" t="s">
        <v>1432</v>
      </c>
      <c r="C119" s="273" t="s">
        <v>1433</v>
      </c>
      <c r="D119" s="268">
        <v>2.6</v>
      </c>
      <c r="E119" s="259" t="s">
        <v>42</v>
      </c>
      <c r="F119" s="274">
        <v>10.82</v>
      </c>
      <c r="G119" s="269">
        <f t="shared" si="8"/>
        <v>28.132000000000001</v>
      </c>
      <c r="H119" s="275"/>
      <c r="I119" s="35"/>
      <c r="J119" s="157"/>
    </row>
    <row r="120" spans="1:10" s="156" customFormat="1" x14ac:dyDescent="0.25">
      <c r="A120" s="33"/>
      <c r="B120" s="272"/>
      <c r="C120" s="272"/>
      <c r="D120" s="477"/>
      <c r="E120" s="272"/>
      <c r="F120" s="276" t="s">
        <v>34</v>
      </c>
      <c r="G120" s="277">
        <f>SUM(G115:G119)</f>
        <v>510.05369999999999</v>
      </c>
      <c r="H120" s="272"/>
      <c r="I120" s="35"/>
      <c r="J120" s="157"/>
    </row>
    <row r="121" spans="1:10" s="156" customFormat="1" x14ac:dyDescent="0.25">
      <c r="A121" s="33"/>
      <c r="B121" s="275"/>
      <c r="C121" s="275"/>
      <c r="D121" s="477"/>
      <c r="E121" s="275"/>
      <c r="F121" s="276" t="s">
        <v>1454</v>
      </c>
      <c r="G121" s="277">
        <f>G120/D115</f>
        <v>3187.8356249999997</v>
      </c>
      <c r="H121" s="275"/>
      <c r="I121" s="35"/>
      <c r="J121" s="157"/>
    </row>
    <row r="122" spans="1:10" s="156" customFormat="1" x14ac:dyDescent="0.25">
      <c r="A122" s="33"/>
      <c r="B122" s="275"/>
      <c r="C122" s="275"/>
      <c r="D122" s="477"/>
      <c r="E122" s="275"/>
      <c r="F122" s="278"/>
      <c r="G122" s="278"/>
      <c r="H122" s="275"/>
      <c r="I122" s="35"/>
      <c r="J122" s="157"/>
    </row>
    <row r="123" spans="1:10" s="155" customFormat="1" ht="36" customHeight="1" x14ac:dyDescent="0.25">
      <c r="B123" s="165" t="s">
        <v>686</v>
      </c>
      <c r="C123" s="622" t="s">
        <v>1631</v>
      </c>
      <c r="D123" s="622"/>
      <c r="E123" s="622"/>
      <c r="F123" s="622"/>
      <c r="G123" s="622"/>
      <c r="H123" s="35"/>
      <c r="I123" s="35"/>
      <c r="J123" s="22"/>
    </row>
    <row r="124" spans="1:10" s="156" customFormat="1" x14ac:dyDescent="0.25">
      <c r="A124" s="33"/>
      <c r="B124" s="113" t="s">
        <v>84</v>
      </c>
      <c r="C124" s="236" t="s">
        <v>85</v>
      </c>
      <c r="D124" s="113" t="s">
        <v>31</v>
      </c>
      <c r="E124" s="237" t="s">
        <v>86</v>
      </c>
      <c r="F124" s="238" t="s">
        <v>87</v>
      </c>
      <c r="G124" s="239" t="s">
        <v>88</v>
      </c>
      <c r="H124" s="272"/>
      <c r="I124" s="35"/>
      <c r="J124" s="157"/>
    </row>
    <row r="125" spans="1:10" s="156" customFormat="1" ht="33" customHeight="1" x14ac:dyDescent="0.25">
      <c r="A125" s="33"/>
      <c r="B125" s="586" t="s">
        <v>1415</v>
      </c>
      <c r="C125" s="273" t="s">
        <v>1416</v>
      </c>
      <c r="D125" s="268">
        <v>18.02</v>
      </c>
      <c r="E125" s="259" t="s">
        <v>41</v>
      </c>
      <c r="F125" s="274">
        <v>447.26</v>
      </c>
      <c r="G125" s="269">
        <f>F125*D125</f>
        <v>8059.6251999999995</v>
      </c>
      <c r="H125" s="272"/>
      <c r="I125" s="35"/>
      <c r="J125" s="157"/>
    </row>
    <row r="126" spans="1:10" s="156" customFormat="1" ht="14.25" customHeight="1" x14ac:dyDescent="0.25">
      <c r="A126" s="33"/>
      <c r="B126" s="586" t="s">
        <v>2042</v>
      </c>
      <c r="C126" s="273" t="s">
        <v>1417</v>
      </c>
      <c r="D126" s="268">
        <v>18.02</v>
      </c>
      <c r="E126" s="259" t="s">
        <v>41</v>
      </c>
      <c r="F126" s="274">
        <v>35.61</v>
      </c>
      <c r="G126" s="269">
        <f t="shared" ref="G126:G132" si="9">F126*D126</f>
        <v>641.69219999999996</v>
      </c>
      <c r="H126" s="272"/>
      <c r="I126" s="35"/>
      <c r="J126" s="157"/>
    </row>
    <row r="127" spans="1:10" s="156" customFormat="1" ht="31.5" x14ac:dyDescent="0.25">
      <c r="A127" s="33"/>
      <c r="B127" s="586" t="s">
        <v>1438</v>
      </c>
      <c r="C127" s="279" t="s">
        <v>1439</v>
      </c>
      <c r="D127" s="280">
        <v>233.16</v>
      </c>
      <c r="E127" s="259" t="s">
        <v>53</v>
      </c>
      <c r="F127" s="274">
        <v>119.43</v>
      </c>
      <c r="G127" s="269">
        <f t="shared" si="9"/>
        <v>27846.2988</v>
      </c>
      <c r="H127" s="275"/>
      <c r="I127" s="35"/>
      <c r="J127" s="157"/>
    </row>
    <row r="128" spans="1:10" s="156" customFormat="1" x14ac:dyDescent="0.25">
      <c r="A128" s="33"/>
      <c r="B128" s="586" t="s">
        <v>1419</v>
      </c>
      <c r="C128" s="273" t="s">
        <v>1420</v>
      </c>
      <c r="D128" s="268">
        <v>123</v>
      </c>
      <c r="E128" s="259" t="s">
        <v>42</v>
      </c>
      <c r="F128" s="274">
        <v>10.95</v>
      </c>
      <c r="G128" s="269">
        <f t="shared" si="9"/>
        <v>1346.85</v>
      </c>
      <c r="H128" s="272"/>
      <c r="I128" s="35"/>
      <c r="J128" s="157"/>
    </row>
    <row r="129" spans="1:10" s="156" customFormat="1" x14ac:dyDescent="0.25">
      <c r="A129" s="33"/>
      <c r="B129" s="586" t="s">
        <v>1421</v>
      </c>
      <c r="C129" s="273" t="s">
        <v>1422</v>
      </c>
      <c r="D129" s="268">
        <v>5.5</v>
      </c>
      <c r="E129" s="259" t="s">
        <v>42</v>
      </c>
      <c r="F129" s="274">
        <v>10.89</v>
      </c>
      <c r="G129" s="269">
        <f t="shared" si="9"/>
        <v>59.895000000000003</v>
      </c>
      <c r="H129" s="272"/>
      <c r="I129" s="35"/>
      <c r="J129" s="157"/>
    </row>
    <row r="130" spans="1:10" s="156" customFormat="1" x14ac:dyDescent="0.25">
      <c r="A130" s="33"/>
      <c r="B130" s="586" t="s">
        <v>1423</v>
      </c>
      <c r="C130" s="273" t="s">
        <v>1424</v>
      </c>
      <c r="D130" s="268">
        <v>18.3</v>
      </c>
      <c r="E130" s="259" t="s">
        <v>42</v>
      </c>
      <c r="F130" s="274">
        <v>10.039999999999999</v>
      </c>
      <c r="G130" s="269">
        <f t="shared" si="9"/>
        <v>183.732</v>
      </c>
      <c r="H130" s="272"/>
      <c r="I130" s="35"/>
      <c r="J130" s="157"/>
    </row>
    <row r="131" spans="1:10" s="156" customFormat="1" x14ac:dyDescent="0.25">
      <c r="A131" s="33"/>
      <c r="B131" s="586" t="s">
        <v>1435</v>
      </c>
      <c r="C131" s="273" t="s">
        <v>1436</v>
      </c>
      <c r="D131" s="268">
        <v>1007.8</v>
      </c>
      <c r="E131" s="259" t="s">
        <v>42</v>
      </c>
      <c r="F131" s="274">
        <v>8.59</v>
      </c>
      <c r="G131" s="269">
        <f t="shared" si="9"/>
        <v>8657.0019999999986</v>
      </c>
      <c r="H131" s="272"/>
      <c r="I131" s="35"/>
      <c r="J131" s="157"/>
    </row>
    <row r="132" spans="1:10" s="156" customFormat="1" x14ac:dyDescent="0.25">
      <c r="A132" s="33"/>
      <c r="B132" s="586" t="s">
        <v>1432</v>
      </c>
      <c r="C132" s="273" t="s">
        <v>1433</v>
      </c>
      <c r="D132" s="268">
        <v>180.3</v>
      </c>
      <c r="E132" s="259" t="s">
        <v>42</v>
      </c>
      <c r="F132" s="274">
        <v>10.82</v>
      </c>
      <c r="G132" s="269">
        <f t="shared" si="9"/>
        <v>1950.8460000000002</v>
      </c>
      <c r="H132" s="275"/>
      <c r="I132" s="35"/>
      <c r="J132" s="157"/>
    </row>
    <row r="133" spans="1:10" s="156" customFormat="1" x14ac:dyDescent="0.25">
      <c r="A133" s="33"/>
      <c r="B133" s="272"/>
      <c r="C133" s="272"/>
      <c r="D133" s="477"/>
      <c r="E133" s="272"/>
      <c r="F133" s="276" t="s">
        <v>34</v>
      </c>
      <c r="G133" s="277">
        <f>SUM(G125:G132)</f>
        <v>48745.941200000001</v>
      </c>
      <c r="H133" s="275"/>
      <c r="I133" s="35"/>
      <c r="J133" s="157"/>
    </row>
    <row r="134" spans="1:10" s="156" customFormat="1" x14ac:dyDescent="0.25">
      <c r="A134" s="33"/>
      <c r="B134" s="272"/>
      <c r="C134" s="272"/>
      <c r="D134" s="477"/>
      <c r="E134" s="272"/>
      <c r="F134" s="276" t="s">
        <v>1454</v>
      </c>
      <c r="G134" s="277">
        <f>G133/D125</f>
        <v>2705.1021753607106</v>
      </c>
      <c r="H134" s="272"/>
      <c r="I134" s="35"/>
      <c r="J134" s="157"/>
    </row>
    <row r="135" spans="1:10" s="156" customFormat="1" x14ac:dyDescent="0.25">
      <c r="A135" s="33"/>
      <c r="B135" s="272"/>
      <c r="C135" s="272"/>
      <c r="D135" s="477"/>
      <c r="E135" s="272"/>
      <c r="F135" s="278"/>
      <c r="G135" s="278"/>
      <c r="H135" s="272"/>
      <c r="I135" s="35"/>
      <c r="J135" s="157"/>
    </row>
    <row r="136" spans="1:10" s="155" customFormat="1" ht="36" customHeight="1" x14ac:dyDescent="0.25">
      <c r="B136" s="165" t="s">
        <v>691</v>
      </c>
      <c r="C136" s="622" t="s">
        <v>1118</v>
      </c>
      <c r="D136" s="622"/>
      <c r="E136" s="622"/>
      <c r="F136" s="622"/>
      <c r="G136" s="622"/>
      <c r="H136" s="35"/>
      <c r="I136" s="35"/>
      <c r="J136" s="22"/>
    </row>
    <row r="137" spans="1:10" s="156" customFormat="1" x14ac:dyDescent="0.25">
      <c r="A137" s="33"/>
      <c r="B137" s="113" t="s">
        <v>84</v>
      </c>
      <c r="C137" s="236" t="s">
        <v>85</v>
      </c>
      <c r="D137" s="113" t="s">
        <v>31</v>
      </c>
      <c r="E137" s="237" t="s">
        <v>86</v>
      </c>
      <c r="F137" s="238" t="s">
        <v>87</v>
      </c>
      <c r="G137" s="239" t="s">
        <v>88</v>
      </c>
      <c r="H137" s="272"/>
      <c r="I137" s="35"/>
      <c r="J137" s="157"/>
    </row>
    <row r="138" spans="1:10" s="156" customFormat="1" ht="29.25" customHeight="1" x14ac:dyDescent="0.25">
      <c r="A138" s="33"/>
      <c r="B138" s="586" t="s">
        <v>1415</v>
      </c>
      <c r="C138" s="273" t="s">
        <v>1416</v>
      </c>
      <c r="D138" s="268">
        <v>3.54</v>
      </c>
      <c r="E138" s="259" t="s">
        <v>41</v>
      </c>
      <c r="F138" s="274">
        <v>447.26</v>
      </c>
      <c r="G138" s="269">
        <f>F138*D138</f>
        <v>1583.3004000000001</v>
      </c>
      <c r="H138" s="272"/>
      <c r="I138" s="35"/>
      <c r="J138" s="157"/>
    </row>
    <row r="139" spans="1:10" s="156" customFormat="1" ht="19.5" customHeight="1" x14ac:dyDescent="0.25">
      <c r="A139" s="33"/>
      <c r="B139" s="586" t="s">
        <v>2042</v>
      </c>
      <c r="C139" s="273" t="s">
        <v>1417</v>
      </c>
      <c r="D139" s="268">
        <v>3.54</v>
      </c>
      <c r="E139" s="259" t="s">
        <v>41</v>
      </c>
      <c r="F139" s="274">
        <v>35.61</v>
      </c>
      <c r="G139" s="269">
        <f t="shared" ref="G139:G142" si="10">F139*D139</f>
        <v>126.0594</v>
      </c>
      <c r="H139" s="272"/>
      <c r="I139" s="35"/>
      <c r="J139" s="157"/>
    </row>
    <row r="140" spans="1:10" s="156" customFormat="1" ht="31.5" x14ac:dyDescent="0.25">
      <c r="A140" s="33"/>
      <c r="B140" s="586" t="s">
        <v>1438</v>
      </c>
      <c r="C140" s="273" t="s">
        <v>1439</v>
      </c>
      <c r="D140" s="281">
        <v>54.99</v>
      </c>
      <c r="E140" s="259" t="s">
        <v>53</v>
      </c>
      <c r="F140" s="274">
        <v>119.43</v>
      </c>
      <c r="G140" s="269">
        <f t="shared" si="10"/>
        <v>6567.4557000000004</v>
      </c>
      <c r="H140" s="272"/>
      <c r="I140" s="35"/>
      <c r="J140" s="157"/>
    </row>
    <row r="141" spans="1:10" s="156" customFormat="1" x14ac:dyDescent="0.25">
      <c r="A141" s="33"/>
      <c r="B141" s="586" t="s">
        <v>1421</v>
      </c>
      <c r="C141" s="273" t="s">
        <v>1422</v>
      </c>
      <c r="D141" s="268">
        <v>168.6</v>
      </c>
      <c r="E141" s="259" t="s">
        <v>42</v>
      </c>
      <c r="F141" s="274">
        <v>10.89</v>
      </c>
      <c r="G141" s="269">
        <f t="shared" si="10"/>
        <v>1836.0540000000001</v>
      </c>
      <c r="H141" s="272"/>
      <c r="I141" s="35"/>
      <c r="J141" s="157"/>
    </row>
    <row r="142" spans="1:10" s="156" customFormat="1" x14ac:dyDescent="0.25">
      <c r="A142" s="33"/>
      <c r="B142" s="586" t="s">
        <v>1432</v>
      </c>
      <c r="C142" s="273" t="s">
        <v>1433</v>
      </c>
      <c r="D142" s="268">
        <v>128.69999999999999</v>
      </c>
      <c r="E142" s="259" t="s">
        <v>42</v>
      </c>
      <c r="F142" s="274">
        <v>10.82</v>
      </c>
      <c r="G142" s="269">
        <f t="shared" si="10"/>
        <v>1392.5339999999999</v>
      </c>
      <c r="H142" s="275"/>
      <c r="I142" s="35"/>
      <c r="J142" s="157"/>
    </row>
    <row r="143" spans="1:10" s="156" customFormat="1" x14ac:dyDescent="0.25">
      <c r="A143" s="33"/>
      <c r="B143" s="272"/>
      <c r="C143" s="272"/>
      <c r="D143" s="477"/>
      <c r="E143" s="272"/>
      <c r="F143" s="276" t="s">
        <v>34</v>
      </c>
      <c r="G143" s="277">
        <f>SUM(G138:G142)</f>
        <v>11505.4035</v>
      </c>
      <c r="H143" s="275"/>
      <c r="I143" s="35"/>
      <c r="J143" s="157"/>
    </row>
    <row r="144" spans="1:10" s="156" customFormat="1" x14ac:dyDescent="0.25">
      <c r="A144" s="33"/>
      <c r="B144" s="272"/>
      <c r="C144" s="272"/>
      <c r="D144" s="477"/>
      <c r="E144" s="272"/>
      <c r="F144" s="276" t="s">
        <v>1454</v>
      </c>
      <c r="G144" s="277">
        <f>G143/D138</f>
        <v>3250.1139830508473</v>
      </c>
      <c r="H144" s="272"/>
      <c r="I144" s="35"/>
      <c r="J144" s="157"/>
    </row>
    <row r="145" spans="1:10" s="156" customFormat="1" x14ac:dyDescent="0.25">
      <c r="A145" s="33"/>
      <c r="B145" s="272"/>
      <c r="C145" s="272"/>
      <c r="D145" s="477"/>
      <c r="E145" s="272"/>
      <c r="F145" s="278"/>
      <c r="G145" s="278"/>
      <c r="H145" s="272"/>
      <c r="I145" s="35"/>
      <c r="J145" s="157"/>
    </row>
    <row r="146" spans="1:10" s="155" customFormat="1" ht="36" customHeight="1" x14ac:dyDescent="0.25">
      <c r="B146" s="165" t="s">
        <v>692</v>
      </c>
      <c r="C146" s="622" t="s">
        <v>1632</v>
      </c>
      <c r="D146" s="622"/>
      <c r="E146" s="622"/>
      <c r="F146" s="622"/>
      <c r="G146" s="622"/>
      <c r="H146" s="35"/>
      <c r="I146" s="35"/>
      <c r="J146" s="22"/>
    </row>
    <row r="147" spans="1:10" s="156" customFormat="1" x14ac:dyDescent="0.25">
      <c r="A147" s="33"/>
      <c r="B147" s="113" t="s">
        <v>84</v>
      </c>
      <c r="C147" s="236" t="s">
        <v>85</v>
      </c>
      <c r="D147" s="113" t="s">
        <v>31</v>
      </c>
      <c r="E147" s="237" t="s">
        <v>86</v>
      </c>
      <c r="F147" s="238" t="s">
        <v>87</v>
      </c>
      <c r="G147" s="239" t="s">
        <v>88</v>
      </c>
      <c r="H147" s="272"/>
      <c r="I147" s="35"/>
      <c r="J147" s="157"/>
    </row>
    <row r="148" spans="1:10" s="156" customFormat="1" ht="29.25" customHeight="1" x14ac:dyDescent="0.25">
      <c r="A148" s="33"/>
      <c r="B148" s="586" t="s">
        <v>1415</v>
      </c>
      <c r="C148" s="273" t="s">
        <v>1416</v>
      </c>
      <c r="D148" s="268">
        <v>14.37</v>
      </c>
      <c r="E148" s="259" t="s">
        <v>41</v>
      </c>
      <c r="F148" s="274">
        <v>447.26</v>
      </c>
      <c r="G148" s="269">
        <f>F148*D148</f>
        <v>6427.1261999999997</v>
      </c>
      <c r="H148" s="272"/>
      <c r="I148" s="35"/>
      <c r="J148" s="157"/>
    </row>
    <row r="149" spans="1:10" s="156" customFormat="1" ht="17.25" customHeight="1" x14ac:dyDescent="0.25">
      <c r="A149" s="33"/>
      <c r="B149" s="586" t="s">
        <v>2042</v>
      </c>
      <c r="C149" s="273" t="s">
        <v>1417</v>
      </c>
      <c r="D149" s="268">
        <v>14.37</v>
      </c>
      <c r="E149" s="259" t="s">
        <v>41</v>
      </c>
      <c r="F149" s="274">
        <v>35.61</v>
      </c>
      <c r="G149" s="269">
        <f t="shared" ref="G149:G152" si="11">F149*D149</f>
        <v>511.71569999999997</v>
      </c>
      <c r="H149" s="272"/>
      <c r="I149" s="35"/>
      <c r="J149" s="157"/>
    </row>
    <row r="150" spans="1:10" s="156" customFormat="1" ht="31.5" x14ac:dyDescent="0.25">
      <c r="A150" s="33"/>
      <c r="B150" s="586" t="s">
        <v>1438</v>
      </c>
      <c r="C150" s="273" t="s">
        <v>1439</v>
      </c>
      <c r="D150" s="268">
        <v>187.17000000000002</v>
      </c>
      <c r="E150" s="259" t="s">
        <v>53</v>
      </c>
      <c r="F150" s="274">
        <v>119.43</v>
      </c>
      <c r="G150" s="269">
        <f t="shared" si="11"/>
        <v>22353.713100000004</v>
      </c>
      <c r="H150" s="272"/>
      <c r="I150" s="35"/>
      <c r="J150" s="157"/>
    </row>
    <row r="151" spans="1:10" s="156" customFormat="1" x14ac:dyDescent="0.25">
      <c r="A151" s="33"/>
      <c r="B151" s="586" t="s">
        <v>1435</v>
      </c>
      <c r="C151" s="273" t="s">
        <v>1436</v>
      </c>
      <c r="D151" s="268">
        <v>956.59999999999991</v>
      </c>
      <c r="E151" s="259" t="s">
        <v>42</v>
      </c>
      <c r="F151" s="274">
        <v>8.59</v>
      </c>
      <c r="G151" s="269">
        <f t="shared" si="11"/>
        <v>8217.1939999999995</v>
      </c>
      <c r="H151" s="272"/>
      <c r="I151" s="35"/>
      <c r="J151" s="157"/>
    </row>
    <row r="152" spans="1:10" s="156" customFormat="1" x14ac:dyDescent="0.25">
      <c r="A152" s="33"/>
      <c r="B152" s="586" t="s">
        <v>1432</v>
      </c>
      <c r="C152" s="273" t="s">
        <v>1433</v>
      </c>
      <c r="D152" s="268">
        <v>175</v>
      </c>
      <c r="E152" s="259" t="s">
        <v>42</v>
      </c>
      <c r="F152" s="274">
        <v>10.82</v>
      </c>
      <c r="G152" s="269">
        <f t="shared" si="11"/>
        <v>1893.5</v>
      </c>
      <c r="H152" s="275"/>
      <c r="I152" s="35"/>
      <c r="J152" s="157"/>
    </row>
    <row r="153" spans="1:10" s="156" customFormat="1" x14ac:dyDescent="0.25">
      <c r="A153" s="33"/>
      <c r="B153" s="272"/>
      <c r="C153" s="272"/>
      <c r="D153" s="477"/>
      <c r="E153" s="272"/>
      <c r="F153" s="276" t="s">
        <v>34</v>
      </c>
      <c r="G153" s="277">
        <f>SUM(G148:G152)</f>
        <v>39403.249000000003</v>
      </c>
      <c r="H153" s="275"/>
      <c r="I153" s="35"/>
      <c r="J153" s="157"/>
    </row>
    <row r="154" spans="1:10" s="156" customFormat="1" x14ac:dyDescent="0.25">
      <c r="A154" s="33"/>
      <c r="B154" s="272"/>
      <c r="C154" s="272"/>
      <c r="D154" s="477"/>
      <c r="E154" s="272"/>
      <c r="F154" s="276" t="s">
        <v>1454</v>
      </c>
      <c r="G154" s="277">
        <f>G153/D148</f>
        <v>2742.0493389004873</v>
      </c>
      <c r="H154" s="272"/>
      <c r="I154" s="35"/>
      <c r="J154" s="157"/>
    </row>
    <row r="155" spans="1:10" s="156" customFormat="1" x14ac:dyDescent="0.25">
      <c r="A155" s="33"/>
      <c r="B155" s="272"/>
      <c r="C155" s="272"/>
      <c r="D155" s="477"/>
      <c r="E155" s="272"/>
      <c r="F155" s="278"/>
      <c r="G155" s="278"/>
      <c r="H155" s="272"/>
      <c r="I155" s="35"/>
      <c r="J155" s="157"/>
    </row>
    <row r="156" spans="1:10" s="155" customFormat="1" ht="36" customHeight="1" x14ac:dyDescent="0.25">
      <c r="B156" s="165" t="s">
        <v>693</v>
      </c>
      <c r="C156" s="622" t="s">
        <v>1121</v>
      </c>
      <c r="D156" s="622"/>
      <c r="E156" s="622"/>
      <c r="F156" s="622"/>
      <c r="G156" s="622"/>
      <c r="H156" s="35"/>
      <c r="I156" s="35"/>
      <c r="J156" s="22"/>
    </row>
    <row r="157" spans="1:10" s="156" customFormat="1" x14ac:dyDescent="0.25">
      <c r="A157" s="33"/>
      <c r="B157" s="113" t="s">
        <v>84</v>
      </c>
      <c r="C157" s="236" t="s">
        <v>85</v>
      </c>
      <c r="D157" s="113" t="s">
        <v>31</v>
      </c>
      <c r="E157" s="237" t="s">
        <v>86</v>
      </c>
      <c r="F157" s="238" t="s">
        <v>87</v>
      </c>
      <c r="G157" s="239" t="s">
        <v>88</v>
      </c>
      <c r="H157" s="272"/>
      <c r="I157" s="35"/>
      <c r="J157" s="157"/>
    </row>
    <row r="158" spans="1:10" s="156" customFormat="1" ht="33.75" customHeight="1" x14ac:dyDescent="0.25">
      <c r="A158" s="33"/>
      <c r="B158" s="586" t="s">
        <v>1415</v>
      </c>
      <c r="C158" s="273" t="s">
        <v>1416</v>
      </c>
      <c r="D158" s="268">
        <v>2.77</v>
      </c>
      <c r="E158" s="259" t="s">
        <v>41</v>
      </c>
      <c r="F158" s="274">
        <v>447.26</v>
      </c>
      <c r="G158" s="269">
        <f>F158*D158</f>
        <v>1238.9102</v>
      </c>
      <c r="H158" s="272"/>
      <c r="I158" s="35"/>
      <c r="J158" s="157"/>
    </row>
    <row r="159" spans="1:10" s="156" customFormat="1" ht="19.5" customHeight="1" x14ac:dyDescent="0.25">
      <c r="A159" s="33"/>
      <c r="B159" s="586" t="s">
        <v>2042</v>
      </c>
      <c r="C159" s="273" t="s">
        <v>1417</v>
      </c>
      <c r="D159" s="268">
        <v>2.77</v>
      </c>
      <c r="E159" s="259" t="s">
        <v>41</v>
      </c>
      <c r="F159" s="274">
        <v>35.61</v>
      </c>
      <c r="G159" s="269">
        <f t="shared" ref="G159:G162" si="12">F159*D159</f>
        <v>98.639700000000005</v>
      </c>
      <c r="H159" s="272"/>
      <c r="I159" s="35"/>
      <c r="J159" s="157"/>
    </row>
    <row r="160" spans="1:10" s="156" customFormat="1" ht="31.5" x14ac:dyDescent="0.25">
      <c r="A160" s="33"/>
      <c r="B160" s="586" t="s">
        <v>1438</v>
      </c>
      <c r="C160" s="273" t="s">
        <v>1439</v>
      </c>
      <c r="D160" s="268">
        <v>43.03</v>
      </c>
      <c r="E160" s="259" t="s">
        <v>53</v>
      </c>
      <c r="F160" s="274">
        <v>119.43</v>
      </c>
      <c r="G160" s="269">
        <f t="shared" si="12"/>
        <v>5139.0729000000001</v>
      </c>
      <c r="H160" s="272"/>
      <c r="I160" s="35"/>
      <c r="J160" s="157"/>
    </row>
    <row r="161" spans="1:10" s="156" customFormat="1" x14ac:dyDescent="0.25">
      <c r="A161" s="33"/>
      <c r="B161" s="586" t="s">
        <v>1421</v>
      </c>
      <c r="C161" s="273" t="s">
        <v>1422</v>
      </c>
      <c r="D161" s="268">
        <v>124.5</v>
      </c>
      <c r="E161" s="259" t="s">
        <v>42</v>
      </c>
      <c r="F161" s="274">
        <v>10.89</v>
      </c>
      <c r="G161" s="269">
        <f t="shared" si="12"/>
        <v>1355.8050000000001</v>
      </c>
      <c r="H161" s="272"/>
      <c r="I161" s="35"/>
      <c r="J161" s="157"/>
    </row>
    <row r="162" spans="1:10" s="156" customFormat="1" x14ac:dyDescent="0.25">
      <c r="A162" s="33"/>
      <c r="B162" s="586" t="s">
        <v>1432</v>
      </c>
      <c r="C162" s="273" t="s">
        <v>1433</v>
      </c>
      <c r="D162" s="268">
        <v>101.3</v>
      </c>
      <c r="E162" s="259" t="s">
        <v>42</v>
      </c>
      <c r="F162" s="274">
        <v>10.82</v>
      </c>
      <c r="G162" s="269">
        <f t="shared" si="12"/>
        <v>1096.066</v>
      </c>
      <c r="H162" s="275"/>
      <c r="I162" s="35"/>
      <c r="J162" s="157"/>
    </row>
    <row r="163" spans="1:10" s="156" customFormat="1" x14ac:dyDescent="0.25">
      <c r="A163" s="33"/>
      <c r="B163" s="272"/>
      <c r="C163" s="272"/>
      <c r="D163" s="477"/>
      <c r="E163" s="272"/>
      <c r="F163" s="276" t="s">
        <v>34</v>
      </c>
      <c r="G163" s="277">
        <f>SUM(G158:G162)</f>
        <v>8928.4938000000002</v>
      </c>
      <c r="H163" s="275"/>
      <c r="I163" s="35"/>
      <c r="J163" s="157"/>
    </row>
    <row r="164" spans="1:10" s="156" customFormat="1" x14ac:dyDescent="0.25">
      <c r="A164" s="33"/>
      <c r="B164" s="272"/>
      <c r="C164" s="272"/>
      <c r="D164" s="477"/>
      <c r="E164" s="272"/>
      <c r="F164" s="276" t="s">
        <v>1454</v>
      </c>
      <c r="G164" s="282">
        <f>G163/D158</f>
        <v>3223.2829602888087</v>
      </c>
      <c r="H164" s="272"/>
      <c r="I164" s="35"/>
      <c r="J164" s="157"/>
    </row>
    <row r="165" spans="1:10" s="156" customFormat="1" x14ac:dyDescent="0.25">
      <c r="A165" s="33"/>
      <c r="B165" s="272"/>
      <c r="C165" s="272"/>
      <c r="D165" s="477"/>
      <c r="E165" s="272"/>
      <c r="F165" s="283"/>
      <c r="G165" s="282"/>
      <c r="H165" s="272"/>
      <c r="I165" s="35"/>
      <c r="J165" s="157"/>
    </row>
    <row r="166" spans="1:10" s="155" customFormat="1" ht="36" customHeight="1" x14ac:dyDescent="0.25">
      <c r="B166" s="165" t="s">
        <v>703</v>
      </c>
      <c r="C166" s="622" t="s">
        <v>1625</v>
      </c>
      <c r="D166" s="622"/>
      <c r="E166" s="622"/>
      <c r="F166" s="622"/>
      <c r="G166" s="622"/>
      <c r="H166" s="35"/>
      <c r="I166" s="35"/>
      <c r="J166" s="22"/>
    </row>
    <row r="167" spans="1:10" s="156" customFormat="1" x14ac:dyDescent="0.25">
      <c r="A167" s="33"/>
      <c r="B167" s="113" t="s">
        <v>84</v>
      </c>
      <c r="C167" s="236" t="s">
        <v>85</v>
      </c>
      <c r="D167" s="113" t="s">
        <v>31</v>
      </c>
      <c r="E167" s="237" t="s">
        <v>86</v>
      </c>
      <c r="F167" s="238" t="s">
        <v>87</v>
      </c>
      <c r="G167" s="239" t="s">
        <v>88</v>
      </c>
      <c r="H167" s="275"/>
      <c r="I167" s="35"/>
      <c r="J167" s="157"/>
    </row>
    <row r="168" spans="1:10" s="156" customFormat="1" ht="31.5" x14ac:dyDescent="0.25">
      <c r="A168" s="33"/>
      <c r="B168" s="586" t="s">
        <v>1415</v>
      </c>
      <c r="C168" s="273" t="s">
        <v>1416</v>
      </c>
      <c r="D168" s="268">
        <v>7.14</v>
      </c>
      <c r="E168" s="259" t="s">
        <v>41</v>
      </c>
      <c r="F168" s="274">
        <v>447.26</v>
      </c>
      <c r="G168" s="269">
        <f>D168*F168</f>
        <v>3193.4363999999996</v>
      </c>
      <c r="H168" s="275"/>
      <c r="I168" s="35"/>
      <c r="J168" s="157"/>
    </row>
    <row r="169" spans="1:10" s="156" customFormat="1" ht="20.25" customHeight="1" x14ac:dyDescent="0.25">
      <c r="A169" s="33"/>
      <c r="B169" s="586" t="s">
        <v>2042</v>
      </c>
      <c r="C169" s="273" t="s">
        <v>1417</v>
      </c>
      <c r="D169" s="268">
        <v>7.14</v>
      </c>
      <c r="E169" s="259" t="s">
        <v>41</v>
      </c>
      <c r="F169" s="274">
        <v>35.61</v>
      </c>
      <c r="G169" s="269">
        <f t="shared" ref="G169:G174" si="13">D169*F169</f>
        <v>254.25539999999998</v>
      </c>
      <c r="H169" s="275"/>
      <c r="I169" s="35"/>
      <c r="J169" s="157"/>
    </row>
    <row r="170" spans="1:10" s="156" customFormat="1" ht="31.5" x14ac:dyDescent="0.25">
      <c r="A170" s="33"/>
      <c r="B170" s="586" t="s">
        <v>1438</v>
      </c>
      <c r="C170" s="273" t="s">
        <v>1439</v>
      </c>
      <c r="D170" s="268">
        <v>87</v>
      </c>
      <c r="E170" s="259" t="s">
        <v>53</v>
      </c>
      <c r="F170" s="274">
        <v>119.43</v>
      </c>
      <c r="G170" s="269">
        <f t="shared" si="13"/>
        <v>10390.41</v>
      </c>
      <c r="H170" s="275"/>
      <c r="I170" s="35"/>
      <c r="J170" s="157"/>
    </row>
    <row r="171" spans="1:10" s="156" customFormat="1" x14ac:dyDescent="0.25">
      <c r="A171" s="33"/>
      <c r="B171" s="586" t="s">
        <v>1421</v>
      </c>
      <c r="C171" s="273" t="s">
        <v>1422</v>
      </c>
      <c r="D171" s="268">
        <v>2.2000000000000002</v>
      </c>
      <c r="E171" s="259" t="s">
        <v>42</v>
      </c>
      <c r="F171" s="274">
        <v>10.89</v>
      </c>
      <c r="G171" s="269">
        <f t="shared" si="13"/>
        <v>23.958000000000002</v>
      </c>
      <c r="H171" s="275"/>
      <c r="I171" s="35"/>
      <c r="J171" s="157"/>
    </row>
    <row r="172" spans="1:10" s="156" customFormat="1" x14ac:dyDescent="0.25">
      <c r="A172" s="33"/>
      <c r="B172" s="586" t="s">
        <v>1419</v>
      </c>
      <c r="C172" s="273" t="s">
        <v>1420</v>
      </c>
      <c r="D172" s="268">
        <v>257.8</v>
      </c>
      <c r="E172" s="259" t="s">
        <v>42</v>
      </c>
      <c r="F172" s="274">
        <v>10.95</v>
      </c>
      <c r="G172" s="269">
        <f t="shared" si="13"/>
        <v>2822.91</v>
      </c>
      <c r="H172" s="275"/>
      <c r="I172" s="35"/>
      <c r="J172" s="157"/>
    </row>
    <row r="173" spans="1:10" s="156" customFormat="1" x14ac:dyDescent="0.25">
      <c r="A173" s="33"/>
      <c r="B173" s="586" t="s">
        <v>1435</v>
      </c>
      <c r="C173" s="556" t="s">
        <v>1436</v>
      </c>
      <c r="D173" s="268">
        <v>446.5</v>
      </c>
      <c r="E173" s="259" t="s">
        <v>42</v>
      </c>
      <c r="F173" s="274">
        <v>8.59</v>
      </c>
      <c r="G173" s="269">
        <f t="shared" si="13"/>
        <v>3835.4349999999999</v>
      </c>
      <c r="H173" s="275"/>
      <c r="I173" s="35"/>
      <c r="J173" s="157"/>
    </row>
    <row r="174" spans="1:10" s="156" customFormat="1" x14ac:dyDescent="0.25">
      <c r="A174" s="33"/>
      <c r="B174" s="586" t="s">
        <v>1432</v>
      </c>
      <c r="C174" s="273" t="s">
        <v>1433</v>
      </c>
      <c r="D174" s="268">
        <v>23.8</v>
      </c>
      <c r="E174" s="259" t="s">
        <v>42</v>
      </c>
      <c r="F174" s="274">
        <v>10.82</v>
      </c>
      <c r="G174" s="269">
        <f t="shared" si="13"/>
        <v>257.51600000000002</v>
      </c>
      <c r="H174" s="275"/>
      <c r="I174" s="35"/>
      <c r="J174" s="157"/>
    </row>
    <row r="175" spans="1:10" s="156" customFormat="1" x14ac:dyDescent="0.25">
      <c r="A175" s="33"/>
      <c r="B175" s="272"/>
      <c r="C175" s="272"/>
      <c r="D175" s="477"/>
      <c r="E175" s="272"/>
      <c r="F175" s="276" t="s">
        <v>34</v>
      </c>
      <c r="G175" s="277">
        <f>SUM(G168:G174)</f>
        <v>20777.9208</v>
      </c>
      <c r="H175" s="275"/>
      <c r="I175" s="35"/>
      <c r="J175" s="157"/>
    </row>
    <row r="176" spans="1:10" s="156" customFormat="1" x14ac:dyDescent="0.25">
      <c r="A176" s="33"/>
      <c r="B176" s="275"/>
      <c r="C176" s="275"/>
      <c r="D176" s="477"/>
      <c r="E176" s="275"/>
      <c r="F176" s="276" t="s">
        <v>1454</v>
      </c>
      <c r="G176" s="277">
        <f>G175/D168</f>
        <v>2910.0729411764705</v>
      </c>
      <c r="H176" s="275"/>
      <c r="I176" s="35"/>
      <c r="J176" s="157"/>
    </row>
    <row r="177" spans="1:10" s="156" customFormat="1" x14ac:dyDescent="0.25">
      <c r="A177" s="33"/>
      <c r="B177" s="275"/>
      <c r="C177" s="275"/>
      <c r="D177" s="477"/>
      <c r="E177" s="275"/>
      <c r="F177" s="278"/>
      <c r="G177" s="278"/>
      <c r="H177" s="275"/>
      <c r="I177" s="35"/>
      <c r="J177" s="157"/>
    </row>
    <row r="178" spans="1:10" s="155" customFormat="1" ht="36" customHeight="1" x14ac:dyDescent="0.25">
      <c r="B178" s="165" t="s">
        <v>704</v>
      </c>
      <c r="C178" s="622" t="s">
        <v>1123</v>
      </c>
      <c r="D178" s="622"/>
      <c r="E178" s="622"/>
      <c r="F178" s="622"/>
      <c r="G178" s="622"/>
      <c r="H178" s="35"/>
      <c r="I178" s="35"/>
      <c r="J178" s="22"/>
    </row>
    <row r="179" spans="1:10" s="156" customFormat="1" x14ac:dyDescent="0.25">
      <c r="A179" s="33"/>
      <c r="B179" s="113" t="s">
        <v>84</v>
      </c>
      <c r="C179" s="236" t="s">
        <v>85</v>
      </c>
      <c r="D179" s="113" t="s">
        <v>31</v>
      </c>
      <c r="E179" s="237" t="s">
        <v>86</v>
      </c>
      <c r="F179" s="238" t="s">
        <v>87</v>
      </c>
      <c r="G179" s="239" t="s">
        <v>88</v>
      </c>
      <c r="H179" s="275"/>
      <c r="I179" s="35"/>
      <c r="J179" s="157"/>
    </row>
    <row r="180" spans="1:10" s="156" customFormat="1" ht="28.5" customHeight="1" x14ac:dyDescent="0.25">
      <c r="A180" s="33"/>
      <c r="B180" s="586" t="s">
        <v>1415</v>
      </c>
      <c r="C180" s="273" t="s">
        <v>1416</v>
      </c>
      <c r="D180" s="268">
        <v>2.85</v>
      </c>
      <c r="E180" s="259" t="s">
        <v>41</v>
      </c>
      <c r="F180" s="274">
        <v>447.26</v>
      </c>
      <c r="G180" s="269">
        <f>F180*D180</f>
        <v>1274.691</v>
      </c>
      <c r="H180" s="275"/>
      <c r="I180" s="35"/>
      <c r="J180" s="157"/>
    </row>
    <row r="181" spans="1:10" s="156" customFormat="1" ht="21.75" customHeight="1" x14ac:dyDescent="0.25">
      <c r="A181" s="33"/>
      <c r="B181" s="586" t="s">
        <v>2042</v>
      </c>
      <c r="C181" s="273" t="s">
        <v>1417</v>
      </c>
      <c r="D181" s="268">
        <v>2.85</v>
      </c>
      <c r="E181" s="259" t="s">
        <v>41</v>
      </c>
      <c r="F181" s="274">
        <v>35.61</v>
      </c>
      <c r="G181" s="269">
        <f t="shared" ref="G181:G184" si="14">F181*D181</f>
        <v>101.4885</v>
      </c>
      <c r="H181" s="275"/>
      <c r="I181" s="35"/>
      <c r="J181" s="157"/>
    </row>
    <row r="182" spans="1:10" s="156" customFormat="1" ht="31.5" x14ac:dyDescent="0.25">
      <c r="A182" s="33"/>
      <c r="B182" s="586" t="s">
        <v>1438</v>
      </c>
      <c r="C182" s="273" t="s">
        <v>1439</v>
      </c>
      <c r="D182" s="268">
        <v>34.700000000000003</v>
      </c>
      <c r="E182" s="259" t="s">
        <v>53</v>
      </c>
      <c r="F182" s="274">
        <v>119.43</v>
      </c>
      <c r="G182" s="269">
        <f t="shared" si="14"/>
        <v>4144.2210000000005</v>
      </c>
      <c r="H182" s="275"/>
      <c r="I182" s="35"/>
      <c r="J182" s="157"/>
    </row>
    <row r="183" spans="1:10" s="156" customFormat="1" x14ac:dyDescent="0.25">
      <c r="A183" s="33"/>
      <c r="B183" s="586" t="s">
        <v>1419</v>
      </c>
      <c r="C183" s="273" t="s">
        <v>1420</v>
      </c>
      <c r="D183" s="268">
        <v>52.7</v>
      </c>
      <c r="E183" s="259" t="s">
        <v>42</v>
      </c>
      <c r="F183" s="274">
        <v>10.95</v>
      </c>
      <c r="G183" s="269">
        <f t="shared" si="14"/>
        <v>577.06499999999994</v>
      </c>
      <c r="H183" s="275"/>
      <c r="I183" s="35"/>
      <c r="J183" s="157"/>
    </row>
    <row r="184" spans="1:10" s="156" customFormat="1" x14ac:dyDescent="0.25">
      <c r="A184" s="33"/>
      <c r="B184" s="586" t="s">
        <v>1423</v>
      </c>
      <c r="C184" s="273" t="s">
        <v>1424</v>
      </c>
      <c r="D184" s="268">
        <v>107.7</v>
      </c>
      <c r="E184" s="259" t="s">
        <v>42</v>
      </c>
      <c r="F184" s="274">
        <v>10.039999999999999</v>
      </c>
      <c r="G184" s="269">
        <f t="shared" si="14"/>
        <v>1081.308</v>
      </c>
      <c r="H184" s="275"/>
      <c r="I184" s="35"/>
      <c r="J184" s="157"/>
    </row>
    <row r="185" spans="1:10" s="156" customFormat="1" x14ac:dyDescent="0.25">
      <c r="A185" s="33"/>
      <c r="B185" s="272"/>
      <c r="C185" s="272"/>
      <c r="D185" s="477"/>
      <c r="E185" s="272"/>
      <c r="F185" s="276" t="s">
        <v>34</v>
      </c>
      <c r="G185" s="277">
        <f>SUM(G180:G184)</f>
        <v>7178.7735000000002</v>
      </c>
      <c r="H185" s="275"/>
      <c r="I185" s="35"/>
      <c r="J185" s="157"/>
    </row>
    <row r="186" spans="1:10" s="156" customFormat="1" x14ac:dyDescent="0.25">
      <c r="A186" s="33"/>
      <c r="B186" s="275"/>
      <c r="C186" s="275"/>
      <c r="D186" s="477"/>
      <c r="E186" s="275"/>
      <c r="F186" s="276" t="s">
        <v>1454</v>
      </c>
      <c r="G186" s="277">
        <f>G185/D180</f>
        <v>2518.8678947368421</v>
      </c>
      <c r="H186" s="275"/>
      <c r="I186" s="35"/>
      <c r="J186" s="157"/>
    </row>
    <row r="187" spans="1:10" s="156" customFormat="1" x14ac:dyDescent="0.25">
      <c r="A187" s="33"/>
      <c r="B187" s="275"/>
      <c r="C187" s="275"/>
      <c r="D187" s="477"/>
      <c r="E187" s="275"/>
      <c r="F187" s="278"/>
      <c r="G187" s="278"/>
      <c r="H187" s="275"/>
      <c r="I187" s="35"/>
      <c r="J187" s="157"/>
    </row>
    <row r="188" spans="1:10" s="155" customFormat="1" ht="36" customHeight="1" x14ac:dyDescent="0.25">
      <c r="B188" s="165" t="s">
        <v>710</v>
      </c>
      <c r="C188" s="622" t="s">
        <v>1124</v>
      </c>
      <c r="D188" s="622"/>
      <c r="E188" s="622"/>
      <c r="F188" s="622"/>
      <c r="G188" s="622"/>
      <c r="H188" s="35"/>
      <c r="I188" s="35"/>
      <c r="J188" s="22"/>
    </row>
    <row r="189" spans="1:10" s="156" customFormat="1" x14ac:dyDescent="0.25">
      <c r="A189" s="33"/>
      <c r="B189" s="113" t="s">
        <v>84</v>
      </c>
      <c r="C189" s="236" t="s">
        <v>85</v>
      </c>
      <c r="D189" s="113" t="s">
        <v>31</v>
      </c>
      <c r="E189" s="237" t="s">
        <v>86</v>
      </c>
      <c r="F189" s="238" t="s">
        <v>87</v>
      </c>
      <c r="G189" s="239" t="s">
        <v>88</v>
      </c>
      <c r="H189" s="275"/>
      <c r="I189" s="35"/>
      <c r="J189" s="157"/>
    </row>
    <row r="190" spans="1:10" s="156" customFormat="1" ht="30.75" customHeight="1" x14ac:dyDescent="0.25">
      <c r="A190" s="33"/>
      <c r="B190" s="586" t="s">
        <v>1415</v>
      </c>
      <c r="C190" s="273" t="s">
        <v>1416</v>
      </c>
      <c r="D190" s="268">
        <v>0.46</v>
      </c>
      <c r="E190" s="259" t="s">
        <v>41</v>
      </c>
      <c r="F190" s="274">
        <v>447.26</v>
      </c>
      <c r="G190" s="269">
        <f>D190*F190</f>
        <v>205.7396</v>
      </c>
      <c r="H190" s="275"/>
      <c r="I190" s="35"/>
      <c r="J190" s="157"/>
    </row>
    <row r="191" spans="1:10" s="156" customFormat="1" ht="22.5" customHeight="1" x14ac:dyDescent="0.25">
      <c r="A191" s="33"/>
      <c r="B191" s="586" t="s">
        <v>2042</v>
      </c>
      <c r="C191" s="273" t="s">
        <v>1417</v>
      </c>
      <c r="D191" s="268">
        <v>0.46</v>
      </c>
      <c r="E191" s="259" t="s">
        <v>41</v>
      </c>
      <c r="F191" s="274">
        <v>35.61</v>
      </c>
      <c r="G191" s="269">
        <f t="shared" ref="G191:G194" si="15">D191*F191</f>
        <v>16.380600000000001</v>
      </c>
      <c r="H191" s="275"/>
      <c r="I191" s="35"/>
      <c r="J191" s="157"/>
    </row>
    <row r="192" spans="1:10" s="156" customFormat="1" ht="31.5" x14ac:dyDescent="0.25">
      <c r="A192" s="33"/>
      <c r="B192" s="586" t="s">
        <v>1438</v>
      </c>
      <c r="C192" s="273" t="s">
        <v>1439</v>
      </c>
      <c r="D192" s="268">
        <v>7.75</v>
      </c>
      <c r="E192" s="259" t="s">
        <v>53</v>
      </c>
      <c r="F192" s="274">
        <v>119.43</v>
      </c>
      <c r="G192" s="269">
        <f t="shared" si="15"/>
        <v>925.5825000000001</v>
      </c>
      <c r="H192" s="275"/>
      <c r="I192" s="35"/>
      <c r="J192" s="157"/>
    </row>
    <row r="193" spans="1:10" s="156" customFormat="1" x14ac:dyDescent="0.25">
      <c r="A193" s="33"/>
      <c r="B193" s="586" t="s">
        <v>1432</v>
      </c>
      <c r="C193" s="273" t="s">
        <v>1433</v>
      </c>
      <c r="D193" s="268">
        <v>6.4</v>
      </c>
      <c r="E193" s="259" t="s">
        <v>42</v>
      </c>
      <c r="F193" s="274">
        <v>10.82</v>
      </c>
      <c r="G193" s="269">
        <f t="shared" si="15"/>
        <v>69.248000000000005</v>
      </c>
      <c r="H193" s="275"/>
      <c r="I193" s="35"/>
      <c r="J193" s="157"/>
    </row>
    <row r="194" spans="1:10" s="156" customFormat="1" x14ac:dyDescent="0.25">
      <c r="A194" s="33"/>
      <c r="B194" s="586" t="s">
        <v>1423</v>
      </c>
      <c r="C194" s="273" t="s">
        <v>1424</v>
      </c>
      <c r="D194" s="268">
        <v>24.2</v>
      </c>
      <c r="E194" s="259" t="s">
        <v>42</v>
      </c>
      <c r="F194" s="274">
        <v>10.039999999999999</v>
      </c>
      <c r="G194" s="269">
        <f t="shared" si="15"/>
        <v>242.96799999999996</v>
      </c>
      <c r="H194" s="275"/>
      <c r="I194" s="35"/>
      <c r="J194" s="157"/>
    </row>
    <row r="195" spans="1:10" s="156" customFormat="1" x14ac:dyDescent="0.25">
      <c r="A195" s="33"/>
      <c r="B195" s="272"/>
      <c r="C195" s="272"/>
      <c r="D195" s="477"/>
      <c r="E195" s="272"/>
      <c r="F195" s="276" t="s">
        <v>34</v>
      </c>
      <c r="G195" s="277">
        <f>SUM(G190:G194)</f>
        <v>1459.9187000000002</v>
      </c>
      <c r="H195" s="275"/>
      <c r="I195" s="35"/>
      <c r="J195" s="157"/>
    </row>
    <row r="196" spans="1:10" s="156" customFormat="1" x14ac:dyDescent="0.25">
      <c r="A196" s="33"/>
      <c r="B196" s="275"/>
      <c r="C196" s="275"/>
      <c r="D196" s="477"/>
      <c r="E196" s="275"/>
      <c r="F196" s="276" t="s">
        <v>1454</v>
      </c>
      <c r="G196" s="277">
        <f>G195/D190</f>
        <v>3173.7363043478263</v>
      </c>
      <c r="H196" s="275"/>
      <c r="I196" s="35"/>
      <c r="J196" s="157"/>
    </row>
    <row r="197" spans="1:10" s="156" customFormat="1" x14ac:dyDescent="0.25">
      <c r="A197" s="33"/>
      <c r="B197" s="275"/>
      <c r="C197" s="275"/>
      <c r="D197" s="477"/>
      <c r="E197" s="275"/>
      <c r="F197" s="278"/>
      <c r="G197" s="278"/>
      <c r="H197" s="275"/>
      <c r="I197" s="35"/>
      <c r="J197" s="157"/>
    </row>
    <row r="198" spans="1:10" s="155" customFormat="1" ht="36" customHeight="1" x14ac:dyDescent="0.25">
      <c r="B198" s="165" t="s">
        <v>874</v>
      </c>
      <c r="C198" s="622" t="s">
        <v>1130</v>
      </c>
      <c r="D198" s="622"/>
      <c r="E198" s="622"/>
      <c r="F198" s="622"/>
      <c r="G198" s="622"/>
      <c r="H198" s="35"/>
      <c r="I198" s="35"/>
      <c r="J198" s="22"/>
    </row>
    <row r="199" spans="1:10" s="156" customFormat="1" x14ac:dyDescent="0.25">
      <c r="A199" s="33"/>
      <c r="B199" s="113" t="s">
        <v>84</v>
      </c>
      <c r="C199" s="236" t="s">
        <v>85</v>
      </c>
      <c r="D199" s="113" t="s">
        <v>31</v>
      </c>
      <c r="E199" s="237" t="s">
        <v>86</v>
      </c>
      <c r="F199" s="238" t="s">
        <v>87</v>
      </c>
      <c r="G199" s="239" t="s">
        <v>88</v>
      </c>
      <c r="H199" s="275"/>
      <c r="I199" s="35"/>
      <c r="J199" s="157"/>
    </row>
    <row r="200" spans="1:10" s="156" customFormat="1" ht="36" customHeight="1" x14ac:dyDescent="0.25">
      <c r="A200" s="33"/>
      <c r="B200" s="589" t="s">
        <v>1415</v>
      </c>
      <c r="C200" s="273" t="s">
        <v>1416</v>
      </c>
      <c r="D200" s="268">
        <v>0.56000000000000005</v>
      </c>
      <c r="E200" s="259" t="s">
        <v>41</v>
      </c>
      <c r="F200" s="274">
        <v>447.26</v>
      </c>
      <c r="G200" s="269">
        <f>D200*F200</f>
        <v>250.46560000000002</v>
      </c>
      <c r="H200" s="275"/>
      <c r="I200" s="35"/>
      <c r="J200" s="157"/>
    </row>
    <row r="201" spans="1:10" s="156" customFormat="1" ht="21" customHeight="1" x14ac:dyDescent="0.25">
      <c r="A201" s="33"/>
      <c r="B201" s="586" t="s">
        <v>2042</v>
      </c>
      <c r="C201" s="273" t="s">
        <v>1417</v>
      </c>
      <c r="D201" s="268">
        <v>0.56000000000000005</v>
      </c>
      <c r="E201" s="259" t="s">
        <v>41</v>
      </c>
      <c r="F201" s="274">
        <v>35.61</v>
      </c>
      <c r="G201" s="269">
        <f t="shared" ref="G201:G204" si="16">D201*F201</f>
        <v>19.941600000000001</v>
      </c>
      <c r="H201" s="275"/>
      <c r="I201" s="35"/>
      <c r="J201" s="157"/>
    </row>
    <row r="202" spans="1:10" s="156" customFormat="1" ht="35.25" customHeight="1" x14ac:dyDescent="0.25">
      <c r="A202" s="33"/>
      <c r="B202" s="586" t="s">
        <v>1666</v>
      </c>
      <c r="C202" s="273" t="s">
        <v>1665</v>
      </c>
      <c r="D202" s="268">
        <v>12.28</v>
      </c>
      <c r="E202" s="259" t="s">
        <v>53</v>
      </c>
      <c r="F202" s="274">
        <v>93.26</v>
      </c>
      <c r="G202" s="269">
        <f t="shared" si="16"/>
        <v>1145.2328</v>
      </c>
      <c r="H202" s="275"/>
      <c r="I202" s="35"/>
      <c r="J202" s="157"/>
    </row>
    <row r="203" spans="1:10" s="156" customFormat="1" x14ac:dyDescent="0.25">
      <c r="A203" s="33"/>
      <c r="B203" s="586" t="s">
        <v>1423</v>
      </c>
      <c r="C203" s="273" t="s">
        <v>1440</v>
      </c>
      <c r="D203" s="268">
        <v>50.5</v>
      </c>
      <c r="E203" s="259" t="s">
        <v>42</v>
      </c>
      <c r="F203" s="274">
        <v>10.039999999999999</v>
      </c>
      <c r="G203" s="269">
        <f t="shared" si="16"/>
        <v>507.02</v>
      </c>
      <c r="H203" s="272"/>
      <c r="I203" s="35"/>
      <c r="J203" s="157"/>
    </row>
    <row r="204" spans="1:10" s="156" customFormat="1" x14ac:dyDescent="0.25">
      <c r="A204" s="33"/>
      <c r="B204" s="586" t="s">
        <v>1432</v>
      </c>
      <c r="C204" s="273" t="s">
        <v>1433</v>
      </c>
      <c r="D204" s="268">
        <v>14.4</v>
      </c>
      <c r="E204" s="259" t="s">
        <v>42</v>
      </c>
      <c r="F204" s="274">
        <v>10.82</v>
      </c>
      <c r="G204" s="269">
        <f t="shared" si="16"/>
        <v>155.80800000000002</v>
      </c>
      <c r="H204" s="275"/>
      <c r="I204" s="35"/>
      <c r="J204" s="157"/>
    </row>
    <row r="205" spans="1:10" s="19" customFormat="1" x14ac:dyDescent="0.25">
      <c r="A205" s="8"/>
      <c r="B205" s="451"/>
      <c r="C205" s="451"/>
      <c r="D205" s="478"/>
      <c r="E205" s="451"/>
      <c r="F205" s="506" t="s">
        <v>34</v>
      </c>
      <c r="G205" s="507">
        <f>SUM(G200:G204)</f>
        <v>2078.4680000000003</v>
      </c>
      <c r="H205" s="453"/>
      <c r="I205" s="311"/>
      <c r="J205" s="450"/>
    </row>
    <row r="206" spans="1:10" s="156" customFormat="1" x14ac:dyDescent="0.25">
      <c r="A206" s="33"/>
      <c r="B206" s="275"/>
      <c r="C206" s="275"/>
      <c r="D206" s="477"/>
      <c r="E206" s="275"/>
      <c r="F206" s="276" t="s">
        <v>1454</v>
      </c>
      <c r="G206" s="277">
        <f>G205/D200</f>
        <v>3711.55</v>
      </c>
      <c r="H206" s="275"/>
      <c r="I206" s="35"/>
      <c r="J206" s="157"/>
    </row>
    <row r="207" spans="1:10" s="19" customFormat="1" x14ac:dyDescent="0.25">
      <c r="A207" s="8"/>
      <c r="B207" s="451"/>
      <c r="C207" s="451"/>
      <c r="D207" s="478"/>
      <c r="E207" s="451"/>
      <c r="F207" s="452"/>
      <c r="G207" s="452"/>
      <c r="H207" s="451"/>
      <c r="I207" s="311"/>
      <c r="J207" s="450"/>
    </row>
    <row r="208" spans="1:10" s="155" customFormat="1" ht="36" customHeight="1" x14ac:dyDescent="0.25">
      <c r="B208" s="165" t="s">
        <v>460</v>
      </c>
      <c r="C208" s="622" t="s">
        <v>1131</v>
      </c>
      <c r="D208" s="622"/>
      <c r="E208" s="622"/>
      <c r="F208" s="622"/>
      <c r="G208" s="622"/>
      <c r="H208" s="35"/>
      <c r="I208" s="35"/>
      <c r="J208" s="22"/>
    </row>
    <row r="209" spans="1:10" s="156" customFormat="1" x14ac:dyDescent="0.25">
      <c r="A209" s="33"/>
      <c r="B209" s="113" t="s">
        <v>84</v>
      </c>
      <c r="C209" s="236" t="s">
        <v>85</v>
      </c>
      <c r="D209" s="113" t="s">
        <v>31</v>
      </c>
      <c r="E209" s="237" t="s">
        <v>86</v>
      </c>
      <c r="F209" s="238" t="s">
        <v>87</v>
      </c>
      <c r="G209" s="239" t="s">
        <v>88</v>
      </c>
      <c r="H209" s="272"/>
      <c r="I209" s="35"/>
      <c r="J209" s="157"/>
    </row>
    <row r="210" spans="1:10" s="156" customFormat="1" ht="31.5" customHeight="1" x14ac:dyDescent="0.25">
      <c r="A210" s="33"/>
      <c r="B210" s="586" t="s">
        <v>1415</v>
      </c>
      <c r="C210" s="273" t="s">
        <v>1416</v>
      </c>
      <c r="D210" s="268">
        <v>0.18</v>
      </c>
      <c r="E210" s="259" t="s">
        <v>41</v>
      </c>
      <c r="F210" s="274">
        <v>447.26</v>
      </c>
      <c r="G210" s="269">
        <f>D210*F210</f>
        <v>80.506799999999998</v>
      </c>
      <c r="H210" s="272"/>
      <c r="I210" s="35"/>
      <c r="J210" s="157"/>
    </row>
    <row r="211" spans="1:10" s="156" customFormat="1" ht="22.5" customHeight="1" x14ac:dyDescent="0.25">
      <c r="A211" s="33"/>
      <c r="B211" s="586" t="s">
        <v>2042</v>
      </c>
      <c r="C211" s="273" t="s">
        <v>1417</v>
      </c>
      <c r="D211" s="268">
        <v>0.18</v>
      </c>
      <c r="E211" s="259" t="s">
        <v>41</v>
      </c>
      <c r="F211" s="274">
        <v>35.61</v>
      </c>
      <c r="G211" s="269">
        <f t="shared" ref="G211:G215" si="17">D211*F211</f>
        <v>6.4097999999999997</v>
      </c>
      <c r="H211" s="272"/>
      <c r="I211" s="35"/>
      <c r="J211" s="157"/>
    </row>
    <row r="212" spans="1:10" s="156" customFormat="1" ht="31.5" x14ac:dyDescent="0.25">
      <c r="A212" s="33"/>
      <c r="B212" s="586" t="s">
        <v>1666</v>
      </c>
      <c r="C212" s="273" t="s">
        <v>1665</v>
      </c>
      <c r="D212" s="268">
        <v>4.2</v>
      </c>
      <c r="E212" s="259" t="s">
        <v>53</v>
      </c>
      <c r="F212" s="274">
        <v>93.26</v>
      </c>
      <c r="G212" s="269">
        <f t="shared" si="17"/>
        <v>391.69200000000006</v>
      </c>
      <c r="H212" s="272"/>
      <c r="I212" s="35"/>
      <c r="J212" s="157"/>
    </row>
    <row r="213" spans="1:10" s="156" customFormat="1" x14ac:dyDescent="0.25">
      <c r="A213" s="33"/>
      <c r="B213" s="586" t="s">
        <v>1435</v>
      </c>
      <c r="C213" s="273" t="s">
        <v>1436</v>
      </c>
      <c r="D213" s="268">
        <v>8.4</v>
      </c>
      <c r="E213" s="259" t="s">
        <v>42</v>
      </c>
      <c r="F213" s="274">
        <v>8.59</v>
      </c>
      <c r="G213" s="269">
        <f t="shared" si="17"/>
        <v>72.156000000000006</v>
      </c>
      <c r="H213" s="272"/>
      <c r="I213" s="35"/>
      <c r="J213" s="157"/>
    </row>
    <row r="214" spans="1:10" s="156" customFormat="1" x14ac:dyDescent="0.25">
      <c r="A214" s="33"/>
      <c r="B214" s="586" t="s">
        <v>1423</v>
      </c>
      <c r="C214" s="273" t="s">
        <v>1440</v>
      </c>
      <c r="D214" s="268">
        <v>10.7</v>
      </c>
      <c r="E214" s="259" t="s">
        <v>42</v>
      </c>
      <c r="F214" s="274">
        <v>10.039999999999999</v>
      </c>
      <c r="G214" s="269">
        <f t="shared" si="17"/>
        <v>107.42799999999998</v>
      </c>
      <c r="H214" s="272"/>
      <c r="I214" s="35"/>
      <c r="J214" s="157"/>
    </row>
    <row r="215" spans="1:10" s="156" customFormat="1" x14ac:dyDescent="0.25">
      <c r="A215" s="33"/>
      <c r="B215" s="586" t="s">
        <v>1432</v>
      </c>
      <c r="C215" s="273" t="s">
        <v>1433</v>
      </c>
      <c r="D215" s="268">
        <v>4.7</v>
      </c>
      <c r="E215" s="259" t="s">
        <v>42</v>
      </c>
      <c r="F215" s="274">
        <v>10.82</v>
      </c>
      <c r="G215" s="269">
        <f t="shared" si="17"/>
        <v>50.854000000000006</v>
      </c>
      <c r="H215" s="272"/>
      <c r="I215" s="35"/>
      <c r="J215" s="157"/>
    </row>
    <row r="216" spans="1:10" s="156" customFormat="1" x14ac:dyDescent="0.25">
      <c r="A216" s="33"/>
      <c r="B216" s="272"/>
      <c r="C216" s="272"/>
      <c r="D216" s="477"/>
      <c r="E216" s="272"/>
      <c r="F216" s="276" t="s">
        <v>34</v>
      </c>
      <c r="G216" s="277">
        <f>SUM(G210:G215)</f>
        <v>709.04660000000013</v>
      </c>
      <c r="H216" s="272"/>
      <c r="I216" s="35"/>
      <c r="J216" s="157"/>
    </row>
    <row r="217" spans="1:10" s="156" customFormat="1" x14ac:dyDescent="0.25">
      <c r="A217" s="33"/>
      <c r="B217" s="272"/>
      <c r="C217" s="272"/>
      <c r="D217" s="477"/>
      <c r="E217" s="272"/>
      <c r="F217" s="276" t="s">
        <v>1454</v>
      </c>
      <c r="G217" s="277">
        <f>G216/D210</f>
        <v>3939.1477777777786</v>
      </c>
      <c r="H217" s="272"/>
      <c r="I217" s="35"/>
      <c r="J217" s="157"/>
    </row>
    <row r="218" spans="1:10" s="19" customFormat="1" x14ac:dyDescent="0.25">
      <c r="A218" s="8"/>
      <c r="B218" s="451"/>
      <c r="C218" s="451"/>
      <c r="D218" s="478"/>
      <c r="E218" s="451"/>
      <c r="F218" s="452"/>
      <c r="G218" s="452"/>
      <c r="H218" s="451"/>
      <c r="I218" s="311"/>
      <c r="J218" s="450"/>
    </row>
    <row r="219" spans="1:10" s="155" customFormat="1" ht="36" customHeight="1" x14ac:dyDescent="0.25">
      <c r="B219" s="165" t="s">
        <v>904</v>
      </c>
      <c r="C219" s="622" t="s">
        <v>1626</v>
      </c>
      <c r="D219" s="622"/>
      <c r="E219" s="622"/>
      <c r="F219" s="622"/>
      <c r="G219" s="622"/>
      <c r="H219" s="35"/>
      <c r="I219" s="35"/>
      <c r="J219" s="22"/>
    </row>
    <row r="220" spans="1:10" s="156" customFormat="1" x14ac:dyDescent="0.25">
      <c r="A220" s="33"/>
      <c r="B220" s="113" t="s">
        <v>84</v>
      </c>
      <c r="C220" s="236" t="s">
        <v>85</v>
      </c>
      <c r="D220" s="113" t="s">
        <v>31</v>
      </c>
      <c r="E220" s="237" t="s">
        <v>86</v>
      </c>
      <c r="F220" s="238" t="s">
        <v>87</v>
      </c>
      <c r="G220" s="239" t="s">
        <v>88</v>
      </c>
      <c r="H220" s="272"/>
      <c r="I220" s="35"/>
      <c r="J220" s="157"/>
    </row>
    <row r="221" spans="1:10" s="156" customFormat="1" ht="29.25" customHeight="1" x14ac:dyDescent="0.25">
      <c r="A221" s="33"/>
      <c r="B221" s="586" t="s">
        <v>1415</v>
      </c>
      <c r="C221" s="273" t="s">
        <v>1416</v>
      </c>
      <c r="D221" s="268">
        <v>0.6</v>
      </c>
      <c r="E221" s="259" t="s">
        <v>41</v>
      </c>
      <c r="F221" s="274">
        <v>447.26</v>
      </c>
      <c r="G221" s="269">
        <f>D221*F221</f>
        <v>268.35599999999999</v>
      </c>
      <c r="H221" s="272"/>
      <c r="I221" s="35"/>
      <c r="J221" s="157"/>
    </row>
    <row r="222" spans="1:10" s="156" customFormat="1" ht="22.5" customHeight="1" x14ac:dyDescent="0.25">
      <c r="A222" s="33"/>
      <c r="B222" s="586" t="s">
        <v>2042</v>
      </c>
      <c r="C222" s="273" t="s">
        <v>1417</v>
      </c>
      <c r="D222" s="268">
        <v>0.6</v>
      </c>
      <c r="E222" s="259" t="s">
        <v>41</v>
      </c>
      <c r="F222" s="274">
        <v>35.61</v>
      </c>
      <c r="G222" s="269">
        <f t="shared" ref="G222:G226" si="18">D222*F222</f>
        <v>21.366</v>
      </c>
      <c r="H222" s="272"/>
      <c r="I222" s="35"/>
      <c r="J222" s="157"/>
    </row>
    <row r="223" spans="1:10" s="156" customFormat="1" ht="31.5" x14ac:dyDescent="0.25">
      <c r="A223" s="33"/>
      <c r="B223" s="586" t="s">
        <v>1666</v>
      </c>
      <c r="C223" s="273" t="s">
        <v>1665</v>
      </c>
      <c r="D223" s="268">
        <v>13.49</v>
      </c>
      <c r="E223" s="259" t="s">
        <v>53</v>
      </c>
      <c r="F223" s="274">
        <v>93.26</v>
      </c>
      <c r="G223" s="269">
        <f t="shared" si="18"/>
        <v>1258.0774000000001</v>
      </c>
      <c r="H223" s="272"/>
      <c r="I223" s="35"/>
      <c r="J223" s="157"/>
    </row>
    <row r="224" spans="1:10" s="156" customFormat="1" x14ac:dyDescent="0.25">
      <c r="A224" s="33"/>
      <c r="B224" s="586" t="s">
        <v>1435</v>
      </c>
      <c r="C224" s="273" t="s">
        <v>1436</v>
      </c>
      <c r="D224" s="268">
        <v>42.6</v>
      </c>
      <c r="E224" s="259" t="s">
        <v>42</v>
      </c>
      <c r="F224" s="274">
        <v>8.59</v>
      </c>
      <c r="G224" s="269">
        <f t="shared" si="18"/>
        <v>365.93400000000003</v>
      </c>
      <c r="H224" s="272"/>
      <c r="I224" s="35"/>
      <c r="J224" s="157"/>
    </row>
    <row r="225" spans="1:10" s="156" customFormat="1" x14ac:dyDescent="0.25">
      <c r="A225" s="33"/>
      <c r="B225" s="586" t="s">
        <v>1423</v>
      </c>
      <c r="C225" s="273" t="s">
        <v>1440</v>
      </c>
      <c r="D225" s="268">
        <v>26.3</v>
      </c>
      <c r="E225" s="259" t="s">
        <v>42</v>
      </c>
      <c r="F225" s="274">
        <v>10.039999999999999</v>
      </c>
      <c r="G225" s="269">
        <f t="shared" si="18"/>
        <v>264.05199999999996</v>
      </c>
      <c r="H225" s="272"/>
      <c r="I225" s="35"/>
      <c r="J225" s="157"/>
    </row>
    <row r="226" spans="1:10" s="156" customFormat="1" x14ac:dyDescent="0.25">
      <c r="A226" s="33"/>
      <c r="B226" s="586" t="s">
        <v>1432</v>
      </c>
      <c r="C226" s="273" t="s">
        <v>1433</v>
      </c>
      <c r="D226" s="268">
        <v>15</v>
      </c>
      <c r="E226" s="259" t="s">
        <v>42</v>
      </c>
      <c r="F226" s="274">
        <v>10.82</v>
      </c>
      <c r="G226" s="269">
        <f t="shared" si="18"/>
        <v>162.30000000000001</v>
      </c>
      <c r="H226" s="272"/>
      <c r="I226" s="35"/>
      <c r="J226" s="157"/>
    </row>
    <row r="227" spans="1:10" s="156" customFormat="1" x14ac:dyDescent="0.25">
      <c r="A227" s="33"/>
      <c r="B227" s="272"/>
      <c r="C227" s="272"/>
      <c r="D227" s="477"/>
      <c r="E227" s="272"/>
      <c r="F227" s="276" t="s">
        <v>34</v>
      </c>
      <c r="G227" s="277">
        <f>SUM(G221:G226)</f>
        <v>2340.0854000000004</v>
      </c>
      <c r="H227" s="272"/>
      <c r="I227" s="35"/>
      <c r="J227" s="157"/>
    </row>
    <row r="228" spans="1:10" s="156" customFormat="1" x14ac:dyDescent="0.25">
      <c r="A228" s="33"/>
      <c r="B228" s="272"/>
      <c r="C228" s="272"/>
      <c r="D228" s="477"/>
      <c r="E228" s="272"/>
      <c r="F228" s="276" t="s">
        <v>1454</v>
      </c>
      <c r="G228" s="277">
        <f>G227/D221</f>
        <v>3900.1423333333341</v>
      </c>
      <c r="H228" s="272"/>
      <c r="I228" s="35"/>
      <c r="J228" s="157"/>
    </row>
    <row r="229" spans="1:10" s="19" customFormat="1" x14ac:dyDescent="0.25">
      <c r="A229" s="8"/>
      <c r="B229" s="451"/>
      <c r="C229" s="451"/>
      <c r="D229" s="478"/>
      <c r="E229" s="451"/>
      <c r="F229" s="452"/>
      <c r="G229" s="452"/>
      <c r="H229" s="451"/>
      <c r="I229" s="311"/>
      <c r="J229" s="450"/>
    </row>
    <row r="230" spans="1:10" s="155" customFormat="1" ht="36" customHeight="1" x14ac:dyDescent="0.25">
      <c r="B230" s="165" t="s">
        <v>905</v>
      </c>
      <c r="C230" s="622" t="s">
        <v>1132</v>
      </c>
      <c r="D230" s="622"/>
      <c r="E230" s="622"/>
      <c r="F230" s="622"/>
      <c r="G230" s="622"/>
      <c r="H230" s="35"/>
      <c r="I230" s="35"/>
      <c r="J230" s="22"/>
    </row>
    <row r="231" spans="1:10" s="156" customFormat="1" x14ac:dyDescent="0.25">
      <c r="A231" s="33"/>
      <c r="B231" s="113" t="s">
        <v>84</v>
      </c>
      <c r="C231" s="236" t="s">
        <v>85</v>
      </c>
      <c r="D231" s="113" t="s">
        <v>31</v>
      </c>
      <c r="E231" s="237" t="s">
        <v>86</v>
      </c>
      <c r="F231" s="238" t="s">
        <v>87</v>
      </c>
      <c r="G231" s="239" t="s">
        <v>88</v>
      </c>
      <c r="H231" s="272"/>
      <c r="I231" s="35"/>
      <c r="J231" s="157"/>
    </row>
    <row r="232" spans="1:10" s="156" customFormat="1" ht="31.5" customHeight="1" x14ac:dyDescent="0.25">
      <c r="A232" s="33"/>
      <c r="B232" s="586" t="s">
        <v>1415</v>
      </c>
      <c r="C232" s="273" t="s">
        <v>1416</v>
      </c>
      <c r="D232" s="268">
        <v>4.75</v>
      </c>
      <c r="E232" s="259" t="s">
        <v>41</v>
      </c>
      <c r="F232" s="274">
        <v>447.26</v>
      </c>
      <c r="G232" s="269">
        <f>D232*F232</f>
        <v>2124.4850000000001</v>
      </c>
      <c r="H232" s="272"/>
      <c r="I232" s="35"/>
      <c r="J232" s="157"/>
    </row>
    <row r="233" spans="1:10" s="156" customFormat="1" ht="15.75" customHeight="1" x14ac:dyDescent="0.25">
      <c r="A233" s="33"/>
      <c r="B233" s="586" t="s">
        <v>2042</v>
      </c>
      <c r="C233" s="273" t="s">
        <v>1417</v>
      </c>
      <c r="D233" s="268">
        <v>4.75</v>
      </c>
      <c r="E233" s="259" t="s">
        <v>41</v>
      </c>
      <c r="F233" s="274">
        <v>35.61</v>
      </c>
      <c r="G233" s="269">
        <f t="shared" ref="G233:G239" si="19">D233*F233</f>
        <v>169.14750000000001</v>
      </c>
      <c r="H233" s="272"/>
      <c r="I233" s="35"/>
      <c r="J233" s="157"/>
    </row>
    <row r="234" spans="1:10" s="156" customFormat="1" ht="33.75" customHeight="1" x14ac:dyDescent="0.25">
      <c r="A234" s="33"/>
      <c r="B234" s="586" t="s">
        <v>1666</v>
      </c>
      <c r="C234" s="273" t="s">
        <v>1665</v>
      </c>
      <c r="D234" s="268">
        <v>96.09</v>
      </c>
      <c r="E234" s="259" t="s">
        <v>53</v>
      </c>
      <c r="F234" s="274">
        <v>93.26</v>
      </c>
      <c r="G234" s="269">
        <f t="shared" si="19"/>
        <v>8961.3534</v>
      </c>
      <c r="H234" s="272"/>
      <c r="I234" s="35"/>
      <c r="J234" s="157"/>
    </row>
    <row r="235" spans="1:10" s="156" customFormat="1" x14ac:dyDescent="0.25">
      <c r="A235" s="33"/>
      <c r="B235" s="586" t="s">
        <v>1423</v>
      </c>
      <c r="C235" s="273" t="s">
        <v>1440</v>
      </c>
      <c r="D235" s="268">
        <v>76.599999999999994</v>
      </c>
      <c r="E235" s="259" t="s">
        <v>42</v>
      </c>
      <c r="F235" s="274">
        <v>10.039999999999999</v>
      </c>
      <c r="G235" s="269">
        <f t="shared" si="19"/>
        <v>769.06399999999985</v>
      </c>
      <c r="H235" s="272"/>
      <c r="I235" s="35"/>
      <c r="J235" s="157"/>
    </row>
    <row r="236" spans="1:10" s="156" customFormat="1" x14ac:dyDescent="0.25">
      <c r="A236" s="33"/>
      <c r="B236" s="586" t="s">
        <v>1435</v>
      </c>
      <c r="C236" s="273" t="s">
        <v>1436</v>
      </c>
      <c r="D236" s="268">
        <v>480.7</v>
      </c>
      <c r="E236" s="259" t="s">
        <v>42</v>
      </c>
      <c r="F236" s="274">
        <v>8.59</v>
      </c>
      <c r="G236" s="269">
        <f t="shared" si="19"/>
        <v>4129.2129999999997</v>
      </c>
      <c r="H236" s="272"/>
      <c r="I236" s="35"/>
      <c r="J236" s="157"/>
    </row>
    <row r="237" spans="1:10" s="156" customFormat="1" x14ac:dyDescent="0.25">
      <c r="A237" s="33"/>
      <c r="B237" s="586" t="s">
        <v>1425</v>
      </c>
      <c r="C237" s="273" t="s">
        <v>1441</v>
      </c>
      <c r="D237" s="268">
        <v>227.3</v>
      </c>
      <c r="E237" s="259" t="s">
        <v>42</v>
      </c>
      <c r="F237" s="274">
        <v>8.51</v>
      </c>
      <c r="G237" s="269">
        <f t="shared" si="19"/>
        <v>1934.3230000000001</v>
      </c>
      <c r="H237" s="272"/>
      <c r="I237" s="35"/>
      <c r="J237" s="157"/>
    </row>
    <row r="238" spans="1:10" s="156" customFormat="1" x14ac:dyDescent="0.25">
      <c r="A238" s="33"/>
      <c r="B238" s="586" t="s">
        <v>1432</v>
      </c>
      <c r="C238" s="273" t="s">
        <v>1433</v>
      </c>
      <c r="D238" s="268">
        <v>101.6</v>
      </c>
      <c r="E238" s="259" t="s">
        <v>42</v>
      </c>
      <c r="F238" s="274">
        <v>10.039999999999999</v>
      </c>
      <c r="G238" s="269">
        <f t="shared" si="19"/>
        <v>1020.0639999999999</v>
      </c>
      <c r="H238" s="272"/>
      <c r="I238" s="35"/>
      <c r="J238" s="157"/>
    </row>
    <row r="239" spans="1:10" s="156" customFormat="1" x14ac:dyDescent="0.25">
      <c r="A239" s="33"/>
      <c r="B239" s="586" t="s">
        <v>1419</v>
      </c>
      <c r="C239" s="273" t="s">
        <v>1420</v>
      </c>
      <c r="D239" s="268">
        <v>3.9</v>
      </c>
      <c r="E239" s="259" t="s">
        <v>42</v>
      </c>
      <c r="F239" s="274">
        <v>10.95</v>
      </c>
      <c r="G239" s="269">
        <f t="shared" si="19"/>
        <v>42.704999999999998</v>
      </c>
      <c r="H239" s="272"/>
      <c r="I239" s="35"/>
      <c r="J239" s="157"/>
    </row>
    <row r="240" spans="1:10" s="156" customFormat="1" x14ac:dyDescent="0.25">
      <c r="A240" s="33"/>
      <c r="B240" s="272"/>
      <c r="C240" s="272"/>
      <c r="D240" s="477"/>
      <c r="E240" s="272"/>
      <c r="F240" s="276" t="s">
        <v>34</v>
      </c>
      <c r="G240" s="277">
        <f>SUM(G232:G239)</f>
        <v>19150.354899999998</v>
      </c>
      <c r="H240" s="272"/>
      <c r="I240" s="35"/>
      <c r="J240" s="157"/>
    </row>
    <row r="241" spans="1:10" s="156" customFormat="1" x14ac:dyDescent="0.25">
      <c r="A241" s="33"/>
      <c r="B241" s="272"/>
      <c r="C241" s="272"/>
      <c r="D241" s="477"/>
      <c r="E241" s="272"/>
      <c r="F241" s="276" t="s">
        <v>1454</v>
      </c>
      <c r="G241" s="277">
        <f>G240/D232</f>
        <v>4031.6536631578942</v>
      </c>
      <c r="H241" s="272"/>
      <c r="I241" s="35"/>
      <c r="J241" s="157"/>
    </row>
    <row r="242" spans="1:10" s="19" customFormat="1" x14ac:dyDescent="0.25">
      <c r="A242" s="8"/>
      <c r="B242" s="451"/>
      <c r="C242" s="451"/>
      <c r="D242" s="478"/>
      <c r="E242" s="451"/>
      <c r="F242" s="452"/>
      <c r="G242" s="452"/>
      <c r="H242" s="451"/>
      <c r="I242" s="311"/>
      <c r="J242" s="450"/>
    </row>
    <row r="243" spans="1:10" s="155" customFormat="1" ht="36" customHeight="1" x14ac:dyDescent="0.25">
      <c r="B243" s="165" t="s">
        <v>906</v>
      </c>
      <c r="C243" s="622" t="s">
        <v>1442</v>
      </c>
      <c r="D243" s="622"/>
      <c r="E243" s="622"/>
      <c r="F243" s="622"/>
      <c r="G243" s="622"/>
      <c r="H243" s="35"/>
      <c r="I243" s="35"/>
      <c r="J243" s="22"/>
    </row>
    <row r="244" spans="1:10" s="156" customFormat="1" x14ac:dyDescent="0.25">
      <c r="A244" s="33"/>
      <c r="B244" s="113" t="s">
        <v>84</v>
      </c>
      <c r="C244" s="236" t="s">
        <v>85</v>
      </c>
      <c r="D244" s="113" t="s">
        <v>31</v>
      </c>
      <c r="E244" s="237" t="s">
        <v>86</v>
      </c>
      <c r="F244" s="238" t="s">
        <v>87</v>
      </c>
      <c r="G244" s="239" t="s">
        <v>88</v>
      </c>
      <c r="H244" s="272"/>
      <c r="I244" s="35"/>
      <c r="J244" s="157"/>
    </row>
    <row r="245" spans="1:10" s="156" customFormat="1" ht="31.15" customHeight="1" x14ac:dyDescent="0.25">
      <c r="A245" s="33"/>
      <c r="B245" s="586" t="s">
        <v>1415</v>
      </c>
      <c r="C245" s="273" t="s">
        <v>1416</v>
      </c>
      <c r="D245" s="268">
        <v>6.27</v>
      </c>
      <c r="E245" s="259" t="s">
        <v>41</v>
      </c>
      <c r="F245" s="274">
        <v>447.26</v>
      </c>
      <c r="G245" s="269">
        <f>D245*F245</f>
        <v>2804.3201999999997</v>
      </c>
      <c r="H245" s="272"/>
      <c r="I245" s="35"/>
      <c r="J245" s="157"/>
    </row>
    <row r="246" spans="1:10" s="156" customFormat="1" ht="22.5" customHeight="1" x14ac:dyDescent="0.25">
      <c r="A246" s="33"/>
      <c r="B246" s="586" t="s">
        <v>2042</v>
      </c>
      <c r="C246" s="273" t="s">
        <v>1417</v>
      </c>
      <c r="D246" s="268">
        <v>6.27</v>
      </c>
      <c r="E246" s="259" t="s">
        <v>41</v>
      </c>
      <c r="F246" s="274">
        <v>35.61</v>
      </c>
      <c r="G246" s="269">
        <f t="shared" ref="G246:G252" si="20">D246*F246</f>
        <v>223.27469999999997</v>
      </c>
      <c r="H246" s="272"/>
      <c r="I246" s="35"/>
      <c r="J246" s="157"/>
    </row>
    <row r="247" spans="1:10" s="156" customFormat="1" ht="31.5" x14ac:dyDescent="0.25">
      <c r="A247" s="33"/>
      <c r="B247" s="586" t="s">
        <v>1666</v>
      </c>
      <c r="C247" s="273" t="s">
        <v>1665</v>
      </c>
      <c r="D247" s="268">
        <v>100.38</v>
      </c>
      <c r="E247" s="259" t="s">
        <v>53</v>
      </c>
      <c r="F247" s="274">
        <v>93.26</v>
      </c>
      <c r="G247" s="269">
        <f t="shared" si="20"/>
        <v>9361.4387999999999</v>
      </c>
      <c r="H247" s="272"/>
      <c r="I247" s="35"/>
      <c r="J247" s="157"/>
    </row>
    <row r="248" spans="1:10" s="156" customFormat="1" x14ac:dyDescent="0.25">
      <c r="A248" s="33"/>
      <c r="B248" s="586" t="s">
        <v>1419</v>
      </c>
      <c r="C248" s="273" t="s">
        <v>1420</v>
      </c>
      <c r="D248" s="268">
        <v>37.1</v>
      </c>
      <c r="E248" s="259" t="s">
        <v>42</v>
      </c>
      <c r="F248" s="274">
        <v>10.95</v>
      </c>
      <c r="G248" s="269">
        <f t="shared" si="20"/>
        <v>406.245</v>
      </c>
      <c r="H248" s="272"/>
      <c r="I248" s="35"/>
      <c r="J248" s="157"/>
    </row>
    <row r="249" spans="1:10" s="156" customFormat="1" x14ac:dyDescent="0.25">
      <c r="A249" s="33"/>
      <c r="B249" s="586" t="s">
        <v>1423</v>
      </c>
      <c r="C249" s="273" t="s">
        <v>1440</v>
      </c>
      <c r="D249" s="268">
        <v>42.3</v>
      </c>
      <c r="E249" s="259" t="s">
        <v>42</v>
      </c>
      <c r="F249" s="274">
        <v>10.039999999999999</v>
      </c>
      <c r="G249" s="269">
        <f t="shared" si="20"/>
        <v>424.69199999999995</v>
      </c>
      <c r="H249" s="272"/>
      <c r="I249" s="35"/>
      <c r="J249" s="157"/>
    </row>
    <row r="250" spans="1:10" s="156" customFormat="1" x14ac:dyDescent="0.25">
      <c r="A250" s="33"/>
      <c r="B250" s="586" t="s">
        <v>1435</v>
      </c>
      <c r="C250" s="273" t="s">
        <v>1436</v>
      </c>
      <c r="D250" s="268">
        <v>330.2</v>
      </c>
      <c r="E250" s="259" t="s">
        <v>42</v>
      </c>
      <c r="F250" s="274">
        <v>8.59</v>
      </c>
      <c r="G250" s="269">
        <f t="shared" si="20"/>
        <v>2836.4179999999997</v>
      </c>
      <c r="H250" s="272"/>
      <c r="I250" s="35"/>
      <c r="J250" s="157"/>
    </row>
    <row r="251" spans="1:10" s="156" customFormat="1" x14ac:dyDescent="0.25">
      <c r="A251" s="33"/>
      <c r="B251" s="586" t="s">
        <v>1425</v>
      </c>
      <c r="C251" s="273" t="s">
        <v>1441</v>
      </c>
      <c r="D251" s="268">
        <v>398.8</v>
      </c>
      <c r="E251" s="259" t="s">
        <v>42</v>
      </c>
      <c r="F251" s="274">
        <v>8.51</v>
      </c>
      <c r="G251" s="269">
        <f t="shared" si="20"/>
        <v>3393.788</v>
      </c>
      <c r="H251" s="272"/>
      <c r="I251" s="35"/>
      <c r="J251" s="157"/>
    </row>
    <row r="252" spans="1:10" s="156" customFormat="1" x14ac:dyDescent="0.25">
      <c r="A252" s="33"/>
      <c r="B252" s="586" t="s">
        <v>1432</v>
      </c>
      <c r="C252" s="273" t="s">
        <v>1433</v>
      </c>
      <c r="D252" s="268">
        <v>107.3</v>
      </c>
      <c r="E252" s="259" t="s">
        <v>42</v>
      </c>
      <c r="F252" s="274">
        <v>10.039999999999999</v>
      </c>
      <c r="G252" s="269">
        <f t="shared" si="20"/>
        <v>1077.2919999999999</v>
      </c>
      <c r="H252" s="272"/>
      <c r="I252" s="35"/>
      <c r="J252" s="157"/>
    </row>
    <row r="253" spans="1:10" s="156" customFormat="1" x14ac:dyDescent="0.25">
      <c r="A253" s="33"/>
      <c r="B253" s="272"/>
      <c r="C253" s="272"/>
      <c r="D253" s="477"/>
      <c r="E253" s="272"/>
      <c r="F253" s="276" t="s">
        <v>34</v>
      </c>
      <c r="G253" s="277">
        <f>SUM(G245:G252)</f>
        <v>20527.468700000001</v>
      </c>
      <c r="H253" s="272"/>
      <c r="I253" s="35"/>
      <c r="J253" s="157"/>
    </row>
    <row r="254" spans="1:10" s="156" customFormat="1" x14ac:dyDescent="0.25">
      <c r="A254" s="33"/>
      <c r="B254" s="272"/>
      <c r="C254" s="272"/>
      <c r="D254" s="477"/>
      <c r="E254" s="272"/>
      <c r="F254" s="276" t="s">
        <v>1454</v>
      </c>
      <c r="G254" s="277">
        <f>G253/D245</f>
        <v>3273.9184529505587</v>
      </c>
      <c r="H254" s="272"/>
      <c r="I254" s="35"/>
      <c r="J254" s="157"/>
    </row>
    <row r="255" spans="1:10" s="19" customFormat="1" x14ac:dyDescent="0.25">
      <c r="A255" s="8"/>
      <c r="B255" s="451"/>
      <c r="C255" s="451"/>
      <c r="D255" s="478"/>
      <c r="E255" s="451"/>
      <c r="F255" s="452"/>
      <c r="G255" s="452"/>
      <c r="H255" s="451"/>
      <c r="I255" s="311"/>
      <c r="J255" s="450"/>
    </row>
    <row r="256" spans="1:10" s="155" customFormat="1" ht="36" customHeight="1" x14ac:dyDescent="0.25">
      <c r="B256" s="165" t="s">
        <v>986</v>
      </c>
      <c r="C256" s="622" t="s">
        <v>1133</v>
      </c>
      <c r="D256" s="622"/>
      <c r="E256" s="622"/>
      <c r="F256" s="622"/>
      <c r="G256" s="622"/>
      <c r="H256" s="35"/>
      <c r="I256" s="35"/>
      <c r="J256" s="22"/>
    </row>
    <row r="257" spans="1:10" s="156" customFormat="1" x14ac:dyDescent="0.25">
      <c r="A257" s="33"/>
      <c r="B257" s="113" t="s">
        <v>84</v>
      </c>
      <c r="C257" s="236" t="s">
        <v>85</v>
      </c>
      <c r="D257" s="113" t="s">
        <v>31</v>
      </c>
      <c r="E257" s="237" t="s">
        <v>86</v>
      </c>
      <c r="F257" s="238" t="s">
        <v>87</v>
      </c>
      <c r="G257" s="239" t="s">
        <v>88</v>
      </c>
      <c r="H257" s="272"/>
      <c r="I257" s="35"/>
      <c r="J257" s="157"/>
    </row>
    <row r="258" spans="1:10" s="156" customFormat="1" ht="29.25" customHeight="1" x14ac:dyDescent="0.25">
      <c r="A258" s="33"/>
      <c r="B258" s="586" t="s">
        <v>1415</v>
      </c>
      <c r="C258" s="273" t="s">
        <v>1416</v>
      </c>
      <c r="D258" s="268">
        <v>6.25</v>
      </c>
      <c r="E258" s="259" t="s">
        <v>41</v>
      </c>
      <c r="F258" s="274">
        <v>447.26</v>
      </c>
      <c r="G258" s="269">
        <f>D258*F258</f>
        <v>2795.375</v>
      </c>
      <c r="H258" s="272"/>
      <c r="I258" s="35"/>
      <c r="J258" s="157"/>
    </row>
    <row r="259" spans="1:10" s="156" customFormat="1" ht="15.75" customHeight="1" x14ac:dyDescent="0.25">
      <c r="A259" s="33"/>
      <c r="B259" s="586" t="s">
        <v>2042</v>
      </c>
      <c r="C259" s="273" t="s">
        <v>1417</v>
      </c>
      <c r="D259" s="268">
        <v>6.25</v>
      </c>
      <c r="E259" s="259" t="s">
        <v>41</v>
      </c>
      <c r="F259" s="274">
        <v>35.61</v>
      </c>
      <c r="G259" s="269">
        <f t="shared" ref="G259:G264" si="21">D259*F259</f>
        <v>222.5625</v>
      </c>
      <c r="H259" s="272"/>
      <c r="I259" s="35"/>
      <c r="J259" s="157"/>
    </row>
    <row r="260" spans="1:10" s="156" customFormat="1" ht="31.5" x14ac:dyDescent="0.25">
      <c r="A260" s="33"/>
      <c r="B260" s="586" t="s">
        <v>1666</v>
      </c>
      <c r="C260" s="273" t="s">
        <v>1665</v>
      </c>
      <c r="D260" s="268">
        <v>101.97</v>
      </c>
      <c r="E260" s="259" t="s">
        <v>53</v>
      </c>
      <c r="F260" s="274">
        <v>93.26</v>
      </c>
      <c r="G260" s="269">
        <f t="shared" si="21"/>
        <v>9509.7222000000002</v>
      </c>
      <c r="H260" s="272"/>
      <c r="I260" s="35"/>
      <c r="J260" s="157"/>
    </row>
    <row r="261" spans="1:10" s="156" customFormat="1" x14ac:dyDescent="0.25">
      <c r="A261" s="33"/>
      <c r="B261" s="586" t="s">
        <v>1419</v>
      </c>
      <c r="C261" s="273" t="s">
        <v>1420</v>
      </c>
      <c r="D261" s="268">
        <v>170</v>
      </c>
      <c r="E261" s="259" t="s">
        <v>42</v>
      </c>
      <c r="F261" s="274">
        <v>10.95</v>
      </c>
      <c r="G261" s="269">
        <f t="shared" si="21"/>
        <v>1861.4999999999998</v>
      </c>
      <c r="H261" s="272"/>
      <c r="I261" s="35"/>
      <c r="J261" s="157"/>
    </row>
    <row r="262" spans="1:10" s="156" customFormat="1" x14ac:dyDescent="0.25">
      <c r="A262" s="33"/>
      <c r="B262" s="586" t="s">
        <v>1435</v>
      </c>
      <c r="C262" s="273" t="s">
        <v>1436</v>
      </c>
      <c r="D262" s="268">
        <v>361</v>
      </c>
      <c r="E262" s="259" t="s">
        <v>42</v>
      </c>
      <c r="F262" s="274">
        <v>8.59</v>
      </c>
      <c r="G262" s="269">
        <f t="shared" si="21"/>
        <v>3100.99</v>
      </c>
      <c r="H262" s="272"/>
      <c r="I262" s="35"/>
      <c r="J262" s="157"/>
    </row>
    <row r="263" spans="1:10" s="156" customFormat="1" x14ac:dyDescent="0.25">
      <c r="A263" s="33"/>
      <c r="B263" s="586" t="s">
        <v>1425</v>
      </c>
      <c r="C263" s="273" t="s">
        <v>1441</v>
      </c>
      <c r="D263" s="268">
        <v>672</v>
      </c>
      <c r="E263" s="259" t="s">
        <v>42</v>
      </c>
      <c r="F263" s="274">
        <v>8.51</v>
      </c>
      <c r="G263" s="269">
        <f t="shared" si="21"/>
        <v>5718.72</v>
      </c>
      <c r="H263" s="272"/>
      <c r="I263" s="35"/>
      <c r="J263" s="157"/>
    </row>
    <row r="264" spans="1:10" s="156" customFormat="1" x14ac:dyDescent="0.25">
      <c r="A264" s="33"/>
      <c r="B264" s="586" t="s">
        <v>1432</v>
      </c>
      <c r="C264" s="273" t="s">
        <v>1433</v>
      </c>
      <c r="D264" s="268">
        <v>4.5</v>
      </c>
      <c r="E264" s="259" t="s">
        <v>42</v>
      </c>
      <c r="F264" s="274">
        <v>10.039999999999999</v>
      </c>
      <c r="G264" s="269">
        <f t="shared" si="21"/>
        <v>45.179999999999993</v>
      </c>
      <c r="H264" s="272"/>
      <c r="I264" s="35"/>
      <c r="J264" s="157"/>
    </row>
    <row r="265" spans="1:10" s="156" customFormat="1" x14ac:dyDescent="0.25">
      <c r="A265" s="33"/>
      <c r="B265" s="272"/>
      <c r="C265" s="272"/>
      <c r="D265" s="477"/>
      <c r="E265" s="272"/>
      <c r="F265" s="276" t="s">
        <v>34</v>
      </c>
      <c r="G265" s="277">
        <f>SUM(G258:G264)</f>
        <v>23254.049700000003</v>
      </c>
      <c r="H265" s="272"/>
      <c r="I265" s="35"/>
      <c r="J265" s="157"/>
    </row>
    <row r="266" spans="1:10" s="156" customFormat="1" x14ac:dyDescent="0.25">
      <c r="A266" s="33"/>
      <c r="B266" s="272"/>
      <c r="C266" s="272"/>
      <c r="D266" s="477"/>
      <c r="E266" s="272"/>
      <c r="F266" s="276" t="s">
        <v>1454</v>
      </c>
      <c r="G266" s="277">
        <f>G265/D258</f>
        <v>3720.6479520000007</v>
      </c>
      <c r="H266" s="272"/>
      <c r="I266" s="35"/>
      <c r="J266" s="157"/>
    </row>
    <row r="267" spans="1:10" s="19" customFormat="1" x14ac:dyDescent="0.25">
      <c r="A267" s="8"/>
      <c r="B267" s="451"/>
      <c r="C267" s="451"/>
      <c r="D267" s="478"/>
      <c r="E267" s="451"/>
      <c r="F267" s="452"/>
      <c r="G267" s="452"/>
      <c r="H267" s="451"/>
      <c r="I267" s="311"/>
      <c r="J267" s="450"/>
    </row>
    <row r="268" spans="1:10" s="155" customFormat="1" ht="36" customHeight="1" x14ac:dyDescent="0.25">
      <c r="B268" s="165" t="s">
        <v>991</v>
      </c>
      <c r="C268" s="622" t="s">
        <v>1627</v>
      </c>
      <c r="D268" s="622"/>
      <c r="E268" s="622"/>
      <c r="F268" s="622"/>
      <c r="G268" s="622"/>
      <c r="H268" s="35"/>
      <c r="I268" s="35"/>
      <c r="J268" s="22"/>
    </row>
    <row r="269" spans="1:10" s="156" customFormat="1" x14ac:dyDescent="0.25">
      <c r="A269" s="33"/>
      <c r="B269" s="113" t="s">
        <v>84</v>
      </c>
      <c r="C269" s="236" t="s">
        <v>85</v>
      </c>
      <c r="D269" s="113" t="s">
        <v>31</v>
      </c>
      <c r="E269" s="237" t="s">
        <v>86</v>
      </c>
      <c r="F269" s="238" t="s">
        <v>87</v>
      </c>
      <c r="G269" s="239" t="s">
        <v>88</v>
      </c>
      <c r="H269" s="275"/>
      <c r="I269" s="35"/>
      <c r="J269" s="157"/>
    </row>
    <row r="270" spans="1:10" s="156" customFormat="1" ht="30" customHeight="1" x14ac:dyDescent="0.25">
      <c r="A270" s="33"/>
      <c r="B270" s="586" t="s">
        <v>1415</v>
      </c>
      <c r="C270" s="284" t="s">
        <v>1416</v>
      </c>
      <c r="D270" s="268">
        <v>0.12</v>
      </c>
      <c r="E270" s="259" t="s">
        <v>41</v>
      </c>
      <c r="F270" s="274">
        <v>447.26</v>
      </c>
      <c r="G270" s="269">
        <f>D270*F270</f>
        <v>53.671199999999999</v>
      </c>
      <c r="H270" s="275"/>
      <c r="I270" s="35"/>
      <c r="J270" s="157"/>
    </row>
    <row r="271" spans="1:10" s="156" customFormat="1" ht="19.5" customHeight="1" x14ac:dyDescent="0.25">
      <c r="A271" s="33"/>
      <c r="B271" s="586" t="s">
        <v>2042</v>
      </c>
      <c r="C271" s="284" t="s">
        <v>1417</v>
      </c>
      <c r="D271" s="268">
        <v>0.12</v>
      </c>
      <c r="E271" s="259" t="s">
        <v>41</v>
      </c>
      <c r="F271" s="274">
        <v>35.61</v>
      </c>
      <c r="G271" s="269">
        <f t="shared" ref="G271:G275" si="22">D271*F271</f>
        <v>4.2732000000000001</v>
      </c>
      <c r="H271" s="275"/>
      <c r="I271" s="35"/>
      <c r="J271" s="157"/>
    </row>
    <row r="272" spans="1:10" s="156" customFormat="1" ht="32.25" customHeight="1" x14ac:dyDescent="0.25">
      <c r="A272" s="33"/>
      <c r="B272" s="586" t="s">
        <v>1668</v>
      </c>
      <c r="C272" s="284" t="s">
        <v>1667</v>
      </c>
      <c r="D272" s="268">
        <v>1.71</v>
      </c>
      <c r="E272" s="259" t="s">
        <v>53</v>
      </c>
      <c r="F272" s="274">
        <v>170.36</v>
      </c>
      <c r="G272" s="269">
        <f t="shared" si="22"/>
        <v>291.31560000000002</v>
      </c>
      <c r="H272" s="275"/>
      <c r="I272" s="35"/>
      <c r="J272" s="157"/>
    </row>
    <row r="273" spans="1:10" s="156" customFormat="1" x14ac:dyDescent="0.25">
      <c r="A273" s="33"/>
      <c r="B273" s="586" t="s">
        <v>1443</v>
      </c>
      <c r="C273" s="455" t="s">
        <v>1444</v>
      </c>
      <c r="D273" s="268">
        <v>9.8000000000000007</v>
      </c>
      <c r="E273" s="259" t="s">
        <v>42</v>
      </c>
      <c r="F273" s="274">
        <v>10.34</v>
      </c>
      <c r="G273" s="269">
        <f t="shared" si="22"/>
        <v>101.33200000000001</v>
      </c>
      <c r="H273" s="275"/>
      <c r="I273" s="35"/>
      <c r="J273" s="157"/>
    </row>
    <row r="274" spans="1:10" s="156" customFormat="1" x14ac:dyDescent="0.25">
      <c r="A274" s="33"/>
      <c r="B274" s="586" t="s">
        <v>1669</v>
      </c>
      <c r="C274" s="455" t="s">
        <v>1445</v>
      </c>
      <c r="D274" s="268">
        <v>1.6</v>
      </c>
      <c r="E274" s="259" t="s">
        <v>42</v>
      </c>
      <c r="F274" s="274">
        <v>10.67</v>
      </c>
      <c r="G274" s="269">
        <f t="shared" si="22"/>
        <v>17.071999999999999</v>
      </c>
      <c r="H274" s="275"/>
      <c r="I274" s="35"/>
      <c r="J274" s="157"/>
    </row>
    <row r="275" spans="1:10" s="156" customFormat="1" x14ac:dyDescent="0.25">
      <c r="A275" s="33"/>
      <c r="B275" s="586" t="s">
        <v>1670</v>
      </c>
      <c r="C275" s="455" t="s">
        <v>1446</v>
      </c>
      <c r="D275" s="268">
        <v>7.1</v>
      </c>
      <c r="E275" s="259" t="s">
        <v>42</v>
      </c>
      <c r="F275" s="274">
        <v>10.73</v>
      </c>
      <c r="G275" s="269">
        <f t="shared" si="22"/>
        <v>76.182999999999993</v>
      </c>
      <c r="H275" s="275"/>
      <c r="I275" s="35"/>
      <c r="J275" s="157"/>
    </row>
    <row r="276" spans="1:10" s="156" customFormat="1" x14ac:dyDescent="0.25">
      <c r="A276" s="33"/>
      <c r="B276" s="272"/>
      <c r="C276" s="272"/>
      <c r="D276" s="477"/>
      <c r="E276" s="272"/>
      <c r="F276" s="276" t="s">
        <v>34</v>
      </c>
      <c r="G276" s="277">
        <f>SUM(G270:G275)</f>
        <v>543.84699999999998</v>
      </c>
      <c r="H276" s="275"/>
      <c r="I276" s="35"/>
      <c r="J276" s="157"/>
    </row>
    <row r="277" spans="1:10" s="156" customFormat="1" x14ac:dyDescent="0.25">
      <c r="A277" s="33"/>
      <c r="B277" s="275"/>
      <c r="C277" s="275"/>
      <c r="D277" s="477"/>
      <c r="E277" s="275"/>
      <c r="F277" s="276" t="s">
        <v>1454</v>
      </c>
      <c r="G277" s="277">
        <f>G276/D270</f>
        <v>4532.0583333333334</v>
      </c>
      <c r="H277" s="275"/>
      <c r="I277" s="35"/>
      <c r="J277" s="157"/>
    </row>
    <row r="278" spans="1:10" s="19" customFormat="1" x14ac:dyDescent="0.25">
      <c r="A278" s="8"/>
      <c r="B278" s="453"/>
      <c r="C278" s="453"/>
      <c r="D278" s="478"/>
      <c r="E278" s="453"/>
      <c r="F278" s="452"/>
      <c r="G278" s="452"/>
      <c r="H278" s="453"/>
      <c r="I278" s="311"/>
      <c r="J278" s="450"/>
    </row>
    <row r="279" spans="1:10" s="155" customFormat="1" ht="36" customHeight="1" x14ac:dyDescent="0.25">
      <c r="B279" s="165" t="s">
        <v>907</v>
      </c>
      <c r="C279" s="622" t="s">
        <v>1628</v>
      </c>
      <c r="D279" s="622"/>
      <c r="E279" s="622"/>
      <c r="F279" s="622"/>
      <c r="G279" s="622"/>
      <c r="H279" s="35"/>
      <c r="I279" s="35"/>
      <c r="J279" s="22"/>
    </row>
    <row r="280" spans="1:10" s="156" customFormat="1" x14ac:dyDescent="0.25">
      <c r="A280" s="33"/>
      <c r="B280" s="113" t="s">
        <v>84</v>
      </c>
      <c r="C280" s="236" t="s">
        <v>85</v>
      </c>
      <c r="D280" s="113" t="s">
        <v>31</v>
      </c>
      <c r="E280" s="237" t="s">
        <v>86</v>
      </c>
      <c r="F280" s="238" t="s">
        <v>87</v>
      </c>
      <c r="G280" s="239" t="s">
        <v>88</v>
      </c>
      <c r="H280" s="275"/>
      <c r="I280" s="35"/>
      <c r="J280" s="157"/>
    </row>
    <row r="281" spans="1:10" s="156" customFormat="1" ht="34.5" customHeight="1" x14ac:dyDescent="0.25">
      <c r="A281" s="33"/>
      <c r="B281" s="586" t="s">
        <v>1415</v>
      </c>
      <c r="C281" s="284" t="s">
        <v>1416</v>
      </c>
      <c r="D281" s="268">
        <v>24.55</v>
      </c>
      <c r="E281" s="259" t="s">
        <v>41</v>
      </c>
      <c r="F281" s="274">
        <v>447.26</v>
      </c>
      <c r="G281" s="269">
        <f>D281*F281</f>
        <v>10980.233</v>
      </c>
      <c r="H281" s="275"/>
      <c r="I281" s="35"/>
      <c r="J281" s="157"/>
    </row>
    <row r="282" spans="1:10" s="156" customFormat="1" ht="23.25" customHeight="1" x14ac:dyDescent="0.25">
      <c r="A282" s="33"/>
      <c r="B282" s="586" t="s">
        <v>2042</v>
      </c>
      <c r="C282" s="284" t="s">
        <v>1417</v>
      </c>
      <c r="D282" s="268">
        <v>24.55</v>
      </c>
      <c r="E282" s="259" t="s">
        <v>41</v>
      </c>
      <c r="F282" s="274">
        <v>35.61</v>
      </c>
      <c r="G282" s="269">
        <f t="shared" ref="G282:G286" si="23">D282*F282</f>
        <v>874.22550000000001</v>
      </c>
      <c r="H282" s="275"/>
      <c r="I282" s="35"/>
      <c r="J282" s="157"/>
    </row>
    <row r="283" spans="1:10" s="156" customFormat="1" ht="31.5" x14ac:dyDescent="0.25">
      <c r="A283" s="33"/>
      <c r="B283" s="586" t="s">
        <v>1668</v>
      </c>
      <c r="C283" s="284" t="s">
        <v>1667</v>
      </c>
      <c r="D283" s="268">
        <v>254.88</v>
      </c>
      <c r="E283" s="259" t="s">
        <v>53</v>
      </c>
      <c r="F283" s="274">
        <v>170.36</v>
      </c>
      <c r="G283" s="269">
        <f t="shared" si="23"/>
        <v>43421.356800000001</v>
      </c>
      <c r="H283" s="275"/>
      <c r="I283" s="35"/>
      <c r="J283" s="157"/>
    </row>
    <row r="284" spans="1:10" s="156" customFormat="1" x14ac:dyDescent="0.25">
      <c r="A284" s="33"/>
      <c r="B284" s="586" t="s">
        <v>1443</v>
      </c>
      <c r="C284" s="284" t="s">
        <v>1444</v>
      </c>
      <c r="D284" s="268">
        <v>1159.3</v>
      </c>
      <c r="E284" s="259" t="s">
        <v>42</v>
      </c>
      <c r="F284" s="274">
        <v>10.34</v>
      </c>
      <c r="G284" s="269">
        <f t="shared" si="23"/>
        <v>11987.162</v>
      </c>
      <c r="H284" s="275"/>
      <c r="I284" s="35"/>
      <c r="J284" s="157"/>
    </row>
    <row r="285" spans="1:10" s="156" customFormat="1" x14ac:dyDescent="0.25">
      <c r="A285" s="33"/>
      <c r="B285" s="586" t="s">
        <v>1669</v>
      </c>
      <c r="C285" s="284" t="s">
        <v>1445</v>
      </c>
      <c r="D285" s="268">
        <v>19.5</v>
      </c>
      <c r="E285" s="259" t="s">
        <v>42</v>
      </c>
      <c r="F285" s="274">
        <v>10.67</v>
      </c>
      <c r="G285" s="269">
        <f t="shared" si="23"/>
        <v>208.065</v>
      </c>
      <c r="H285" s="275"/>
      <c r="I285" s="35"/>
      <c r="J285" s="157"/>
    </row>
    <row r="286" spans="1:10" s="156" customFormat="1" x14ac:dyDescent="0.25">
      <c r="A286" s="33"/>
      <c r="B286" s="586" t="s">
        <v>1670</v>
      </c>
      <c r="C286" s="284" t="s">
        <v>1446</v>
      </c>
      <c r="D286" s="268">
        <v>1060.0999999999999</v>
      </c>
      <c r="E286" s="259" t="s">
        <v>42</v>
      </c>
      <c r="F286" s="274">
        <v>10.73</v>
      </c>
      <c r="G286" s="269">
        <f t="shared" si="23"/>
        <v>11374.873</v>
      </c>
      <c r="H286" s="275"/>
      <c r="I286" s="35"/>
      <c r="J286" s="157"/>
    </row>
    <row r="287" spans="1:10" s="156" customFormat="1" x14ac:dyDescent="0.25">
      <c r="A287" s="33"/>
      <c r="B287" s="272"/>
      <c r="C287" s="272"/>
      <c r="D287" s="477"/>
      <c r="E287" s="272"/>
      <c r="F287" s="276" t="s">
        <v>34</v>
      </c>
      <c r="G287" s="277">
        <f>SUM(G281:G286)</f>
        <v>78845.915299999993</v>
      </c>
      <c r="H287" s="275"/>
      <c r="I287" s="35"/>
      <c r="J287" s="157"/>
    </row>
    <row r="288" spans="1:10" s="156" customFormat="1" x14ac:dyDescent="0.25">
      <c r="A288" s="33"/>
      <c r="B288" s="275"/>
      <c r="C288" s="275"/>
      <c r="D288" s="477"/>
      <c r="E288" s="275"/>
      <c r="F288" s="276" t="s">
        <v>1454</v>
      </c>
      <c r="G288" s="277">
        <f>G287/D281</f>
        <v>3211.646244399185</v>
      </c>
      <c r="H288" s="275"/>
      <c r="I288" s="35"/>
      <c r="J288" s="157"/>
    </row>
    <row r="289" spans="1:10" s="156" customFormat="1" x14ac:dyDescent="0.25">
      <c r="A289" s="33"/>
      <c r="B289" s="275"/>
      <c r="C289" s="275"/>
      <c r="D289" s="477"/>
      <c r="E289" s="275"/>
      <c r="F289" s="278"/>
      <c r="G289" s="278"/>
      <c r="H289" s="275"/>
      <c r="I289" s="35"/>
      <c r="J289" s="157"/>
    </row>
    <row r="290" spans="1:10" s="155" customFormat="1" ht="36" customHeight="1" x14ac:dyDescent="0.25">
      <c r="B290" s="165" t="s">
        <v>908</v>
      </c>
      <c r="C290" s="622" t="s">
        <v>1629</v>
      </c>
      <c r="D290" s="622"/>
      <c r="E290" s="622"/>
      <c r="F290" s="622"/>
      <c r="G290" s="622"/>
      <c r="H290" s="35"/>
      <c r="I290" s="35"/>
      <c r="J290" s="22"/>
    </row>
    <row r="291" spans="1:10" s="156" customFormat="1" x14ac:dyDescent="0.25">
      <c r="A291" s="33"/>
      <c r="B291" s="113" t="s">
        <v>84</v>
      </c>
      <c r="C291" s="236" t="s">
        <v>85</v>
      </c>
      <c r="D291" s="113" t="s">
        <v>31</v>
      </c>
      <c r="E291" s="237" t="s">
        <v>86</v>
      </c>
      <c r="F291" s="238" t="s">
        <v>87</v>
      </c>
      <c r="G291" s="239" t="s">
        <v>88</v>
      </c>
      <c r="H291" s="275"/>
      <c r="I291" s="35"/>
      <c r="J291" s="157"/>
    </row>
    <row r="292" spans="1:10" s="156" customFormat="1" ht="30.75" customHeight="1" x14ac:dyDescent="0.25">
      <c r="A292" s="33"/>
      <c r="B292" s="586" t="s">
        <v>1415</v>
      </c>
      <c r="C292" s="284" t="s">
        <v>1416</v>
      </c>
      <c r="D292" s="268">
        <v>36.700000000000003</v>
      </c>
      <c r="E292" s="259" t="s">
        <v>41</v>
      </c>
      <c r="F292" s="274">
        <v>447.26</v>
      </c>
      <c r="G292" s="269">
        <f>D292*F292</f>
        <v>16414.442000000003</v>
      </c>
      <c r="H292" s="275"/>
      <c r="I292" s="35"/>
      <c r="J292" s="157"/>
    </row>
    <row r="293" spans="1:10" s="156" customFormat="1" ht="21" customHeight="1" x14ac:dyDescent="0.25">
      <c r="A293" s="33"/>
      <c r="B293" s="586" t="s">
        <v>2042</v>
      </c>
      <c r="C293" s="284" t="s">
        <v>1417</v>
      </c>
      <c r="D293" s="268">
        <v>36.700000000000003</v>
      </c>
      <c r="E293" s="259" t="s">
        <v>41</v>
      </c>
      <c r="F293" s="274">
        <v>35.61</v>
      </c>
      <c r="G293" s="269">
        <f t="shared" ref="G293:G296" si="24">D293*F293</f>
        <v>1306.8870000000002</v>
      </c>
      <c r="H293" s="275"/>
      <c r="I293" s="35"/>
      <c r="J293" s="157"/>
    </row>
    <row r="294" spans="1:10" s="156" customFormat="1" ht="31.5" x14ac:dyDescent="0.25">
      <c r="A294" s="33"/>
      <c r="B294" s="586" t="s">
        <v>1668</v>
      </c>
      <c r="C294" s="284" t="s">
        <v>1667</v>
      </c>
      <c r="D294" s="268">
        <v>375.56</v>
      </c>
      <c r="E294" s="259" t="s">
        <v>53</v>
      </c>
      <c r="F294" s="274">
        <v>170.36</v>
      </c>
      <c r="G294" s="269">
        <f t="shared" si="24"/>
        <v>63980.401600000005</v>
      </c>
      <c r="H294" s="275"/>
      <c r="I294" s="35"/>
      <c r="J294" s="157"/>
    </row>
    <row r="295" spans="1:10" s="156" customFormat="1" x14ac:dyDescent="0.25">
      <c r="A295" s="33"/>
      <c r="B295" s="586" t="s">
        <v>1443</v>
      </c>
      <c r="C295" s="284" t="s">
        <v>1444</v>
      </c>
      <c r="D295" s="268">
        <v>1888.6</v>
      </c>
      <c r="E295" s="259" t="s">
        <v>42</v>
      </c>
      <c r="F295" s="274">
        <v>10.34</v>
      </c>
      <c r="G295" s="269">
        <f t="shared" si="24"/>
        <v>19528.124</v>
      </c>
      <c r="H295" s="275"/>
      <c r="I295" s="35"/>
      <c r="J295" s="157"/>
    </row>
    <row r="296" spans="1:10" s="156" customFormat="1" x14ac:dyDescent="0.25">
      <c r="A296" s="33"/>
      <c r="B296" s="586" t="s">
        <v>1670</v>
      </c>
      <c r="C296" s="284" t="s">
        <v>1446</v>
      </c>
      <c r="D296" s="268">
        <v>1375.2</v>
      </c>
      <c r="E296" s="259" t="s">
        <v>42</v>
      </c>
      <c r="F296" s="274">
        <v>10.73</v>
      </c>
      <c r="G296" s="269">
        <f t="shared" si="24"/>
        <v>14755.896000000001</v>
      </c>
      <c r="H296" s="275"/>
      <c r="I296" s="35"/>
      <c r="J296" s="157"/>
    </row>
    <row r="297" spans="1:10" s="156" customFormat="1" x14ac:dyDescent="0.25">
      <c r="A297" s="33"/>
      <c r="B297" s="272"/>
      <c r="C297" s="272"/>
      <c r="D297" s="477"/>
      <c r="E297" s="272"/>
      <c r="F297" s="276" t="s">
        <v>34</v>
      </c>
      <c r="G297" s="277">
        <f>SUM(G292:G296)</f>
        <v>115985.7506</v>
      </c>
      <c r="H297" s="275"/>
      <c r="I297" s="35"/>
      <c r="J297" s="157"/>
    </row>
    <row r="298" spans="1:10" s="156" customFormat="1" x14ac:dyDescent="0.25">
      <c r="A298" s="33"/>
      <c r="B298" s="272"/>
      <c r="C298" s="272"/>
      <c r="D298" s="477"/>
      <c r="E298" s="272"/>
      <c r="F298" s="276" t="s">
        <v>1454</v>
      </c>
      <c r="G298" s="277">
        <f>G297/D292</f>
        <v>3160.3746757493186</v>
      </c>
      <c r="H298" s="275"/>
      <c r="I298" s="35"/>
      <c r="J298" s="157"/>
    </row>
    <row r="299" spans="1:10" s="156" customFormat="1" x14ac:dyDescent="0.25">
      <c r="A299" s="33"/>
      <c r="B299" s="275"/>
      <c r="C299" s="275"/>
      <c r="D299" s="477"/>
      <c r="E299" s="275"/>
      <c r="F299" s="278"/>
      <c r="G299" s="278"/>
      <c r="H299" s="275"/>
      <c r="I299" s="35"/>
      <c r="J299" s="157"/>
    </row>
    <row r="300" spans="1:10" s="155" customFormat="1" ht="36" customHeight="1" x14ac:dyDescent="0.25">
      <c r="B300" s="165" t="s">
        <v>1125</v>
      </c>
      <c r="C300" s="622" t="s">
        <v>1630</v>
      </c>
      <c r="D300" s="622"/>
      <c r="E300" s="622"/>
      <c r="F300" s="622"/>
      <c r="G300" s="622"/>
      <c r="H300" s="35"/>
      <c r="I300" s="35"/>
      <c r="J300" s="22"/>
    </row>
    <row r="301" spans="1:10" s="156" customFormat="1" ht="18" customHeight="1" x14ac:dyDescent="0.25">
      <c r="A301" s="33"/>
      <c r="B301" s="113" t="s">
        <v>84</v>
      </c>
      <c r="C301" s="236" t="s">
        <v>85</v>
      </c>
      <c r="D301" s="113" t="s">
        <v>31</v>
      </c>
      <c r="E301" s="237" t="s">
        <v>86</v>
      </c>
      <c r="F301" s="238" t="s">
        <v>87</v>
      </c>
      <c r="G301" s="239" t="s">
        <v>88</v>
      </c>
      <c r="H301" s="272"/>
      <c r="I301" s="35"/>
      <c r="J301" s="157"/>
    </row>
    <row r="302" spans="1:10" s="156" customFormat="1" ht="35.25" customHeight="1" x14ac:dyDescent="0.25">
      <c r="A302" s="33"/>
      <c r="B302" s="586" t="s">
        <v>1415</v>
      </c>
      <c r="C302" s="284" t="s">
        <v>1416</v>
      </c>
      <c r="D302" s="268">
        <v>12.23</v>
      </c>
      <c r="E302" s="259" t="s">
        <v>41</v>
      </c>
      <c r="F302" s="274">
        <v>447.26</v>
      </c>
      <c r="G302" s="269">
        <f>D302*F302</f>
        <v>5469.9898000000003</v>
      </c>
      <c r="H302" s="272"/>
      <c r="I302" s="35"/>
      <c r="J302" s="157"/>
    </row>
    <row r="303" spans="1:10" s="156" customFormat="1" ht="20.25" customHeight="1" x14ac:dyDescent="0.25">
      <c r="A303" s="33"/>
      <c r="B303" s="586" t="s">
        <v>2042</v>
      </c>
      <c r="C303" s="284" t="s">
        <v>1417</v>
      </c>
      <c r="D303" s="268">
        <v>12.23</v>
      </c>
      <c r="E303" s="259" t="s">
        <v>41</v>
      </c>
      <c r="F303" s="274">
        <v>35.61</v>
      </c>
      <c r="G303" s="269">
        <f t="shared" ref="G303:G308" si="25">D303*F303</f>
        <v>435.51030000000003</v>
      </c>
      <c r="H303" s="272"/>
      <c r="I303" s="35"/>
      <c r="J303" s="157"/>
    </row>
    <row r="304" spans="1:10" s="156" customFormat="1" ht="31.5" x14ac:dyDescent="0.25">
      <c r="A304" s="33"/>
      <c r="B304" s="586" t="s">
        <v>1668</v>
      </c>
      <c r="C304" s="284" t="s">
        <v>1667</v>
      </c>
      <c r="D304" s="268">
        <v>92.37</v>
      </c>
      <c r="E304" s="259" t="s">
        <v>53</v>
      </c>
      <c r="F304" s="274">
        <v>170.36</v>
      </c>
      <c r="G304" s="269">
        <f t="shared" si="25"/>
        <v>15736.153200000002</v>
      </c>
      <c r="H304" s="272"/>
      <c r="I304" s="35"/>
      <c r="J304" s="157"/>
    </row>
    <row r="305" spans="1:10" s="156" customFormat="1" x14ac:dyDescent="0.25">
      <c r="A305" s="33"/>
      <c r="B305" s="586" t="s">
        <v>1443</v>
      </c>
      <c r="C305" s="284" t="s">
        <v>1444</v>
      </c>
      <c r="D305" s="268">
        <v>94.8</v>
      </c>
      <c r="E305" s="259" t="s">
        <v>42</v>
      </c>
      <c r="F305" s="274">
        <v>10.34</v>
      </c>
      <c r="G305" s="269">
        <f t="shared" si="25"/>
        <v>980.23199999999997</v>
      </c>
      <c r="H305" s="272"/>
      <c r="I305" s="35"/>
      <c r="J305" s="157"/>
    </row>
    <row r="306" spans="1:10" s="156" customFormat="1" x14ac:dyDescent="0.25">
      <c r="A306" s="33"/>
      <c r="B306" s="586" t="s">
        <v>1669</v>
      </c>
      <c r="C306" s="284" t="s">
        <v>1445</v>
      </c>
      <c r="D306" s="268">
        <v>179.4</v>
      </c>
      <c r="E306" s="259" t="s">
        <v>42</v>
      </c>
      <c r="F306" s="274">
        <v>10.67</v>
      </c>
      <c r="G306" s="269">
        <f t="shared" si="25"/>
        <v>1914.1980000000001</v>
      </c>
      <c r="H306" s="272"/>
      <c r="I306" s="35"/>
      <c r="J306" s="157"/>
    </row>
    <row r="307" spans="1:10" s="156" customFormat="1" x14ac:dyDescent="0.25">
      <c r="A307" s="33"/>
      <c r="B307" s="586" t="s">
        <v>1670</v>
      </c>
      <c r="C307" s="284" t="s">
        <v>1446</v>
      </c>
      <c r="D307" s="268">
        <v>952.7</v>
      </c>
      <c r="E307" s="259" t="s">
        <v>42</v>
      </c>
      <c r="F307" s="274">
        <v>10.73</v>
      </c>
      <c r="G307" s="269">
        <f t="shared" si="25"/>
        <v>10222.471000000001</v>
      </c>
      <c r="H307" s="272"/>
      <c r="I307" s="35"/>
      <c r="J307" s="157"/>
    </row>
    <row r="308" spans="1:10" s="156" customFormat="1" x14ac:dyDescent="0.25">
      <c r="A308" s="33"/>
      <c r="B308" s="586" t="s">
        <v>1671</v>
      </c>
      <c r="C308" s="284" t="s">
        <v>1447</v>
      </c>
      <c r="D308" s="268">
        <v>9.4</v>
      </c>
      <c r="E308" s="259" t="s">
        <v>42</v>
      </c>
      <c r="F308" s="274">
        <v>9.94</v>
      </c>
      <c r="G308" s="269">
        <f t="shared" si="25"/>
        <v>93.435999999999993</v>
      </c>
      <c r="H308" s="272"/>
      <c r="I308" s="35"/>
      <c r="J308" s="157"/>
    </row>
    <row r="309" spans="1:10" s="156" customFormat="1" x14ac:dyDescent="0.25">
      <c r="A309" s="33"/>
      <c r="B309" s="272"/>
      <c r="C309" s="272"/>
      <c r="D309" s="477"/>
      <c r="E309" s="272"/>
      <c r="F309" s="276" t="s">
        <v>34</v>
      </c>
      <c r="G309" s="277">
        <f>SUM(G302:G308)</f>
        <v>34851.990300000005</v>
      </c>
      <c r="H309" s="275"/>
      <c r="I309" s="35"/>
      <c r="J309" s="157"/>
    </row>
    <row r="310" spans="1:10" s="156" customFormat="1" x14ac:dyDescent="0.25">
      <c r="A310" s="33"/>
      <c r="B310" s="272"/>
      <c r="C310" s="272"/>
      <c r="D310" s="477"/>
      <c r="E310" s="272"/>
      <c r="F310" s="276" t="s">
        <v>1454</v>
      </c>
      <c r="G310" s="277">
        <f>G309/D302</f>
        <v>2849.7130253475066</v>
      </c>
      <c r="H310" s="275"/>
      <c r="I310" s="35"/>
      <c r="J310" s="157"/>
    </row>
    <row r="311" spans="1:10" s="156" customFormat="1" x14ac:dyDescent="0.25">
      <c r="A311" s="33"/>
      <c r="B311" s="275"/>
      <c r="C311" s="275"/>
      <c r="D311" s="477"/>
      <c r="E311" s="275"/>
      <c r="F311" s="278"/>
      <c r="G311" s="278"/>
      <c r="H311" s="275"/>
      <c r="I311" s="35"/>
      <c r="J311" s="157"/>
    </row>
    <row r="312" spans="1:10" s="155" customFormat="1" ht="36" customHeight="1" x14ac:dyDescent="0.25">
      <c r="B312" s="165" t="s">
        <v>1126</v>
      </c>
      <c r="C312" s="622" t="s">
        <v>1127</v>
      </c>
      <c r="D312" s="622"/>
      <c r="E312" s="622"/>
      <c r="F312" s="622"/>
      <c r="G312" s="622"/>
      <c r="H312" s="35"/>
      <c r="I312" s="35"/>
      <c r="J312" s="22"/>
    </row>
    <row r="313" spans="1:10" s="156" customFormat="1" x14ac:dyDescent="0.25">
      <c r="A313" s="33"/>
      <c r="B313" s="113" t="s">
        <v>84</v>
      </c>
      <c r="C313" s="236" t="s">
        <v>85</v>
      </c>
      <c r="D313" s="113" t="s">
        <v>31</v>
      </c>
      <c r="E313" s="237" t="s">
        <v>86</v>
      </c>
      <c r="F313" s="238" t="s">
        <v>87</v>
      </c>
      <c r="G313" s="239" t="s">
        <v>88</v>
      </c>
      <c r="H313" s="275"/>
      <c r="I313" s="35"/>
      <c r="J313" s="157"/>
    </row>
    <row r="314" spans="1:10" s="156" customFormat="1" ht="36" customHeight="1" x14ac:dyDescent="0.25">
      <c r="A314" s="33"/>
      <c r="B314" s="586" t="s">
        <v>1415</v>
      </c>
      <c r="C314" s="284" t="s">
        <v>1416</v>
      </c>
      <c r="D314" s="268">
        <v>0.20352799999999999</v>
      </c>
      <c r="E314" s="259" t="s">
        <v>41</v>
      </c>
      <c r="F314" s="274">
        <v>447.26</v>
      </c>
      <c r="G314" s="269">
        <f>F314*D314</f>
        <v>91.029933279999995</v>
      </c>
      <c r="H314" s="275"/>
      <c r="I314" s="35"/>
      <c r="J314" s="157"/>
    </row>
    <row r="315" spans="1:10" s="156" customFormat="1" ht="24.75" customHeight="1" x14ac:dyDescent="0.25">
      <c r="A315" s="33"/>
      <c r="B315" s="586" t="s">
        <v>2042</v>
      </c>
      <c r="C315" s="284" t="s">
        <v>1417</v>
      </c>
      <c r="D315" s="268">
        <v>0.20352799999999999</v>
      </c>
      <c r="E315" s="259" t="s">
        <v>41</v>
      </c>
      <c r="F315" s="274">
        <v>29.85</v>
      </c>
      <c r="G315" s="269">
        <f t="shared" ref="G315:G318" si="26">F315*D315</f>
        <v>6.0753107999999996</v>
      </c>
      <c r="H315" s="275"/>
      <c r="I315" s="35"/>
      <c r="J315" s="157"/>
    </row>
    <row r="316" spans="1:10" s="156" customFormat="1" ht="31.5" x14ac:dyDescent="0.25">
      <c r="A316" s="33"/>
      <c r="B316" s="586" t="s">
        <v>1668</v>
      </c>
      <c r="C316" s="284" t="s">
        <v>1667</v>
      </c>
      <c r="D316" s="268">
        <v>2.5440999999999998</v>
      </c>
      <c r="E316" s="259" t="s">
        <v>53</v>
      </c>
      <c r="F316" s="274">
        <v>170.36</v>
      </c>
      <c r="G316" s="269">
        <f t="shared" si="26"/>
        <v>433.41287599999998</v>
      </c>
      <c r="H316" s="275"/>
      <c r="I316" s="35"/>
      <c r="J316" s="157"/>
    </row>
    <row r="317" spans="1:10" s="156" customFormat="1" x14ac:dyDescent="0.25">
      <c r="A317" s="33"/>
      <c r="B317" s="586" t="s">
        <v>1443</v>
      </c>
      <c r="C317" s="284" t="s">
        <v>1444</v>
      </c>
      <c r="D317" s="268">
        <v>13.5</v>
      </c>
      <c r="E317" s="259" t="s">
        <v>42</v>
      </c>
      <c r="F317" s="274">
        <v>10.34</v>
      </c>
      <c r="G317" s="269">
        <f t="shared" si="26"/>
        <v>139.59</v>
      </c>
      <c r="H317" s="275"/>
      <c r="I317" s="35"/>
      <c r="J317" s="157"/>
    </row>
    <row r="318" spans="1:10" s="156" customFormat="1" x14ac:dyDescent="0.25">
      <c r="A318" s="33"/>
      <c r="B318" s="586" t="s">
        <v>1669</v>
      </c>
      <c r="C318" s="284" t="s">
        <v>1445</v>
      </c>
      <c r="D318" s="268">
        <v>7.9</v>
      </c>
      <c r="E318" s="259" t="s">
        <v>42</v>
      </c>
      <c r="F318" s="274">
        <v>10.67</v>
      </c>
      <c r="G318" s="269">
        <f t="shared" si="26"/>
        <v>84.293000000000006</v>
      </c>
      <c r="H318" s="275"/>
      <c r="I318" s="35"/>
      <c r="J318" s="157"/>
    </row>
    <row r="319" spans="1:10" s="156" customFormat="1" x14ac:dyDescent="0.25">
      <c r="A319" s="33"/>
      <c r="B319" s="272"/>
      <c r="C319" s="272"/>
      <c r="D319" s="477"/>
      <c r="E319" s="272"/>
      <c r="F319" s="276" t="s">
        <v>34</v>
      </c>
      <c r="G319" s="277">
        <f>SUM(G314:G318)</f>
        <v>754.40112008000006</v>
      </c>
      <c r="H319" s="275"/>
      <c r="I319" s="35"/>
      <c r="J319" s="157"/>
    </row>
    <row r="320" spans="1:10" s="156" customFormat="1" x14ac:dyDescent="0.25">
      <c r="A320" s="33"/>
      <c r="B320" s="272"/>
      <c r="C320" s="272"/>
      <c r="D320" s="477"/>
      <c r="E320" s="272"/>
      <c r="F320" s="276" t="s">
        <v>1454</v>
      </c>
      <c r="G320" s="277">
        <f>G319/D314</f>
        <v>3706.6208093235332</v>
      </c>
      <c r="H320" s="275"/>
      <c r="I320" s="35"/>
      <c r="J320" s="157"/>
    </row>
    <row r="321" spans="1:10" s="156" customFormat="1" x14ac:dyDescent="0.25">
      <c r="A321" s="33"/>
      <c r="B321" s="275"/>
      <c r="C321" s="275"/>
      <c r="D321" s="477"/>
      <c r="E321" s="275"/>
      <c r="F321" s="278"/>
      <c r="G321" s="278"/>
      <c r="H321" s="275"/>
      <c r="I321" s="35"/>
      <c r="J321" s="157"/>
    </row>
    <row r="322" spans="1:10" s="155" customFormat="1" ht="36" customHeight="1" x14ac:dyDescent="0.25">
      <c r="B322" s="165" t="s">
        <v>1128</v>
      </c>
      <c r="C322" s="622" t="s">
        <v>1129</v>
      </c>
      <c r="D322" s="622"/>
      <c r="E322" s="622"/>
      <c r="F322" s="622"/>
      <c r="G322" s="622"/>
      <c r="H322" s="35" t="s">
        <v>1448</v>
      </c>
      <c r="I322" s="35"/>
      <c r="J322" s="22"/>
    </row>
    <row r="323" spans="1:10" s="156" customFormat="1" x14ac:dyDescent="0.25">
      <c r="A323" s="33"/>
      <c r="B323" s="113" t="s">
        <v>84</v>
      </c>
      <c r="C323" s="236" t="s">
        <v>85</v>
      </c>
      <c r="D323" s="113" t="s">
        <v>31</v>
      </c>
      <c r="E323" s="237" t="s">
        <v>86</v>
      </c>
      <c r="F323" s="238" t="s">
        <v>87</v>
      </c>
      <c r="G323" s="239" t="s">
        <v>88</v>
      </c>
      <c r="H323" s="275"/>
      <c r="I323" s="35"/>
      <c r="J323" s="157"/>
    </row>
    <row r="324" spans="1:10" s="156" customFormat="1" ht="18" customHeight="1" x14ac:dyDescent="0.25">
      <c r="A324" s="33"/>
      <c r="B324" s="586" t="s">
        <v>1449</v>
      </c>
      <c r="C324" s="590" t="s">
        <v>1450</v>
      </c>
      <c r="D324" s="268">
        <v>0.1</v>
      </c>
      <c r="E324" s="259" t="s">
        <v>50</v>
      </c>
      <c r="F324" s="274">
        <v>1.48</v>
      </c>
      <c r="G324" s="269">
        <f>F324*D324</f>
        <v>0.14799999999999999</v>
      </c>
      <c r="H324" s="275"/>
      <c r="I324" s="35"/>
      <c r="J324" s="157"/>
    </row>
    <row r="325" spans="1:10" s="156" customFormat="1" ht="15.6" customHeight="1" x14ac:dyDescent="0.25">
      <c r="A325" s="33"/>
      <c r="B325" s="586" t="s">
        <v>2041</v>
      </c>
      <c r="C325" s="284" t="s">
        <v>1451</v>
      </c>
      <c r="D325" s="268">
        <v>0.62419999999999998</v>
      </c>
      <c r="E325" s="259" t="s">
        <v>11</v>
      </c>
      <c r="F325" s="274">
        <v>27.92</v>
      </c>
      <c r="G325" s="269">
        <f t="shared" ref="G325:G329" si="27">F325*D325</f>
        <v>17.427664</v>
      </c>
      <c r="H325" s="275"/>
      <c r="I325" s="35"/>
      <c r="J325" s="157"/>
    </row>
    <row r="326" spans="1:10" s="156" customFormat="1" ht="31.5" x14ac:dyDescent="0.25">
      <c r="A326" s="33"/>
      <c r="B326" s="586" t="s">
        <v>1672</v>
      </c>
      <c r="C326" s="284" t="s">
        <v>1675</v>
      </c>
      <c r="D326" s="268">
        <v>0.52500000000000002</v>
      </c>
      <c r="E326" s="259" t="s">
        <v>53</v>
      </c>
      <c r="F326" s="274">
        <v>15.34</v>
      </c>
      <c r="G326" s="269">
        <f t="shared" si="27"/>
        <v>8.0534999999999997</v>
      </c>
      <c r="H326" s="275"/>
      <c r="I326" s="35"/>
      <c r="J326" s="157"/>
    </row>
    <row r="327" spans="1:10" s="156" customFormat="1" x14ac:dyDescent="0.25">
      <c r="A327" s="33"/>
      <c r="B327" s="586" t="s">
        <v>1452</v>
      </c>
      <c r="C327" s="590" t="s">
        <v>1453</v>
      </c>
      <c r="D327" s="268">
        <v>5.6300000000000003E-2</v>
      </c>
      <c r="E327" s="259" t="s">
        <v>91</v>
      </c>
      <c r="F327" s="274">
        <v>23.85</v>
      </c>
      <c r="G327" s="269">
        <f t="shared" si="27"/>
        <v>1.3427550000000001</v>
      </c>
      <c r="H327" s="275"/>
      <c r="I327" s="35"/>
      <c r="J327" s="157"/>
    </row>
    <row r="328" spans="1:10" s="156" customFormat="1" x14ac:dyDescent="0.25">
      <c r="A328" s="33"/>
      <c r="B328" s="586" t="s">
        <v>867</v>
      </c>
      <c r="C328" s="590" t="s">
        <v>94</v>
      </c>
      <c r="D328" s="268">
        <v>5.5800000000000002E-2</v>
      </c>
      <c r="E328" s="259" t="s">
        <v>91</v>
      </c>
      <c r="F328" s="274">
        <v>18.84</v>
      </c>
      <c r="G328" s="269">
        <f t="shared" si="27"/>
        <v>1.051272</v>
      </c>
      <c r="H328" s="275"/>
      <c r="I328" s="35"/>
      <c r="J328" s="157"/>
    </row>
    <row r="329" spans="1:10" s="156" customFormat="1" x14ac:dyDescent="0.25">
      <c r="A329" s="33"/>
      <c r="B329" s="586" t="s">
        <v>1674</v>
      </c>
      <c r="C329" s="590" t="s">
        <v>1673</v>
      </c>
      <c r="D329" s="268">
        <v>2</v>
      </c>
      <c r="E329" s="259" t="s">
        <v>50</v>
      </c>
      <c r="F329" s="274">
        <v>32.450000000000003</v>
      </c>
      <c r="G329" s="269">
        <f t="shared" si="27"/>
        <v>64.900000000000006</v>
      </c>
      <c r="H329" s="275"/>
      <c r="I329" s="35"/>
      <c r="J329" s="157"/>
    </row>
    <row r="330" spans="1:10" s="156" customFormat="1" x14ac:dyDescent="0.25">
      <c r="A330" s="33"/>
      <c r="B330" s="272"/>
      <c r="C330" s="272"/>
      <c r="D330" s="477"/>
      <c r="E330" s="272"/>
      <c r="F330" s="276" t="s">
        <v>155</v>
      </c>
      <c r="G330" s="277">
        <f>SUM(G324:G329)</f>
        <v>92.923191000000003</v>
      </c>
      <c r="H330" s="275"/>
      <c r="I330" s="35"/>
      <c r="J330" s="157"/>
    </row>
    <row r="331" spans="1:10" s="156" customFormat="1" x14ac:dyDescent="0.25">
      <c r="A331" s="33"/>
      <c r="B331" s="47"/>
      <c r="C331" s="47"/>
      <c r="D331" s="310"/>
      <c r="E331" s="255"/>
      <c r="F331" s="256"/>
      <c r="G331" s="251"/>
      <c r="H331" s="35"/>
      <c r="I331" s="35"/>
      <c r="J331" s="157"/>
    </row>
    <row r="332" spans="1:10" s="34" customFormat="1" x14ac:dyDescent="0.25">
      <c r="A332" s="11"/>
      <c r="B332" s="226" t="s">
        <v>354</v>
      </c>
      <c r="C332" s="226"/>
      <c r="D332" s="479"/>
      <c r="E332" s="285"/>
      <c r="F332" s="286"/>
      <c r="G332" s="287"/>
      <c r="H332" s="35"/>
      <c r="I332" s="35"/>
      <c r="J332" s="22"/>
    </row>
    <row r="333" spans="1:10" x14ac:dyDescent="0.25">
      <c r="A333" s="7"/>
      <c r="B333" s="47"/>
      <c r="C333" s="47"/>
      <c r="D333" s="310"/>
      <c r="E333" s="250"/>
      <c r="F333" s="288"/>
      <c r="G333" s="251"/>
    </row>
    <row r="334" spans="1:10" s="34" customFormat="1" ht="31.5" x14ac:dyDescent="0.25">
      <c r="A334" s="11"/>
      <c r="B334" s="165" t="s">
        <v>343</v>
      </c>
      <c r="C334" s="622" t="str">
        <f>ORÇAMENTO!C61</f>
        <v>ALVENARIA DE VEDAÇÃO DE PAREDES DE BLOCO CERÂMICO, FUROS NA HORIZONTAL, DE 14 X 19 X 24 CM, ESPESSURA 19 CM (BLOCO DEITADO) E ARGAMASSA DE ASSENTAMENTO TRAÇO 1:2:8</v>
      </c>
      <c r="D334" s="622"/>
      <c r="E334" s="622"/>
      <c r="F334" s="622"/>
      <c r="G334" s="622"/>
      <c r="H334" s="35"/>
      <c r="I334" s="35"/>
      <c r="J334" s="22"/>
    </row>
    <row r="335" spans="1:10" s="34" customFormat="1" x14ac:dyDescent="0.25">
      <c r="A335" s="11"/>
      <c r="B335" s="113" t="s">
        <v>84</v>
      </c>
      <c r="C335" s="236" t="s">
        <v>85</v>
      </c>
      <c r="D335" s="113" t="s">
        <v>31</v>
      </c>
      <c r="E335" s="237" t="s">
        <v>86</v>
      </c>
      <c r="F335" s="238" t="s">
        <v>87</v>
      </c>
      <c r="G335" s="239" t="s">
        <v>88</v>
      </c>
      <c r="H335" s="35"/>
      <c r="I335" s="35"/>
      <c r="J335" s="22"/>
    </row>
    <row r="336" spans="1:10" s="523" customFormat="1" ht="31.5" x14ac:dyDescent="0.3">
      <c r="A336" s="519"/>
      <c r="B336" s="591" t="s">
        <v>136</v>
      </c>
      <c r="C336" s="521" t="s">
        <v>1962</v>
      </c>
      <c r="D336" s="520" t="s">
        <v>50</v>
      </c>
      <c r="E336" s="522">
        <v>20</v>
      </c>
      <c r="F336" s="242">
        <v>2.57</v>
      </c>
      <c r="G336" s="309">
        <f t="shared" ref="G336:G341" si="28">E336*F336</f>
        <v>51.4</v>
      </c>
      <c r="H336" s="311"/>
      <c r="I336" s="311"/>
    </row>
    <row r="337" spans="1:10" s="112" customFormat="1" ht="31.5" x14ac:dyDescent="0.3">
      <c r="A337" s="111"/>
      <c r="B337" s="592" t="s">
        <v>189</v>
      </c>
      <c r="C337" s="290" t="s">
        <v>188</v>
      </c>
      <c r="D337" s="289" t="s">
        <v>73</v>
      </c>
      <c r="E337" s="291" t="s">
        <v>344</v>
      </c>
      <c r="F337" s="242">
        <v>5.76</v>
      </c>
      <c r="G337" s="243">
        <f t="shared" si="28"/>
        <v>8.6975999999999996</v>
      </c>
      <c r="H337" s="35"/>
      <c r="I337" s="35"/>
    </row>
    <row r="338" spans="1:10" s="112" customFormat="1" ht="16.5" x14ac:dyDescent="0.3">
      <c r="A338" s="111"/>
      <c r="B338" s="592" t="s">
        <v>190</v>
      </c>
      <c r="C338" s="290" t="s">
        <v>168</v>
      </c>
      <c r="D338" s="289" t="s">
        <v>169</v>
      </c>
      <c r="E338" s="291" t="s">
        <v>345</v>
      </c>
      <c r="F338" s="242">
        <v>40.89</v>
      </c>
      <c r="G338" s="243">
        <f t="shared" si="28"/>
        <v>1.484307</v>
      </c>
      <c r="H338" s="35"/>
      <c r="I338" s="35"/>
    </row>
    <row r="339" spans="1:10" s="112" customFormat="1" ht="31.5" x14ac:dyDescent="0.3">
      <c r="A339" s="111"/>
      <c r="B339" s="592" t="s">
        <v>347</v>
      </c>
      <c r="C339" s="290" t="s">
        <v>357</v>
      </c>
      <c r="D339" s="289" t="s">
        <v>89</v>
      </c>
      <c r="E339" s="291" t="s">
        <v>346</v>
      </c>
      <c r="F339" s="242">
        <v>566.13</v>
      </c>
      <c r="G339" s="243">
        <f t="shared" si="28"/>
        <v>7.6427550000000002</v>
      </c>
      <c r="H339" s="35"/>
      <c r="I339" s="35"/>
    </row>
    <row r="340" spans="1:10" s="112" customFormat="1" ht="16.5" x14ac:dyDescent="0.3">
      <c r="A340" s="111"/>
      <c r="B340" s="592" t="s">
        <v>95</v>
      </c>
      <c r="C340" s="290" t="s">
        <v>96</v>
      </c>
      <c r="D340" s="289" t="s">
        <v>91</v>
      </c>
      <c r="E340" s="291">
        <f>2.998/1.5</f>
        <v>1.9986666666666668</v>
      </c>
      <c r="F340" s="242">
        <v>22.79</v>
      </c>
      <c r="G340" s="243">
        <f t="shared" si="28"/>
        <v>45.549613333333333</v>
      </c>
      <c r="H340" s="35"/>
      <c r="I340" s="35"/>
    </row>
    <row r="341" spans="1:10" s="112" customFormat="1" ht="16.5" x14ac:dyDescent="0.3">
      <c r="A341" s="111"/>
      <c r="B341" s="592" t="s">
        <v>93</v>
      </c>
      <c r="C341" s="290" t="s">
        <v>94</v>
      </c>
      <c r="D341" s="289" t="s">
        <v>91</v>
      </c>
      <c r="E341" s="291">
        <v>1</v>
      </c>
      <c r="F341" s="242">
        <v>18.84</v>
      </c>
      <c r="G341" s="243">
        <f t="shared" si="28"/>
        <v>18.84</v>
      </c>
      <c r="H341" s="35"/>
      <c r="I341" s="35"/>
    </row>
    <row r="342" spans="1:10" s="34" customFormat="1" x14ac:dyDescent="0.25">
      <c r="A342" s="11"/>
      <c r="B342" s="623" t="s">
        <v>121</v>
      </c>
      <c r="C342" s="623"/>
      <c r="D342" s="623"/>
      <c r="E342" s="623"/>
      <c r="F342" s="623"/>
      <c r="G342" s="245">
        <f>SUM(G336:G341)</f>
        <v>133.61427533333332</v>
      </c>
      <c r="H342" s="35"/>
      <c r="I342" s="35"/>
      <c r="J342" s="22"/>
    </row>
    <row r="343" spans="1:10" s="34" customFormat="1" x14ac:dyDescent="0.25">
      <c r="A343" s="11"/>
      <c r="B343" s="246"/>
      <c r="C343" s="246"/>
      <c r="D343" s="80"/>
      <c r="E343" s="247"/>
      <c r="F343" s="246"/>
      <c r="G343" s="248"/>
      <c r="H343" s="35"/>
      <c r="I343" s="35"/>
      <c r="J343" s="22"/>
    </row>
    <row r="344" spans="1:10" s="112" customFormat="1" ht="31.5" x14ac:dyDescent="0.3">
      <c r="A344" s="111"/>
      <c r="B344" s="165" t="s">
        <v>333</v>
      </c>
      <c r="C344" s="622" t="str">
        <f>ORÇAMENTO!C66</f>
        <v>VIGA BALDRAME DE ASSENTAMENTO DAS FLOREIRAS</v>
      </c>
      <c r="D344" s="622"/>
      <c r="E344" s="622"/>
      <c r="F344" s="622"/>
      <c r="G344" s="622"/>
      <c r="H344" s="35"/>
      <c r="I344" s="35"/>
    </row>
    <row r="345" spans="1:10" s="112" customFormat="1" ht="16.5" x14ac:dyDescent="0.3">
      <c r="A345" s="111"/>
      <c r="B345" s="113" t="s">
        <v>84</v>
      </c>
      <c r="C345" s="236" t="s">
        <v>85</v>
      </c>
      <c r="D345" s="113" t="s">
        <v>31</v>
      </c>
      <c r="E345" s="237" t="s">
        <v>86</v>
      </c>
      <c r="F345" s="238" t="s">
        <v>87</v>
      </c>
      <c r="G345" s="239" t="s">
        <v>88</v>
      </c>
      <c r="H345" s="35"/>
      <c r="I345" s="35"/>
    </row>
    <row r="346" spans="1:10" s="112" customFormat="1" ht="19.5" customHeight="1" x14ac:dyDescent="0.3">
      <c r="A346" s="111"/>
      <c r="B346" s="592" t="s">
        <v>1683</v>
      </c>
      <c r="C346" s="290" t="s">
        <v>1684</v>
      </c>
      <c r="D346" s="289" t="s">
        <v>89</v>
      </c>
      <c r="E346" s="291">
        <v>0.01</v>
      </c>
      <c r="F346" s="242">
        <v>169.32</v>
      </c>
      <c r="G346" s="243">
        <f>E346*F346</f>
        <v>1.6932</v>
      </c>
      <c r="H346" s="35"/>
      <c r="I346" s="35"/>
    </row>
    <row r="347" spans="1:10" s="112" customFormat="1" ht="16.5" x14ac:dyDescent="0.3">
      <c r="A347" s="111"/>
      <c r="B347" s="592" t="s">
        <v>328</v>
      </c>
      <c r="C347" s="290" t="s">
        <v>320</v>
      </c>
      <c r="D347" s="289" t="s">
        <v>11</v>
      </c>
      <c r="E347" s="291" t="s">
        <v>321</v>
      </c>
      <c r="F347" s="242">
        <v>5.77</v>
      </c>
      <c r="G347" s="243">
        <f>E347*F347</f>
        <v>2.0194999999999998E-2</v>
      </c>
      <c r="H347" s="35"/>
      <c r="I347" s="35"/>
    </row>
    <row r="348" spans="1:10" s="112" customFormat="1" ht="31.5" x14ac:dyDescent="0.3">
      <c r="A348" s="111"/>
      <c r="B348" s="592" t="s">
        <v>329</v>
      </c>
      <c r="C348" s="290" t="s">
        <v>322</v>
      </c>
      <c r="D348" s="289" t="s">
        <v>50</v>
      </c>
      <c r="E348" s="291" t="s">
        <v>323</v>
      </c>
      <c r="F348" s="242">
        <v>0.13</v>
      </c>
      <c r="G348" s="243">
        <f t="shared" ref="G348:G353" si="29">E348*F348</f>
        <v>0.78</v>
      </c>
      <c r="H348" s="35"/>
      <c r="I348" s="35"/>
    </row>
    <row r="349" spans="1:10" s="112" customFormat="1" ht="16.5" x14ac:dyDescent="0.3">
      <c r="A349" s="111"/>
      <c r="B349" s="592" t="s">
        <v>95</v>
      </c>
      <c r="C349" s="290" t="s">
        <v>96</v>
      </c>
      <c r="D349" s="289" t="s">
        <v>91</v>
      </c>
      <c r="E349" s="291" t="s">
        <v>324</v>
      </c>
      <c r="F349" s="242">
        <v>22.79</v>
      </c>
      <c r="G349" s="243">
        <f t="shared" si="29"/>
        <v>8.2043999999999997</v>
      </c>
      <c r="H349" s="35"/>
      <c r="I349" s="35"/>
    </row>
    <row r="350" spans="1:10" s="112" customFormat="1" ht="16.5" x14ac:dyDescent="0.3">
      <c r="A350" s="111"/>
      <c r="B350" s="592" t="s">
        <v>93</v>
      </c>
      <c r="C350" s="290" t="s">
        <v>94</v>
      </c>
      <c r="D350" s="289" t="s">
        <v>91</v>
      </c>
      <c r="E350" s="291" t="s">
        <v>325</v>
      </c>
      <c r="F350" s="242">
        <v>18.84</v>
      </c>
      <c r="G350" s="243">
        <f t="shared" si="29"/>
        <v>3.3912</v>
      </c>
      <c r="H350" s="35"/>
      <c r="I350" s="35"/>
    </row>
    <row r="351" spans="1:10" s="112" customFormat="1" ht="16.5" x14ac:dyDescent="0.3">
      <c r="A351" s="111"/>
      <c r="B351" s="592" t="s">
        <v>330</v>
      </c>
      <c r="C351" s="290" t="s">
        <v>332</v>
      </c>
      <c r="D351" s="289" t="s">
        <v>90</v>
      </c>
      <c r="E351" s="291" t="s">
        <v>326</v>
      </c>
      <c r="F351" s="292">
        <v>113.08</v>
      </c>
      <c r="G351" s="293">
        <f t="shared" si="29"/>
        <v>22.616</v>
      </c>
      <c r="H351" s="35"/>
      <c r="I351" s="35"/>
    </row>
    <row r="352" spans="1:10" s="112" customFormat="1" ht="16.5" x14ac:dyDescent="0.3">
      <c r="A352" s="111"/>
      <c r="B352" s="592" t="s">
        <v>331</v>
      </c>
      <c r="C352" s="290" t="s">
        <v>355</v>
      </c>
      <c r="D352" s="289" t="s">
        <v>42</v>
      </c>
      <c r="E352" s="291" t="s">
        <v>327</v>
      </c>
      <c r="F352" s="292">
        <v>11.97</v>
      </c>
      <c r="G352" s="293">
        <f t="shared" si="29"/>
        <v>9.4563000000000006</v>
      </c>
      <c r="H352" s="35"/>
      <c r="I352" s="35"/>
    </row>
    <row r="353" spans="1:10" s="112" customFormat="1" ht="16.5" x14ac:dyDescent="0.3">
      <c r="A353" s="111"/>
      <c r="B353" s="592" t="s">
        <v>187</v>
      </c>
      <c r="C353" s="290" t="s">
        <v>356</v>
      </c>
      <c r="D353" s="289" t="s">
        <v>89</v>
      </c>
      <c r="E353" s="291">
        <v>2.2499999999999999E-2</v>
      </c>
      <c r="F353" s="242">
        <v>406.18</v>
      </c>
      <c r="G353" s="243">
        <f t="shared" si="29"/>
        <v>9.1390499999999992</v>
      </c>
      <c r="H353" s="35"/>
      <c r="I353" s="35"/>
    </row>
    <row r="354" spans="1:10" s="112" customFormat="1" ht="16.5" x14ac:dyDescent="0.3">
      <c r="A354" s="111"/>
      <c r="B354" s="623" t="s">
        <v>155</v>
      </c>
      <c r="C354" s="623"/>
      <c r="D354" s="623"/>
      <c r="E354" s="623"/>
      <c r="F354" s="623"/>
      <c r="G354" s="245">
        <f>SUM(G346:G353)</f>
        <v>55.300344999999993</v>
      </c>
      <c r="H354" s="35"/>
      <c r="I354" s="35"/>
    </row>
    <row r="355" spans="1:10" s="112" customFormat="1" ht="16.5" x14ac:dyDescent="0.3">
      <c r="A355" s="111"/>
      <c r="B355" s="246"/>
      <c r="C355" s="246"/>
      <c r="D355" s="80"/>
      <c r="E355" s="246"/>
      <c r="F355" s="246"/>
      <c r="G355" s="248"/>
      <c r="H355" s="35"/>
      <c r="I355" s="35"/>
    </row>
    <row r="356" spans="1:10" s="112" customFormat="1" ht="31.5" x14ac:dyDescent="0.3">
      <c r="A356" s="111"/>
      <c r="B356" s="442" t="s">
        <v>1678</v>
      </c>
      <c r="C356" s="658" t="s">
        <v>1677</v>
      </c>
      <c r="D356" s="659"/>
      <c r="E356" s="659"/>
      <c r="F356" s="659"/>
      <c r="G356" s="660"/>
      <c r="H356" s="35"/>
      <c r="I356" s="35"/>
    </row>
    <row r="357" spans="1:10" s="112" customFormat="1" ht="16.5" x14ac:dyDescent="0.3">
      <c r="A357" s="111"/>
      <c r="B357" s="295" t="s">
        <v>84</v>
      </c>
      <c r="C357" s="296" t="s">
        <v>85</v>
      </c>
      <c r="D357" s="295" t="s">
        <v>31</v>
      </c>
      <c r="E357" s="297" t="s">
        <v>86</v>
      </c>
      <c r="F357" s="298" t="s">
        <v>87</v>
      </c>
      <c r="G357" s="299" t="s">
        <v>88</v>
      </c>
      <c r="H357" s="35"/>
      <c r="I357" s="35"/>
    </row>
    <row r="358" spans="1:10" s="112" customFormat="1" ht="47.25" x14ac:dyDescent="0.3">
      <c r="A358" s="111"/>
      <c r="B358" s="592" t="s">
        <v>1679</v>
      </c>
      <c r="C358" s="290" t="s">
        <v>1682</v>
      </c>
      <c r="D358" s="289" t="s">
        <v>89</v>
      </c>
      <c r="E358" s="291">
        <v>5.0000000000000001E-3</v>
      </c>
      <c r="F358" s="242">
        <v>463.71</v>
      </c>
      <c r="G358" s="243">
        <f>E358*F358</f>
        <v>2.3185500000000001</v>
      </c>
      <c r="H358" s="35"/>
      <c r="I358" s="35"/>
    </row>
    <row r="359" spans="1:10" s="112" customFormat="1" ht="16.5" x14ac:dyDescent="0.3">
      <c r="A359" s="111"/>
      <c r="B359" s="592" t="s">
        <v>95</v>
      </c>
      <c r="C359" s="290" t="s">
        <v>96</v>
      </c>
      <c r="D359" s="289" t="s">
        <v>91</v>
      </c>
      <c r="E359" s="291">
        <v>0.9</v>
      </c>
      <c r="F359" s="242">
        <v>22.79</v>
      </c>
      <c r="G359" s="243">
        <f t="shared" ref="G359:G361" si="30">E359*F359</f>
        <v>20.510999999999999</v>
      </c>
      <c r="H359" s="35"/>
      <c r="I359" s="35"/>
    </row>
    <row r="360" spans="1:10" s="112" customFormat="1" ht="16.5" x14ac:dyDescent="0.3">
      <c r="A360" s="111"/>
      <c r="B360" s="592" t="s">
        <v>93</v>
      </c>
      <c r="C360" s="290" t="s">
        <v>94</v>
      </c>
      <c r="D360" s="289" t="s">
        <v>91</v>
      </c>
      <c r="E360" s="291">
        <v>0.94</v>
      </c>
      <c r="F360" s="242">
        <v>18.84</v>
      </c>
      <c r="G360" s="243">
        <f t="shared" si="30"/>
        <v>17.709599999999998</v>
      </c>
      <c r="H360" s="35"/>
      <c r="I360" s="35"/>
    </row>
    <row r="361" spans="1:10" s="112" customFormat="1" ht="16.5" x14ac:dyDescent="0.3">
      <c r="A361" s="111"/>
      <c r="B361" s="592" t="s">
        <v>1680</v>
      </c>
      <c r="C361" s="290" t="s">
        <v>1681</v>
      </c>
      <c r="D361" s="289" t="s">
        <v>289</v>
      </c>
      <c r="E361" s="291">
        <v>83</v>
      </c>
      <c r="F361" s="242">
        <v>0.69</v>
      </c>
      <c r="G361" s="243">
        <f t="shared" si="30"/>
        <v>57.269999999999996</v>
      </c>
      <c r="H361" s="35"/>
      <c r="I361" s="35"/>
    </row>
    <row r="362" spans="1:10" s="112" customFormat="1" ht="16.5" x14ac:dyDescent="0.3">
      <c r="A362" s="111"/>
      <c r="B362" s="623" t="s">
        <v>121</v>
      </c>
      <c r="C362" s="623"/>
      <c r="D362" s="623"/>
      <c r="E362" s="623"/>
      <c r="F362" s="623"/>
      <c r="G362" s="245">
        <f>SUM(G358:G361)</f>
        <v>97.809149999999988</v>
      </c>
      <c r="H362" s="35"/>
      <c r="I362" s="35"/>
    </row>
    <row r="363" spans="1:10" s="34" customFormat="1" x14ac:dyDescent="0.25">
      <c r="A363" s="11"/>
      <c r="B363" s="246"/>
      <c r="C363" s="246"/>
      <c r="D363" s="80"/>
      <c r="E363" s="247"/>
      <c r="F363" s="246"/>
      <c r="G363" s="248"/>
      <c r="H363" s="35"/>
      <c r="I363" s="35"/>
      <c r="J363" s="22"/>
    </row>
    <row r="364" spans="1:10" s="34" customFormat="1" x14ac:dyDescent="0.25">
      <c r="A364" s="11"/>
      <c r="B364" s="226" t="s">
        <v>192</v>
      </c>
      <c r="C364" s="226"/>
      <c r="D364" s="479"/>
      <c r="E364" s="285"/>
      <c r="F364" s="286"/>
      <c r="G364" s="287"/>
      <c r="H364" s="35"/>
      <c r="I364" s="35"/>
      <c r="J364" s="22"/>
    </row>
    <row r="365" spans="1:10" x14ac:dyDescent="0.25">
      <c r="A365" s="7"/>
      <c r="B365" s="47"/>
      <c r="C365" s="47"/>
      <c r="D365" s="310"/>
      <c r="E365" s="250"/>
      <c r="F365" s="288"/>
      <c r="G365" s="251"/>
    </row>
    <row r="366" spans="1:10" s="156" customFormat="1" ht="39.75" customHeight="1" x14ac:dyDescent="0.25">
      <c r="A366" s="33"/>
      <c r="B366" s="294" t="s">
        <v>49</v>
      </c>
      <c r="C366" s="661" t="str">
        <f>ORÇAMENTO!C86</f>
        <v>PNV3 - ESQUADRIA EM ALUMÍNIO ANODIZADO COR NATURAL, ACESSÓRIOS EM ALUMÍNIO, INCLUSIVE PORTAS DE VIDRO, FECHADURA EXTERNA E PUXADOR DUPLO DE AÇO INOX POLIDO DE 30 CM - 4,38X3,95M, CONFORME PROJETO E ESPECIFICAÇÕES (1 UNIDADE)</v>
      </c>
      <c r="D366" s="662"/>
      <c r="E366" s="662"/>
      <c r="F366" s="662"/>
      <c r="G366" s="662"/>
      <c r="H366" s="35"/>
      <c r="I366" s="35"/>
      <c r="J366" s="157"/>
    </row>
    <row r="367" spans="1:10" s="156" customFormat="1" x14ac:dyDescent="0.25">
      <c r="A367" s="33"/>
      <c r="B367" s="295" t="s">
        <v>84</v>
      </c>
      <c r="C367" s="296" t="s">
        <v>85</v>
      </c>
      <c r="D367" s="295" t="s">
        <v>31</v>
      </c>
      <c r="E367" s="297" t="s">
        <v>86</v>
      </c>
      <c r="F367" s="298" t="s">
        <v>87</v>
      </c>
      <c r="G367" s="299" t="s">
        <v>88</v>
      </c>
      <c r="H367" s="35"/>
      <c r="I367" s="35"/>
      <c r="J367" s="157"/>
    </row>
    <row r="368" spans="1:10" s="156" customFormat="1" ht="31.5" x14ac:dyDescent="0.25">
      <c r="A368" s="33"/>
      <c r="B368" s="585" t="s">
        <v>1689</v>
      </c>
      <c r="C368" s="253" t="s">
        <v>1915</v>
      </c>
      <c r="D368" s="252" t="s">
        <v>53</v>
      </c>
      <c r="E368" s="300">
        <v>3.78</v>
      </c>
      <c r="F368" s="300">
        <v>969.12</v>
      </c>
      <c r="G368" s="293">
        <f>E368*F368</f>
        <v>3663.2736</v>
      </c>
      <c r="H368" s="35"/>
      <c r="I368" s="35"/>
      <c r="J368" s="157"/>
    </row>
    <row r="369" spans="1:10" s="156" customFormat="1" x14ac:dyDescent="0.25">
      <c r="A369" s="33"/>
      <c r="B369" s="593" t="s">
        <v>839</v>
      </c>
      <c r="C369" s="301" t="s">
        <v>1692</v>
      </c>
      <c r="D369" s="300" t="s">
        <v>50</v>
      </c>
      <c r="E369" s="300">
        <v>1</v>
      </c>
      <c r="F369" s="302">
        <v>162.15</v>
      </c>
      <c r="G369" s="293">
        <f t="shared" ref="G369:G371" si="31">E369*F369</f>
        <v>162.15</v>
      </c>
      <c r="H369" s="35"/>
      <c r="I369" s="35"/>
      <c r="J369" s="157"/>
    </row>
    <row r="370" spans="1:10" s="156" customFormat="1" ht="31.5" x14ac:dyDescent="0.25">
      <c r="A370" s="33"/>
      <c r="B370" s="585" t="s">
        <v>1691</v>
      </c>
      <c r="C370" s="253" t="s">
        <v>1916</v>
      </c>
      <c r="D370" s="252" t="s">
        <v>53</v>
      </c>
      <c r="E370" s="456">
        <v>10.78</v>
      </c>
      <c r="F370" s="458">
        <v>898.19</v>
      </c>
      <c r="G370" s="293">
        <f t="shared" si="31"/>
        <v>9682.4881999999998</v>
      </c>
      <c r="H370" s="35"/>
      <c r="I370" s="35"/>
      <c r="J370" s="157"/>
    </row>
    <row r="371" spans="1:10" s="156" customFormat="1" ht="48.75" customHeight="1" x14ac:dyDescent="0.25">
      <c r="A371" s="33"/>
      <c r="B371" s="594" t="s">
        <v>1917</v>
      </c>
      <c r="C371" s="457" t="s">
        <v>1693</v>
      </c>
      <c r="D371" s="456" t="s">
        <v>53</v>
      </c>
      <c r="E371" s="456">
        <v>0.99</v>
      </c>
      <c r="F371" s="458">
        <v>796.32</v>
      </c>
      <c r="G371" s="293">
        <f t="shared" si="31"/>
        <v>788.35680000000002</v>
      </c>
      <c r="H371" s="35"/>
      <c r="I371" s="35"/>
      <c r="J371" s="157"/>
    </row>
    <row r="372" spans="1:10" s="156" customFormat="1" x14ac:dyDescent="0.25">
      <c r="A372" s="33"/>
      <c r="B372" s="663" t="s">
        <v>34</v>
      </c>
      <c r="C372" s="663"/>
      <c r="D372" s="663"/>
      <c r="E372" s="663"/>
      <c r="F372" s="663"/>
      <c r="G372" s="303">
        <f>SUM(G368:G369)</f>
        <v>3825.4236000000001</v>
      </c>
      <c r="H372" s="35"/>
      <c r="I372" s="35"/>
      <c r="J372" s="157"/>
    </row>
    <row r="373" spans="1:10" s="156" customFormat="1" x14ac:dyDescent="0.25">
      <c r="A373" s="33"/>
      <c r="B373" s="47"/>
      <c r="C373" s="47"/>
      <c r="D373" s="310"/>
      <c r="E373" s="250"/>
      <c r="F373" s="288"/>
      <c r="G373" s="251"/>
      <c r="H373" s="35"/>
      <c r="I373" s="35"/>
      <c r="J373" s="157"/>
    </row>
    <row r="374" spans="1:10" s="34" customFormat="1" ht="42.75" customHeight="1" x14ac:dyDescent="0.25">
      <c r="B374" s="235" t="s">
        <v>100</v>
      </c>
      <c r="C374" s="657" t="str">
        <f>ORÇAMENTO!C90</f>
        <v>PE3 - KIT DE PORTA DE ALUMÍNIO DE ABRIR COM LAMBRI E BANDEIRA COM VIDRO FIXO SUPERIOR, 0,90X2,55M, COR BRANCA, COM GUARNIÇÃO, BARRA DE APOIO COM LARGURA DE 40CM E FECHADURA EXTERNA, CONFORME PROJETO E ESPECIFICAÇÕES (2 UNIDADES)</v>
      </c>
      <c r="D374" s="622"/>
      <c r="E374" s="622"/>
      <c r="F374" s="622"/>
      <c r="G374" s="622"/>
      <c r="H374" s="35"/>
      <c r="I374" s="35"/>
      <c r="J374" s="22"/>
    </row>
    <row r="375" spans="1:10" s="34" customFormat="1" x14ac:dyDescent="0.25">
      <c r="B375" s="113" t="s">
        <v>84</v>
      </c>
      <c r="C375" s="236" t="s">
        <v>85</v>
      </c>
      <c r="D375" s="113" t="s">
        <v>31</v>
      </c>
      <c r="E375" s="237" t="s">
        <v>86</v>
      </c>
      <c r="F375" s="238" t="s">
        <v>87</v>
      </c>
      <c r="G375" s="239" t="s">
        <v>88</v>
      </c>
      <c r="H375" s="35"/>
      <c r="I375" s="35"/>
      <c r="J375" s="22"/>
    </row>
    <row r="376" spans="1:10" s="34" customFormat="1" ht="43.5" customHeight="1" x14ac:dyDescent="0.25">
      <c r="B376" s="585" t="s">
        <v>48</v>
      </c>
      <c r="C376" s="253" t="s">
        <v>1695</v>
      </c>
      <c r="D376" s="252" t="s">
        <v>53</v>
      </c>
      <c r="E376" s="304">
        <f>0.9*2.55</f>
        <v>2.2949999999999999</v>
      </c>
      <c r="F376" s="570">
        <v>1003.37</v>
      </c>
      <c r="G376" s="243">
        <f>E376*F376</f>
        <v>2302.7341499999998</v>
      </c>
      <c r="H376" s="35"/>
      <c r="I376" s="35"/>
      <c r="J376" s="22"/>
    </row>
    <row r="377" spans="1:10" s="34" customFormat="1" x14ac:dyDescent="0.25">
      <c r="B377" s="585" t="s">
        <v>1694</v>
      </c>
      <c r="C377" s="253" t="s">
        <v>1696</v>
      </c>
      <c r="D377" s="252" t="s">
        <v>50</v>
      </c>
      <c r="E377" s="304">
        <v>1</v>
      </c>
      <c r="F377" s="305">
        <v>136.26</v>
      </c>
      <c r="G377" s="243">
        <f t="shared" ref="G377" si="32">E377*F377</f>
        <v>136.26</v>
      </c>
      <c r="H377" s="35"/>
      <c r="I377" s="35"/>
      <c r="J377" s="22"/>
    </row>
    <row r="378" spans="1:10" s="34" customFormat="1" x14ac:dyDescent="0.25">
      <c r="B378" s="623" t="s">
        <v>34</v>
      </c>
      <c r="C378" s="623"/>
      <c r="D378" s="623"/>
      <c r="E378" s="623"/>
      <c r="F378" s="623"/>
      <c r="G378" s="245">
        <f>SUM(G376:G377)</f>
        <v>2438.9941499999995</v>
      </c>
      <c r="H378" s="35"/>
      <c r="I378" s="35"/>
      <c r="J378" s="22"/>
    </row>
    <row r="379" spans="1:10" s="34" customFormat="1" x14ac:dyDescent="0.25">
      <c r="A379" s="32"/>
      <c r="B379" s="246"/>
      <c r="C379" s="246"/>
      <c r="D379" s="80"/>
      <c r="E379" s="247"/>
      <c r="F379" s="246"/>
      <c r="G379" s="248"/>
      <c r="H379" s="35"/>
      <c r="I379" s="35"/>
      <c r="J379" s="22"/>
    </row>
    <row r="380" spans="1:10" s="34" customFormat="1" ht="42" customHeight="1" x14ac:dyDescent="0.25">
      <c r="B380" s="235" t="s">
        <v>120</v>
      </c>
      <c r="C380" s="657" t="str">
        <f>ORÇAMENTO!C92</f>
        <v>PE5 - QUATRO PORTAS DE ALUMÍNIO VENEZIANADAS, TIPO PANTOGRÁFICA A CADA DUAS, EM ALUMÍNIO, COR BRANCA, 2,50X2,55M, COM GUARNIÇÃO, CHUMBADAS NA ALVENARIA/VIGA E FECHADURA CREMONA COM CHAVE ACABAMENTO DE AÇO INOX POLIDO (1 UNIDADE)</v>
      </c>
      <c r="D380" s="622"/>
      <c r="E380" s="622"/>
      <c r="F380" s="622"/>
      <c r="G380" s="622"/>
      <c r="H380" s="35"/>
      <c r="I380" s="35"/>
      <c r="J380" s="22"/>
    </row>
    <row r="381" spans="1:10" s="34" customFormat="1" x14ac:dyDescent="0.25">
      <c r="B381" s="113" t="s">
        <v>84</v>
      </c>
      <c r="C381" s="236" t="s">
        <v>85</v>
      </c>
      <c r="D381" s="113" t="s">
        <v>31</v>
      </c>
      <c r="E381" s="237" t="s">
        <v>86</v>
      </c>
      <c r="F381" s="238" t="s">
        <v>87</v>
      </c>
      <c r="G381" s="239" t="s">
        <v>88</v>
      </c>
      <c r="H381" s="35"/>
      <c r="I381" s="35"/>
      <c r="J381" s="22"/>
    </row>
    <row r="382" spans="1:10" s="34" customFormat="1" ht="31.5" x14ac:dyDescent="0.25">
      <c r="B382" s="585" t="s">
        <v>47</v>
      </c>
      <c r="C382" s="253" t="s">
        <v>290</v>
      </c>
      <c r="D382" s="252" t="s">
        <v>53</v>
      </c>
      <c r="E382" s="304">
        <f>2.5*2.55</f>
        <v>6.375</v>
      </c>
      <c r="F382" s="252">
        <v>781.4</v>
      </c>
      <c r="G382" s="243">
        <f>E382*F382</f>
        <v>4981.4250000000002</v>
      </c>
      <c r="H382" s="35"/>
      <c r="I382" s="35"/>
      <c r="J382" s="22"/>
    </row>
    <row r="383" spans="1:10" s="34" customFormat="1" x14ac:dyDescent="0.25">
      <c r="B383" s="585" t="s">
        <v>1698</v>
      </c>
      <c r="C383" s="253" t="s">
        <v>1699</v>
      </c>
      <c r="D383" s="252" t="s">
        <v>50</v>
      </c>
      <c r="E383" s="304">
        <v>1</v>
      </c>
      <c r="F383" s="305">
        <v>68.180000000000007</v>
      </c>
      <c r="G383" s="243">
        <f t="shared" ref="G383" si="33">E383*F383</f>
        <v>68.180000000000007</v>
      </c>
      <c r="H383" s="35"/>
      <c r="I383" s="35"/>
      <c r="J383" s="22"/>
    </row>
    <row r="384" spans="1:10" s="34" customFormat="1" x14ac:dyDescent="0.25">
      <c r="B384" s="623" t="s">
        <v>34</v>
      </c>
      <c r="C384" s="623"/>
      <c r="D384" s="623"/>
      <c r="E384" s="623"/>
      <c r="F384" s="623"/>
      <c r="G384" s="245">
        <f>SUM(G382:G383)</f>
        <v>5049.6050000000005</v>
      </c>
      <c r="H384" s="35"/>
      <c r="I384" s="35"/>
      <c r="J384" s="22"/>
    </row>
    <row r="385" spans="2:10" s="155" customFormat="1" x14ac:dyDescent="0.25">
      <c r="B385" s="246"/>
      <c r="C385" s="246"/>
      <c r="D385" s="80"/>
      <c r="E385" s="246"/>
      <c r="F385" s="246"/>
      <c r="G385" s="248"/>
      <c r="H385" s="35"/>
      <c r="I385" s="35"/>
      <c r="J385" s="22"/>
    </row>
    <row r="386" spans="2:10" s="155" customFormat="1" ht="40.5" customHeight="1" x14ac:dyDescent="0.25">
      <c r="B386" s="235" t="s">
        <v>133</v>
      </c>
      <c r="C386" s="657" t="str">
        <f>ORÇAMENTO!C84</f>
        <v>PNV1 - ESQUADRIA EM ALUMÍNIO ANODIZADO COR NATURAL, ACESSÓRIOS EM ALUMÍNIO, INCLUSIVE PORTAS DE VIDRO E FECHADURA EXTERNA - 4,38X3,95M, CONFORME PROJETO E ESPECIFICAÇÕES (1 UNIDADE)</v>
      </c>
      <c r="D386" s="622"/>
      <c r="E386" s="622"/>
      <c r="F386" s="622"/>
      <c r="G386" s="622"/>
      <c r="H386" s="35"/>
      <c r="I386" s="35"/>
      <c r="J386" s="22"/>
    </row>
    <row r="387" spans="2:10" s="155" customFormat="1" x14ac:dyDescent="0.25">
      <c r="B387" s="113" t="s">
        <v>84</v>
      </c>
      <c r="C387" s="236" t="s">
        <v>85</v>
      </c>
      <c r="D387" s="113" t="s">
        <v>31</v>
      </c>
      <c r="E387" s="237" t="s">
        <v>86</v>
      </c>
      <c r="F387" s="238" t="s">
        <v>87</v>
      </c>
      <c r="G387" s="239" t="s">
        <v>88</v>
      </c>
      <c r="H387" s="35"/>
      <c r="I387" s="35"/>
      <c r="J387" s="22"/>
    </row>
    <row r="388" spans="2:10" s="155" customFormat="1" ht="31.5" x14ac:dyDescent="0.25">
      <c r="B388" s="585" t="s">
        <v>1689</v>
      </c>
      <c r="C388" s="253" t="s">
        <v>1915</v>
      </c>
      <c r="D388" s="252" t="s">
        <v>31</v>
      </c>
      <c r="E388" s="304">
        <v>3.78</v>
      </c>
      <c r="F388" s="252">
        <v>969.12</v>
      </c>
      <c r="G388" s="243">
        <f>F388*E388</f>
        <v>3663.2736</v>
      </c>
      <c r="H388" s="35"/>
      <c r="I388" s="35"/>
      <c r="J388" s="22"/>
    </row>
    <row r="389" spans="2:10" s="105" customFormat="1" ht="39.75" customHeight="1" x14ac:dyDescent="0.25">
      <c r="B389" s="585" t="s">
        <v>1691</v>
      </c>
      <c r="C389" s="380" t="s">
        <v>1916</v>
      </c>
      <c r="D389" s="379" t="s">
        <v>53</v>
      </c>
      <c r="E389" s="381">
        <v>11.34</v>
      </c>
      <c r="F389" s="242">
        <v>898.19</v>
      </c>
      <c r="G389" s="309">
        <f>F389*E389</f>
        <v>10185.474600000001</v>
      </c>
      <c r="H389" s="311"/>
      <c r="I389" s="311"/>
      <c r="J389" s="104"/>
    </row>
    <row r="390" spans="2:10" s="155" customFormat="1" x14ac:dyDescent="0.25">
      <c r="B390" s="623" t="s">
        <v>34</v>
      </c>
      <c r="C390" s="623"/>
      <c r="D390" s="623"/>
      <c r="E390" s="623"/>
      <c r="F390" s="623"/>
      <c r="G390" s="245">
        <f>SUM(G388:G389)</f>
        <v>13848.748200000002</v>
      </c>
      <c r="H390" s="35"/>
      <c r="I390" s="35"/>
      <c r="J390" s="22"/>
    </row>
    <row r="391" spans="2:10" s="155" customFormat="1" x14ac:dyDescent="0.25">
      <c r="B391" s="246"/>
      <c r="C391" s="246"/>
      <c r="D391" s="80"/>
      <c r="E391" s="246"/>
      <c r="F391" s="246"/>
      <c r="G391" s="248"/>
      <c r="H391" s="35"/>
      <c r="I391" s="35"/>
      <c r="J391" s="22"/>
    </row>
    <row r="392" spans="2:10" s="155" customFormat="1" ht="42" customHeight="1" x14ac:dyDescent="0.25">
      <c r="B392" s="235" t="s">
        <v>134</v>
      </c>
      <c r="C392" s="657" t="str">
        <f>ORÇAMENTO!C85</f>
        <v>PNV2 - ESQUADRIA EM ALUMÍNIO ANODIZADO COR NATURAL, ACESSÓRIOS EM ALUMÍNIO, INCLUSIVE PORTAS DE VIDRO E FECHADURA EXTERNA - 3,18X3,95M, CONFORME PROJETO E ESPECIFICAÇÕES (1 UNIDADE)</v>
      </c>
      <c r="D392" s="622"/>
      <c r="E392" s="622"/>
      <c r="F392" s="622"/>
      <c r="G392" s="622"/>
      <c r="H392" s="35"/>
      <c r="I392" s="35"/>
      <c r="J392" s="22"/>
    </row>
    <row r="393" spans="2:10" s="155" customFormat="1" x14ac:dyDescent="0.25">
      <c r="B393" s="113" t="s">
        <v>84</v>
      </c>
      <c r="C393" s="236" t="s">
        <v>85</v>
      </c>
      <c r="D393" s="113" t="s">
        <v>31</v>
      </c>
      <c r="E393" s="237" t="s">
        <v>86</v>
      </c>
      <c r="F393" s="238" t="s">
        <v>87</v>
      </c>
      <c r="G393" s="239" t="s">
        <v>88</v>
      </c>
      <c r="H393" s="35"/>
      <c r="I393" s="35"/>
      <c r="J393" s="22"/>
    </row>
    <row r="394" spans="2:10" s="155" customFormat="1" ht="31.5" x14ac:dyDescent="0.25">
      <c r="B394" s="585" t="s">
        <v>1689</v>
      </c>
      <c r="C394" s="253" t="s">
        <v>1915</v>
      </c>
      <c r="D394" s="252" t="s">
        <v>31</v>
      </c>
      <c r="E394" s="304">
        <v>3.78</v>
      </c>
      <c r="F394" s="252">
        <v>969.12</v>
      </c>
      <c r="G394" s="243">
        <f>F394*E394</f>
        <v>3663.2736</v>
      </c>
      <c r="H394" s="35"/>
      <c r="I394" s="35"/>
      <c r="J394" s="22"/>
    </row>
    <row r="395" spans="2:10" s="155" customFormat="1" ht="31.5" x14ac:dyDescent="0.25">
      <c r="B395" s="585" t="s">
        <v>1691</v>
      </c>
      <c r="C395" s="253" t="s">
        <v>1690</v>
      </c>
      <c r="D395" s="252" t="s">
        <v>53</v>
      </c>
      <c r="E395" s="304">
        <v>7.18</v>
      </c>
      <c r="F395" s="305">
        <v>898.19</v>
      </c>
      <c r="G395" s="243">
        <f>F395*E395</f>
        <v>6449.0042000000003</v>
      </c>
      <c r="H395" s="35"/>
      <c r="I395" s="35"/>
      <c r="J395" s="22"/>
    </row>
    <row r="396" spans="2:10" s="155" customFormat="1" x14ac:dyDescent="0.25">
      <c r="B396" s="623" t="s">
        <v>34</v>
      </c>
      <c r="C396" s="623"/>
      <c r="D396" s="623"/>
      <c r="E396" s="623"/>
      <c r="F396" s="623"/>
      <c r="G396" s="245">
        <f>SUM(G394:G395)</f>
        <v>10112.2778</v>
      </c>
      <c r="H396" s="35"/>
      <c r="I396" s="35"/>
      <c r="J396" s="22"/>
    </row>
    <row r="397" spans="2:10" s="155" customFormat="1" x14ac:dyDescent="0.25">
      <c r="B397" s="246"/>
      <c r="C397" s="246"/>
      <c r="D397" s="80"/>
      <c r="E397" s="246"/>
      <c r="F397" s="246"/>
      <c r="G397" s="248"/>
      <c r="H397" s="35"/>
      <c r="I397" s="35"/>
      <c r="J397" s="22"/>
    </row>
    <row r="398" spans="2:10" s="155" customFormat="1" x14ac:dyDescent="0.25">
      <c r="B398" s="235" t="s">
        <v>135</v>
      </c>
      <c r="C398" s="657" t="str">
        <f>ORÇAMENTO!C87</f>
        <v>PNV4 -  ESQUADRIA EM ALUMÍNIO ANODIZADO COR NATURAL, ACESSÓRIOS EM ALUMÍNIO - 2,73X3,95M (1 UNIDADE)</v>
      </c>
      <c r="D398" s="622"/>
      <c r="E398" s="622"/>
      <c r="F398" s="622"/>
      <c r="G398" s="622"/>
      <c r="H398" s="35"/>
      <c r="I398" s="35"/>
      <c r="J398" s="22"/>
    </row>
    <row r="399" spans="2:10" s="155" customFormat="1" x14ac:dyDescent="0.25">
      <c r="B399" s="113" t="s">
        <v>84</v>
      </c>
      <c r="C399" s="236" t="s">
        <v>85</v>
      </c>
      <c r="D399" s="113" t="s">
        <v>31</v>
      </c>
      <c r="E399" s="237" t="s">
        <v>86</v>
      </c>
      <c r="F399" s="238" t="s">
        <v>87</v>
      </c>
      <c r="G399" s="239" t="s">
        <v>88</v>
      </c>
      <c r="H399" s="35"/>
      <c r="I399" s="35"/>
      <c r="J399" s="22"/>
    </row>
    <row r="400" spans="2:10" s="155" customFormat="1" ht="47.25" x14ac:dyDescent="0.25">
      <c r="B400" s="594">
        <v>94559</v>
      </c>
      <c r="C400" s="457" t="s">
        <v>1693</v>
      </c>
      <c r="D400" s="456" t="s">
        <v>53</v>
      </c>
      <c r="E400" s="304">
        <v>1.0900000000000001</v>
      </c>
      <c r="F400" s="252">
        <v>796.32</v>
      </c>
      <c r="G400" s="243">
        <f>F400*E400</f>
        <v>867.98880000000008</v>
      </c>
      <c r="H400" s="35"/>
      <c r="I400" s="35"/>
      <c r="J400" s="22"/>
    </row>
    <row r="401" spans="1:10" s="155" customFormat="1" ht="31.5" x14ac:dyDescent="0.25">
      <c r="B401" s="585" t="s">
        <v>1691</v>
      </c>
      <c r="C401" s="253" t="s">
        <v>1690</v>
      </c>
      <c r="D401" s="252" t="s">
        <v>53</v>
      </c>
      <c r="E401" s="304">
        <v>8.58</v>
      </c>
      <c r="F401" s="305">
        <v>898.19</v>
      </c>
      <c r="G401" s="243">
        <f>F401*E401</f>
        <v>7706.4702000000007</v>
      </c>
      <c r="H401" s="35"/>
      <c r="I401" s="35"/>
      <c r="J401" s="22"/>
    </row>
    <row r="402" spans="1:10" s="155" customFormat="1" x14ac:dyDescent="0.25">
      <c r="B402" s="623" t="s">
        <v>34</v>
      </c>
      <c r="C402" s="623"/>
      <c r="D402" s="623"/>
      <c r="E402" s="623"/>
      <c r="F402" s="623"/>
      <c r="G402" s="245">
        <f>SUM(G400:G401)</f>
        <v>8574.4590000000007</v>
      </c>
      <c r="H402" s="35"/>
      <c r="I402" s="35"/>
      <c r="J402" s="22"/>
    </row>
    <row r="403" spans="1:10" s="155" customFormat="1" x14ac:dyDescent="0.25">
      <c r="B403" s="246"/>
      <c r="C403" s="246"/>
      <c r="D403" s="80"/>
      <c r="E403" s="246"/>
      <c r="F403" s="246"/>
      <c r="G403" s="248"/>
      <c r="H403" s="35"/>
      <c r="I403" s="35"/>
      <c r="J403" s="22"/>
    </row>
    <row r="404" spans="1:10" s="155" customFormat="1" x14ac:dyDescent="0.25">
      <c r="A404" s="11"/>
      <c r="B404" s="441" t="s">
        <v>1700</v>
      </c>
      <c r="C404" s="441"/>
      <c r="D404" s="479"/>
      <c r="E404" s="285"/>
      <c r="F404" s="286"/>
      <c r="G404" s="287"/>
      <c r="H404" s="35"/>
      <c r="I404" s="35"/>
      <c r="J404" s="22"/>
    </row>
    <row r="405" spans="1:10" s="155" customFormat="1" x14ac:dyDescent="0.25">
      <c r="B405" s="246"/>
      <c r="C405" s="246"/>
      <c r="D405" s="80"/>
      <c r="E405" s="246"/>
      <c r="F405" s="246"/>
      <c r="G405" s="248"/>
      <c r="H405" s="35"/>
      <c r="I405" s="35"/>
      <c r="J405" s="22"/>
    </row>
    <row r="406" spans="1:10" s="155" customFormat="1" x14ac:dyDescent="0.25">
      <c r="B406" s="235" t="s">
        <v>49</v>
      </c>
      <c r="C406" s="657" t="s">
        <v>1704</v>
      </c>
      <c r="D406" s="622"/>
      <c r="E406" s="622"/>
      <c r="F406" s="622"/>
      <c r="G406" s="622"/>
      <c r="H406" s="35"/>
      <c r="I406" s="35"/>
      <c r="J406" s="22"/>
    </row>
    <row r="407" spans="1:10" s="155" customFormat="1" x14ac:dyDescent="0.25">
      <c r="B407" s="113" t="s">
        <v>28</v>
      </c>
      <c r="C407" s="236" t="s">
        <v>85</v>
      </c>
      <c r="D407" s="113" t="s">
        <v>31</v>
      </c>
      <c r="E407" s="237" t="s">
        <v>86</v>
      </c>
      <c r="F407" s="238" t="s">
        <v>87</v>
      </c>
      <c r="G407" s="239" t="s">
        <v>88</v>
      </c>
      <c r="H407" s="35"/>
      <c r="I407" s="35"/>
      <c r="J407" s="22"/>
    </row>
    <row r="408" spans="1:10" s="155" customFormat="1" x14ac:dyDescent="0.25">
      <c r="B408" s="594" t="s">
        <v>2003</v>
      </c>
      <c r="C408" s="457" t="s">
        <v>1701</v>
      </c>
      <c r="D408" s="456" t="s">
        <v>53</v>
      </c>
      <c r="E408" s="304">
        <v>1</v>
      </c>
      <c r="F408" s="503">
        <v>53.85</v>
      </c>
      <c r="G408" s="243">
        <f>F408*E408</f>
        <v>53.85</v>
      </c>
      <c r="H408" s="35"/>
      <c r="I408" s="35"/>
      <c r="J408" s="22"/>
    </row>
    <row r="409" spans="1:10" s="155" customFormat="1" x14ac:dyDescent="0.25">
      <c r="B409" s="594" t="s">
        <v>1922</v>
      </c>
      <c r="C409" s="457" t="s">
        <v>1702</v>
      </c>
      <c r="D409" s="456" t="s">
        <v>73</v>
      </c>
      <c r="E409" s="461">
        <v>7.2869999999999999</v>
      </c>
      <c r="F409" s="504">
        <v>11</v>
      </c>
      <c r="G409" s="243">
        <f t="shared" ref="G409:G411" si="34">F409*E409</f>
        <v>80.156999999999996</v>
      </c>
      <c r="H409" s="35"/>
      <c r="I409" s="35"/>
      <c r="J409" s="22"/>
    </row>
    <row r="410" spans="1:10" s="155" customFormat="1" x14ac:dyDescent="0.25">
      <c r="B410" s="594" t="s">
        <v>93</v>
      </c>
      <c r="C410" s="457" t="s">
        <v>94</v>
      </c>
      <c r="D410" s="456" t="s">
        <v>91</v>
      </c>
      <c r="E410" s="461">
        <v>0.76100000000000001</v>
      </c>
      <c r="F410" s="504">
        <v>18.84</v>
      </c>
      <c r="G410" s="243">
        <f t="shared" si="34"/>
        <v>14.33724</v>
      </c>
      <c r="H410" s="35"/>
      <c r="I410" s="35"/>
      <c r="J410" s="22"/>
    </row>
    <row r="411" spans="1:10" s="155" customFormat="1" x14ac:dyDescent="0.25">
      <c r="B411" s="585" t="s">
        <v>1709</v>
      </c>
      <c r="C411" s="253" t="s">
        <v>1703</v>
      </c>
      <c r="D411" s="252" t="s">
        <v>91</v>
      </c>
      <c r="E411" s="304">
        <v>0.78300000000000003</v>
      </c>
      <c r="F411" s="505">
        <v>20.52</v>
      </c>
      <c r="G411" s="243">
        <f t="shared" si="34"/>
        <v>16.067160000000001</v>
      </c>
      <c r="H411" s="35"/>
      <c r="I411" s="35"/>
      <c r="J411" s="22"/>
    </row>
    <row r="412" spans="1:10" s="155" customFormat="1" x14ac:dyDescent="0.25">
      <c r="B412" s="623" t="s">
        <v>34</v>
      </c>
      <c r="C412" s="623"/>
      <c r="D412" s="623"/>
      <c r="E412" s="623"/>
      <c r="F412" s="623"/>
      <c r="G412" s="245">
        <f>SUM(G408:G411)</f>
        <v>164.41140000000001</v>
      </c>
      <c r="H412" s="35"/>
      <c r="I412" s="35"/>
      <c r="J412" s="22"/>
    </row>
    <row r="413" spans="1:10" s="155" customFormat="1" x14ac:dyDescent="0.25">
      <c r="B413" s="246"/>
      <c r="C413" s="246"/>
      <c r="D413" s="80"/>
      <c r="E413" s="246"/>
      <c r="F413" s="246"/>
      <c r="G413" s="248"/>
      <c r="H413" s="35"/>
      <c r="I413" s="35"/>
      <c r="J413" s="22"/>
    </row>
    <row r="414" spans="1:10" s="155" customFormat="1" x14ac:dyDescent="0.25">
      <c r="B414" s="235" t="s">
        <v>100</v>
      </c>
      <c r="C414" s="657" t="str">
        <f>ORÇAMENTO!C132</f>
        <v>ESPELHO CRISTAL, ESPESSURA 4,0 MM, COM PARAFUSO DE FIXAÇÃO, SEM MOLDURA</v>
      </c>
      <c r="D414" s="622"/>
      <c r="E414" s="622"/>
      <c r="F414" s="622"/>
      <c r="G414" s="622"/>
      <c r="H414" s="35"/>
      <c r="I414" s="35"/>
      <c r="J414" s="22"/>
    </row>
    <row r="415" spans="1:10" s="155" customFormat="1" x14ac:dyDescent="0.25">
      <c r="B415" s="113" t="s">
        <v>84</v>
      </c>
      <c r="C415" s="236" t="s">
        <v>85</v>
      </c>
      <c r="D415" s="113" t="s">
        <v>31</v>
      </c>
      <c r="E415" s="237" t="s">
        <v>86</v>
      </c>
      <c r="F415" s="238" t="s">
        <v>87</v>
      </c>
      <c r="G415" s="239" t="s">
        <v>88</v>
      </c>
      <c r="H415" s="35"/>
      <c r="I415" s="35"/>
      <c r="J415" s="22"/>
    </row>
    <row r="416" spans="1:10" s="155" customFormat="1" x14ac:dyDescent="0.25">
      <c r="B416" s="594" t="s">
        <v>1710</v>
      </c>
      <c r="C416" s="457" t="s">
        <v>1711</v>
      </c>
      <c r="D416" s="456" t="s">
        <v>53</v>
      </c>
      <c r="E416" s="304">
        <v>1</v>
      </c>
      <c r="F416" s="252">
        <v>349.73</v>
      </c>
      <c r="G416" s="243">
        <f>F416*E416</f>
        <v>349.73</v>
      </c>
      <c r="H416" s="35"/>
      <c r="I416" s="35"/>
      <c r="J416" s="22"/>
    </row>
    <row r="417" spans="1:10" s="155" customFormat="1" ht="31.5" x14ac:dyDescent="0.25">
      <c r="B417" s="594" t="s">
        <v>1712</v>
      </c>
      <c r="C417" s="457" t="s">
        <v>1713</v>
      </c>
      <c r="D417" s="456" t="s">
        <v>31</v>
      </c>
      <c r="E417" s="461">
        <v>4</v>
      </c>
      <c r="F417" s="456">
        <v>4.05</v>
      </c>
      <c r="G417" s="243">
        <f t="shared" ref="G417:G419" si="35">F417*E417</f>
        <v>16.2</v>
      </c>
      <c r="H417" s="35"/>
      <c r="I417" s="35"/>
      <c r="J417" s="22"/>
    </row>
    <row r="418" spans="1:10" s="155" customFormat="1" x14ac:dyDescent="0.25">
      <c r="B418" s="594" t="s">
        <v>93</v>
      </c>
      <c r="C418" s="457" t="s">
        <v>94</v>
      </c>
      <c r="D418" s="456" t="s">
        <v>91</v>
      </c>
      <c r="E418" s="461">
        <v>0.4</v>
      </c>
      <c r="F418" s="456">
        <v>18.84</v>
      </c>
      <c r="G418" s="243">
        <f t="shared" si="35"/>
        <v>7.5360000000000005</v>
      </c>
      <c r="H418" s="35"/>
      <c r="I418" s="35"/>
      <c r="J418" s="22"/>
    </row>
    <row r="419" spans="1:10" s="34" customFormat="1" x14ac:dyDescent="0.25">
      <c r="A419" s="32"/>
      <c r="B419" s="585" t="s">
        <v>1709</v>
      </c>
      <c r="C419" s="253" t="s">
        <v>1703</v>
      </c>
      <c r="D419" s="252" t="s">
        <v>91</v>
      </c>
      <c r="E419" s="304">
        <v>2</v>
      </c>
      <c r="F419" s="305">
        <v>20.52</v>
      </c>
      <c r="G419" s="243">
        <f t="shared" si="35"/>
        <v>41.04</v>
      </c>
      <c r="H419" s="35"/>
      <c r="I419" s="35"/>
      <c r="J419" s="22"/>
    </row>
    <row r="420" spans="1:10" s="34" customFormat="1" x14ac:dyDescent="0.25">
      <c r="A420" s="11"/>
      <c r="B420" s="623" t="s">
        <v>34</v>
      </c>
      <c r="C420" s="623"/>
      <c r="D420" s="623"/>
      <c r="E420" s="623"/>
      <c r="F420" s="623"/>
      <c r="G420" s="245">
        <f>SUM(G416:G419)</f>
        <v>414.50600000000003</v>
      </c>
      <c r="H420" s="35"/>
      <c r="I420" s="35"/>
      <c r="J420" s="22"/>
    </row>
    <row r="421" spans="1:10" s="155" customFormat="1" x14ac:dyDescent="0.25">
      <c r="A421" s="11"/>
      <c r="B421" s="246"/>
      <c r="C421" s="246"/>
      <c r="D421" s="80"/>
      <c r="E421" s="246"/>
      <c r="F421" s="246"/>
      <c r="G421" s="248"/>
      <c r="H421" s="35"/>
      <c r="I421" s="35"/>
      <c r="J421" s="22"/>
    </row>
    <row r="422" spans="1:10" s="469" customFormat="1" x14ac:dyDescent="0.25">
      <c r="A422" s="462"/>
      <c r="B422" s="463" t="s">
        <v>1714</v>
      </c>
      <c r="C422" s="463"/>
      <c r="D422" s="479"/>
      <c r="E422" s="464"/>
      <c r="F422" s="465"/>
      <c r="G422" s="466"/>
      <c r="H422" s="467"/>
      <c r="I422" s="467"/>
      <c r="J422" s="468"/>
    </row>
    <row r="423" spans="1:10" s="34" customFormat="1" x14ac:dyDescent="0.25">
      <c r="A423" s="11"/>
      <c r="B423" s="246"/>
      <c r="C423" s="246"/>
      <c r="D423" s="80"/>
      <c r="E423" s="247"/>
      <c r="F423" s="246"/>
      <c r="G423" s="248"/>
      <c r="H423" s="35"/>
      <c r="I423" s="35"/>
      <c r="J423" s="22"/>
    </row>
    <row r="424" spans="1:10" s="34" customFormat="1" ht="54.75" customHeight="1" x14ac:dyDescent="0.25">
      <c r="A424" s="11"/>
      <c r="B424" s="235" t="s">
        <v>49</v>
      </c>
      <c r="C424" s="622" t="str">
        <f>ORÇAMENTO!C140</f>
        <v>COBERTURA DE POLICARBONATO ALVEOLAR COM ESPESSURA 10 MM, COM ESTRUTURA METÁLICA  EM ARCO, TERÇAS METÁLICAS PARA FIXAÇÃO DAS TELHAS, PILARES METÁLICOS DE SUSTENTAÇÃO, ESTRUTURA EM ALUMÍNIO ANODIZADO DIÂMETRO 4" E ESPESSURA DE 4,0 MM, FORNECIMENTO E INSTALAÇÃO DA COBERTURA E ESTRUTURA METÁLICA</v>
      </c>
      <c r="D424" s="622"/>
      <c r="E424" s="622"/>
      <c r="F424" s="622"/>
      <c r="G424" s="622"/>
      <c r="H424" s="35"/>
      <c r="I424" s="35"/>
      <c r="J424" s="22"/>
    </row>
    <row r="425" spans="1:10" s="34" customFormat="1" x14ac:dyDescent="0.25">
      <c r="A425" s="11"/>
      <c r="B425" s="113" t="s">
        <v>84</v>
      </c>
      <c r="C425" s="236" t="s">
        <v>85</v>
      </c>
      <c r="D425" s="113" t="s">
        <v>31</v>
      </c>
      <c r="E425" s="237" t="s">
        <v>86</v>
      </c>
      <c r="F425" s="238" t="s">
        <v>87</v>
      </c>
      <c r="G425" s="239" t="s">
        <v>88</v>
      </c>
      <c r="H425" s="35"/>
      <c r="I425" s="35"/>
      <c r="J425" s="22"/>
    </row>
    <row r="426" spans="1:10" s="34" customFormat="1" x14ac:dyDescent="0.25">
      <c r="A426" s="11"/>
      <c r="B426" s="583" t="s">
        <v>2004</v>
      </c>
      <c r="C426" s="307" t="s">
        <v>1728</v>
      </c>
      <c r="D426" s="306" t="s">
        <v>53</v>
      </c>
      <c r="E426" s="308">
        <v>1</v>
      </c>
      <c r="F426" s="242">
        <v>311.64</v>
      </c>
      <c r="G426" s="309">
        <f>E426*F426</f>
        <v>311.64</v>
      </c>
      <c r="H426" s="35"/>
      <c r="I426" s="35"/>
      <c r="J426" s="22"/>
    </row>
    <row r="427" spans="1:10" s="34" customFormat="1" x14ac:dyDescent="0.25">
      <c r="A427" s="11"/>
      <c r="B427" s="583" t="s">
        <v>450</v>
      </c>
      <c r="C427" s="307" t="s">
        <v>377</v>
      </c>
      <c r="D427" s="306" t="s">
        <v>42</v>
      </c>
      <c r="E427" s="308">
        <f>5.7/2</f>
        <v>2.85</v>
      </c>
      <c r="F427" s="242">
        <v>51.75</v>
      </c>
      <c r="G427" s="309">
        <f t="shared" ref="G427:G428" si="36">E427*F427</f>
        <v>147.48750000000001</v>
      </c>
      <c r="H427" s="35"/>
      <c r="I427" s="35"/>
      <c r="J427" s="22"/>
    </row>
    <row r="428" spans="1:10" s="34" customFormat="1" x14ac:dyDescent="0.25">
      <c r="A428" s="11"/>
      <c r="B428" s="583" t="s">
        <v>449</v>
      </c>
      <c r="C428" s="307" t="s">
        <v>378</v>
      </c>
      <c r="D428" s="306" t="s">
        <v>91</v>
      </c>
      <c r="E428" s="308">
        <f>3/2</f>
        <v>1.5</v>
      </c>
      <c r="F428" s="242">
        <v>22.01</v>
      </c>
      <c r="G428" s="309">
        <f t="shared" si="36"/>
        <v>33.015000000000001</v>
      </c>
      <c r="H428" s="35"/>
      <c r="I428" s="35"/>
      <c r="J428" s="22"/>
    </row>
    <row r="429" spans="1:10" s="34" customFormat="1" x14ac:dyDescent="0.25">
      <c r="A429" s="11"/>
      <c r="B429" s="623" t="s">
        <v>34</v>
      </c>
      <c r="C429" s="623"/>
      <c r="D429" s="623"/>
      <c r="E429" s="623"/>
      <c r="F429" s="623"/>
      <c r="G429" s="245">
        <f>SUM(G426:G428)</f>
        <v>492.14249999999998</v>
      </c>
      <c r="H429" s="35"/>
      <c r="I429" s="35"/>
      <c r="J429" s="22"/>
    </row>
    <row r="430" spans="1:10" s="34" customFormat="1" x14ac:dyDescent="0.25">
      <c r="A430" s="11"/>
      <c r="B430" s="246"/>
      <c r="C430" s="246"/>
      <c r="D430" s="80"/>
      <c r="E430" s="247"/>
      <c r="F430" s="246"/>
      <c r="G430" s="248"/>
      <c r="H430" s="35"/>
      <c r="I430" s="35"/>
      <c r="J430" s="22"/>
    </row>
    <row r="431" spans="1:10" s="34" customFormat="1" ht="38.25" customHeight="1" x14ac:dyDescent="0.25">
      <c r="A431" s="11"/>
      <c r="B431" s="235" t="s">
        <v>100</v>
      </c>
      <c r="C431" s="622" t="str">
        <f>ORÇAMENTO!C141</f>
        <v>PERGOLADO EM MADEIRA DE PINUS AUTOCLAVADO, INCLUSIVE A MÃO DE OBRA DE INSTALAÇÃO, CONSIDERANDO PILARES, TERÇAS, CAIBROS E RIPAS, DIMENSÕES E TRATAMENTO DA MADEIRA CONFORME PROJETO ARQUITETÔNICO E MEMORIAL</v>
      </c>
      <c r="D431" s="622"/>
      <c r="E431" s="622"/>
      <c r="F431" s="622"/>
      <c r="G431" s="622"/>
      <c r="H431" s="35"/>
      <c r="I431" s="35"/>
      <c r="J431" s="22"/>
    </row>
    <row r="432" spans="1:10" s="34" customFormat="1" x14ac:dyDescent="0.25">
      <c r="A432" s="11"/>
      <c r="B432" s="113" t="s">
        <v>84</v>
      </c>
      <c r="C432" s="236" t="s">
        <v>85</v>
      </c>
      <c r="D432" s="113" t="s">
        <v>31</v>
      </c>
      <c r="E432" s="237" t="s">
        <v>86</v>
      </c>
      <c r="F432" s="238" t="s">
        <v>87</v>
      </c>
      <c r="G432" s="239" t="s">
        <v>88</v>
      </c>
      <c r="H432" s="35"/>
      <c r="I432" s="35"/>
      <c r="J432" s="22"/>
    </row>
    <row r="433" spans="1:10" s="105" customFormat="1" x14ac:dyDescent="0.25">
      <c r="A433" s="103"/>
      <c r="B433" s="49" t="s">
        <v>136</v>
      </c>
      <c r="C433" s="562" t="s">
        <v>1397</v>
      </c>
      <c r="D433" s="49" t="s">
        <v>31</v>
      </c>
      <c r="E433" s="241">
        <v>1</v>
      </c>
      <c r="F433" s="242">
        <v>11761.93</v>
      </c>
      <c r="G433" s="309">
        <f>E433*F433</f>
        <v>11761.93</v>
      </c>
      <c r="H433" s="311"/>
      <c r="I433" s="311"/>
      <c r="J433" s="104"/>
    </row>
    <row r="434" spans="1:10" s="105" customFormat="1" ht="17.25" customHeight="1" x14ac:dyDescent="0.25">
      <c r="A434" s="103"/>
      <c r="B434" s="573" t="s">
        <v>1999</v>
      </c>
      <c r="C434" s="563" t="s">
        <v>1998</v>
      </c>
      <c r="D434" s="210" t="s">
        <v>91</v>
      </c>
      <c r="E434" s="486">
        <v>200</v>
      </c>
      <c r="F434" s="470">
        <v>19.84</v>
      </c>
      <c r="G434" s="309">
        <f t="shared" ref="G434:G437" si="37">E434*F434</f>
        <v>3968</v>
      </c>
      <c r="H434" s="311"/>
      <c r="I434" s="311"/>
      <c r="J434" s="104"/>
    </row>
    <row r="435" spans="1:10" s="105" customFormat="1" ht="14.45" customHeight="1" x14ac:dyDescent="0.25">
      <c r="A435" s="103"/>
      <c r="B435" s="573" t="s">
        <v>1638</v>
      </c>
      <c r="C435" s="563" t="s">
        <v>1639</v>
      </c>
      <c r="D435" s="210" t="s">
        <v>91</v>
      </c>
      <c r="E435" s="486">
        <v>200</v>
      </c>
      <c r="F435" s="470">
        <v>22.53</v>
      </c>
      <c r="G435" s="309">
        <f t="shared" si="37"/>
        <v>4506</v>
      </c>
      <c r="H435" s="311"/>
      <c r="I435" s="311"/>
      <c r="J435" s="104"/>
    </row>
    <row r="436" spans="1:10" s="105" customFormat="1" ht="15.6" customHeight="1" x14ac:dyDescent="0.25">
      <c r="A436" s="103"/>
      <c r="B436" s="573" t="s">
        <v>93</v>
      </c>
      <c r="C436" s="563" t="s">
        <v>2002</v>
      </c>
      <c r="D436" s="210" t="s">
        <v>91</v>
      </c>
      <c r="E436" s="486">
        <v>150</v>
      </c>
      <c r="F436" s="470">
        <v>18.84</v>
      </c>
      <c r="G436" s="309">
        <f t="shared" si="37"/>
        <v>2826</v>
      </c>
      <c r="H436" s="311"/>
      <c r="I436" s="311"/>
      <c r="J436" s="104"/>
    </row>
    <row r="437" spans="1:10" s="105" customFormat="1" ht="15" customHeight="1" x14ac:dyDescent="0.25">
      <c r="A437" s="103"/>
      <c r="B437" s="573" t="s">
        <v>2001</v>
      </c>
      <c r="C437" s="563" t="s">
        <v>2000</v>
      </c>
      <c r="D437" s="210" t="s">
        <v>42</v>
      </c>
      <c r="E437" s="486">
        <v>250</v>
      </c>
      <c r="F437" s="470">
        <v>22.08</v>
      </c>
      <c r="G437" s="309">
        <f t="shared" si="37"/>
        <v>5520</v>
      </c>
      <c r="H437" s="311"/>
      <c r="I437" s="311"/>
      <c r="J437" s="104"/>
    </row>
    <row r="438" spans="1:10" s="34" customFormat="1" x14ac:dyDescent="0.25">
      <c r="A438" s="11"/>
      <c r="B438" s="623" t="s">
        <v>34</v>
      </c>
      <c r="C438" s="623"/>
      <c r="D438" s="623"/>
      <c r="E438" s="623"/>
      <c r="F438" s="623"/>
      <c r="G438" s="245">
        <f>SUM(G433:G437)</f>
        <v>28581.93</v>
      </c>
      <c r="H438" s="35"/>
      <c r="I438" s="35"/>
      <c r="J438" s="22"/>
    </row>
    <row r="439" spans="1:10" s="34" customFormat="1" x14ac:dyDescent="0.25">
      <c r="A439" s="11"/>
      <c r="B439" s="246"/>
      <c r="C439" s="246"/>
      <c r="D439" s="80"/>
      <c r="E439" s="247"/>
      <c r="F439" s="246"/>
      <c r="G439" s="248"/>
      <c r="H439" s="35"/>
      <c r="I439" s="35"/>
      <c r="J439" s="22"/>
    </row>
    <row r="440" spans="1:10" s="34" customFormat="1" x14ac:dyDescent="0.25">
      <c r="A440" s="11"/>
      <c r="B440" s="226" t="s">
        <v>193</v>
      </c>
      <c r="C440" s="227"/>
      <c r="D440" s="472"/>
      <c r="E440" s="228"/>
      <c r="F440" s="286"/>
      <c r="G440" s="287"/>
      <c r="H440" s="35"/>
      <c r="I440" s="35"/>
      <c r="J440" s="22"/>
    </row>
    <row r="441" spans="1:10" s="20" customFormat="1" x14ac:dyDescent="0.25">
      <c r="A441" s="7"/>
      <c r="B441" s="310"/>
      <c r="C441" s="310"/>
      <c r="D441" s="310"/>
      <c r="E441" s="255"/>
      <c r="F441" s="256"/>
      <c r="G441" s="251"/>
      <c r="H441" s="35"/>
      <c r="I441" s="35"/>
      <c r="J441" s="21"/>
    </row>
    <row r="442" spans="1:10" s="118" customFormat="1" ht="31.5" x14ac:dyDescent="0.25">
      <c r="A442" s="33"/>
      <c r="B442" s="165" t="s">
        <v>451</v>
      </c>
      <c r="C442" s="622" t="str">
        <f>ORÇAMENTO!C144</f>
        <v>REVESTIMENTO DE PAREDE COM ARENITO, DIMENSÕES 45 X 20 CM, INCLUSIVE ARGAMASSA DE ASSENTAMENTO AC III E REJUNTE, CONFORME ESPECIFICAÇÕES E PROJETO (10% QUEBRA)</v>
      </c>
      <c r="D442" s="622"/>
      <c r="E442" s="622"/>
      <c r="F442" s="622"/>
      <c r="G442" s="622"/>
      <c r="H442" s="35"/>
      <c r="I442" s="35"/>
      <c r="J442" s="21"/>
    </row>
    <row r="443" spans="1:10" s="118" customFormat="1" x14ac:dyDescent="0.25">
      <c r="A443" s="33"/>
      <c r="B443" s="113" t="s">
        <v>84</v>
      </c>
      <c r="C443" s="236" t="s">
        <v>85</v>
      </c>
      <c r="D443" s="113" t="s">
        <v>31</v>
      </c>
      <c r="E443" s="237" t="s">
        <v>86</v>
      </c>
      <c r="F443" s="238" t="s">
        <v>87</v>
      </c>
      <c r="G443" s="239" t="s">
        <v>88</v>
      </c>
      <c r="H443" s="35"/>
      <c r="I443" s="35"/>
      <c r="J443" s="21"/>
    </row>
    <row r="444" spans="1:10" s="118" customFormat="1" x14ac:dyDescent="0.25">
      <c r="A444" s="33"/>
      <c r="B444" s="585" t="s">
        <v>1730</v>
      </c>
      <c r="C444" s="253" t="s">
        <v>1731</v>
      </c>
      <c r="D444" s="252" t="s">
        <v>53</v>
      </c>
      <c r="E444" s="304">
        <v>1.1000000000000001</v>
      </c>
      <c r="F444" s="242">
        <v>112.57</v>
      </c>
      <c r="G444" s="243">
        <f>E444*F444</f>
        <v>123.827</v>
      </c>
      <c r="H444" s="35"/>
      <c r="I444" s="35"/>
      <c r="J444" s="21"/>
    </row>
    <row r="445" spans="1:10" s="118" customFormat="1" x14ac:dyDescent="0.25">
      <c r="A445" s="33"/>
      <c r="B445" s="585" t="s">
        <v>101</v>
      </c>
      <c r="C445" s="253" t="s">
        <v>176</v>
      </c>
      <c r="D445" s="252" t="s">
        <v>42</v>
      </c>
      <c r="E445" s="304" t="s">
        <v>421</v>
      </c>
      <c r="F445" s="242">
        <v>3.4</v>
      </c>
      <c r="G445" s="243">
        <f t="shared" ref="G445:G448" si="38">E445*F445</f>
        <v>0.81599999999999995</v>
      </c>
      <c r="H445" s="35"/>
      <c r="I445" s="35"/>
      <c r="J445" s="21"/>
    </row>
    <row r="446" spans="1:10" s="118" customFormat="1" x14ac:dyDescent="0.25">
      <c r="A446" s="33"/>
      <c r="B446" s="585" t="s">
        <v>426</v>
      </c>
      <c r="C446" s="253" t="s">
        <v>422</v>
      </c>
      <c r="D446" s="252" t="s">
        <v>42</v>
      </c>
      <c r="E446" s="304" t="s">
        <v>423</v>
      </c>
      <c r="F446" s="242">
        <v>1.78</v>
      </c>
      <c r="G446" s="243">
        <f t="shared" si="38"/>
        <v>15.343599999999999</v>
      </c>
      <c r="H446" s="35"/>
      <c r="I446" s="35"/>
      <c r="J446" s="21"/>
    </row>
    <row r="447" spans="1:10" s="118" customFormat="1" x14ac:dyDescent="0.25">
      <c r="A447" s="33"/>
      <c r="B447" s="585" t="s">
        <v>427</v>
      </c>
      <c r="C447" s="253" t="s">
        <v>424</v>
      </c>
      <c r="D447" s="252" t="s">
        <v>91</v>
      </c>
      <c r="E447" s="304">
        <f>0.39</f>
        <v>0.39</v>
      </c>
      <c r="F447" s="242">
        <v>22.7</v>
      </c>
      <c r="G447" s="243">
        <f t="shared" si="38"/>
        <v>8.8529999999999998</v>
      </c>
      <c r="H447" s="35"/>
      <c r="I447" s="35"/>
      <c r="J447" s="21"/>
    </row>
    <row r="448" spans="1:10" s="118" customFormat="1" x14ac:dyDescent="0.25">
      <c r="A448" s="33"/>
      <c r="B448" s="585" t="s">
        <v>93</v>
      </c>
      <c r="C448" s="253" t="s">
        <v>94</v>
      </c>
      <c r="D448" s="252" t="s">
        <v>91</v>
      </c>
      <c r="E448" s="304" t="s">
        <v>425</v>
      </c>
      <c r="F448" s="242">
        <v>18.84</v>
      </c>
      <c r="G448" s="243">
        <f t="shared" si="38"/>
        <v>3.5796000000000001</v>
      </c>
      <c r="H448" s="35"/>
      <c r="I448" s="35"/>
      <c r="J448" s="21"/>
    </row>
    <row r="449" spans="1:10" s="118" customFormat="1" x14ac:dyDescent="0.25">
      <c r="A449" s="33"/>
      <c r="B449" s="623" t="s">
        <v>121</v>
      </c>
      <c r="C449" s="623"/>
      <c r="D449" s="623"/>
      <c r="E449" s="623"/>
      <c r="F449" s="623"/>
      <c r="G449" s="245">
        <f>SUM(G444:G448)</f>
        <v>152.41920000000002</v>
      </c>
      <c r="H449" s="35"/>
      <c r="I449" s="35"/>
      <c r="J449" s="21"/>
    </row>
    <row r="450" spans="1:10" s="156" customFormat="1" x14ac:dyDescent="0.25">
      <c r="A450" s="33"/>
      <c r="B450" s="246"/>
      <c r="C450" s="246"/>
      <c r="D450" s="80"/>
      <c r="E450" s="246"/>
      <c r="F450" s="246"/>
      <c r="G450" s="248"/>
      <c r="H450" s="35"/>
      <c r="I450" s="35"/>
      <c r="J450" s="157"/>
    </row>
    <row r="451" spans="1:10" s="156" customFormat="1" ht="35.25" customHeight="1" x14ac:dyDescent="0.25">
      <c r="A451" s="33"/>
      <c r="B451" s="447" t="s">
        <v>1732</v>
      </c>
      <c r="C451" s="622" t="str">
        <f>ORÇAMENTO!C151</f>
        <v>BANCADAS - TAMPO EM GRANITO BRANCO DALLAS, ESPESSURA 2 CM, ESPELHO DE 10 CM DE ALTURA E BORDAS CONFORME PROJETO ARQUITETÔNICO (INCLUSIVE REVESTIMENTOS DO PASSA PRATOS)</v>
      </c>
      <c r="D451" s="622"/>
      <c r="E451" s="622"/>
      <c r="F451" s="622"/>
      <c r="G451" s="622"/>
      <c r="H451" s="35"/>
      <c r="I451" s="35"/>
      <c r="J451" s="157"/>
    </row>
    <row r="452" spans="1:10" s="156" customFormat="1" x14ac:dyDescent="0.25">
      <c r="A452" s="33"/>
      <c r="B452" s="113" t="s">
        <v>84</v>
      </c>
      <c r="C452" s="236" t="s">
        <v>85</v>
      </c>
      <c r="D452" s="113" t="s">
        <v>31</v>
      </c>
      <c r="E452" s="237" t="s">
        <v>86</v>
      </c>
      <c r="F452" s="238" t="s">
        <v>87</v>
      </c>
      <c r="G452" s="239" t="s">
        <v>88</v>
      </c>
      <c r="H452" s="35"/>
      <c r="I452" s="35"/>
      <c r="J452" s="157"/>
    </row>
    <row r="453" spans="1:10" s="156" customFormat="1" x14ac:dyDescent="0.25">
      <c r="A453" s="33"/>
      <c r="B453" s="585" t="s">
        <v>1733</v>
      </c>
      <c r="C453" s="253" t="s">
        <v>1734</v>
      </c>
      <c r="D453" s="252" t="s">
        <v>42</v>
      </c>
      <c r="E453" s="304">
        <v>0.6</v>
      </c>
      <c r="F453" s="242">
        <v>41.44</v>
      </c>
      <c r="G453" s="243">
        <f>E453*F453</f>
        <v>24.863999999999997</v>
      </c>
      <c r="H453" s="35"/>
      <c r="I453" s="35"/>
      <c r="J453" s="157"/>
    </row>
    <row r="454" spans="1:10" s="156" customFormat="1" ht="31.5" x14ac:dyDescent="0.25">
      <c r="A454" s="33"/>
      <c r="B454" s="585" t="s">
        <v>1735</v>
      </c>
      <c r="C454" s="253" t="s">
        <v>1736</v>
      </c>
      <c r="D454" s="252" t="s">
        <v>31</v>
      </c>
      <c r="E454" s="304">
        <v>7</v>
      </c>
      <c r="F454" s="242">
        <v>1.04</v>
      </c>
      <c r="G454" s="243">
        <f t="shared" ref="G454:G458" si="39">E454*F454</f>
        <v>7.28</v>
      </c>
      <c r="H454" s="35"/>
      <c r="I454" s="35"/>
      <c r="J454" s="157"/>
    </row>
    <row r="455" spans="1:10" s="156" customFormat="1" x14ac:dyDescent="0.25">
      <c r="A455" s="33"/>
      <c r="B455" s="585" t="s">
        <v>1738</v>
      </c>
      <c r="C455" s="253" t="s">
        <v>1742</v>
      </c>
      <c r="D455" s="252" t="s">
        <v>53</v>
      </c>
      <c r="E455" s="304">
        <v>1.1000000000000001</v>
      </c>
      <c r="F455" s="242">
        <v>516.52</v>
      </c>
      <c r="G455" s="243">
        <f t="shared" si="39"/>
        <v>568.17200000000003</v>
      </c>
      <c r="H455" s="35"/>
      <c r="I455" s="35"/>
      <c r="J455" s="157"/>
    </row>
    <row r="456" spans="1:10" s="156" customFormat="1" x14ac:dyDescent="0.25">
      <c r="A456" s="33"/>
      <c r="B456" s="594" t="s">
        <v>1739</v>
      </c>
      <c r="C456" s="253" t="s">
        <v>1737</v>
      </c>
      <c r="D456" s="456" t="s">
        <v>42</v>
      </c>
      <c r="E456" s="461">
        <v>2.5000000000000001E-2</v>
      </c>
      <c r="F456" s="470">
        <v>71.73</v>
      </c>
      <c r="G456" s="243">
        <f t="shared" si="39"/>
        <v>1.7932500000000002</v>
      </c>
      <c r="H456" s="35"/>
      <c r="I456" s="35"/>
      <c r="J456" s="157"/>
    </row>
    <row r="457" spans="1:10" s="156" customFormat="1" x14ac:dyDescent="0.25">
      <c r="A457" s="33"/>
      <c r="B457" s="585" t="s">
        <v>1740</v>
      </c>
      <c r="C457" s="253" t="s">
        <v>1741</v>
      </c>
      <c r="D457" s="252" t="s">
        <v>91</v>
      </c>
      <c r="E457" s="304">
        <v>1.6</v>
      </c>
      <c r="F457" s="242">
        <v>22.66</v>
      </c>
      <c r="G457" s="243">
        <f t="shared" si="39"/>
        <v>36.256</v>
      </c>
      <c r="H457" s="35"/>
      <c r="I457" s="35"/>
      <c r="J457" s="157"/>
    </row>
    <row r="458" spans="1:10" s="156" customFormat="1" x14ac:dyDescent="0.25">
      <c r="A458" s="33"/>
      <c r="B458" s="585" t="s">
        <v>93</v>
      </c>
      <c r="C458" s="253" t="s">
        <v>94</v>
      </c>
      <c r="D458" s="252" t="s">
        <v>91</v>
      </c>
      <c r="E458" s="304">
        <v>1</v>
      </c>
      <c r="F458" s="242">
        <v>18.84</v>
      </c>
      <c r="G458" s="243">
        <f t="shared" si="39"/>
        <v>18.84</v>
      </c>
      <c r="H458" s="35"/>
      <c r="I458" s="35"/>
      <c r="J458" s="157"/>
    </row>
    <row r="459" spans="1:10" s="156" customFormat="1" x14ac:dyDescent="0.25">
      <c r="A459" s="33"/>
      <c r="B459" s="623" t="s">
        <v>121</v>
      </c>
      <c r="C459" s="623"/>
      <c r="D459" s="623"/>
      <c r="E459" s="623"/>
      <c r="F459" s="623"/>
      <c r="G459" s="245">
        <f>SUM(G453:G458)</f>
        <v>657.20524999999998</v>
      </c>
      <c r="H459" s="35"/>
      <c r="I459" s="35"/>
      <c r="J459" s="157"/>
    </row>
    <row r="460" spans="1:10" s="156" customFormat="1" x14ac:dyDescent="0.25">
      <c r="A460" s="33"/>
      <c r="B460" s="246"/>
      <c r="C460" s="246"/>
      <c r="D460" s="246"/>
      <c r="E460" s="246"/>
      <c r="F460" s="246"/>
      <c r="G460" s="248"/>
      <c r="H460" s="35"/>
      <c r="I460" s="35"/>
      <c r="J460" s="157"/>
    </row>
    <row r="461" spans="1:10" s="156" customFormat="1" x14ac:dyDescent="0.25">
      <c r="A461" s="33"/>
      <c r="B461" s="524" t="s">
        <v>120</v>
      </c>
      <c r="C461" s="622" t="str">
        <f>ORÇAMENTO!C154</f>
        <v>FILETE CERÂMICO LISO, COR VERDE, TAMANHO 2 X 30 CM, INCLUSIVE ARGAMASSA COLANTE E REJUNTE</v>
      </c>
      <c r="D461" s="622"/>
      <c r="E461" s="622"/>
      <c r="F461" s="622"/>
      <c r="G461" s="622"/>
      <c r="H461" s="35"/>
      <c r="I461" s="35"/>
      <c r="J461" s="157"/>
    </row>
    <row r="462" spans="1:10" s="156" customFormat="1" x14ac:dyDescent="0.25">
      <c r="A462" s="33"/>
      <c r="B462" s="113" t="s">
        <v>84</v>
      </c>
      <c r="C462" s="236" t="s">
        <v>85</v>
      </c>
      <c r="D462" s="113" t="s">
        <v>31</v>
      </c>
      <c r="E462" s="237" t="s">
        <v>86</v>
      </c>
      <c r="F462" s="238" t="s">
        <v>87</v>
      </c>
      <c r="G462" s="239" t="s">
        <v>88</v>
      </c>
      <c r="H462" s="35"/>
      <c r="I462" s="35"/>
      <c r="J462" s="157"/>
    </row>
    <row r="463" spans="1:10" s="156" customFormat="1" x14ac:dyDescent="0.25">
      <c r="A463" s="33"/>
      <c r="B463" s="585" t="s">
        <v>136</v>
      </c>
      <c r="C463" s="253" t="s">
        <v>1975</v>
      </c>
      <c r="D463" s="252" t="s">
        <v>31</v>
      </c>
      <c r="E463" s="304">
        <v>1</v>
      </c>
      <c r="F463" s="242">
        <v>1.59</v>
      </c>
      <c r="G463" s="243">
        <f>E463*F463</f>
        <v>1.59</v>
      </c>
      <c r="H463" s="35"/>
      <c r="I463" s="35"/>
      <c r="J463" s="157"/>
    </row>
    <row r="464" spans="1:10" s="156" customFormat="1" x14ac:dyDescent="0.25">
      <c r="A464" s="33"/>
      <c r="B464" s="585" t="s">
        <v>101</v>
      </c>
      <c r="C464" s="253" t="s">
        <v>176</v>
      </c>
      <c r="D464" s="252" t="s">
        <v>42</v>
      </c>
      <c r="E464" s="304">
        <v>0.1</v>
      </c>
      <c r="F464" s="242">
        <v>3.4</v>
      </c>
      <c r="G464" s="243">
        <f t="shared" ref="G464:G467" si="40">E464*F464</f>
        <v>0.34</v>
      </c>
      <c r="H464" s="35"/>
      <c r="I464" s="35"/>
      <c r="J464" s="157"/>
    </row>
    <row r="465" spans="1:10" s="156" customFormat="1" x14ac:dyDescent="0.25">
      <c r="A465" s="33"/>
      <c r="B465" s="585" t="s">
        <v>426</v>
      </c>
      <c r="C465" s="253" t="s">
        <v>422</v>
      </c>
      <c r="D465" s="252" t="s">
        <v>42</v>
      </c>
      <c r="E465" s="304">
        <v>0.5</v>
      </c>
      <c r="F465" s="242">
        <v>1.78</v>
      </c>
      <c r="G465" s="243">
        <f t="shared" si="40"/>
        <v>0.89</v>
      </c>
      <c r="H465" s="35"/>
      <c r="I465" s="35"/>
      <c r="J465" s="157"/>
    </row>
    <row r="466" spans="1:10" s="156" customFormat="1" x14ac:dyDescent="0.25">
      <c r="A466" s="33"/>
      <c r="B466" s="585" t="s">
        <v>427</v>
      </c>
      <c r="C466" s="253" t="s">
        <v>424</v>
      </c>
      <c r="D466" s="252" t="s">
        <v>91</v>
      </c>
      <c r="E466" s="304">
        <v>0.1</v>
      </c>
      <c r="F466" s="242">
        <v>22.7</v>
      </c>
      <c r="G466" s="243">
        <f t="shared" si="40"/>
        <v>2.27</v>
      </c>
      <c r="H466" s="35"/>
      <c r="I466" s="35"/>
      <c r="J466" s="157"/>
    </row>
    <row r="467" spans="1:10" s="156" customFormat="1" x14ac:dyDescent="0.25">
      <c r="A467" s="33"/>
      <c r="B467" s="585" t="s">
        <v>93</v>
      </c>
      <c r="C467" s="253" t="s">
        <v>94</v>
      </c>
      <c r="D467" s="252" t="s">
        <v>91</v>
      </c>
      <c r="E467" s="304">
        <v>0.08</v>
      </c>
      <c r="F467" s="242">
        <v>18.84</v>
      </c>
      <c r="G467" s="243">
        <f t="shared" si="40"/>
        <v>1.5072000000000001</v>
      </c>
      <c r="H467" s="35"/>
      <c r="I467" s="35"/>
      <c r="J467" s="157"/>
    </row>
    <row r="468" spans="1:10" s="156" customFormat="1" x14ac:dyDescent="0.25">
      <c r="A468" s="33"/>
      <c r="B468" s="623" t="s">
        <v>121</v>
      </c>
      <c r="C468" s="623"/>
      <c r="D468" s="623"/>
      <c r="E468" s="623"/>
      <c r="F468" s="623"/>
      <c r="G468" s="245">
        <f>SUM(G463:G467)</f>
        <v>6.5972</v>
      </c>
      <c r="H468" s="35"/>
      <c r="I468" s="35"/>
      <c r="J468" s="157"/>
    </row>
    <row r="469" spans="1:10" s="156" customFormat="1" x14ac:dyDescent="0.25">
      <c r="A469" s="33"/>
      <c r="B469" s="246"/>
      <c r="C469" s="246"/>
      <c r="D469" s="80"/>
      <c r="E469" s="246"/>
      <c r="F469" s="246"/>
      <c r="G469" s="248"/>
      <c r="H469" s="35"/>
      <c r="I469" s="35"/>
      <c r="J469" s="157"/>
    </row>
    <row r="470" spans="1:10" s="155" customFormat="1" x14ac:dyDescent="0.25">
      <c r="A470" s="11"/>
      <c r="B470" s="446" t="s">
        <v>1743</v>
      </c>
      <c r="C470" s="227"/>
      <c r="D470" s="472"/>
      <c r="E470" s="228"/>
      <c r="F470" s="286"/>
      <c r="G470" s="287"/>
      <c r="H470" s="35"/>
      <c r="I470" s="35"/>
      <c r="J470" s="22"/>
    </row>
    <row r="471" spans="1:10" s="156" customFormat="1" x14ac:dyDescent="0.25">
      <c r="A471" s="33"/>
      <c r="B471" s="246"/>
      <c r="C471" s="246"/>
      <c r="D471" s="80"/>
      <c r="E471" s="246"/>
      <c r="F471" s="246"/>
      <c r="G471" s="248"/>
      <c r="H471" s="35"/>
      <c r="I471" s="35"/>
      <c r="J471" s="157"/>
    </row>
    <row r="472" spans="1:10" s="156" customFormat="1" ht="23.25" customHeight="1" x14ac:dyDescent="0.25">
      <c r="A472" s="33"/>
      <c r="B472" s="447" t="s">
        <v>1744</v>
      </c>
      <c r="C472" s="622" t="str">
        <f>ORÇAMENTO!C175</f>
        <v>EMASSAMENTO COM MASSA A ÓLEO (PONSAR) EM ESQUADRIA DE MADEIRA, DUAS DEMÃOS, CONFORME ESPECIFICAÇÕES E PROJETO ARQUITETÔNICO</v>
      </c>
      <c r="D472" s="622"/>
      <c r="E472" s="622"/>
      <c r="F472" s="622"/>
      <c r="G472" s="622"/>
      <c r="H472" s="35"/>
      <c r="I472" s="35"/>
      <c r="J472" s="157"/>
    </row>
    <row r="473" spans="1:10" s="156" customFormat="1" x14ac:dyDescent="0.25">
      <c r="A473" s="33"/>
      <c r="B473" s="113" t="s">
        <v>84</v>
      </c>
      <c r="C473" s="236" t="s">
        <v>85</v>
      </c>
      <c r="D473" s="113" t="s">
        <v>31</v>
      </c>
      <c r="E473" s="237" t="s">
        <v>86</v>
      </c>
      <c r="F473" s="238" t="s">
        <v>87</v>
      </c>
      <c r="G473" s="239" t="s">
        <v>88</v>
      </c>
      <c r="H473" s="35"/>
      <c r="I473" s="35"/>
      <c r="J473" s="157"/>
    </row>
    <row r="474" spans="1:10" s="156" customFormat="1" x14ac:dyDescent="0.25">
      <c r="A474" s="33"/>
      <c r="B474" s="585" t="s">
        <v>1746</v>
      </c>
      <c r="C474" s="253" t="s">
        <v>1450</v>
      </c>
      <c r="D474" s="252" t="s">
        <v>31</v>
      </c>
      <c r="E474" s="304">
        <v>0.5</v>
      </c>
      <c r="F474" s="242">
        <v>1.48</v>
      </c>
      <c r="G474" s="243">
        <f>F474*E474</f>
        <v>0.74</v>
      </c>
      <c r="H474" s="35"/>
      <c r="I474" s="35"/>
      <c r="J474" s="157"/>
    </row>
    <row r="475" spans="1:10" s="156" customFormat="1" x14ac:dyDescent="0.25">
      <c r="A475" s="33"/>
      <c r="B475" s="585" t="s">
        <v>1747</v>
      </c>
      <c r="C475" s="253" t="s">
        <v>1745</v>
      </c>
      <c r="D475" s="252" t="s">
        <v>1749</v>
      </c>
      <c r="E475" s="304">
        <v>0.16</v>
      </c>
      <c r="F475" s="242">
        <v>68.489999999999995</v>
      </c>
      <c r="G475" s="243">
        <f t="shared" ref="G475:G477" si="41">F475*E475</f>
        <v>10.958399999999999</v>
      </c>
      <c r="H475" s="35"/>
      <c r="I475" s="35"/>
      <c r="J475" s="157"/>
    </row>
    <row r="476" spans="1:10" s="156" customFormat="1" x14ac:dyDescent="0.25">
      <c r="A476" s="33"/>
      <c r="B476" s="585" t="s">
        <v>93</v>
      </c>
      <c r="C476" s="253" t="s">
        <v>94</v>
      </c>
      <c r="D476" s="252" t="s">
        <v>91</v>
      </c>
      <c r="E476" s="304">
        <v>0.25</v>
      </c>
      <c r="F476" s="242">
        <v>18.84</v>
      </c>
      <c r="G476" s="243">
        <f t="shared" si="41"/>
        <v>4.71</v>
      </c>
      <c r="H476" s="35"/>
      <c r="I476" s="35"/>
      <c r="J476" s="157"/>
    </row>
    <row r="477" spans="1:10" s="156" customFormat="1" x14ac:dyDescent="0.25">
      <c r="A477" s="33"/>
      <c r="B477" s="594" t="s">
        <v>1748</v>
      </c>
      <c r="C477" s="253" t="s">
        <v>1453</v>
      </c>
      <c r="D477" s="456" t="s">
        <v>91</v>
      </c>
      <c r="E477" s="461">
        <v>0.35</v>
      </c>
      <c r="F477" s="470">
        <v>23.85</v>
      </c>
      <c r="G477" s="243">
        <f t="shared" si="41"/>
        <v>8.3475000000000001</v>
      </c>
      <c r="H477" s="35"/>
      <c r="I477" s="35"/>
      <c r="J477" s="157"/>
    </row>
    <row r="478" spans="1:10" s="156" customFormat="1" x14ac:dyDescent="0.25">
      <c r="A478" s="33"/>
      <c r="B478" s="623" t="s">
        <v>121</v>
      </c>
      <c r="C478" s="623"/>
      <c r="D478" s="623"/>
      <c r="E478" s="623"/>
      <c r="F478" s="623"/>
      <c r="G478" s="245">
        <f>SUM(G474:G477)</f>
        <v>24.7559</v>
      </c>
      <c r="H478" s="35"/>
      <c r="I478" s="35"/>
      <c r="J478" s="157"/>
    </row>
    <row r="479" spans="1:10" s="118" customFormat="1" x14ac:dyDescent="0.25">
      <c r="A479" s="33"/>
      <c r="B479" s="310"/>
      <c r="C479" s="310"/>
      <c r="D479" s="310"/>
      <c r="E479" s="255"/>
      <c r="F479" s="256"/>
      <c r="G479" s="251"/>
      <c r="H479" s="35"/>
      <c r="I479" s="35"/>
      <c r="J479" s="21"/>
    </row>
    <row r="480" spans="1:10" s="34" customFormat="1" x14ac:dyDescent="0.25">
      <c r="B480" s="226" t="s">
        <v>194</v>
      </c>
      <c r="C480" s="227"/>
      <c r="D480" s="472"/>
      <c r="E480" s="228"/>
      <c r="F480" s="286"/>
      <c r="G480" s="287"/>
      <c r="H480" s="35"/>
      <c r="I480" s="35"/>
      <c r="J480" s="22"/>
    </row>
    <row r="481" spans="1:10" x14ac:dyDescent="0.25">
      <c r="A481" s="6"/>
      <c r="B481" s="47"/>
      <c r="C481" s="47"/>
      <c r="D481" s="310"/>
      <c r="E481" s="250"/>
      <c r="F481" s="288"/>
      <c r="G481" s="251"/>
    </row>
    <row r="482" spans="1:10" s="116" customFormat="1" ht="31.5" x14ac:dyDescent="0.25">
      <c r="B482" s="165" t="s">
        <v>453</v>
      </c>
      <c r="C482" s="622" t="str">
        <f>ORÇAMENTO!C187</f>
        <v>BASE DE ASSENTAMENTO COM PÓ DE PEDRA, ESPESSURA 10 CM, INCLUSIVE FRETE E COMPACTAÇÃO</v>
      </c>
      <c r="D482" s="622"/>
      <c r="E482" s="622"/>
      <c r="F482" s="622"/>
      <c r="G482" s="622"/>
      <c r="H482" s="35"/>
      <c r="I482" s="35"/>
      <c r="J482" s="21"/>
    </row>
    <row r="483" spans="1:10" s="116" customFormat="1" x14ac:dyDescent="0.25">
      <c r="B483" s="113" t="s">
        <v>84</v>
      </c>
      <c r="C483" s="236" t="s">
        <v>85</v>
      </c>
      <c r="D483" s="113" t="s">
        <v>31</v>
      </c>
      <c r="E483" s="237" t="s">
        <v>86</v>
      </c>
      <c r="F483" s="238" t="s">
        <v>87</v>
      </c>
      <c r="G483" s="239" t="s">
        <v>88</v>
      </c>
      <c r="H483" s="35"/>
      <c r="I483" s="35"/>
      <c r="J483" s="21"/>
    </row>
    <row r="484" spans="1:10" s="117" customFormat="1" ht="47.25" x14ac:dyDescent="0.25">
      <c r="B484" s="585" t="s">
        <v>391</v>
      </c>
      <c r="C484" s="253" t="s">
        <v>845</v>
      </c>
      <c r="D484" s="252" t="s">
        <v>124</v>
      </c>
      <c r="E484" s="304" t="s">
        <v>384</v>
      </c>
      <c r="F484" s="242">
        <v>135.54</v>
      </c>
      <c r="G484" s="243">
        <f>E484*F484</f>
        <v>1.043658</v>
      </c>
      <c r="H484" s="35"/>
      <c r="I484" s="35"/>
      <c r="J484" s="21"/>
    </row>
    <row r="485" spans="1:10" s="117" customFormat="1" ht="47.25" x14ac:dyDescent="0.25">
      <c r="B485" s="585" t="s">
        <v>392</v>
      </c>
      <c r="C485" s="253" t="s">
        <v>846</v>
      </c>
      <c r="D485" s="252" t="s">
        <v>125</v>
      </c>
      <c r="E485" s="304" t="s">
        <v>385</v>
      </c>
      <c r="F485" s="242">
        <v>51.22</v>
      </c>
      <c r="G485" s="243">
        <f t="shared" ref="G485:G493" si="42">E485*F485</f>
        <v>0.43024799999999996</v>
      </c>
      <c r="H485" s="35"/>
      <c r="I485" s="35"/>
      <c r="J485" s="21"/>
    </row>
    <row r="486" spans="1:10" s="117" customFormat="1" ht="47.25" x14ac:dyDescent="0.25">
      <c r="B486" s="585" t="s">
        <v>393</v>
      </c>
      <c r="C486" s="253" t="s">
        <v>847</v>
      </c>
      <c r="D486" s="252" t="s">
        <v>124</v>
      </c>
      <c r="E486" s="304" t="s">
        <v>386</v>
      </c>
      <c r="F486" s="242">
        <v>266.62</v>
      </c>
      <c r="G486" s="243">
        <f t="shared" si="42"/>
        <v>1.5463959999999999</v>
      </c>
      <c r="H486" s="35"/>
      <c r="I486" s="35"/>
      <c r="J486" s="21"/>
    </row>
    <row r="487" spans="1:10" s="117" customFormat="1" ht="47.25" x14ac:dyDescent="0.25">
      <c r="B487" s="585" t="s">
        <v>394</v>
      </c>
      <c r="C487" s="253" t="s">
        <v>848</v>
      </c>
      <c r="D487" s="252" t="s">
        <v>125</v>
      </c>
      <c r="E487" s="304" t="s">
        <v>387</v>
      </c>
      <c r="F487" s="242">
        <v>53.37</v>
      </c>
      <c r="G487" s="243">
        <f t="shared" si="42"/>
        <v>0.54971099999999995</v>
      </c>
      <c r="H487" s="35"/>
      <c r="I487" s="35"/>
      <c r="J487" s="21"/>
    </row>
    <row r="488" spans="1:10" s="117" customFormat="1" ht="31.5" x14ac:dyDescent="0.25">
      <c r="B488" s="585" t="s">
        <v>395</v>
      </c>
      <c r="C488" s="253" t="s">
        <v>849</v>
      </c>
      <c r="D488" s="252" t="s">
        <v>124</v>
      </c>
      <c r="E488" s="304" t="s">
        <v>384</v>
      </c>
      <c r="F488" s="242">
        <v>236.83</v>
      </c>
      <c r="G488" s="243">
        <f t="shared" si="42"/>
        <v>1.8235910000000002</v>
      </c>
      <c r="H488" s="35"/>
      <c r="I488" s="35"/>
      <c r="J488" s="21"/>
    </row>
    <row r="489" spans="1:10" s="117" customFormat="1" ht="31.5" x14ac:dyDescent="0.25">
      <c r="B489" s="585" t="s">
        <v>396</v>
      </c>
      <c r="C489" s="253" t="s">
        <v>850</v>
      </c>
      <c r="D489" s="252" t="s">
        <v>125</v>
      </c>
      <c r="E489" s="304" t="s">
        <v>385</v>
      </c>
      <c r="F489" s="242">
        <v>86.87</v>
      </c>
      <c r="G489" s="243">
        <f t="shared" si="42"/>
        <v>0.72970800000000002</v>
      </c>
      <c r="H489" s="35"/>
      <c r="I489" s="35"/>
      <c r="J489" s="21"/>
    </row>
    <row r="490" spans="1:10" s="117" customFormat="1" x14ac:dyDescent="0.25">
      <c r="B490" s="585" t="s">
        <v>93</v>
      </c>
      <c r="C490" s="253" t="s">
        <v>94</v>
      </c>
      <c r="D490" s="252" t="s">
        <v>91</v>
      </c>
      <c r="E490" s="304" t="s">
        <v>388</v>
      </c>
      <c r="F490" s="242">
        <v>18.84</v>
      </c>
      <c r="G490" s="243">
        <f t="shared" si="42"/>
        <v>1.060692</v>
      </c>
      <c r="H490" s="35"/>
      <c r="I490" s="35"/>
      <c r="J490" s="21"/>
    </row>
    <row r="491" spans="1:10" s="117" customFormat="1" x14ac:dyDescent="0.25">
      <c r="B491" s="585" t="s">
        <v>1751</v>
      </c>
      <c r="C491" s="253" t="s">
        <v>1750</v>
      </c>
      <c r="D491" s="252" t="s">
        <v>89</v>
      </c>
      <c r="E491" s="304">
        <v>1.1499999999999999</v>
      </c>
      <c r="F491" s="242">
        <v>58.25</v>
      </c>
      <c r="G491" s="243">
        <f t="shared" si="42"/>
        <v>66.987499999999997</v>
      </c>
      <c r="H491" s="35"/>
      <c r="I491" s="35"/>
      <c r="J491" s="21"/>
    </row>
    <row r="492" spans="1:10" s="117" customFormat="1" ht="31.5" x14ac:dyDescent="0.25">
      <c r="B492" s="585" t="s">
        <v>397</v>
      </c>
      <c r="C492" s="253" t="s">
        <v>853</v>
      </c>
      <c r="D492" s="252" t="s">
        <v>124</v>
      </c>
      <c r="E492" s="304" t="s">
        <v>389</v>
      </c>
      <c r="F492" s="242">
        <v>181.85</v>
      </c>
      <c r="G492" s="243">
        <f t="shared" si="42"/>
        <v>0.70921499999999993</v>
      </c>
      <c r="H492" s="35"/>
      <c r="I492" s="35"/>
      <c r="J492" s="21"/>
    </row>
    <row r="493" spans="1:10" s="117" customFormat="1" ht="31.5" x14ac:dyDescent="0.25">
      <c r="B493" s="585" t="s">
        <v>398</v>
      </c>
      <c r="C493" s="253" t="s">
        <v>852</v>
      </c>
      <c r="D493" s="252" t="s">
        <v>125</v>
      </c>
      <c r="E493" s="304" t="s">
        <v>390</v>
      </c>
      <c r="F493" s="242">
        <v>70.36</v>
      </c>
      <c r="G493" s="243">
        <f t="shared" si="42"/>
        <v>0.85839200000000004</v>
      </c>
      <c r="H493" s="35"/>
      <c r="I493" s="35"/>
      <c r="J493" s="21"/>
    </row>
    <row r="494" spans="1:10" s="116" customFormat="1" x14ac:dyDescent="0.25">
      <c r="B494" s="623" t="s">
        <v>34</v>
      </c>
      <c r="C494" s="623"/>
      <c r="D494" s="623"/>
      <c r="E494" s="623"/>
      <c r="F494" s="623"/>
      <c r="G494" s="245">
        <f>SUM(G484:G493)</f>
        <v>75.739110999999994</v>
      </c>
      <c r="H494" s="35"/>
      <c r="I494" s="35"/>
      <c r="J494" s="21"/>
    </row>
    <row r="495" spans="1:10" s="116" customFormat="1" x14ac:dyDescent="0.25">
      <c r="B495" s="47"/>
      <c r="C495" s="47"/>
      <c r="D495" s="310"/>
      <c r="E495" s="250"/>
      <c r="F495" s="288"/>
      <c r="G495" s="251"/>
      <c r="H495" s="35"/>
      <c r="I495" s="35"/>
      <c r="J495" s="21"/>
    </row>
    <row r="496" spans="1:10" s="116" customFormat="1" ht="31.5" x14ac:dyDescent="0.25">
      <c r="B496" s="165" t="s">
        <v>454</v>
      </c>
      <c r="C496" s="622" t="str">
        <f>ORÇAMENTO!C188</f>
        <v>BASE DE BRITA GRADUADA, ESPESSURA 16 CM, INCLUSIVE FRETE E COMPACTAÇÃO</v>
      </c>
      <c r="D496" s="622"/>
      <c r="E496" s="622"/>
      <c r="F496" s="622"/>
      <c r="G496" s="622"/>
      <c r="H496" s="35"/>
      <c r="I496" s="35"/>
      <c r="J496" s="21"/>
    </row>
    <row r="497" spans="2:10" s="116" customFormat="1" x14ac:dyDescent="0.25">
      <c r="B497" s="113" t="s">
        <v>84</v>
      </c>
      <c r="C497" s="236" t="s">
        <v>85</v>
      </c>
      <c r="D497" s="113" t="s">
        <v>31</v>
      </c>
      <c r="E497" s="237" t="s">
        <v>86</v>
      </c>
      <c r="F497" s="238" t="s">
        <v>87</v>
      </c>
      <c r="G497" s="239" t="s">
        <v>88</v>
      </c>
      <c r="H497" s="35"/>
      <c r="I497" s="35"/>
      <c r="J497" s="21"/>
    </row>
    <row r="498" spans="2:10" s="117" customFormat="1" ht="47.25" x14ac:dyDescent="0.25">
      <c r="B498" s="585" t="s">
        <v>391</v>
      </c>
      <c r="C498" s="253" t="s">
        <v>845</v>
      </c>
      <c r="D498" s="252" t="s">
        <v>124</v>
      </c>
      <c r="E498" s="304" t="s">
        <v>384</v>
      </c>
      <c r="F498" s="242">
        <v>135.54</v>
      </c>
      <c r="G498" s="243">
        <f>E498*F498</f>
        <v>1.043658</v>
      </c>
      <c r="H498" s="35"/>
      <c r="I498" s="35"/>
      <c r="J498" s="21"/>
    </row>
    <row r="499" spans="2:10" s="117" customFormat="1" ht="47.25" x14ac:dyDescent="0.25">
      <c r="B499" s="585" t="s">
        <v>392</v>
      </c>
      <c r="C499" s="253" t="s">
        <v>846</v>
      </c>
      <c r="D499" s="252" t="s">
        <v>125</v>
      </c>
      <c r="E499" s="304" t="s">
        <v>385</v>
      </c>
      <c r="F499" s="242">
        <v>51.22</v>
      </c>
      <c r="G499" s="243">
        <f t="shared" ref="G499:G507" si="43">E499*F499</f>
        <v>0.43024799999999996</v>
      </c>
      <c r="H499" s="35"/>
      <c r="I499" s="35"/>
      <c r="J499" s="21"/>
    </row>
    <row r="500" spans="2:10" s="117" customFormat="1" ht="47.25" x14ac:dyDescent="0.25">
      <c r="B500" s="585" t="s">
        <v>393</v>
      </c>
      <c r="C500" s="253" t="s">
        <v>847</v>
      </c>
      <c r="D500" s="252" t="s">
        <v>124</v>
      </c>
      <c r="E500" s="304" t="s">
        <v>386</v>
      </c>
      <c r="F500" s="242">
        <v>266.62</v>
      </c>
      <c r="G500" s="243">
        <f t="shared" si="43"/>
        <v>1.5463959999999999</v>
      </c>
      <c r="H500" s="35"/>
      <c r="I500" s="35"/>
      <c r="J500" s="21"/>
    </row>
    <row r="501" spans="2:10" s="117" customFormat="1" ht="47.25" x14ac:dyDescent="0.25">
      <c r="B501" s="585" t="s">
        <v>394</v>
      </c>
      <c r="C501" s="253" t="s">
        <v>848</v>
      </c>
      <c r="D501" s="252" t="s">
        <v>125</v>
      </c>
      <c r="E501" s="304" t="s">
        <v>387</v>
      </c>
      <c r="F501" s="242">
        <v>53.37</v>
      </c>
      <c r="G501" s="243">
        <f t="shared" si="43"/>
        <v>0.54971099999999995</v>
      </c>
      <c r="H501" s="35"/>
      <c r="I501" s="35"/>
      <c r="J501" s="21"/>
    </row>
    <row r="502" spans="2:10" s="117" customFormat="1" ht="31.5" x14ac:dyDescent="0.25">
      <c r="B502" s="585" t="s">
        <v>395</v>
      </c>
      <c r="C502" s="253" t="s">
        <v>849</v>
      </c>
      <c r="D502" s="252" t="s">
        <v>124</v>
      </c>
      <c r="E502" s="304" t="s">
        <v>384</v>
      </c>
      <c r="F502" s="242">
        <v>236.83</v>
      </c>
      <c r="G502" s="243">
        <f t="shared" si="43"/>
        <v>1.8235910000000002</v>
      </c>
      <c r="H502" s="35"/>
      <c r="I502" s="35"/>
      <c r="J502" s="21"/>
    </row>
    <row r="503" spans="2:10" s="117" customFormat="1" ht="31.5" x14ac:dyDescent="0.25">
      <c r="B503" s="585" t="s">
        <v>396</v>
      </c>
      <c r="C503" s="253" t="s">
        <v>850</v>
      </c>
      <c r="D503" s="252" t="s">
        <v>125</v>
      </c>
      <c r="E503" s="304" t="s">
        <v>385</v>
      </c>
      <c r="F503" s="242">
        <v>86.87</v>
      </c>
      <c r="G503" s="243">
        <f t="shared" si="43"/>
        <v>0.72970800000000002</v>
      </c>
      <c r="H503" s="35"/>
      <c r="I503" s="35"/>
      <c r="J503" s="21"/>
    </row>
    <row r="504" spans="2:10" s="117" customFormat="1" x14ac:dyDescent="0.25">
      <c r="B504" s="585" t="s">
        <v>93</v>
      </c>
      <c r="C504" s="253" t="s">
        <v>94</v>
      </c>
      <c r="D504" s="252" t="s">
        <v>91</v>
      </c>
      <c r="E504" s="304" t="s">
        <v>388</v>
      </c>
      <c r="F504" s="242">
        <v>18.84</v>
      </c>
      <c r="G504" s="243">
        <f t="shared" si="43"/>
        <v>1.060692</v>
      </c>
      <c r="H504" s="35"/>
      <c r="I504" s="35"/>
      <c r="J504" s="21"/>
    </row>
    <row r="505" spans="2:10" s="155" customFormat="1" x14ac:dyDescent="0.25">
      <c r="B505" s="585" t="s">
        <v>1752</v>
      </c>
      <c r="C505" s="253" t="s">
        <v>1753</v>
      </c>
      <c r="D505" s="252" t="s">
        <v>89</v>
      </c>
      <c r="E505" s="304">
        <v>1.1499999999999999</v>
      </c>
      <c r="F505" s="242">
        <v>62.14</v>
      </c>
      <c r="G505" s="243">
        <f t="shared" si="43"/>
        <v>71.460999999999999</v>
      </c>
      <c r="H505" s="35"/>
      <c r="I505" s="35"/>
      <c r="J505" s="22"/>
    </row>
    <row r="506" spans="2:10" s="117" customFormat="1" ht="31.5" x14ac:dyDescent="0.25">
      <c r="B506" s="585" t="s">
        <v>397</v>
      </c>
      <c r="C506" s="253" t="s">
        <v>853</v>
      </c>
      <c r="D506" s="252" t="s">
        <v>124</v>
      </c>
      <c r="E506" s="304" t="s">
        <v>389</v>
      </c>
      <c r="F506" s="242">
        <v>181.85</v>
      </c>
      <c r="G506" s="243">
        <f t="shared" si="43"/>
        <v>0.70921499999999993</v>
      </c>
      <c r="H506" s="35"/>
      <c r="I506" s="35"/>
      <c r="J506" s="21"/>
    </row>
    <row r="507" spans="2:10" s="117" customFormat="1" ht="31.5" x14ac:dyDescent="0.25">
      <c r="B507" s="585" t="s">
        <v>398</v>
      </c>
      <c r="C507" s="253" t="s">
        <v>852</v>
      </c>
      <c r="D507" s="252" t="s">
        <v>125</v>
      </c>
      <c r="E507" s="304" t="s">
        <v>390</v>
      </c>
      <c r="F507" s="242">
        <v>70.36</v>
      </c>
      <c r="G507" s="243">
        <f t="shared" si="43"/>
        <v>0.85839200000000004</v>
      </c>
      <c r="H507" s="35"/>
      <c r="I507" s="35"/>
      <c r="J507" s="21"/>
    </row>
    <row r="508" spans="2:10" s="116" customFormat="1" x14ac:dyDescent="0.25">
      <c r="B508" s="623" t="s">
        <v>34</v>
      </c>
      <c r="C508" s="623"/>
      <c r="D508" s="623"/>
      <c r="E508" s="623"/>
      <c r="F508" s="623"/>
      <c r="G508" s="245">
        <f>SUM(G498:G507)</f>
        <v>80.212610999999995</v>
      </c>
      <c r="H508" s="35"/>
      <c r="I508" s="35"/>
      <c r="J508" s="21"/>
    </row>
    <row r="509" spans="2:10" s="116" customFormat="1" x14ac:dyDescent="0.25">
      <c r="B509" s="47"/>
      <c r="C509" s="47"/>
      <c r="D509" s="310"/>
      <c r="E509" s="250"/>
      <c r="F509" s="288"/>
      <c r="G509" s="251"/>
      <c r="H509" s="35"/>
      <c r="I509" s="35"/>
      <c r="J509" s="21"/>
    </row>
    <row r="510" spans="2:10" s="117" customFormat="1" ht="31.5" x14ac:dyDescent="0.25">
      <c r="B510" s="165" t="s">
        <v>455</v>
      </c>
      <c r="C510" s="622" t="str">
        <f>ORÇAMENTO!C189</f>
        <v>SUB BASE DE RACHÃO - 20 CM, COMPACTADOS EM DUAS CAMADAS DE 10 CM,  INCLUSIVE FRETE E COMPACTAÇÃO</v>
      </c>
      <c r="D510" s="622"/>
      <c r="E510" s="622"/>
      <c r="F510" s="622"/>
      <c r="G510" s="622"/>
      <c r="H510" s="35"/>
      <c r="I510" s="35"/>
      <c r="J510" s="21"/>
    </row>
    <row r="511" spans="2:10" s="117" customFormat="1" x14ac:dyDescent="0.25">
      <c r="B511" s="113" t="s">
        <v>84</v>
      </c>
      <c r="C511" s="236" t="s">
        <v>85</v>
      </c>
      <c r="D511" s="113" t="s">
        <v>31</v>
      </c>
      <c r="E511" s="237" t="s">
        <v>86</v>
      </c>
      <c r="F511" s="238" t="s">
        <v>87</v>
      </c>
      <c r="G511" s="239" t="s">
        <v>88</v>
      </c>
      <c r="H511" s="35"/>
      <c r="I511" s="35"/>
      <c r="J511" s="21"/>
    </row>
    <row r="512" spans="2:10" s="117" customFormat="1" ht="47.25" x14ac:dyDescent="0.25">
      <c r="B512" s="585" t="s">
        <v>391</v>
      </c>
      <c r="C512" s="253" t="s">
        <v>845</v>
      </c>
      <c r="D512" s="252" t="s">
        <v>124</v>
      </c>
      <c r="E512" s="304" t="s">
        <v>384</v>
      </c>
      <c r="F512" s="242">
        <v>135.54</v>
      </c>
      <c r="G512" s="243">
        <f>E512*F512</f>
        <v>1.043658</v>
      </c>
      <c r="H512" s="35"/>
      <c r="I512" s="35"/>
      <c r="J512" s="21"/>
    </row>
    <row r="513" spans="1:10" s="117" customFormat="1" ht="47.25" x14ac:dyDescent="0.25">
      <c r="B513" s="585" t="s">
        <v>392</v>
      </c>
      <c r="C513" s="253" t="s">
        <v>846</v>
      </c>
      <c r="D513" s="252" t="s">
        <v>125</v>
      </c>
      <c r="E513" s="304" t="s">
        <v>385</v>
      </c>
      <c r="F513" s="242">
        <v>51.22</v>
      </c>
      <c r="G513" s="243">
        <f t="shared" ref="G513:G521" si="44">E513*F513</f>
        <v>0.43024799999999996</v>
      </c>
      <c r="H513" s="35"/>
      <c r="I513" s="35"/>
      <c r="J513" s="21"/>
    </row>
    <row r="514" spans="1:10" s="117" customFormat="1" ht="47.25" x14ac:dyDescent="0.25">
      <c r="B514" s="585" t="s">
        <v>393</v>
      </c>
      <c r="C514" s="253" t="s">
        <v>847</v>
      </c>
      <c r="D514" s="252" t="s">
        <v>124</v>
      </c>
      <c r="E514" s="304" t="s">
        <v>386</v>
      </c>
      <c r="F514" s="242">
        <v>266.62</v>
      </c>
      <c r="G514" s="243">
        <f t="shared" si="44"/>
        <v>1.5463959999999999</v>
      </c>
      <c r="H514" s="35"/>
      <c r="I514" s="35"/>
      <c r="J514" s="21"/>
    </row>
    <row r="515" spans="1:10" s="117" customFormat="1" ht="47.25" x14ac:dyDescent="0.25">
      <c r="B515" s="585" t="s">
        <v>394</v>
      </c>
      <c r="C515" s="253" t="s">
        <v>848</v>
      </c>
      <c r="D515" s="252" t="s">
        <v>125</v>
      </c>
      <c r="E515" s="304" t="s">
        <v>387</v>
      </c>
      <c r="F515" s="242">
        <v>53.37</v>
      </c>
      <c r="G515" s="243">
        <f t="shared" si="44"/>
        <v>0.54971099999999995</v>
      </c>
      <c r="H515" s="35"/>
      <c r="I515" s="35"/>
      <c r="J515" s="21"/>
    </row>
    <row r="516" spans="1:10" s="117" customFormat="1" ht="31.5" x14ac:dyDescent="0.25">
      <c r="B516" s="585" t="s">
        <v>395</v>
      </c>
      <c r="C516" s="253" t="s">
        <v>849</v>
      </c>
      <c r="D516" s="252" t="s">
        <v>124</v>
      </c>
      <c r="E516" s="304" t="s">
        <v>384</v>
      </c>
      <c r="F516" s="242">
        <v>236.83</v>
      </c>
      <c r="G516" s="243">
        <f t="shared" si="44"/>
        <v>1.8235910000000002</v>
      </c>
      <c r="H516" s="35"/>
      <c r="I516" s="35"/>
      <c r="J516" s="21"/>
    </row>
    <row r="517" spans="1:10" s="117" customFormat="1" ht="31.5" x14ac:dyDescent="0.25">
      <c r="B517" s="585" t="s">
        <v>396</v>
      </c>
      <c r="C517" s="253" t="s">
        <v>850</v>
      </c>
      <c r="D517" s="252" t="s">
        <v>125</v>
      </c>
      <c r="E517" s="304" t="s">
        <v>385</v>
      </c>
      <c r="F517" s="242">
        <v>86.87</v>
      </c>
      <c r="G517" s="243">
        <f t="shared" si="44"/>
        <v>0.72970800000000002</v>
      </c>
      <c r="H517" s="35"/>
      <c r="I517" s="35"/>
      <c r="J517" s="21"/>
    </row>
    <row r="518" spans="1:10" s="117" customFormat="1" x14ac:dyDescent="0.25">
      <c r="B518" s="585" t="s">
        <v>93</v>
      </c>
      <c r="C518" s="253" t="s">
        <v>94</v>
      </c>
      <c r="D518" s="252" t="s">
        <v>91</v>
      </c>
      <c r="E518" s="304" t="s">
        <v>388</v>
      </c>
      <c r="F518" s="242">
        <v>18.84</v>
      </c>
      <c r="G518" s="243">
        <f t="shared" si="44"/>
        <v>1.060692</v>
      </c>
      <c r="H518" s="35"/>
      <c r="I518" s="35"/>
      <c r="J518" s="21"/>
    </row>
    <row r="519" spans="1:10" s="155" customFormat="1" x14ac:dyDescent="0.25">
      <c r="B519" s="585" t="s">
        <v>1755</v>
      </c>
      <c r="C519" s="253" t="s">
        <v>1754</v>
      </c>
      <c r="D519" s="252" t="s">
        <v>89</v>
      </c>
      <c r="E519" s="304">
        <v>1.3</v>
      </c>
      <c r="F519" s="242">
        <v>57.97</v>
      </c>
      <c r="G519" s="243">
        <f t="shared" si="44"/>
        <v>75.361000000000004</v>
      </c>
      <c r="H519" s="35"/>
      <c r="I519" s="35"/>
      <c r="J519" s="22"/>
    </row>
    <row r="520" spans="1:10" s="117" customFormat="1" ht="31.5" x14ac:dyDescent="0.25">
      <c r="B520" s="585" t="s">
        <v>397</v>
      </c>
      <c r="C520" s="253" t="s">
        <v>851</v>
      </c>
      <c r="D520" s="252" t="s">
        <v>124</v>
      </c>
      <c r="E520" s="304" t="s">
        <v>389</v>
      </c>
      <c r="F520" s="242">
        <v>181.85</v>
      </c>
      <c r="G520" s="243">
        <f t="shared" si="44"/>
        <v>0.70921499999999993</v>
      </c>
      <c r="H520" s="35"/>
      <c r="I520" s="35"/>
      <c r="J520" s="21"/>
    </row>
    <row r="521" spans="1:10" s="117" customFormat="1" ht="31.5" x14ac:dyDescent="0.25">
      <c r="B521" s="585" t="s">
        <v>398</v>
      </c>
      <c r="C521" s="253" t="s">
        <v>852</v>
      </c>
      <c r="D521" s="252" t="s">
        <v>125</v>
      </c>
      <c r="E521" s="304" t="s">
        <v>390</v>
      </c>
      <c r="F521" s="242">
        <v>70.36</v>
      </c>
      <c r="G521" s="243">
        <f t="shared" si="44"/>
        <v>0.85839200000000004</v>
      </c>
      <c r="H521" s="35"/>
      <c r="I521" s="35"/>
      <c r="J521" s="21"/>
    </row>
    <row r="522" spans="1:10" s="116" customFormat="1" x14ac:dyDescent="0.25">
      <c r="B522" s="623" t="s">
        <v>34</v>
      </c>
      <c r="C522" s="623"/>
      <c r="D522" s="623"/>
      <c r="E522" s="623"/>
      <c r="F522" s="623"/>
      <c r="G522" s="245">
        <f>SUM(G512:G521)</f>
        <v>84.112611000000001</v>
      </c>
      <c r="H522" s="35"/>
      <c r="I522" s="35"/>
      <c r="J522" s="21"/>
    </row>
    <row r="523" spans="1:10" s="116" customFormat="1" x14ac:dyDescent="0.25">
      <c r="B523" s="47"/>
      <c r="C523" s="47"/>
      <c r="D523" s="310"/>
      <c r="E523" s="250"/>
      <c r="F523" s="288"/>
      <c r="G523" s="251"/>
      <c r="H523" s="35"/>
      <c r="I523" s="35"/>
      <c r="J523" s="21"/>
    </row>
    <row r="524" spans="1:10" s="117" customFormat="1" ht="34.5" customHeight="1" x14ac:dyDescent="0.25">
      <c r="B524" s="165" t="s">
        <v>133</v>
      </c>
      <c r="C524" s="622" t="str">
        <f>ORÇAMENTO!C193</f>
        <v>PISO PODOTÁTIL DE CONCRETO, TAMANHO 40x40 CM, ESPESSURA 2,5 CM, SINALIZAÇÃO DE ALERTA E DIRECIONAL, COR VERMELHA, APLICADO COM ARGAMASSA E REJUNTADO</v>
      </c>
      <c r="D524" s="622"/>
      <c r="E524" s="622"/>
      <c r="F524" s="622"/>
      <c r="G524" s="622"/>
      <c r="H524" s="35"/>
      <c r="I524" s="35"/>
      <c r="J524" s="21"/>
    </row>
    <row r="525" spans="1:10" s="34" customFormat="1" x14ac:dyDescent="0.25">
      <c r="A525" s="11"/>
      <c r="B525" s="113" t="s">
        <v>84</v>
      </c>
      <c r="C525" s="236" t="s">
        <v>85</v>
      </c>
      <c r="D525" s="113" t="s">
        <v>31</v>
      </c>
      <c r="E525" s="237" t="s">
        <v>86</v>
      </c>
      <c r="F525" s="238" t="s">
        <v>87</v>
      </c>
      <c r="G525" s="239" t="s">
        <v>88</v>
      </c>
      <c r="H525" s="35"/>
      <c r="I525" s="35"/>
      <c r="J525" s="22"/>
    </row>
    <row r="526" spans="1:10" s="34" customFormat="1" x14ac:dyDescent="0.25">
      <c r="A526" s="11"/>
      <c r="B526" s="583" t="s">
        <v>95</v>
      </c>
      <c r="C526" s="240" t="s">
        <v>96</v>
      </c>
      <c r="D526" s="48" t="s">
        <v>91</v>
      </c>
      <c r="E526" s="241">
        <v>0.5</v>
      </c>
      <c r="F526" s="242">
        <v>22.79</v>
      </c>
      <c r="G526" s="243">
        <f>E526*F526</f>
        <v>11.395</v>
      </c>
      <c r="H526" s="35"/>
      <c r="I526" s="35"/>
      <c r="J526" s="22"/>
    </row>
    <row r="527" spans="1:10" s="34" customFormat="1" x14ac:dyDescent="0.25">
      <c r="A527" s="11"/>
      <c r="B527" s="606" t="s">
        <v>93</v>
      </c>
      <c r="C527" s="240" t="s">
        <v>94</v>
      </c>
      <c r="D527" s="48" t="s">
        <v>91</v>
      </c>
      <c r="E527" s="241">
        <v>1.2</v>
      </c>
      <c r="F527" s="242">
        <v>18.84</v>
      </c>
      <c r="G527" s="243">
        <f t="shared" ref="G527:G530" si="45">E527*F527</f>
        <v>22.608000000000001</v>
      </c>
      <c r="H527" s="35"/>
      <c r="I527" s="35"/>
      <c r="J527" s="22"/>
    </row>
    <row r="528" spans="1:10" s="34" customFormat="1" x14ac:dyDescent="0.25">
      <c r="A528" s="11"/>
      <c r="B528" s="583" t="s">
        <v>101</v>
      </c>
      <c r="C528" s="240" t="s">
        <v>176</v>
      </c>
      <c r="D528" s="48" t="s">
        <v>42</v>
      </c>
      <c r="E528" s="241">
        <v>0.52</v>
      </c>
      <c r="F528" s="242">
        <v>3.4</v>
      </c>
      <c r="G528" s="243">
        <f t="shared" si="45"/>
        <v>1.768</v>
      </c>
      <c r="H528" s="35"/>
      <c r="I528" s="35"/>
      <c r="J528" s="22"/>
    </row>
    <row r="529" spans="1:10" s="34" customFormat="1" x14ac:dyDescent="0.25">
      <c r="A529" s="11"/>
      <c r="B529" s="583" t="s">
        <v>175</v>
      </c>
      <c r="C529" s="240" t="s">
        <v>104</v>
      </c>
      <c r="D529" s="48" t="s">
        <v>42</v>
      </c>
      <c r="E529" s="241">
        <v>4</v>
      </c>
      <c r="F529" s="242">
        <v>0.63</v>
      </c>
      <c r="G529" s="243">
        <f t="shared" si="45"/>
        <v>2.52</v>
      </c>
      <c r="H529" s="35"/>
      <c r="I529" s="35"/>
      <c r="J529" s="22"/>
    </row>
    <row r="530" spans="1:10" s="34" customFormat="1" x14ac:dyDescent="0.25">
      <c r="A530" s="11"/>
      <c r="B530" s="583" t="s">
        <v>216</v>
      </c>
      <c r="C530" s="244" t="s">
        <v>242</v>
      </c>
      <c r="D530" s="48" t="s">
        <v>31</v>
      </c>
      <c r="E530" s="241">
        <v>6.25</v>
      </c>
      <c r="F530" s="242">
        <v>11.52</v>
      </c>
      <c r="G530" s="243">
        <f t="shared" si="45"/>
        <v>72</v>
      </c>
      <c r="H530" s="35"/>
      <c r="I530" s="35"/>
      <c r="J530" s="22"/>
    </row>
    <row r="531" spans="1:10" s="105" customFormat="1" x14ac:dyDescent="0.25">
      <c r="A531" s="103"/>
      <c r="B531" s="623" t="s">
        <v>121</v>
      </c>
      <c r="C531" s="623"/>
      <c r="D531" s="623"/>
      <c r="E531" s="623"/>
      <c r="F531" s="623"/>
      <c r="G531" s="245">
        <f>SUM(G526:G530)</f>
        <v>110.291</v>
      </c>
      <c r="H531" s="311"/>
      <c r="I531" s="311"/>
      <c r="J531" s="104"/>
    </row>
    <row r="532" spans="1:10" s="23" customFormat="1" x14ac:dyDescent="0.25">
      <c r="A532" s="7"/>
      <c r="B532" s="246"/>
      <c r="C532" s="246"/>
      <c r="D532" s="80"/>
      <c r="E532" s="247"/>
      <c r="F532" s="246"/>
      <c r="G532" s="248"/>
      <c r="H532" s="35"/>
      <c r="I532" s="35"/>
      <c r="J532" s="21"/>
    </row>
    <row r="533" spans="1:10" s="34" customFormat="1" ht="31.5" x14ac:dyDescent="0.25">
      <c r="A533" s="11"/>
      <c r="B533" s="165" t="s">
        <v>456</v>
      </c>
      <c r="C533" s="622" t="str">
        <f>ORÇAMENTO!C201</f>
        <v xml:space="preserve">CONTRAPISO EM CONCRETO FCK 15 MPA, INCLUSIVE LANÇAMENTO, ADENSAMENTO E ADITIVO IMPERMEABILIZANTE, COM 8 CM DE ESPESSURA </v>
      </c>
      <c r="D533" s="622"/>
      <c r="E533" s="622"/>
      <c r="F533" s="622"/>
      <c r="G533" s="622"/>
      <c r="H533" s="35"/>
      <c r="I533" s="35"/>
      <c r="J533" s="22"/>
    </row>
    <row r="534" spans="1:10" s="34" customFormat="1" x14ac:dyDescent="0.25">
      <c r="A534" s="11"/>
      <c r="B534" s="113" t="s">
        <v>84</v>
      </c>
      <c r="C534" s="236" t="s">
        <v>85</v>
      </c>
      <c r="D534" s="113" t="s">
        <v>31</v>
      </c>
      <c r="E534" s="237" t="s">
        <v>86</v>
      </c>
      <c r="F534" s="238" t="s">
        <v>87</v>
      </c>
      <c r="G534" s="239" t="s">
        <v>88</v>
      </c>
      <c r="H534" s="35"/>
      <c r="I534" s="35"/>
      <c r="J534" s="22"/>
    </row>
    <row r="535" spans="1:10" s="34" customFormat="1" x14ac:dyDescent="0.25">
      <c r="A535" s="11"/>
      <c r="B535" s="585" t="s">
        <v>95</v>
      </c>
      <c r="C535" s="253" t="s">
        <v>96</v>
      </c>
      <c r="D535" s="252" t="s">
        <v>91</v>
      </c>
      <c r="E535" s="304">
        <v>2</v>
      </c>
      <c r="F535" s="242">
        <v>22.79</v>
      </c>
      <c r="G535" s="243">
        <f t="shared" ref="G535:G538" si="46">E535*F535</f>
        <v>45.58</v>
      </c>
      <c r="H535" s="35"/>
      <c r="I535" s="35"/>
      <c r="J535" s="22"/>
    </row>
    <row r="536" spans="1:10" s="34" customFormat="1" x14ac:dyDescent="0.25">
      <c r="A536" s="11"/>
      <c r="B536" s="585" t="s">
        <v>93</v>
      </c>
      <c r="C536" s="253" t="s">
        <v>94</v>
      </c>
      <c r="D536" s="252" t="s">
        <v>91</v>
      </c>
      <c r="E536" s="304">
        <v>6</v>
      </c>
      <c r="F536" s="242">
        <v>18.84</v>
      </c>
      <c r="G536" s="243">
        <f t="shared" si="46"/>
        <v>113.03999999999999</v>
      </c>
      <c r="H536" s="35"/>
      <c r="I536" s="35"/>
      <c r="J536" s="22"/>
    </row>
    <row r="537" spans="1:10" s="34" customFormat="1" ht="31.5" x14ac:dyDescent="0.25">
      <c r="A537" s="11"/>
      <c r="B537" s="585" t="s">
        <v>126</v>
      </c>
      <c r="C537" s="253" t="s">
        <v>198</v>
      </c>
      <c r="D537" s="252" t="s">
        <v>89</v>
      </c>
      <c r="E537" s="304">
        <v>1</v>
      </c>
      <c r="F537" s="242">
        <v>372.89</v>
      </c>
      <c r="G537" s="243">
        <f t="shared" si="46"/>
        <v>372.89</v>
      </c>
      <c r="H537" s="35"/>
      <c r="I537" s="35"/>
      <c r="J537" s="22"/>
    </row>
    <row r="538" spans="1:10" s="34" customFormat="1" x14ac:dyDescent="0.25">
      <c r="A538" s="11"/>
      <c r="B538" s="585" t="s">
        <v>1758</v>
      </c>
      <c r="C538" s="253" t="s">
        <v>177</v>
      </c>
      <c r="D538" s="252" t="s">
        <v>42</v>
      </c>
      <c r="E538" s="304">
        <v>20</v>
      </c>
      <c r="F538" s="242">
        <v>6.01</v>
      </c>
      <c r="G538" s="243">
        <f t="shared" si="46"/>
        <v>120.19999999999999</v>
      </c>
      <c r="H538" s="35"/>
      <c r="I538" s="35"/>
      <c r="J538" s="22"/>
    </row>
    <row r="539" spans="1:10" s="34" customFormat="1" x14ac:dyDescent="0.25">
      <c r="A539" s="11"/>
      <c r="B539" s="623" t="s">
        <v>34</v>
      </c>
      <c r="C539" s="623"/>
      <c r="D539" s="623"/>
      <c r="E539" s="623"/>
      <c r="F539" s="623"/>
      <c r="G539" s="245">
        <f>SUM(G535:G538)</f>
        <v>651.71</v>
      </c>
      <c r="H539" s="35"/>
      <c r="I539" s="35"/>
      <c r="J539" s="22"/>
    </row>
    <row r="540" spans="1:10" s="34" customFormat="1" x14ac:dyDescent="0.25">
      <c r="A540" s="11"/>
      <c r="B540" s="246"/>
      <c r="C540" s="246"/>
      <c r="D540" s="80"/>
      <c r="E540" s="247"/>
      <c r="F540" s="246"/>
      <c r="G540" s="248"/>
      <c r="H540" s="35"/>
      <c r="I540" s="35"/>
      <c r="J540" s="22"/>
    </row>
    <row r="541" spans="1:10" s="34" customFormat="1" ht="31.5" x14ac:dyDescent="0.25">
      <c r="A541" s="11"/>
      <c r="B541" s="165" t="s">
        <v>458</v>
      </c>
      <c r="C541" s="622" t="str">
        <f>ORÇAMENTO!C203</f>
        <v>REVESTIMENTO PORCELANATO PARA PISO, REFERÊNCIA MARCA PORTINARI ESMALTADO ACETINADO BORDA RETA COLEÇÃO LOFT COR BRANCA PEI 4, DIMENSÕES 60 X 120 CM, INCLUSIVE ARGAMASSA DE ASSENTAMENTO AC III E REJUNTE, CONFORME ESPECIFICAÇÕES E PROJETO (20% QUEBRA)</v>
      </c>
      <c r="D541" s="622"/>
      <c r="E541" s="622"/>
      <c r="F541" s="622"/>
      <c r="G541" s="622"/>
      <c r="H541" s="35"/>
      <c r="I541" s="35"/>
      <c r="J541" s="22"/>
    </row>
    <row r="542" spans="1:10" s="34" customFormat="1" x14ac:dyDescent="0.25">
      <c r="A542" s="11"/>
      <c r="B542" s="113" t="s">
        <v>84</v>
      </c>
      <c r="C542" s="236" t="s">
        <v>85</v>
      </c>
      <c r="D542" s="113" t="s">
        <v>31</v>
      </c>
      <c r="E542" s="237" t="s">
        <v>86</v>
      </c>
      <c r="F542" s="238" t="s">
        <v>87</v>
      </c>
      <c r="G542" s="239" t="s">
        <v>88</v>
      </c>
      <c r="H542" s="35"/>
      <c r="I542" s="35"/>
      <c r="J542" s="22"/>
    </row>
    <row r="543" spans="1:10" s="105" customFormat="1" ht="31.5" x14ac:dyDescent="0.25">
      <c r="A543" s="103"/>
      <c r="B543" s="585" t="s">
        <v>2005</v>
      </c>
      <c r="C543" s="380" t="s">
        <v>1759</v>
      </c>
      <c r="D543" s="379" t="s">
        <v>53</v>
      </c>
      <c r="E543" s="381">
        <v>1.05</v>
      </c>
      <c r="F543" s="242">
        <v>136.71</v>
      </c>
      <c r="G543" s="309">
        <f>E543*F543</f>
        <v>143.5455</v>
      </c>
      <c r="H543" s="311"/>
      <c r="I543" s="311"/>
      <c r="J543" s="104"/>
    </row>
    <row r="544" spans="1:10" s="34" customFormat="1" x14ac:dyDescent="0.25">
      <c r="A544" s="11"/>
      <c r="B544" s="585" t="s">
        <v>101</v>
      </c>
      <c r="C544" s="253" t="s">
        <v>176</v>
      </c>
      <c r="D544" s="252" t="s">
        <v>42</v>
      </c>
      <c r="E544" s="304" t="s">
        <v>421</v>
      </c>
      <c r="F544" s="242">
        <v>3.4</v>
      </c>
      <c r="G544" s="243">
        <f t="shared" ref="G544:G547" si="47">E544*F544</f>
        <v>0.81599999999999995</v>
      </c>
      <c r="H544" s="35"/>
      <c r="I544" s="35"/>
      <c r="J544" s="22"/>
    </row>
    <row r="545" spans="1:10" s="34" customFormat="1" x14ac:dyDescent="0.25">
      <c r="A545" s="11"/>
      <c r="B545" s="585" t="s">
        <v>426</v>
      </c>
      <c r="C545" s="253" t="s">
        <v>422</v>
      </c>
      <c r="D545" s="252" t="s">
        <v>42</v>
      </c>
      <c r="E545" s="304" t="s">
        <v>423</v>
      </c>
      <c r="F545" s="242">
        <v>1.78</v>
      </c>
      <c r="G545" s="243">
        <f t="shared" si="47"/>
        <v>15.343599999999999</v>
      </c>
      <c r="H545" s="35"/>
      <c r="I545" s="35"/>
      <c r="J545" s="22"/>
    </row>
    <row r="546" spans="1:10" s="34" customFormat="1" x14ac:dyDescent="0.25">
      <c r="A546" s="11"/>
      <c r="B546" s="585" t="s">
        <v>427</v>
      </c>
      <c r="C546" s="253" t="s">
        <v>424</v>
      </c>
      <c r="D546" s="252" t="s">
        <v>91</v>
      </c>
      <c r="E546" s="304">
        <f>0.39*1.5</f>
        <v>0.58499999999999996</v>
      </c>
      <c r="F546" s="242">
        <v>22.7</v>
      </c>
      <c r="G546" s="243">
        <f t="shared" si="47"/>
        <v>13.279499999999999</v>
      </c>
      <c r="H546" s="35"/>
      <c r="I546" s="35"/>
      <c r="J546" s="22"/>
    </row>
    <row r="547" spans="1:10" s="34" customFormat="1" x14ac:dyDescent="0.25">
      <c r="A547" s="11"/>
      <c r="B547" s="585" t="s">
        <v>93</v>
      </c>
      <c r="C547" s="253" t="s">
        <v>94</v>
      </c>
      <c r="D547" s="252" t="s">
        <v>91</v>
      </c>
      <c r="E547" s="304" t="s">
        <v>425</v>
      </c>
      <c r="F547" s="242">
        <v>18.84</v>
      </c>
      <c r="G547" s="243">
        <f t="shared" si="47"/>
        <v>3.5796000000000001</v>
      </c>
      <c r="H547" s="35"/>
      <c r="I547" s="35"/>
      <c r="J547" s="22"/>
    </row>
    <row r="548" spans="1:10" s="34" customFormat="1" x14ac:dyDescent="0.25">
      <c r="A548" s="11"/>
      <c r="B548" s="623" t="s">
        <v>34</v>
      </c>
      <c r="C548" s="623"/>
      <c r="D548" s="623"/>
      <c r="E548" s="623"/>
      <c r="F548" s="623"/>
      <c r="G548" s="245">
        <f>SUM(G543:G547)</f>
        <v>176.5642</v>
      </c>
      <c r="H548" s="35"/>
      <c r="I548" s="35"/>
      <c r="J548" s="22"/>
    </row>
    <row r="549" spans="1:10" s="34" customFormat="1" x14ac:dyDescent="0.25">
      <c r="A549" s="11"/>
      <c r="B549" s="246"/>
      <c r="C549" s="246"/>
      <c r="D549" s="80"/>
      <c r="E549" s="247"/>
      <c r="F549" s="246"/>
      <c r="G549" s="248"/>
      <c r="H549" s="35"/>
      <c r="I549" s="35"/>
      <c r="J549" s="22"/>
    </row>
    <row r="550" spans="1:10" s="34" customFormat="1" ht="31.5" x14ac:dyDescent="0.25">
      <c r="A550" s="11"/>
      <c r="B550" s="165" t="s">
        <v>457</v>
      </c>
      <c r="C550" s="622" t="str">
        <f>ORÇAMENTO!C204</f>
        <v>REVESTIMENTO PORCELANATO PARA PISO, REFERÊNCIA MARCA PORTOBELLO  LINHA PIERRE BELLE COR PIERRE BELLE CREME (CÓDIGO 27809E) PEI 4, DIMENSÕES 60 X 120 CM, INCLUSIVE ARGAMASSA DE ASSENTAMENTO AC III E REJUNTE, CONFORME ESPECIFICAÇÕES E PROJETO (20% QUEBRA)</v>
      </c>
      <c r="D550" s="622"/>
      <c r="E550" s="622"/>
      <c r="F550" s="622"/>
      <c r="G550" s="622"/>
      <c r="H550" s="35"/>
      <c r="I550" s="35"/>
      <c r="J550" s="22"/>
    </row>
    <row r="551" spans="1:10" s="34" customFormat="1" x14ac:dyDescent="0.25">
      <c r="A551" s="11"/>
      <c r="B551" s="113" t="s">
        <v>84</v>
      </c>
      <c r="C551" s="236" t="s">
        <v>85</v>
      </c>
      <c r="D551" s="113" t="s">
        <v>31</v>
      </c>
      <c r="E551" s="237" t="s">
        <v>86</v>
      </c>
      <c r="F551" s="238" t="s">
        <v>87</v>
      </c>
      <c r="G551" s="239" t="s">
        <v>88</v>
      </c>
      <c r="H551" s="35"/>
      <c r="I551" s="35"/>
      <c r="J551" s="22"/>
    </row>
    <row r="552" spans="1:10" s="105" customFormat="1" ht="31.5" x14ac:dyDescent="0.25">
      <c r="A552" s="103"/>
      <c r="B552" s="585" t="s">
        <v>2006</v>
      </c>
      <c r="C552" s="380" t="s">
        <v>428</v>
      </c>
      <c r="D552" s="379" t="s">
        <v>53</v>
      </c>
      <c r="E552" s="381">
        <v>1.05</v>
      </c>
      <c r="F552" s="242">
        <v>136.71</v>
      </c>
      <c r="G552" s="309">
        <f>E552*F552</f>
        <v>143.5455</v>
      </c>
      <c r="H552" s="311"/>
      <c r="I552" s="311"/>
      <c r="J552" s="104"/>
    </row>
    <row r="553" spans="1:10" s="34" customFormat="1" x14ac:dyDescent="0.25">
      <c r="A553" s="11"/>
      <c r="B553" s="585" t="s">
        <v>101</v>
      </c>
      <c r="C553" s="253" t="s">
        <v>176</v>
      </c>
      <c r="D553" s="252" t="s">
        <v>42</v>
      </c>
      <c r="E553" s="304" t="s">
        <v>421</v>
      </c>
      <c r="F553" s="242">
        <v>3.4</v>
      </c>
      <c r="G553" s="243">
        <f t="shared" ref="G553:G556" si="48">E553*F553</f>
        <v>0.81599999999999995</v>
      </c>
      <c r="H553" s="35"/>
      <c r="I553" s="35"/>
      <c r="J553" s="22"/>
    </row>
    <row r="554" spans="1:10" s="34" customFormat="1" x14ac:dyDescent="0.25">
      <c r="A554" s="11"/>
      <c r="B554" s="585" t="s">
        <v>426</v>
      </c>
      <c r="C554" s="253" t="s">
        <v>422</v>
      </c>
      <c r="D554" s="252" t="s">
        <v>42</v>
      </c>
      <c r="E554" s="304" t="s">
        <v>423</v>
      </c>
      <c r="F554" s="242">
        <v>1.78</v>
      </c>
      <c r="G554" s="243">
        <f t="shared" si="48"/>
        <v>15.343599999999999</v>
      </c>
      <c r="H554" s="35"/>
      <c r="I554" s="35"/>
      <c r="J554" s="22"/>
    </row>
    <row r="555" spans="1:10" s="34" customFormat="1" x14ac:dyDescent="0.25">
      <c r="A555" s="11"/>
      <c r="B555" s="585" t="s">
        <v>427</v>
      </c>
      <c r="C555" s="253" t="s">
        <v>424</v>
      </c>
      <c r="D555" s="252" t="s">
        <v>91</v>
      </c>
      <c r="E555" s="304">
        <f>0.39*1.5</f>
        <v>0.58499999999999996</v>
      </c>
      <c r="F555" s="242">
        <v>22.7</v>
      </c>
      <c r="G555" s="243">
        <f t="shared" si="48"/>
        <v>13.279499999999999</v>
      </c>
      <c r="H555" s="35"/>
      <c r="I555" s="35"/>
      <c r="J555" s="22"/>
    </row>
    <row r="556" spans="1:10" s="34" customFormat="1" x14ac:dyDescent="0.25">
      <c r="A556" s="11"/>
      <c r="B556" s="585" t="s">
        <v>93</v>
      </c>
      <c r="C556" s="253" t="s">
        <v>94</v>
      </c>
      <c r="D556" s="252" t="s">
        <v>91</v>
      </c>
      <c r="E556" s="304" t="s">
        <v>425</v>
      </c>
      <c r="F556" s="242">
        <v>18.84</v>
      </c>
      <c r="G556" s="243">
        <f t="shared" si="48"/>
        <v>3.5796000000000001</v>
      </c>
      <c r="H556" s="35"/>
      <c r="I556" s="35"/>
      <c r="J556" s="22"/>
    </row>
    <row r="557" spans="1:10" s="34" customFormat="1" x14ac:dyDescent="0.25">
      <c r="A557" s="11"/>
      <c r="B557" s="623" t="s">
        <v>34</v>
      </c>
      <c r="C557" s="623"/>
      <c r="D557" s="623"/>
      <c r="E557" s="623"/>
      <c r="F557" s="623"/>
      <c r="G557" s="245">
        <f>SUM(G552:G556)</f>
        <v>176.5642</v>
      </c>
      <c r="H557" s="35"/>
      <c r="I557" s="35"/>
      <c r="J557" s="22"/>
    </row>
    <row r="558" spans="1:10" s="34" customFormat="1" x14ac:dyDescent="0.25">
      <c r="A558" s="11"/>
      <c r="B558" s="246"/>
      <c r="C558" s="246"/>
      <c r="D558" s="80"/>
      <c r="E558" s="247"/>
      <c r="F558" s="246"/>
      <c r="G558" s="248"/>
      <c r="H558" s="35"/>
      <c r="I558" s="35"/>
      <c r="J558" s="22"/>
    </row>
    <row r="559" spans="1:10" s="32" customFormat="1" ht="31.5" x14ac:dyDescent="0.25">
      <c r="A559" s="33"/>
      <c r="B559" s="165" t="s">
        <v>459</v>
      </c>
      <c r="C559" s="622" t="str">
        <f>ORÇAMENTO!C205</f>
        <v>PAVIMENTAÇÃO COM PISO TÁTIL DIRECIONAL E/OU ALERTA, EM BORRACHA, DIMENSÕES 25x25 CM, APLICADO</v>
      </c>
      <c r="D559" s="622"/>
      <c r="E559" s="622"/>
      <c r="F559" s="622"/>
      <c r="G559" s="622"/>
      <c r="H559" s="35"/>
      <c r="I559" s="35"/>
      <c r="J559" s="21"/>
    </row>
    <row r="560" spans="1:10" s="34" customFormat="1" x14ac:dyDescent="0.25">
      <c r="A560" s="11"/>
      <c r="B560" s="605" t="s">
        <v>404</v>
      </c>
      <c r="C560" s="312" t="s">
        <v>405</v>
      </c>
      <c r="D560" s="102" t="s">
        <v>406</v>
      </c>
      <c r="E560" s="313">
        <v>1</v>
      </c>
      <c r="F560" s="292">
        <v>192.48</v>
      </c>
      <c r="G560" s="292">
        <f>E560*F560</f>
        <v>192.48</v>
      </c>
      <c r="H560" s="35"/>
      <c r="I560" s="35"/>
      <c r="J560" s="22"/>
    </row>
    <row r="561" spans="1:10" s="117" customFormat="1" x14ac:dyDescent="0.25">
      <c r="A561" s="33"/>
      <c r="B561" s="605" t="s">
        <v>93</v>
      </c>
      <c r="C561" s="312" t="s">
        <v>94</v>
      </c>
      <c r="D561" s="102" t="s">
        <v>91</v>
      </c>
      <c r="E561" s="313">
        <v>1.2</v>
      </c>
      <c r="F561" s="292">
        <v>18.84</v>
      </c>
      <c r="G561" s="292">
        <f t="shared" ref="G561:G562" si="49">E561*F561</f>
        <v>22.608000000000001</v>
      </c>
      <c r="H561" s="35"/>
      <c r="I561" s="35"/>
      <c r="J561" s="21"/>
    </row>
    <row r="562" spans="1:10" s="117" customFormat="1" x14ac:dyDescent="0.25">
      <c r="A562" s="33"/>
      <c r="B562" s="605" t="s">
        <v>407</v>
      </c>
      <c r="C562" s="312" t="s">
        <v>408</v>
      </c>
      <c r="D562" s="109" t="s">
        <v>409</v>
      </c>
      <c r="E562" s="313">
        <v>1</v>
      </c>
      <c r="F562" s="292">
        <v>30.89</v>
      </c>
      <c r="G562" s="292">
        <f t="shared" si="49"/>
        <v>30.89</v>
      </c>
      <c r="H562" s="35"/>
      <c r="I562" s="35"/>
      <c r="J562" s="21"/>
    </row>
    <row r="563" spans="1:10" s="117" customFormat="1" x14ac:dyDescent="0.25">
      <c r="A563" s="33"/>
      <c r="B563" s="623" t="s">
        <v>34</v>
      </c>
      <c r="C563" s="623"/>
      <c r="D563" s="623"/>
      <c r="E563" s="623"/>
      <c r="F563" s="623"/>
      <c r="G563" s="245">
        <f>SUM(G560:G562)</f>
        <v>245.97800000000001</v>
      </c>
      <c r="H563" s="35"/>
      <c r="I563" s="35"/>
      <c r="J563" s="21"/>
    </row>
    <row r="564" spans="1:10" s="34" customFormat="1" x14ac:dyDescent="0.25">
      <c r="A564" s="11"/>
      <c r="B564" s="35"/>
      <c r="C564" s="35"/>
      <c r="D564" s="480"/>
      <c r="E564" s="314"/>
      <c r="F564" s="35"/>
      <c r="G564" s="35"/>
      <c r="H564" s="35"/>
      <c r="I564" s="35"/>
      <c r="J564" s="22"/>
    </row>
    <row r="565" spans="1:10" s="34" customFormat="1" x14ac:dyDescent="0.25">
      <c r="A565" s="11"/>
      <c r="B565" s="235" t="s">
        <v>138</v>
      </c>
      <c r="C565" s="622" t="s">
        <v>429</v>
      </c>
      <c r="D565" s="622"/>
      <c r="E565" s="622"/>
      <c r="F565" s="622"/>
      <c r="G565" s="622"/>
      <c r="H565" s="35"/>
      <c r="I565" s="35"/>
      <c r="J565" s="22"/>
    </row>
    <row r="566" spans="1:10" s="34" customFormat="1" x14ac:dyDescent="0.25">
      <c r="A566" s="11"/>
      <c r="B566" s="113" t="s">
        <v>84</v>
      </c>
      <c r="C566" s="236" t="s">
        <v>85</v>
      </c>
      <c r="D566" s="113" t="s">
        <v>31</v>
      </c>
      <c r="E566" s="237" t="s">
        <v>86</v>
      </c>
      <c r="F566" s="238" t="s">
        <v>87</v>
      </c>
      <c r="G566" s="239" t="s">
        <v>88</v>
      </c>
      <c r="H566" s="35"/>
      <c r="I566" s="35"/>
      <c r="J566" s="22"/>
    </row>
    <row r="567" spans="1:10" s="34" customFormat="1" x14ac:dyDescent="0.25">
      <c r="A567" s="11"/>
      <c r="B567" s="583" t="s">
        <v>95</v>
      </c>
      <c r="C567" s="240" t="s">
        <v>96</v>
      </c>
      <c r="D567" s="48" t="s">
        <v>91</v>
      </c>
      <c r="E567" s="241">
        <v>0.8</v>
      </c>
      <c r="F567" s="242">
        <v>22.79</v>
      </c>
      <c r="G567" s="243">
        <f>E567*F567</f>
        <v>18.231999999999999</v>
      </c>
      <c r="H567" s="35"/>
      <c r="I567" s="35"/>
      <c r="J567" s="22"/>
    </row>
    <row r="568" spans="1:10" s="105" customFormat="1" x14ac:dyDescent="0.25">
      <c r="A568" s="103"/>
      <c r="B568" s="583" t="s">
        <v>1760</v>
      </c>
      <c r="C568" s="240" t="s">
        <v>414</v>
      </c>
      <c r="D568" s="49" t="s">
        <v>73</v>
      </c>
      <c r="E568" s="241">
        <v>1</v>
      </c>
      <c r="F568" s="242">
        <v>91.91</v>
      </c>
      <c r="G568" s="309">
        <f t="shared" ref="G568:G569" si="50">E568*F568</f>
        <v>91.91</v>
      </c>
      <c r="H568" s="311"/>
      <c r="I568" s="311"/>
      <c r="J568" s="104"/>
    </row>
    <row r="569" spans="1:10" s="34" customFormat="1" x14ac:dyDescent="0.25">
      <c r="A569" s="11"/>
      <c r="B569" s="583" t="s">
        <v>102</v>
      </c>
      <c r="C569" s="244" t="s">
        <v>103</v>
      </c>
      <c r="D569" s="48" t="s">
        <v>89</v>
      </c>
      <c r="E569" s="241">
        <v>3.3E-3</v>
      </c>
      <c r="F569" s="242">
        <v>600.13</v>
      </c>
      <c r="G569" s="243">
        <f t="shared" si="50"/>
        <v>1.980429</v>
      </c>
      <c r="H569" s="35"/>
      <c r="I569" s="35"/>
      <c r="J569" s="22"/>
    </row>
    <row r="570" spans="1:10" s="34" customFormat="1" x14ac:dyDescent="0.25">
      <c r="A570" s="11"/>
      <c r="B570" s="623" t="s">
        <v>155</v>
      </c>
      <c r="C570" s="623"/>
      <c r="D570" s="623"/>
      <c r="E570" s="623"/>
      <c r="F570" s="623"/>
      <c r="G570" s="245">
        <f>SUM(G567:G569)</f>
        <v>112.122429</v>
      </c>
      <c r="H570" s="35"/>
      <c r="I570" s="35"/>
      <c r="J570" s="22"/>
    </row>
    <row r="571" spans="1:10" s="32" customFormat="1" x14ac:dyDescent="0.25">
      <c r="A571" s="33"/>
      <c r="B571" s="246"/>
      <c r="C571" s="246"/>
      <c r="D571" s="80"/>
      <c r="E571" s="247"/>
      <c r="F571" s="246"/>
      <c r="G571" s="248"/>
      <c r="H571" s="35"/>
      <c r="I571" s="35"/>
      <c r="J571" s="21"/>
    </row>
    <row r="572" spans="1:10" s="34" customFormat="1" x14ac:dyDescent="0.25">
      <c r="A572" s="11"/>
      <c r="B572" s="235" t="s">
        <v>460</v>
      </c>
      <c r="C572" s="622" t="str">
        <f>ORÇAMENTO!C211</f>
        <v>SOLEIRA DE GRANITO BRANCO DALLAS LARGURA 27 CM, ESPESSURA 2 CM, ASSENTADO COM ARGAMASSA TRAÇO 1:4 (CIMENTO E AREIA MÉDIA)</v>
      </c>
      <c r="D572" s="622"/>
      <c r="E572" s="622"/>
      <c r="F572" s="622"/>
      <c r="G572" s="622"/>
      <c r="H572" s="35"/>
      <c r="I572" s="35"/>
      <c r="J572" s="22"/>
    </row>
    <row r="573" spans="1:10" s="34" customFormat="1" x14ac:dyDescent="0.25">
      <c r="A573" s="11"/>
      <c r="B573" s="113" t="s">
        <v>84</v>
      </c>
      <c r="C573" s="236" t="s">
        <v>85</v>
      </c>
      <c r="D573" s="113" t="s">
        <v>31</v>
      </c>
      <c r="E573" s="237" t="s">
        <v>86</v>
      </c>
      <c r="F573" s="238" t="s">
        <v>87</v>
      </c>
      <c r="G573" s="239" t="s">
        <v>88</v>
      </c>
      <c r="H573" s="35"/>
      <c r="I573" s="35"/>
      <c r="J573" s="22"/>
    </row>
    <row r="574" spans="1:10" s="34" customFormat="1" x14ac:dyDescent="0.25">
      <c r="A574" s="11"/>
      <c r="B574" s="583" t="s">
        <v>95</v>
      </c>
      <c r="C574" s="240" t="s">
        <v>96</v>
      </c>
      <c r="D574" s="48" t="s">
        <v>91</v>
      </c>
      <c r="E574" s="241">
        <v>0.8</v>
      </c>
      <c r="F574" s="242">
        <v>22.79</v>
      </c>
      <c r="G574" s="243">
        <f>E574*F574</f>
        <v>18.231999999999999</v>
      </c>
      <c r="H574" s="35"/>
      <c r="I574" s="35"/>
      <c r="J574" s="22"/>
    </row>
    <row r="575" spans="1:10" s="105" customFormat="1" x14ac:dyDescent="0.25">
      <c r="A575" s="103"/>
      <c r="B575" s="583" t="s">
        <v>1923</v>
      </c>
      <c r="C575" s="240" t="s">
        <v>415</v>
      </c>
      <c r="D575" s="49" t="s">
        <v>53</v>
      </c>
      <c r="E575" s="241">
        <v>1</v>
      </c>
      <c r="F575" s="242">
        <v>353.05</v>
      </c>
      <c r="G575" s="309">
        <f t="shared" ref="G575:G576" si="51">E575*F575</f>
        <v>353.05</v>
      </c>
      <c r="H575" s="311"/>
      <c r="I575" s="311"/>
      <c r="J575" s="104"/>
    </row>
    <row r="576" spans="1:10" s="34" customFormat="1" x14ac:dyDescent="0.25">
      <c r="A576" s="11"/>
      <c r="B576" s="583" t="s">
        <v>102</v>
      </c>
      <c r="C576" s="244" t="s">
        <v>103</v>
      </c>
      <c r="D576" s="48" t="s">
        <v>89</v>
      </c>
      <c r="E576" s="241">
        <v>3.3E-3</v>
      </c>
      <c r="F576" s="242">
        <v>600.13</v>
      </c>
      <c r="G576" s="243">
        <f t="shared" si="51"/>
        <v>1.980429</v>
      </c>
      <c r="H576" s="35"/>
      <c r="I576" s="35"/>
      <c r="J576" s="22"/>
    </row>
    <row r="577" spans="1:10" s="34" customFormat="1" x14ac:dyDescent="0.25">
      <c r="A577" s="11"/>
      <c r="B577" s="623" t="s">
        <v>121</v>
      </c>
      <c r="C577" s="623"/>
      <c r="D577" s="623"/>
      <c r="E577" s="623"/>
      <c r="F577" s="623"/>
      <c r="G577" s="245">
        <f>SUM(G574:G576)</f>
        <v>373.26242900000005</v>
      </c>
      <c r="H577" s="35"/>
      <c r="I577" s="35"/>
      <c r="J577" s="22"/>
    </row>
    <row r="578" spans="1:10" s="34" customFormat="1" x14ac:dyDescent="0.25">
      <c r="A578" s="11"/>
      <c r="B578" s="246"/>
      <c r="C578" s="246"/>
      <c r="D578" s="80"/>
      <c r="E578" s="247"/>
      <c r="F578" s="246"/>
      <c r="G578" s="248"/>
      <c r="H578" s="35"/>
      <c r="I578" s="35"/>
      <c r="J578" s="22"/>
    </row>
    <row r="579" spans="1:10" s="34" customFormat="1" x14ac:dyDescent="0.25">
      <c r="A579" s="11"/>
      <c r="B579" s="226" t="s">
        <v>195</v>
      </c>
      <c r="C579" s="227"/>
      <c r="D579" s="472"/>
      <c r="E579" s="285"/>
      <c r="F579" s="229"/>
      <c r="G579" s="287"/>
      <c r="H579" s="35"/>
      <c r="I579" s="35"/>
      <c r="J579" s="22"/>
    </row>
    <row r="580" spans="1:10" s="155" customFormat="1" x14ac:dyDescent="0.25">
      <c r="A580" s="11"/>
      <c r="B580" s="249"/>
      <c r="C580" s="249"/>
      <c r="D580" s="473"/>
      <c r="E580" s="250"/>
      <c r="F580" s="249"/>
      <c r="G580" s="251"/>
      <c r="H580" s="35"/>
      <c r="I580" s="35"/>
      <c r="J580" s="22"/>
    </row>
    <row r="581" spans="1:10" s="161" customFormat="1" x14ac:dyDescent="0.25">
      <c r="A581" s="160"/>
      <c r="B581" s="626" t="s">
        <v>931</v>
      </c>
      <c r="C581" s="627"/>
      <c r="D581" s="627"/>
      <c r="E581" s="627"/>
      <c r="F581" s="627"/>
      <c r="G581" s="628"/>
      <c r="H581" s="35"/>
      <c r="I581" s="35"/>
    </row>
    <row r="582" spans="1:10" s="155" customFormat="1" x14ac:dyDescent="0.25">
      <c r="A582" s="11"/>
      <c r="B582" s="249"/>
      <c r="C582" s="249"/>
      <c r="D582" s="473"/>
      <c r="E582" s="250"/>
      <c r="F582" s="249"/>
      <c r="G582" s="251"/>
      <c r="H582" s="35"/>
      <c r="I582" s="35"/>
      <c r="J582" s="22"/>
    </row>
    <row r="583" spans="1:10" s="155" customFormat="1" x14ac:dyDescent="0.25">
      <c r="A583" s="11"/>
      <c r="B583" s="315" t="s">
        <v>709</v>
      </c>
      <c r="C583" s="618" t="s">
        <v>1619</v>
      </c>
      <c r="D583" s="618"/>
      <c r="E583" s="618"/>
      <c r="F583" s="618"/>
      <c r="G583" s="618"/>
      <c r="H583" s="35"/>
      <c r="I583" s="35"/>
      <c r="J583" s="22"/>
    </row>
    <row r="584" spans="1:10" s="155" customFormat="1" x14ac:dyDescent="0.25">
      <c r="A584" s="11"/>
      <c r="B584" s="222" t="s">
        <v>84</v>
      </c>
      <c r="C584" s="316" t="s">
        <v>85</v>
      </c>
      <c r="D584" s="222" t="s">
        <v>31</v>
      </c>
      <c r="E584" s="317" t="s">
        <v>86</v>
      </c>
      <c r="F584" s="318" t="s">
        <v>87</v>
      </c>
      <c r="G584" s="319" t="s">
        <v>88</v>
      </c>
      <c r="H584" s="35"/>
      <c r="I584" s="35"/>
      <c r="J584" s="22"/>
    </row>
    <row r="585" spans="1:10" s="155" customFormat="1" ht="32.25" customHeight="1" x14ac:dyDescent="0.25">
      <c r="A585" s="11"/>
      <c r="B585" s="573" t="s">
        <v>1772</v>
      </c>
      <c r="C585" s="208" t="s">
        <v>937</v>
      </c>
      <c r="D585" s="207">
        <v>1</v>
      </c>
      <c r="E585" s="321" t="s">
        <v>73</v>
      </c>
      <c r="F585" s="207">
        <v>11.78</v>
      </c>
      <c r="G585" s="322">
        <f>F585*D585</f>
        <v>11.78</v>
      </c>
      <c r="H585" s="35"/>
      <c r="I585" s="35"/>
      <c r="J585" s="22"/>
    </row>
    <row r="586" spans="1:10" s="155" customFormat="1" x14ac:dyDescent="0.25">
      <c r="A586" s="11"/>
      <c r="B586" s="604" t="s">
        <v>1781</v>
      </c>
      <c r="C586" s="320" t="s">
        <v>938</v>
      </c>
      <c r="D586" s="471">
        <v>0.51300000000000001</v>
      </c>
      <c r="E586" s="321" t="s">
        <v>31</v>
      </c>
      <c r="F586" s="207">
        <v>12.27</v>
      </c>
      <c r="G586" s="322">
        <f>F586*D586</f>
        <v>6.2945099999999998</v>
      </c>
      <c r="H586" s="35"/>
      <c r="I586" s="35"/>
      <c r="J586" s="22"/>
    </row>
    <row r="587" spans="1:10" s="155" customFormat="1" x14ac:dyDescent="0.25">
      <c r="A587" s="11"/>
      <c r="B587" s="624" t="s">
        <v>34</v>
      </c>
      <c r="C587" s="624"/>
      <c r="D587" s="624"/>
      <c r="E587" s="624"/>
      <c r="F587" s="624"/>
      <c r="G587" s="319">
        <f>SUM(G585:G586)</f>
        <v>18.07451</v>
      </c>
      <c r="H587" s="35"/>
      <c r="I587" s="35"/>
      <c r="J587" s="22"/>
    </row>
    <row r="588" spans="1:10" s="155" customFormat="1" x14ac:dyDescent="0.25">
      <c r="A588" s="11"/>
      <c r="B588" s="249"/>
      <c r="C588" s="249"/>
      <c r="D588" s="473"/>
      <c r="E588" s="250"/>
      <c r="F588" s="249"/>
      <c r="G588" s="251"/>
      <c r="H588" s="35"/>
      <c r="I588" s="35"/>
      <c r="J588" s="22"/>
    </row>
    <row r="589" spans="1:10" s="155" customFormat="1" x14ac:dyDescent="0.25">
      <c r="A589" s="11"/>
      <c r="B589" s="315" t="s">
        <v>686</v>
      </c>
      <c r="C589" s="618" t="s">
        <v>1620</v>
      </c>
      <c r="D589" s="618"/>
      <c r="E589" s="618"/>
      <c r="F589" s="618"/>
      <c r="G589" s="618"/>
      <c r="H589" s="35"/>
      <c r="I589" s="35"/>
      <c r="J589" s="22"/>
    </row>
    <row r="590" spans="1:10" s="155" customFormat="1" x14ac:dyDescent="0.25">
      <c r="A590" s="11"/>
      <c r="B590" s="222" t="s">
        <v>84</v>
      </c>
      <c r="C590" s="316" t="s">
        <v>85</v>
      </c>
      <c r="D590" s="222" t="s">
        <v>31</v>
      </c>
      <c r="E590" s="317" t="s">
        <v>86</v>
      </c>
      <c r="F590" s="318" t="s">
        <v>87</v>
      </c>
      <c r="G590" s="319" t="s">
        <v>88</v>
      </c>
      <c r="H590" s="35"/>
      <c r="I590" s="35"/>
      <c r="J590" s="22"/>
    </row>
    <row r="591" spans="1:10" s="105" customFormat="1" ht="31.5" x14ac:dyDescent="0.25">
      <c r="A591" s="103"/>
      <c r="B591" s="573" t="s">
        <v>1773</v>
      </c>
      <c r="C591" s="211" t="s">
        <v>939</v>
      </c>
      <c r="D591" s="210">
        <v>1</v>
      </c>
      <c r="E591" s="486" t="s">
        <v>73</v>
      </c>
      <c r="F591" s="210">
        <v>19.52</v>
      </c>
      <c r="G591" s="487">
        <f>F591*D591</f>
        <v>19.52</v>
      </c>
      <c r="H591" s="311"/>
      <c r="I591" s="311"/>
      <c r="J591" s="104"/>
    </row>
    <row r="592" spans="1:10" s="155" customFormat="1" x14ac:dyDescent="0.25">
      <c r="A592" s="11"/>
      <c r="B592" s="604" t="s">
        <v>1774</v>
      </c>
      <c r="C592" s="320" t="s">
        <v>940</v>
      </c>
      <c r="D592" s="471">
        <v>0.26100000000000001</v>
      </c>
      <c r="E592" s="321" t="s">
        <v>31</v>
      </c>
      <c r="F592" s="207">
        <v>8.24</v>
      </c>
      <c r="G592" s="322">
        <f t="shared" ref="G592:G594" si="52">F592*D592</f>
        <v>2.1506400000000001</v>
      </c>
      <c r="H592" s="35"/>
      <c r="I592" s="35"/>
      <c r="J592" s="22"/>
    </row>
    <row r="593" spans="1:10" s="155" customFormat="1" x14ac:dyDescent="0.25">
      <c r="A593" s="11"/>
      <c r="B593" s="604" t="s">
        <v>1778</v>
      </c>
      <c r="C593" s="320" t="s">
        <v>941</v>
      </c>
      <c r="D593" s="471">
        <v>1.6E-2</v>
      </c>
      <c r="E593" s="321" t="s">
        <v>31</v>
      </c>
      <c r="F593" s="207">
        <v>29.12</v>
      </c>
      <c r="G593" s="322">
        <f t="shared" si="52"/>
        <v>0.46592</v>
      </c>
      <c r="H593" s="35"/>
      <c r="I593" s="35"/>
      <c r="J593" s="22"/>
    </row>
    <row r="594" spans="1:10" s="155" customFormat="1" x14ac:dyDescent="0.25">
      <c r="A594" s="11"/>
      <c r="B594" s="604" t="s">
        <v>1775</v>
      </c>
      <c r="C594" s="320" t="s">
        <v>942</v>
      </c>
      <c r="D594" s="471">
        <v>4.9000000000000002E-2</v>
      </c>
      <c r="E594" s="321" t="s">
        <v>31</v>
      </c>
      <c r="F594" s="207">
        <v>1.45</v>
      </c>
      <c r="G594" s="322">
        <f t="shared" si="52"/>
        <v>7.1050000000000002E-2</v>
      </c>
      <c r="H594" s="35"/>
      <c r="I594" s="35"/>
      <c r="J594" s="22"/>
    </row>
    <row r="595" spans="1:10" s="155" customFormat="1" x14ac:dyDescent="0.25">
      <c r="A595" s="11"/>
      <c r="B595" s="624" t="s">
        <v>34</v>
      </c>
      <c r="C595" s="624"/>
      <c r="D595" s="624"/>
      <c r="E595" s="624"/>
      <c r="F595" s="624"/>
      <c r="G595" s="319">
        <f>SUM(G591:G594)</f>
        <v>22.207609999999999</v>
      </c>
      <c r="H595" s="35" t="str">
        <f t="shared" ref="H595" si="53">UPPER(E595)</f>
        <v/>
      </c>
      <c r="I595" s="35"/>
      <c r="J595" s="22"/>
    </row>
    <row r="596" spans="1:10" s="155" customFormat="1" x14ac:dyDescent="0.25">
      <c r="A596" s="11"/>
      <c r="B596" s="249"/>
      <c r="C596" s="249"/>
      <c r="D596" s="473"/>
      <c r="E596" s="250"/>
      <c r="F596" s="249"/>
      <c r="G596" s="251"/>
      <c r="H596" s="35"/>
      <c r="I596" s="35"/>
      <c r="J596" s="22"/>
    </row>
    <row r="597" spans="1:10" s="155" customFormat="1" x14ac:dyDescent="0.25">
      <c r="A597" s="11"/>
      <c r="B597" s="315" t="s">
        <v>691</v>
      </c>
      <c r="C597" s="618" t="s">
        <v>1621</v>
      </c>
      <c r="D597" s="618"/>
      <c r="E597" s="618"/>
      <c r="F597" s="618"/>
      <c r="G597" s="618"/>
      <c r="H597" s="35"/>
      <c r="I597" s="35"/>
      <c r="J597" s="22"/>
    </row>
    <row r="598" spans="1:10" s="155" customFormat="1" x14ac:dyDescent="0.25">
      <c r="A598" s="11"/>
      <c r="B598" s="222" t="s">
        <v>84</v>
      </c>
      <c r="C598" s="316" t="s">
        <v>85</v>
      </c>
      <c r="D598" s="222" t="s">
        <v>31</v>
      </c>
      <c r="E598" s="317" t="s">
        <v>86</v>
      </c>
      <c r="F598" s="318" t="s">
        <v>87</v>
      </c>
      <c r="G598" s="319" t="s">
        <v>88</v>
      </c>
      <c r="H598" s="35"/>
      <c r="I598" s="35"/>
      <c r="J598" s="22"/>
    </row>
    <row r="599" spans="1:10" s="105" customFormat="1" ht="31.5" x14ac:dyDescent="0.25">
      <c r="A599" s="103"/>
      <c r="B599" s="573" t="s">
        <v>1776</v>
      </c>
      <c r="C599" s="211" t="s">
        <v>943</v>
      </c>
      <c r="D599" s="210">
        <v>1</v>
      </c>
      <c r="E599" s="486" t="s">
        <v>73</v>
      </c>
      <c r="F599" s="490">
        <v>27.94</v>
      </c>
      <c r="G599" s="487">
        <f>F599*D599</f>
        <v>27.94</v>
      </c>
      <c r="H599" s="311"/>
      <c r="I599" s="311"/>
      <c r="J599" s="104"/>
    </row>
    <row r="600" spans="1:10" s="105" customFormat="1" x14ac:dyDescent="0.25">
      <c r="A600" s="103"/>
      <c r="B600" s="604" t="s">
        <v>1777</v>
      </c>
      <c r="C600" s="488" t="s">
        <v>944</v>
      </c>
      <c r="D600" s="489">
        <v>0.20799999999999999</v>
      </c>
      <c r="E600" s="486" t="s">
        <v>31</v>
      </c>
      <c r="F600" s="210">
        <v>14.22</v>
      </c>
      <c r="G600" s="487">
        <f t="shared" ref="G600:G603" si="54">F600*D600</f>
        <v>2.9577599999999999</v>
      </c>
      <c r="H600" s="311"/>
      <c r="I600" s="311"/>
      <c r="J600" s="104"/>
    </row>
    <row r="601" spans="1:10" s="105" customFormat="1" x14ac:dyDescent="0.25">
      <c r="A601" s="103"/>
      <c r="B601" s="604" t="s">
        <v>1778</v>
      </c>
      <c r="C601" s="488" t="s">
        <v>941</v>
      </c>
      <c r="D601" s="489">
        <v>9.4E-2</v>
      </c>
      <c r="E601" s="486" t="s">
        <v>31</v>
      </c>
      <c r="F601" s="210">
        <v>29.12</v>
      </c>
      <c r="G601" s="487">
        <f t="shared" si="54"/>
        <v>2.7372800000000002</v>
      </c>
      <c r="H601" s="311"/>
      <c r="I601" s="311"/>
      <c r="J601" s="104"/>
    </row>
    <row r="602" spans="1:10" s="105" customFormat="1" x14ac:dyDescent="0.25">
      <c r="A602" s="103"/>
      <c r="B602" s="604" t="s">
        <v>1779</v>
      </c>
      <c r="C602" s="488" t="s">
        <v>945</v>
      </c>
      <c r="D602" s="489">
        <v>7.4999999999999997E-2</v>
      </c>
      <c r="E602" s="486" t="s">
        <v>31</v>
      </c>
      <c r="F602" s="210">
        <v>3.12</v>
      </c>
      <c r="G602" s="487">
        <f t="shared" si="54"/>
        <v>0.23399999999999999</v>
      </c>
      <c r="H602" s="311"/>
      <c r="I602" s="311"/>
      <c r="J602" s="104"/>
    </row>
    <row r="603" spans="1:10" s="105" customFormat="1" x14ac:dyDescent="0.25">
      <c r="A603" s="103"/>
      <c r="B603" s="604" t="s">
        <v>1780</v>
      </c>
      <c r="C603" s="488" t="s">
        <v>946</v>
      </c>
      <c r="D603" s="489">
        <v>3.7999999999999999E-2</v>
      </c>
      <c r="E603" s="486" t="s">
        <v>31</v>
      </c>
      <c r="F603" s="210">
        <v>6.11</v>
      </c>
      <c r="G603" s="487">
        <f t="shared" si="54"/>
        <v>0.23218</v>
      </c>
      <c r="H603" s="311"/>
      <c r="I603" s="311"/>
      <c r="J603" s="104"/>
    </row>
    <row r="604" spans="1:10" s="155" customFormat="1" x14ac:dyDescent="0.25">
      <c r="A604" s="11"/>
      <c r="B604" s="624" t="s">
        <v>34</v>
      </c>
      <c r="C604" s="624"/>
      <c r="D604" s="624"/>
      <c r="E604" s="624"/>
      <c r="F604" s="624"/>
      <c r="G604" s="319">
        <f>SUM(G599:G603)</f>
        <v>34.101220000000005</v>
      </c>
      <c r="H604" s="35"/>
      <c r="I604" s="35"/>
      <c r="J604" s="22"/>
    </row>
    <row r="605" spans="1:10" s="155" customFormat="1" x14ac:dyDescent="0.25">
      <c r="A605" s="11"/>
      <c r="B605" s="249"/>
      <c r="C605" s="249"/>
      <c r="D605" s="473"/>
      <c r="E605" s="250"/>
      <c r="F605" s="249"/>
      <c r="G605" s="251"/>
      <c r="H605" s="35"/>
      <c r="I605" s="35"/>
      <c r="J605" s="22"/>
    </row>
    <row r="606" spans="1:10" s="155" customFormat="1" x14ac:dyDescent="0.25">
      <c r="A606" s="11"/>
      <c r="B606" s="315" t="s">
        <v>692</v>
      </c>
      <c r="C606" s="618" t="s">
        <v>912</v>
      </c>
      <c r="D606" s="618"/>
      <c r="E606" s="618"/>
      <c r="F606" s="618"/>
      <c r="G606" s="618"/>
      <c r="H606" s="35"/>
      <c r="I606" s="35"/>
      <c r="J606" s="22"/>
    </row>
    <row r="607" spans="1:10" s="155" customFormat="1" x14ac:dyDescent="0.25">
      <c r="A607" s="11"/>
      <c r="B607" s="222" t="s">
        <v>84</v>
      </c>
      <c r="C607" s="316" t="s">
        <v>85</v>
      </c>
      <c r="D607" s="222" t="s">
        <v>31</v>
      </c>
      <c r="E607" s="317" t="s">
        <v>86</v>
      </c>
      <c r="F607" s="318" t="s">
        <v>87</v>
      </c>
      <c r="G607" s="319" t="s">
        <v>88</v>
      </c>
      <c r="H607" s="35"/>
      <c r="I607" s="35"/>
      <c r="J607" s="22"/>
    </row>
    <row r="608" spans="1:10" s="105" customFormat="1" ht="31.5" x14ac:dyDescent="0.25">
      <c r="A608" s="103"/>
      <c r="B608" s="573" t="s">
        <v>1788</v>
      </c>
      <c r="C608" s="211" t="s">
        <v>947</v>
      </c>
      <c r="D608" s="210">
        <v>1</v>
      </c>
      <c r="E608" s="486" t="s">
        <v>73</v>
      </c>
      <c r="F608" s="210">
        <v>30.86</v>
      </c>
      <c r="G608" s="487">
        <f>F608*D608</f>
        <v>30.86</v>
      </c>
      <c r="H608" s="311"/>
      <c r="I608" s="311"/>
      <c r="J608" s="104"/>
    </row>
    <row r="609" spans="1:10" s="105" customFormat="1" x14ac:dyDescent="0.25">
      <c r="A609" s="103"/>
      <c r="B609" s="604" t="s">
        <v>1789</v>
      </c>
      <c r="C609" s="488" t="s">
        <v>948</v>
      </c>
      <c r="D609" s="489">
        <v>0.312</v>
      </c>
      <c r="E609" s="486" t="s">
        <v>31</v>
      </c>
      <c r="F609" s="210">
        <v>16.87</v>
      </c>
      <c r="G609" s="487">
        <f t="shared" ref="G609:G613" si="55">F609*D609</f>
        <v>5.2634400000000001</v>
      </c>
      <c r="H609" s="311"/>
      <c r="I609" s="311"/>
      <c r="J609" s="104"/>
    </row>
    <row r="610" spans="1:10" s="105" customFormat="1" x14ac:dyDescent="0.25">
      <c r="A610" s="103"/>
      <c r="B610" s="604" t="s">
        <v>1790</v>
      </c>
      <c r="C610" s="488" t="s">
        <v>949</v>
      </c>
      <c r="D610" s="489">
        <v>8.6999999999999994E-2</v>
      </c>
      <c r="E610" s="486" t="s">
        <v>31</v>
      </c>
      <c r="F610" s="210">
        <v>30.83</v>
      </c>
      <c r="G610" s="487">
        <f t="shared" si="55"/>
        <v>2.6822099999999995</v>
      </c>
      <c r="H610" s="311"/>
      <c r="I610" s="311"/>
      <c r="J610" s="104"/>
    </row>
    <row r="611" spans="1:10" s="105" customFormat="1" x14ac:dyDescent="0.25">
      <c r="A611" s="103"/>
      <c r="B611" s="604" t="s">
        <v>1791</v>
      </c>
      <c r="C611" s="488" t="s">
        <v>950</v>
      </c>
      <c r="D611" s="489">
        <v>3.6999999999999998E-2</v>
      </c>
      <c r="E611" s="486" t="s">
        <v>31</v>
      </c>
      <c r="F611" s="210">
        <v>5.17</v>
      </c>
      <c r="G611" s="487">
        <f t="shared" si="55"/>
        <v>0.19128999999999999</v>
      </c>
      <c r="H611" s="311"/>
      <c r="I611" s="311"/>
      <c r="J611" s="104"/>
    </row>
    <row r="612" spans="1:10" s="105" customFormat="1" x14ac:dyDescent="0.25">
      <c r="A612" s="103"/>
      <c r="B612" s="604" t="s">
        <v>1792</v>
      </c>
      <c r="C612" s="488" t="s">
        <v>951</v>
      </c>
      <c r="D612" s="489">
        <v>1.2E-2</v>
      </c>
      <c r="E612" s="486" t="s">
        <v>31</v>
      </c>
      <c r="F612" s="210">
        <v>8.49</v>
      </c>
      <c r="G612" s="487">
        <f t="shared" si="55"/>
        <v>0.10188</v>
      </c>
      <c r="H612" s="311"/>
      <c r="I612" s="311"/>
      <c r="J612" s="104"/>
    </row>
    <row r="613" spans="1:10" s="105" customFormat="1" x14ac:dyDescent="0.25">
      <c r="A613" s="103"/>
      <c r="B613" s="604" t="s">
        <v>1799</v>
      </c>
      <c r="C613" s="488" t="s">
        <v>952</v>
      </c>
      <c r="D613" s="489">
        <v>2.5000000000000001E-2</v>
      </c>
      <c r="E613" s="486" t="s">
        <v>31</v>
      </c>
      <c r="F613" s="210">
        <v>6.69</v>
      </c>
      <c r="G613" s="487">
        <f t="shared" si="55"/>
        <v>0.16725000000000001</v>
      </c>
      <c r="H613" s="311"/>
      <c r="I613" s="311"/>
      <c r="J613" s="104"/>
    </row>
    <row r="614" spans="1:10" s="155" customFormat="1" x14ac:dyDescent="0.25">
      <c r="A614" s="11"/>
      <c r="B614" s="624" t="s">
        <v>34</v>
      </c>
      <c r="C614" s="624"/>
      <c r="D614" s="624"/>
      <c r="E614" s="624"/>
      <c r="F614" s="624"/>
      <c r="G614" s="319">
        <f>SUM(G608:G613)</f>
        <v>39.266070000000006</v>
      </c>
      <c r="H614" s="35"/>
      <c r="I614" s="35"/>
      <c r="J614" s="22"/>
    </row>
    <row r="615" spans="1:10" s="155" customFormat="1" x14ac:dyDescent="0.25">
      <c r="A615" s="11"/>
      <c r="B615" s="249"/>
      <c r="C615" s="249"/>
      <c r="D615" s="473"/>
      <c r="E615" s="250"/>
      <c r="F615" s="249"/>
      <c r="G615" s="251"/>
      <c r="H615" s="35"/>
      <c r="I615" s="35"/>
      <c r="J615" s="22"/>
    </row>
    <row r="616" spans="1:10" s="155" customFormat="1" x14ac:dyDescent="0.25">
      <c r="A616" s="11"/>
      <c r="B616" s="315" t="s">
        <v>693</v>
      </c>
      <c r="C616" s="618" t="s">
        <v>1622</v>
      </c>
      <c r="D616" s="618"/>
      <c r="E616" s="618"/>
      <c r="F616" s="618"/>
      <c r="G616" s="618"/>
      <c r="H616" s="35"/>
      <c r="I616" s="35"/>
      <c r="J616" s="22"/>
    </row>
    <row r="617" spans="1:10" s="155" customFormat="1" x14ac:dyDescent="0.25">
      <c r="A617" s="11"/>
      <c r="B617" s="222" t="s">
        <v>84</v>
      </c>
      <c r="C617" s="316" t="s">
        <v>85</v>
      </c>
      <c r="D617" s="222" t="s">
        <v>31</v>
      </c>
      <c r="E617" s="317" t="s">
        <v>86</v>
      </c>
      <c r="F617" s="318" t="s">
        <v>87</v>
      </c>
      <c r="G617" s="319" t="s">
        <v>88</v>
      </c>
      <c r="H617" s="35"/>
      <c r="I617" s="35"/>
      <c r="J617" s="22"/>
    </row>
    <row r="618" spans="1:10" s="105" customFormat="1" ht="31.5" x14ac:dyDescent="0.25">
      <c r="A618" s="103"/>
      <c r="B618" s="573" t="s">
        <v>1793</v>
      </c>
      <c r="C618" s="211" t="s">
        <v>953</v>
      </c>
      <c r="D618" s="210">
        <v>1</v>
      </c>
      <c r="E618" s="486" t="s">
        <v>73</v>
      </c>
      <c r="F618" s="210">
        <v>50.22</v>
      </c>
      <c r="G618" s="487">
        <f>F618*D618</f>
        <v>50.22</v>
      </c>
      <c r="H618" s="311"/>
      <c r="I618" s="311"/>
      <c r="J618" s="104"/>
    </row>
    <row r="619" spans="1:10" s="105" customFormat="1" x14ac:dyDescent="0.25">
      <c r="A619" s="103"/>
      <c r="B619" s="604" t="s">
        <v>1794</v>
      </c>
      <c r="C619" s="488" t="s">
        <v>954</v>
      </c>
      <c r="D619" s="489">
        <v>0.20200000000000001</v>
      </c>
      <c r="E619" s="486" t="s">
        <v>31</v>
      </c>
      <c r="F619" s="210">
        <v>48.96</v>
      </c>
      <c r="G619" s="487">
        <f t="shared" ref="G619:G623" si="56">F619*D619</f>
        <v>9.88992</v>
      </c>
      <c r="H619" s="311"/>
      <c r="I619" s="311"/>
      <c r="J619" s="104"/>
    </row>
    <row r="620" spans="1:10" s="105" customFormat="1" x14ac:dyDescent="0.25">
      <c r="A620" s="103"/>
      <c r="B620" s="604" t="s">
        <v>1795</v>
      </c>
      <c r="C620" s="488" t="s">
        <v>955</v>
      </c>
      <c r="D620" s="489">
        <v>0.10100000000000001</v>
      </c>
      <c r="E620" s="486" t="s">
        <v>31</v>
      </c>
      <c r="F620" s="210">
        <v>75.05</v>
      </c>
      <c r="G620" s="487">
        <f t="shared" si="56"/>
        <v>7.58005</v>
      </c>
      <c r="H620" s="311"/>
      <c r="I620" s="311"/>
      <c r="J620" s="104"/>
    </row>
    <row r="621" spans="1:10" s="105" customFormat="1" x14ac:dyDescent="0.25">
      <c r="A621" s="103"/>
      <c r="B621" s="604" t="s">
        <v>1796</v>
      </c>
      <c r="C621" s="488" t="s">
        <v>956</v>
      </c>
      <c r="D621" s="489">
        <v>2.5000000000000001E-2</v>
      </c>
      <c r="E621" s="486" t="s">
        <v>31</v>
      </c>
      <c r="F621" s="210">
        <v>8.6999999999999993</v>
      </c>
      <c r="G621" s="487">
        <f t="shared" si="56"/>
        <v>0.2175</v>
      </c>
      <c r="H621" s="311"/>
      <c r="I621" s="311"/>
      <c r="J621" s="104"/>
    </row>
    <row r="622" spans="1:10" s="105" customFormat="1" x14ac:dyDescent="0.25">
      <c r="A622" s="103"/>
      <c r="B622" s="604" t="s">
        <v>1797</v>
      </c>
      <c r="C622" s="488" t="s">
        <v>957</v>
      </c>
      <c r="D622" s="489">
        <v>5.0999999999999997E-2</v>
      </c>
      <c r="E622" s="486" t="s">
        <v>31</v>
      </c>
      <c r="F622" s="210">
        <v>17.47</v>
      </c>
      <c r="G622" s="487">
        <f t="shared" si="56"/>
        <v>0.89096999999999993</v>
      </c>
      <c r="H622" s="311"/>
      <c r="I622" s="311"/>
      <c r="J622" s="104"/>
    </row>
    <row r="623" spans="1:10" s="105" customFormat="1" x14ac:dyDescent="0.25">
      <c r="A623" s="103"/>
      <c r="B623" s="604" t="s">
        <v>1798</v>
      </c>
      <c r="C623" s="488" t="s">
        <v>958</v>
      </c>
      <c r="D623" s="489">
        <v>0.151</v>
      </c>
      <c r="E623" s="486" t="s">
        <v>31</v>
      </c>
      <c r="F623" s="210">
        <v>18.88</v>
      </c>
      <c r="G623" s="487">
        <f t="shared" si="56"/>
        <v>2.8508799999999996</v>
      </c>
      <c r="H623" s="311"/>
      <c r="I623" s="311"/>
      <c r="J623" s="104"/>
    </row>
    <row r="624" spans="1:10" s="155" customFormat="1" x14ac:dyDescent="0.25">
      <c r="A624" s="11"/>
      <c r="B624" s="624" t="s">
        <v>34</v>
      </c>
      <c r="C624" s="624"/>
      <c r="D624" s="624"/>
      <c r="E624" s="624"/>
      <c r="F624" s="624"/>
      <c r="G624" s="319">
        <f>SUM(G618:G623)</f>
        <v>71.649320000000003</v>
      </c>
      <c r="H624" s="35"/>
      <c r="I624" s="35"/>
      <c r="J624" s="22"/>
    </row>
    <row r="625" spans="1:10" s="155" customFormat="1" x14ac:dyDescent="0.25">
      <c r="A625" s="11"/>
      <c r="B625" s="249"/>
      <c r="C625" s="249"/>
      <c r="D625" s="473"/>
      <c r="E625" s="250"/>
      <c r="F625" s="249"/>
      <c r="G625" s="251"/>
      <c r="H625" s="35"/>
      <c r="I625" s="35"/>
      <c r="J625" s="22"/>
    </row>
    <row r="626" spans="1:10" s="155" customFormat="1" x14ac:dyDescent="0.25">
      <c r="A626" s="11"/>
      <c r="B626" s="315" t="s">
        <v>703</v>
      </c>
      <c r="C626" s="618" t="s">
        <v>913</v>
      </c>
      <c r="D626" s="618"/>
      <c r="E626" s="618"/>
      <c r="F626" s="618"/>
      <c r="G626" s="618"/>
      <c r="H626" s="35"/>
      <c r="I626" s="35"/>
      <c r="J626" s="22"/>
    </row>
    <row r="627" spans="1:10" s="155" customFormat="1" x14ac:dyDescent="0.25">
      <c r="A627" s="11"/>
      <c r="B627" s="222" t="s">
        <v>84</v>
      </c>
      <c r="C627" s="316" t="s">
        <v>85</v>
      </c>
      <c r="D627" s="222" t="s">
        <v>31</v>
      </c>
      <c r="E627" s="317" t="s">
        <v>86</v>
      </c>
      <c r="F627" s="318" t="s">
        <v>87</v>
      </c>
      <c r="G627" s="319" t="s">
        <v>88</v>
      </c>
      <c r="H627" s="35"/>
      <c r="I627" s="35"/>
      <c r="J627" s="22"/>
    </row>
    <row r="628" spans="1:10" s="105" customFormat="1" ht="31.5" x14ac:dyDescent="0.25">
      <c r="A628" s="103"/>
      <c r="B628" s="573" t="s">
        <v>1800</v>
      </c>
      <c r="C628" s="211" t="s">
        <v>959</v>
      </c>
      <c r="D628" s="210">
        <v>1</v>
      </c>
      <c r="E628" s="486" t="s">
        <v>73</v>
      </c>
      <c r="F628" s="210">
        <v>96.85</v>
      </c>
      <c r="G628" s="487">
        <f>F628*D628</f>
        <v>96.85</v>
      </c>
      <c r="H628" s="311"/>
      <c r="I628" s="311"/>
      <c r="J628" s="104"/>
    </row>
    <row r="629" spans="1:10" s="105" customFormat="1" ht="31.5" x14ac:dyDescent="0.25">
      <c r="A629" s="103"/>
      <c r="B629" s="573" t="s">
        <v>1801</v>
      </c>
      <c r="C629" s="211" t="s">
        <v>960</v>
      </c>
      <c r="D629" s="210">
        <v>0.151</v>
      </c>
      <c r="E629" s="486" t="s">
        <v>31</v>
      </c>
      <c r="F629" s="210">
        <v>190</v>
      </c>
      <c r="G629" s="487">
        <f t="shared" ref="G629:G634" si="57">F629*D629</f>
        <v>28.689999999999998</v>
      </c>
      <c r="H629" s="311"/>
      <c r="I629" s="311"/>
      <c r="J629" s="104"/>
    </row>
    <row r="630" spans="1:10" s="105" customFormat="1" ht="31.5" x14ac:dyDescent="0.25">
      <c r="A630" s="103"/>
      <c r="B630" s="573" t="s">
        <v>1802</v>
      </c>
      <c r="C630" s="211" t="s">
        <v>961</v>
      </c>
      <c r="D630" s="210">
        <v>0.45400000000000001</v>
      </c>
      <c r="E630" s="486" t="s">
        <v>31</v>
      </c>
      <c r="F630" s="210">
        <v>206.63</v>
      </c>
      <c r="G630" s="487">
        <f t="shared" si="57"/>
        <v>93.810019999999994</v>
      </c>
      <c r="H630" s="311"/>
      <c r="I630" s="311"/>
      <c r="J630" s="104"/>
    </row>
    <row r="631" spans="1:10" s="105" customFormat="1" x14ac:dyDescent="0.25">
      <c r="A631" s="103"/>
      <c r="B631" s="573" t="s">
        <v>1803</v>
      </c>
      <c r="C631" s="488" t="s">
        <v>962</v>
      </c>
      <c r="D631" s="489">
        <v>0.30299999999999999</v>
      </c>
      <c r="E631" s="486" t="s">
        <v>31</v>
      </c>
      <c r="F631" s="210">
        <v>31.96</v>
      </c>
      <c r="G631" s="487">
        <f t="shared" si="57"/>
        <v>9.6838800000000003</v>
      </c>
      <c r="H631" s="311"/>
      <c r="I631" s="311"/>
      <c r="J631" s="104"/>
    </row>
    <row r="632" spans="1:10" s="105" customFormat="1" x14ac:dyDescent="0.25">
      <c r="A632" s="103"/>
      <c r="B632" s="573" t="s">
        <v>1804</v>
      </c>
      <c r="C632" s="488" t="s">
        <v>963</v>
      </c>
      <c r="D632" s="489">
        <v>7.5999999999999998E-2</v>
      </c>
      <c r="E632" s="486" t="s">
        <v>31</v>
      </c>
      <c r="F632" s="210">
        <v>22.99</v>
      </c>
      <c r="G632" s="487">
        <f t="shared" si="57"/>
        <v>1.7472399999999999</v>
      </c>
      <c r="H632" s="311"/>
      <c r="I632" s="311"/>
      <c r="J632" s="104"/>
    </row>
    <row r="633" spans="1:10" s="105" customFormat="1" x14ac:dyDescent="0.25">
      <c r="A633" s="103"/>
      <c r="B633" s="573" t="s">
        <v>1805</v>
      </c>
      <c r="C633" s="488" t="s">
        <v>958</v>
      </c>
      <c r="D633" s="489">
        <v>7.5999999999999998E-2</v>
      </c>
      <c r="E633" s="486" t="s">
        <v>31</v>
      </c>
      <c r="F633" s="210">
        <v>18.88</v>
      </c>
      <c r="G633" s="487">
        <f t="shared" si="57"/>
        <v>1.4348799999999999</v>
      </c>
      <c r="H633" s="311"/>
      <c r="I633" s="311"/>
      <c r="J633" s="104"/>
    </row>
    <row r="634" spans="1:10" s="105" customFormat="1" x14ac:dyDescent="0.25">
      <c r="A634" s="103"/>
      <c r="B634" s="573" t="s">
        <v>1806</v>
      </c>
      <c r="C634" s="488" t="s">
        <v>957</v>
      </c>
      <c r="D634" s="489">
        <v>0.22700000000000001</v>
      </c>
      <c r="E634" s="486" t="s">
        <v>31</v>
      </c>
      <c r="F634" s="210">
        <v>17.47</v>
      </c>
      <c r="G634" s="487">
        <f t="shared" si="57"/>
        <v>3.9656899999999999</v>
      </c>
      <c r="H634" s="311"/>
      <c r="I634" s="311"/>
      <c r="J634" s="104"/>
    </row>
    <row r="635" spans="1:10" s="155" customFormat="1" x14ac:dyDescent="0.25">
      <c r="A635" s="11"/>
      <c r="B635" s="624" t="s">
        <v>34</v>
      </c>
      <c r="C635" s="624"/>
      <c r="D635" s="624"/>
      <c r="E635" s="624"/>
      <c r="F635" s="624"/>
      <c r="G635" s="319">
        <f>SUM(G628:G634)</f>
        <v>236.18170999999995</v>
      </c>
      <c r="H635" s="35"/>
      <c r="I635" s="35"/>
      <c r="J635" s="22"/>
    </row>
    <row r="636" spans="1:10" s="155" customFormat="1" x14ac:dyDescent="0.25">
      <c r="A636" s="11"/>
      <c r="B636" s="249"/>
      <c r="C636" s="249"/>
      <c r="D636" s="473"/>
      <c r="E636" s="250"/>
      <c r="F636" s="249"/>
      <c r="G636" s="251"/>
      <c r="H636" s="35"/>
      <c r="I636" s="35"/>
      <c r="J636" s="22"/>
    </row>
    <row r="637" spans="1:10" s="155" customFormat="1" x14ac:dyDescent="0.25">
      <c r="A637" s="11"/>
      <c r="B637" s="315" t="s">
        <v>704</v>
      </c>
      <c r="C637" s="618" t="s">
        <v>915</v>
      </c>
      <c r="D637" s="618"/>
      <c r="E637" s="618"/>
      <c r="F637" s="618"/>
      <c r="G637" s="618"/>
      <c r="H637" s="35"/>
      <c r="I637" s="35"/>
      <c r="J637" s="22"/>
    </row>
    <row r="638" spans="1:10" s="155" customFormat="1" x14ac:dyDescent="0.25">
      <c r="A638" s="11"/>
      <c r="B638" s="222" t="s">
        <v>84</v>
      </c>
      <c r="C638" s="316" t="s">
        <v>85</v>
      </c>
      <c r="D638" s="222" t="s">
        <v>31</v>
      </c>
      <c r="E638" s="317" t="s">
        <v>86</v>
      </c>
      <c r="F638" s="318" t="s">
        <v>87</v>
      </c>
      <c r="G638" s="319" t="s">
        <v>88</v>
      </c>
      <c r="H638" s="35"/>
      <c r="I638" s="35"/>
      <c r="J638" s="22"/>
    </row>
    <row r="639" spans="1:10" s="105" customFormat="1" x14ac:dyDescent="0.25">
      <c r="A639" s="103"/>
      <c r="B639" s="573" t="s">
        <v>793</v>
      </c>
      <c r="C639" s="488" t="s">
        <v>965</v>
      </c>
      <c r="D639" s="489">
        <v>0.23</v>
      </c>
      <c r="E639" s="486" t="s">
        <v>91</v>
      </c>
      <c r="F639" s="210">
        <v>19.59</v>
      </c>
      <c r="G639" s="487">
        <f>F639*D639</f>
        <v>4.5057</v>
      </c>
      <c r="H639" s="311"/>
      <c r="I639" s="311"/>
      <c r="J639" s="104"/>
    </row>
    <row r="640" spans="1:10" s="105" customFormat="1" x14ac:dyDescent="0.25">
      <c r="A640" s="103"/>
      <c r="B640" s="573" t="s">
        <v>695</v>
      </c>
      <c r="C640" s="488" t="s">
        <v>106</v>
      </c>
      <c r="D640" s="489">
        <v>0.3</v>
      </c>
      <c r="E640" s="486" t="s">
        <v>91</v>
      </c>
      <c r="F640" s="210">
        <v>22.36</v>
      </c>
      <c r="G640" s="487">
        <f t="shared" ref="G640:G642" si="58">F640*D640</f>
        <v>6.7079999999999993</v>
      </c>
      <c r="H640" s="311"/>
      <c r="I640" s="311"/>
      <c r="J640" s="104"/>
    </row>
    <row r="641" spans="1:10" s="105" customFormat="1" x14ac:dyDescent="0.25">
      <c r="A641" s="103"/>
      <c r="B641" s="573" t="s">
        <v>792</v>
      </c>
      <c r="C641" s="488" t="s">
        <v>968</v>
      </c>
      <c r="D641" s="489">
        <v>1.2999999999999999E-2</v>
      </c>
      <c r="E641" s="486" t="s">
        <v>31</v>
      </c>
      <c r="F641" s="210">
        <v>15.82</v>
      </c>
      <c r="G641" s="487">
        <f t="shared" si="58"/>
        <v>0.20565999999999998</v>
      </c>
      <c r="H641" s="311"/>
      <c r="I641" s="311"/>
      <c r="J641" s="104"/>
    </row>
    <row r="642" spans="1:10" s="105" customFormat="1" x14ac:dyDescent="0.25">
      <c r="A642" s="103"/>
      <c r="B642" s="573" t="s">
        <v>1810</v>
      </c>
      <c r="C642" s="488" t="s">
        <v>969</v>
      </c>
      <c r="D642" s="489">
        <v>1</v>
      </c>
      <c r="E642" s="486" t="s">
        <v>31</v>
      </c>
      <c r="F642" s="210">
        <v>122.17</v>
      </c>
      <c r="G642" s="487">
        <f t="shared" si="58"/>
        <v>122.17</v>
      </c>
      <c r="H642" s="311"/>
      <c r="I642" s="311"/>
      <c r="J642" s="104"/>
    </row>
    <row r="643" spans="1:10" s="155" customFormat="1" x14ac:dyDescent="0.25">
      <c r="A643" s="11"/>
      <c r="B643" s="624" t="s">
        <v>34</v>
      </c>
      <c r="C643" s="624"/>
      <c r="D643" s="624"/>
      <c r="E643" s="624"/>
      <c r="F643" s="624"/>
      <c r="G643" s="319">
        <f>SUM(G639:G642)</f>
        <v>133.58936</v>
      </c>
      <c r="H643" s="35"/>
      <c r="I643" s="35"/>
      <c r="J643" s="22"/>
    </row>
    <row r="644" spans="1:10" s="155" customFormat="1" x14ac:dyDescent="0.25">
      <c r="A644" s="11"/>
      <c r="B644" s="249"/>
      <c r="C644" s="249"/>
      <c r="D644" s="473"/>
      <c r="E644" s="250"/>
      <c r="F644" s="249"/>
      <c r="G644" s="251"/>
      <c r="H644" s="35"/>
      <c r="I644" s="35"/>
      <c r="J644" s="22"/>
    </row>
    <row r="645" spans="1:10" s="155" customFormat="1" x14ac:dyDescent="0.25">
      <c r="A645" s="11"/>
      <c r="B645" s="315" t="s">
        <v>710</v>
      </c>
      <c r="C645" s="618" t="s">
        <v>916</v>
      </c>
      <c r="D645" s="618"/>
      <c r="E645" s="618"/>
      <c r="F645" s="618"/>
      <c r="G645" s="618"/>
      <c r="H645" s="35"/>
      <c r="I645" s="35"/>
      <c r="J645" s="22"/>
    </row>
    <row r="646" spans="1:10" s="155" customFormat="1" x14ac:dyDescent="0.25">
      <c r="A646" s="11"/>
      <c r="B646" s="222" t="s">
        <v>84</v>
      </c>
      <c r="C646" s="316" t="s">
        <v>85</v>
      </c>
      <c r="D646" s="222" t="s">
        <v>31</v>
      </c>
      <c r="E646" s="317" t="s">
        <v>86</v>
      </c>
      <c r="F646" s="318" t="s">
        <v>87</v>
      </c>
      <c r="G646" s="319" t="s">
        <v>88</v>
      </c>
      <c r="H646" s="35"/>
      <c r="I646" s="35"/>
      <c r="J646" s="22"/>
    </row>
    <row r="647" spans="1:10" s="155" customFormat="1" x14ac:dyDescent="0.25">
      <c r="A647" s="11"/>
      <c r="B647" s="573" t="s">
        <v>1811</v>
      </c>
      <c r="C647" s="320" t="s">
        <v>968</v>
      </c>
      <c r="D647" s="471">
        <v>1.9E-2</v>
      </c>
      <c r="E647" s="321" t="s">
        <v>50</v>
      </c>
      <c r="F647" s="207">
        <v>15.82</v>
      </c>
      <c r="G647" s="322">
        <f>F647*D647</f>
        <v>0.30058000000000001</v>
      </c>
      <c r="H647" s="35"/>
      <c r="I647" s="35"/>
      <c r="J647" s="22"/>
    </row>
    <row r="648" spans="1:10" s="155" customFormat="1" x14ac:dyDescent="0.25">
      <c r="A648" s="11"/>
      <c r="B648" s="573" t="s">
        <v>1812</v>
      </c>
      <c r="C648" s="320" t="s">
        <v>970</v>
      </c>
      <c r="D648" s="471">
        <v>1</v>
      </c>
      <c r="E648" s="321" t="s">
        <v>50</v>
      </c>
      <c r="F648" s="207">
        <v>169.85</v>
      </c>
      <c r="G648" s="322">
        <f t="shared" ref="G648:G650" si="59">F648*D648</f>
        <v>169.85</v>
      </c>
      <c r="H648" s="35"/>
      <c r="I648" s="35"/>
      <c r="J648" s="22"/>
    </row>
    <row r="649" spans="1:10" s="155" customFormat="1" x14ac:dyDescent="0.25">
      <c r="A649" s="11"/>
      <c r="B649" s="573" t="s">
        <v>793</v>
      </c>
      <c r="C649" s="320" t="s">
        <v>965</v>
      </c>
      <c r="D649" s="471">
        <v>0.78900000000000003</v>
      </c>
      <c r="E649" s="321" t="s">
        <v>91</v>
      </c>
      <c r="F649" s="207">
        <v>19.59</v>
      </c>
      <c r="G649" s="322">
        <f t="shared" si="59"/>
        <v>15.45651</v>
      </c>
      <c r="H649" s="35"/>
      <c r="I649" s="35"/>
      <c r="J649" s="22"/>
    </row>
    <row r="650" spans="1:10" s="155" customFormat="1" x14ac:dyDescent="0.25">
      <c r="A650" s="11"/>
      <c r="B650" s="573" t="s">
        <v>695</v>
      </c>
      <c r="C650" s="320" t="s">
        <v>106</v>
      </c>
      <c r="D650" s="471">
        <v>0.78900000000000003</v>
      </c>
      <c r="E650" s="321" t="s">
        <v>91</v>
      </c>
      <c r="F650" s="207">
        <v>22.36</v>
      </c>
      <c r="G650" s="322">
        <f t="shared" si="59"/>
        <v>17.642040000000001</v>
      </c>
      <c r="H650" s="35"/>
      <c r="I650" s="35"/>
      <c r="J650" s="22"/>
    </row>
    <row r="651" spans="1:10" s="155" customFormat="1" x14ac:dyDescent="0.25">
      <c r="A651" s="11"/>
      <c r="B651" s="624" t="s">
        <v>34</v>
      </c>
      <c r="C651" s="624"/>
      <c r="D651" s="624"/>
      <c r="E651" s="624"/>
      <c r="F651" s="624"/>
      <c r="G651" s="319">
        <f>SUM(G647:G650)</f>
        <v>203.24913000000001</v>
      </c>
      <c r="H651" s="35"/>
      <c r="I651" s="35"/>
      <c r="J651" s="22"/>
    </row>
    <row r="652" spans="1:10" s="155" customFormat="1" x14ac:dyDescent="0.25">
      <c r="A652" s="11"/>
      <c r="B652" s="249"/>
      <c r="C652" s="249"/>
      <c r="D652" s="473"/>
      <c r="E652" s="250"/>
      <c r="F652" s="249"/>
      <c r="G652" s="251"/>
      <c r="H652" s="35"/>
      <c r="I652" s="35"/>
      <c r="J652" s="22"/>
    </row>
    <row r="653" spans="1:10" s="155" customFormat="1" x14ac:dyDescent="0.25">
      <c r="A653" s="11"/>
      <c r="B653" s="315" t="s">
        <v>874</v>
      </c>
      <c r="C653" s="618" t="s">
        <v>919</v>
      </c>
      <c r="D653" s="618"/>
      <c r="E653" s="618"/>
      <c r="F653" s="618"/>
      <c r="G653" s="618"/>
      <c r="H653" s="35"/>
      <c r="I653" s="35"/>
      <c r="J653" s="22"/>
    </row>
    <row r="654" spans="1:10" s="105" customFormat="1" x14ac:dyDescent="0.25">
      <c r="A654" s="103"/>
      <c r="B654" s="491" t="s">
        <v>84</v>
      </c>
      <c r="C654" s="492" t="s">
        <v>85</v>
      </c>
      <c r="D654" s="491" t="s">
        <v>31</v>
      </c>
      <c r="E654" s="493" t="s">
        <v>86</v>
      </c>
      <c r="F654" s="494" t="s">
        <v>87</v>
      </c>
      <c r="G654" s="495" t="s">
        <v>88</v>
      </c>
      <c r="H654" s="311"/>
      <c r="I654" s="311"/>
      <c r="J654" s="104"/>
    </row>
    <row r="655" spans="1:10" s="105" customFormat="1" x14ac:dyDescent="0.25">
      <c r="A655" s="103"/>
      <c r="B655" s="573" t="s">
        <v>1919</v>
      </c>
      <c r="C655" s="488" t="s">
        <v>1918</v>
      </c>
      <c r="D655" s="489">
        <v>1</v>
      </c>
      <c r="E655" s="486" t="s">
        <v>50</v>
      </c>
      <c r="F655" s="490">
        <v>2264.27</v>
      </c>
      <c r="G655" s="487">
        <f>F655*D655</f>
        <v>2264.27</v>
      </c>
      <c r="H655" s="311"/>
      <c r="I655" s="311"/>
      <c r="J655" s="104"/>
    </row>
    <row r="656" spans="1:10" s="105" customFormat="1" x14ac:dyDescent="0.25">
      <c r="A656" s="103"/>
      <c r="B656" s="573" t="s">
        <v>105</v>
      </c>
      <c r="C656" s="488" t="s">
        <v>106</v>
      </c>
      <c r="D656" s="489">
        <v>4</v>
      </c>
      <c r="E656" s="486" t="s">
        <v>91</v>
      </c>
      <c r="F656" s="490">
        <v>22.36</v>
      </c>
      <c r="G656" s="487">
        <f t="shared" ref="G656:G662" si="60">F656*D656</f>
        <v>89.44</v>
      </c>
      <c r="H656" s="311"/>
      <c r="I656" s="311"/>
      <c r="J656" s="104"/>
    </row>
    <row r="657" spans="1:10" s="105" customFormat="1" x14ac:dyDescent="0.25">
      <c r="A657" s="103"/>
      <c r="B657" s="573" t="s">
        <v>793</v>
      </c>
      <c r="C657" s="488" t="s">
        <v>965</v>
      </c>
      <c r="D657" s="489">
        <v>4</v>
      </c>
      <c r="E657" s="486" t="s">
        <v>91</v>
      </c>
      <c r="F657" s="490">
        <v>19.59</v>
      </c>
      <c r="G657" s="487">
        <f t="shared" si="60"/>
        <v>78.36</v>
      </c>
      <c r="H657" s="311"/>
      <c r="I657" s="311"/>
      <c r="J657" s="104"/>
    </row>
    <row r="658" spans="1:10" s="105" customFormat="1" x14ac:dyDescent="0.25">
      <c r="A658" s="103"/>
      <c r="B658" s="573" t="s">
        <v>1813</v>
      </c>
      <c r="C658" s="488" t="s">
        <v>129</v>
      </c>
      <c r="D658" s="489">
        <v>0.6</v>
      </c>
      <c r="E658" s="486" t="s">
        <v>50</v>
      </c>
      <c r="F658" s="490">
        <v>4.29</v>
      </c>
      <c r="G658" s="487">
        <f t="shared" si="60"/>
        <v>2.5739999999999998</v>
      </c>
      <c r="H658" s="311"/>
      <c r="I658" s="311"/>
      <c r="J658" s="104"/>
    </row>
    <row r="659" spans="1:10" s="105" customFormat="1" ht="31.5" x14ac:dyDescent="0.25">
      <c r="A659" s="103"/>
      <c r="B659" s="573" t="s">
        <v>1814</v>
      </c>
      <c r="C659" s="211" t="s">
        <v>971</v>
      </c>
      <c r="D659" s="489">
        <v>1</v>
      </c>
      <c r="E659" s="486" t="s">
        <v>50</v>
      </c>
      <c r="F659" s="490">
        <v>274.01</v>
      </c>
      <c r="G659" s="487">
        <f t="shared" si="60"/>
        <v>274.01</v>
      </c>
      <c r="H659" s="311"/>
      <c r="I659" s="311"/>
      <c r="J659" s="104"/>
    </row>
    <row r="660" spans="1:10" s="105" customFormat="1" ht="19.5" customHeight="1" x14ac:dyDescent="0.25">
      <c r="A660" s="103"/>
      <c r="B660" s="573" t="s">
        <v>1815</v>
      </c>
      <c r="C660" s="211" t="s">
        <v>972</v>
      </c>
      <c r="D660" s="489">
        <v>2</v>
      </c>
      <c r="E660" s="486" t="s">
        <v>50</v>
      </c>
      <c r="F660" s="490">
        <v>37.979999999999997</v>
      </c>
      <c r="G660" s="487">
        <f t="shared" si="60"/>
        <v>75.959999999999994</v>
      </c>
      <c r="H660" s="311"/>
      <c r="I660" s="311"/>
      <c r="J660" s="104"/>
    </row>
    <row r="661" spans="1:10" s="105" customFormat="1" x14ac:dyDescent="0.25">
      <c r="A661" s="103"/>
      <c r="B661" s="573" t="s">
        <v>1815</v>
      </c>
      <c r="C661" s="488" t="s">
        <v>973</v>
      </c>
      <c r="D661" s="489">
        <v>1</v>
      </c>
      <c r="E661" s="486" t="s">
        <v>50</v>
      </c>
      <c r="F661" s="490">
        <v>37.979999999999997</v>
      </c>
      <c r="G661" s="487">
        <f t="shared" si="60"/>
        <v>37.979999999999997</v>
      </c>
      <c r="H661" s="311"/>
      <c r="I661" s="311"/>
      <c r="J661" s="104"/>
    </row>
    <row r="662" spans="1:10" s="105" customFormat="1" x14ac:dyDescent="0.25">
      <c r="A662" s="103"/>
      <c r="B662" s="573" t="s">
        <v>1816</v>
      </c>
      <c r="C662" s="488" t="s">
        <v>974</v>
      </c>
      <c r="D662" s="489">
        <v>1</v>
      </c>
      <c r="E662" s="486" t="s">
        <v>50</v>
      </c>
      <c r="F662" s="490">
        <v>391.22</v>
      </c>
      <c r="G662" s="487">
        <f t="shared" si="60"/>
        <v>391.22</v>
      </c>
      <c r="H662" s="311"/>
      <c r="I662" s="311"/>
      <c r="J662" s="104"/>
    </row>
    <row r="663" spans="1:10" s="155" customFormat="1" x14ac:dyDescent="0.25">
      <c r="A663" s="11"/>
      <c r="B663" s="624" t="s">
        <v>34</v>
      </c>
      <c r="C663" s="624"/>
      <c r="D663" s="624"/>
      <c r="E663" s="624"/>
      <c r="F663" s="624"/>
      <c r="G663" s="319">
        <f>SUM(G655:G662)</f>
        <v>3213.8140000000003</v>
      </c>
      <c r="H663" s="35"/>
      <c r="I663" s="35"/>
      <c r="J663" s="22"/>
    </row>
    <row r="664" spans="1:10" s="155" customFormat="1" x14ac:dyDescent="0.25">
      <c r="A664" s="11"/>
      <c r="B664" s="249"/>
      <c r="C664" s="249"/>
      <c r="D664" s="473"/>
      <c r="E664" s="250"/>
      <c r="F664" s="249"/>
      <c r="G664" s="251"/>
      <c r="H664" s="35"/>
      <c r="I664" s="35"/>
      <c r="J664" s="22"/>
    </row>
    <row r="665" spans="1:10" s="155" customFormat="1" x14ac:dyDescent="0.25">
      <c r="A665" s="11"/>
      <c r="B665" s="315" t="s">
        <v>460</v>
      </c>
      <c r="C665" s="618" t="s">
        <v>920</v>
      </c>
      <c r="D665" s="618"/>
      <c r="E665" s="618"/>
      <c r="F665" s="618"/>
      <c r="G665" s="618"/>
      <c r="H665" s="35"/>
      <c r="I665" s="35"/>
      <c r="J665" s="22"/>
    </row>
    <row r="666" spans="1:10" s="155" customFormat="1" x14ac:dyDescent="0.25">
      <c r="A666" s="11"/>
      <c r="B666" s="222" t="s">
        <v>84</v>
      </c>
      <c r="C666" s="316" t="s">
        <v>85</v>
      </c>
      <c r="D666" s="222" t="s">
        <v>31</v>
      </c>
      <c r="E666" s="317" t="s">
        <v>86</v>
      </c>
      <c r="F666" s="318" t="s">
        <v>87</v>
      </c>
      <c r="G666" s="319" t="s">
        <v>88</v>
      </c>
      <c r="H666" s="35"/>
      <c r="I666" s="35"/>
      <c r="J666" s="22"/>
    </row>
    <row r="667" spans="1:10" s="155" customFormat="1" x14ac:dyDescent="0.25">
      <c r="A667" s="11"/>
      <c r="B667" s="573" t="s">
        <v>1919</v>
      </c>
      <c r="C667" s="320" t="s">
        <v>1618</v>
      </c>
      <c r="D667" s="471">
        <v>1</v>
      </c>
      <c r="E667" s="321" t="s">
        <v>31</v>
      </c>
      <c r="F667" s="207">
        <v>2264.27</v>
      </c>
      <c r="G667" s="322">
        <f>F667*D667</f>
        <v>2264.27</v>
      </c>
      <c r="H667" s="35"/>
      <c r="I667" s="35"/>
      <c r="J667" s="22"/>
    </row>
    <row r="668" spans="1:10" s="155" customFormat="1" x14ac:dyDescent="0.25">
      <c r="A668" s="11"/>
      <c r="B668" s="573" t="s">
        <v>1817</v>
      </c>
      <c r="C668" s="320" t="s">
        <v>106</v>
      </c>
      <c r="D668" s="471">
        <v>4</v>
      </c>
      <c r="E668" s="321" t="s">
        <v>91</v>
      </c>
      <c r="F668" s="207">
        <v>22.36</v>
      </c>
      <c r="G668" s="322">
        <f t="shared" ref="G668:G673" si="61">F668*D668</f>
        <v>89.44</v>
      </c>
      <c r="H668" s="35"/>
      <c r="I668" s="35"/>
      <c r="J668" s="22"/>
    </row>
    <row r="669" spans="1:10" s="155" customFormat="1" x14ac:dyDescent="0.25">
      <c r="A669" s="11"/>
      <c r="B669" s="573" t="s">
        <v>1818</v>
      </c>
      <c r="C669" s="320" t="s">
        <v>965</v>
      </c>
      <c r="D669" s="471">
        <v>4</v>
      </c>
      <c r="E669" s="321" t="s">
        <v>91</v>
      </c>
      <c r="F669" s="207">
        <v>19.59</v>
      </c>
      <c r="G669" s="322">
        <f t="shared" si="61"/>
        <v>78.36</v>
      </c>
      <c r="H669" s="35"/>
      <c r="I669" s="35"/>
      <c r="J669" s="22"/>
    </row>
    <row r="670" spans="1:10" s="155" customFormat="1" x14ac:dyDescent="0.25">
      <c r="A670" s="11"/>
      <c r="B670" s="573" t="s">
        <v>1813</v>
      </c>
      <c r="C670" s="320" t="s">
        <v>129</v>
      </c>
      <c r="D670" s="471">
        <v>0.6</v>
      </c>
      <c r="E670" s="321" t="s">
        <v>31</v>
      </c>
      <c r="F670" s="207">
        <v>4.29</v>
      </c>
      <c r="G670" s="322">
        <f t="shared" si="61"/>
        <v>2.5739999999999998</v>
      </c>
      <c r="H670" s="35"/>
      <c r="I670" s="35"/>
      <c r="J670" s="22"/>
    </row>
    <row r="671" spans="1:10" s="155" customFormat="1" x14ac:dyDescent="0.25">
      <c r="A671" s="11"/>
      <c r="B671" s="573" t="s">
        <v>1815</v>
      </c>
      <c r="C671" s="320" t="s">
        <v>972</v>
      </c>
      <c r="D671" s="471">
        <v>2</v>
      </c>
      <c r="E671" s="321" t="s">
        <v>31</v>
      </c>
      <c r="F671" s="207">
        <v>37.979999999999997</v>
      </c>
      <c r="G671" s="322">
        <f t="shared" si="61"/>
        <v>75.959999999999994</v>
      </c>
      <c r="H671" s="35"/>
      <c r="I671" s="35"/>
      <c r="J671" s="22"/>
    </row>
    <row r="672" spans="1:10" s="155" customFormat="1" x14ac:dyDescent="0.25">
      <c r="A672" s="11"/>
      <c r="B672" s="573" t="s">
        <v>1815</v>
      </c>
      <c r="C672" s="320" t="s">
        <v>973</v>
      </c>
      <c r="D672" s="471">
        <v>1</v>
      </c>
      <c r="E672" s="321" t="s">
        <v>31</v>
      </c>
      <c r="F672" s="207">
        <v>37.979999999999997</v>
      </c>
      <c r="G672" s="322">
        <f t="shared" si="61"/>
        <v>37.979999999999997</v>
      </c>
      <c r="H672" s="35"/>
      <c r="I672" s="35"/>
      <c r="J672" s="22"/>
    </row>
    <row r="673" spans="1:10" s="155" customFormat="1" x14ac:dyDescent="0.25">
      <c r="A673" s="11"/>
      <c r="B673" s="573" t="s">
        <v>1819</v>
      </c>
      <c r="C673" s="320" t="s">
        <v>975</v>
      </c>
      <c r="D673" s="471">
        <v>1</v>
      </c>
      <c r="E673" s="321" t="s">
        <v>31</v>
      </c>
      <c r="F673" s="207">
        <v>52.98</v>
      </c>
      <c r="G673" s="322">
        <f t="shared" si="61"/>
        <v>52.98</v>
      </c>
      <c r="H673" s="35"/>
      <c r="I673" s="35"/>
      <c r="J673" s="22"/>
    </row>
    <row r="674" spans="1:10" s="155" customFormat="1" x14ac:dyDescent="0.25">
      <c r="A674" s="11"/>
      <c r="B674" s="624" t="s">
        <v>34</v>
      </c>
      <c r="C674" s="624"/>
      <c r="D674" s="624"/>
      <c r="E674" s="624"/>
      <c r="F674" s="624"/>
      <c r="G674" s="319">
        <f>SUM(G667:G673)</f>
        <v>2601.5640000000003</v>
      </c>
      <c r="H674" s="35"/>
      <c r="I674" s="35"/>
      <c r="J674" s="22"/>
    </row>
    <row r="675" spans="1:10" s="155" customFormat="1" x14ac:dyDescent="0.25">
      <c r="A675" s="11"/>
      <c r="B675" s="249"/>
      <c r="C675" s="249"/>
      <c r="D675" s="473"/>
      <c r="E675" s="250"/>
      <c r="F675" s="249"/>
      <c r="G675" s="251"/>
      <c r="H675" s="35"/>
      <c r="I675" s="35"/>
      <c r="J675" s="22"/>
    </row>
    <row r="676" spans="1:10" s="155" customFormat="1" x14ac:dyDescent="0.25">
      <c r="A676" s="11"/>
      <c r="B676" s="315" t="s">
        <v>904</v>
      </c>
      <c r="C676" s="618" t="s">
        <v>976</v>
      </c>
      <c r="D676" s="618"/>
      <c r="E676" s="618"/>
      <c r="F676" s="618"/>
      <c r="G676" s="618"/>
      <c r="H676" s="35"/>
      <c r="I676" s="35"/>
      <c r="J676" s="22"/>
    </row>
    <row r="677" spans="1:10" s="155" customFormat="1" x14ac:dyDescent="0.25">
      <c r="A677" s="11"/>
      <c r="B677" s="222" t="s">
        <v>84</v>
      </c>
      <c r="C677" s="316" t="s">
        <v>85</v>
      </c>
      <c r="D677" s="222" t="s">
        <v>31</v>
      </c>
      <c r="E677" s="317" t="s">
        <v>86</v>
      </c>
      <c r="F677" s="318" t="s">
        <v>87</v>
      </c>
      <c r="G677" s="319" t="s">
        <v>88</v>
      </c>
      <c r="H677" s="35"/>
      <c r="I677" s="35"/>
      <c r="J677" s="22"/>
    </row>
    <row r="678" spans="1:10" s="155" customFormat="1" x14ac:dyDescent="0.25">
      <c r="A678" s="11"/>
      <c r="B678" s="573" t="s">
        <v>967</v>
      </c>
      <c r="C678" s="320" t="s">
        <v>968</v>
      </c>
      <c r="D678" s="471">
        <v>0.02</v>
      </c>
      <c r="E678" s="321" t="s">
        <v>50</v>
      </c>
      <c r="F678" s="207">
        <v>15.82</v>
      </c>
      <c r="G678" s="322">
        <f>F678*D678</f>
        <v>0.31640000000000001</v>
      </c>
      <c r="H678" s="35"/>
      <c r="I678" s="35"/>
      <c r="J678" s="22"/>
    </row>
    <row r="679" spans="1:10" s="105" customFormat="1" x14ac:dyDescent="0.25">
      <c r="A679" s="103"/>
      <c r="B679" s="573" t="s">
        <v>136</v>
      </c>
      <c r="C679" s="488" t="s">
        <v>977</v>
      </c>
      <c r="D679" s="489">
        <v>1</v>
      </c>
      <c r="E679" s="486" t="s">
        <v>50</v>
      </c>
      <c r="F679" s="210">
        <v>1237.72</v>
      </c>
      <c r="G679" s="487">
        <f t="shared" ref="G679:G681" si="62">F679*D679</f>
        <v>1237.72</v>
      </c>
      <c r="H679" s="311"/>
      <c r="I679" s="311"/>
      <c r="J679" s="104"/>
    </row>
    <row r="680" spans="1:10" s="155" customFormat="1" x14ac:dyDescent="0.25">
      <c r="A680" s="11"/>
      <c r="B680" s="573" t="s">
        <v>964</v>
      </c>
      <c r="C680" s="320" t="s">
        <v>965</v>
      </c>
      <c r="D680" s="471">
        <v>0.52600000000000002</v>
      </c>
      <c r="E680" s="321" t="s">
        <v>91</v>
      </c>
      <c r="F680" s="207">
        <v>19.59</v>
      </c>
      <c r="G680" s="322">
        <f t="shared" si="62"/>
        <v>10.30434</v>
      </c>
      <c r="H680" s="35"/>
      <c r="I680" s="35"/>
      <c r="J680" s="22"/>
    </row>
    <row r="681" spans="1:10" s="155" customFormat="1" x14ac:dyDescent="0.25">
      <c r="A681" s="11"/>
      <c r="B681" s="573" t="s">
        <v>966</v>
      </c>
      <c r="C681" s="320" t="s">
        <v>106</v>
      </c>
      <c r="D681" s="471">
        <v>0.52600000000000002</v>
      </c>
      <c r="E681" s="321" t="s">
        <v>91</v>
      </c>
      <c r="F681" s="207">
        <v>22.36</v>
      </c>
      <c r="G681" s="322">
        <f t="shared" si="62"/>
        <v>11.76136</v>
      </c>
      <c r="H681" s="35"/>
      <c r="I681" s="35"/>
      <c r="J681" s="22"/>
    </row>
    <row r="682" spans="1:10" s="155" customFormat="1" x14ac:dyDescent="0.25">
      <c r="A682" s="11"/>
      <c r="B682" s="624" t="s">
        <v>34</v>
      </c>
      <c r="C682" s="624"/>
      <c r="D682" s="624"/>
      <c r="E682" s="624"/>
      <c r="F682" s="624"/>
      <c r="G682" s="319">
        <f>SUM(G678:G681)</f>
        <v>1260.1020999999998</v>
      </c>
      <c r="H682" s="35"/>
      <c r="I682" s="35"/>
      <c r="J682" s="22"/>
    </row>
    <row r="683" spans="1:10" s="155" customFormat="1" x14ac:dyDescent="0.25">
      <c r="A683" s="11"/>
      <c r="B683" s="249"/>
      <c r="C683" s="249"/>
      <c r="D683" s="473"/>
      <c r="E683" s="250"/>
      <c r="F683" s="249"/>
      <c r="G683" s="251"/>
      <c r="H683" s="35"/>
      <c r="I683" s="35"/>
      <c r="J683" s="22"/>
    </row>
    <row r="684" spans="1:10" s="155" customFormat="1" x14ac:dyDescent="0.25">
      <c r="A684" s="11"/>
      <c r="B684" s="315" t="s">
        <v>905</v>
      </c>
      <c r="C684" s="618" t="s">
        <v>1617</v>
      </c>
      <c r="D684" s="618"/>
      <c r="E684" s="618"/>
      <c r="F684" s="618"/>
      <c r="G684" s="618"/>
      <c r="H684" s="35"/>
      <c r="I684" s="35"/>
      <c r="J684" s="22"/>
    </row>
    <row r="685" spans="1:10" s="155" customFormat="1" x14ac:dyDescent="0.25">
      <c r="A685" s="11"/>
      <c r="B685" s="222" t="s">
        <v>84</v>
      </c>
      <c r="C685" s="316" t="s">
        <v>85</v>
      </c>
      <c r="D685" s="222" t="s">
        <v>31</v>
      </c>
      <c r="E685" s="317" t="s">
        <v>86</v>
      </c>
      <c r="F685" s="318" t="s">
        <v>87</v>
      </c>
      <c r="G685" s="319" t="s">
        <v>88</v>
      </c>
      <c r="H685" s="35"/>
      <c r="I685" s="35"/>
      <c r="J685" s="22"/>
    </row>
    <row r="686" spans="1:10" s="155" customFormat="1" x14ac:dyDescent="0.25">
      <c r="A686" s="11"/>
      <c r="B686" s="573" t="s">
        <v>1817</v>
      </c>
      <c r="C686" s="320" t="s">
        <v>106</v>
      </c>
      <c r="D686" s="471">
        <v>1</v>
      </c>
      <c r="E686" s="321" t="s">
        <v>91</v>
      </c>
      <c r="F686" s="471">
        <v>22.36</v>
      </c>
      <c r="G686" s="322">
        <f>F686*D686</f>
        <v>22.36</v>
      </c>
      <c r="H686" s="35"/>
      <c r="I686" s="35"/>
      <c r="J686" s="22"/>
    </row>
    <row r="687" spans="1:10" s="155" customFormat="1" x14ac:dyDescent="0.25">
      <c r="A687" s="11"/>
      <c r="B687" s="573" t="s">
        <v>1820</v>
      </c>
      <c r="C687" s="320" t="s">
        <v>94</v>
      </c>
      <c r="D687" s="471">
        <v>1</v>
      </c>
      <c r="E687" s="321" t="s">
        <v>91</v>
      </c>
      <c r="F687" s="471">
        <v>18.84</v>
      </c>
      <c r="G687" s="322">
        <f t="shared" ref="G687:G688" si="63">F687*D687</f>
        <v>18.84</v>
      </c>
      <c r="H687" s="35"/>
      <c r="I687" s="35"/>
      <c r="J687" s="22"/>
    </row>
    <row r="688" spans="1:10" s="105" customFormat="1" x14ac:dyDescent="0.25">
      <c r="A688" s="103"/>
      <c r="B688" s="604" t="s">
        <v>136</v>
      </c>
      <c r="C688" s="488" t="s">
        <v>979</v>
      </c>
      <c r="D688" s="489">
        <v>1</v>
      </c>
      <c r="E688" s="486" t="s">
        <v>31</v>
      </c>
      <c r="F688" s="489">
        <v>490.83</v>
      </c>
      <c r="G688" s="322">
        <f t="shared" si="63"/>
        <v>490.83</v>
      </c>
      <c r="H688" s="311"/>
      <c r="I688" s="311"/>
      <c r="J688" s="104"/>
    </row>
    <row r="689" spans="1:10" s="155" customFormat="1" x14ac:dyDescent="0.25">
      <c r="A689" s="11"/>
      <c r="B689" s="624" t="s">
        <v>34</v>
      </c>
      <c r="C689" s="624"/>
      <c r="D689" s="624"/>
      <c r="E689" s="624"/>
      <c r="F689" s="624"/>
      <c r="G689" s="319">
        <f>SUM(G686:G688)</f>
        <v>532.03</v>
      </c>
      <c r="H689" s="35"/>
      <c r="I689" s="35"/>
      <c r="J689" s="22"/>
    </row>
    <row r="690" spans="1:10" s="155" customFormat="1" x14ac:dyDescent="0.25">
      <c r="A690" s="11"/>
      <c r="B690" s="249"/>
      <c r="C690" s="249"/>
      <c r="D690" s="473"/>
      <c r="E690" s="250"/>
      <c r="F690" s="249"/>
      <c r="G690" s="251"/>
      <c r="H690" s="35"/>
      <c r="I690" s="35"/>
      <c r="J690" s="22"/>
    </row>
    <row r="691" spans="1:10" s="155" customFormat="1" x14ac:dyDescent="0.25">
      <c r="A691" s="11"/>
      <c r="B691" s="315" t="s">
        <v>906</v>
      </c>
      <c r="C691" s="618" t="s">
        <v>980</v>
      </c>
      <c r="D691" s="618"/>
      <c r="E691" s="618"/>
      <c r="F691" s="618"/>
      <c r="G691" s="618"/>
      <c r="H691" s="35"/>
      <c r="I691" s="35"/>
      <c r="J691" s="22"/>
    </row>
    <row r="692" spans="1:10" s="155" customFormat="1" x14ac:dyDescent="0.25">
      <c r="A692" s="11"/>
      <c r="B692" s="222" t="s">
        <v>84</v>
      </c>
      <c r="C692" s="316" t="s">
        <v>85</v>
      </c>
      <c r="D692" s="222" t="s">
        <v>31</v>
      </c>
      <c r="E692" s="317" t="s">
        <v>86</v>
      </c>
      <c r="F692" s="318" t="s">
        <v>87</v>
      </c>
      <c r="G692" s="319" t="s">
        <v>88</v>
      </c>
      <c r="H692" s="35"/>
      <c r="I692" s="35"/>
      <c r="J692" s="22"/>
    </row>
    <row r="693" spans="1:10" s="155" customFormat="1" x14ac:dyDescent="0.25">
      <c r="A693" s="11"/>
      <c r="B693" s="604" t="s">
        <v>1821</v>
      </c>
      <c r="C693" s="320" t="s">
        <v>981</v>
      </c>
      <c r="D693" s="471">
        <v>5.7000000000000002E-2</v>
      </c>
      <c r="E693" s="321" t="s">
        <v>89</v>
      </c>
      <c r="F693" s="496">
        <v>85</v>
      </c>
      <c r="G693" s="322">
        <f>F693*D693</f>
        <v>4.8449999999999998</v>
      </c>
      <c r="H693" s="35"/>
      <c r="I693" s="35"/>
      <c r="J693" s="22"/>
    </row>
    <row r="694" spans="1:10" s="155" customFormat="1" x14ac:dyDescent="0.25">
      <c r="A694" s="11"/>
      <c r="B694" s="604" t="s">
        <v>1822</v>
      </c>
      <c r="C694" s="320" t="s">
        <v>982</v>
      </c>
      <c r="D694" s="471">
        <v>8.9999999999999993E-3</v>
      </c>
      <c r="E694" s="321" t="s">
        <v>89</v>
      </c>
      <c r="F694" s="496">
        <v>58.25</v>
      </c>
      <c r="G694" s="322">
        <f t="shared" ref="G694:G698" si="64">F694*D694</f>
        <v>0.52424999999999999</v>
      </c>
      <c r="H694" s="35"/>
      <c r="I694" s="35"/>
      <c r="J694" s="22"/>
    </row>
    <row r="695" spans="1:10" s="155" customFormat="1" x14ac:dyDescent="0.25">
      <c r="A695" s="11"/>
      <c r="B695" s="604" t="s">
        <v>1823</v>
      </c>
      <c r="C695" s="320" t="s">
        <v>983</v>
      </c>
      <c r="D695" s="471">
        <v>0.253</v>
      </c>
      <c r="E695" s="321" t="s">
        <v>91</v>
      </c>
      <c r="F695" s="496">
        <v>20.05</v>
      </c>
      <c r="G695" s="322">
        <f t="shared" si="64"/>
        <v>5.0726500000000003</v>
      </c>
      <c r="H695" s="35"/>
      <c r="I695" s="35"/>
      <c r="J695" s="22"/>
    </row>
    <row r="696" spans="1:10" s="155" customFormat="1" x14ac:dyDescent="0.25">
      <c r="A696" s="11"/>
      <c r="B696" s="604" t="s">
        <v>705</v>
      </c>
      <c r="C696" s="320" t="s">
        <v>94</v>
      </c>
      <c r="D696" s="471">
        <v>0.253</v>
      </c>
      <c r="E696" s="321" t="s">
        <v>91</v>
      </c>
      <c r="F696" s="496">
        <v>18.84</v>
      </c>
      <c r="G696" s="322">
        <f t="shared" si="64"/>
        <v>4.7665199999999999</v>
      </c>
      <c r="H696" s="35"/>
      <c r="I696" s="35"/>
      <c r="J696" s="22"/>
    </row>
    <row r="697" spans="1:10" s="155" customFormat="1" ht="35.25" customHeight="1" x14ac:dyDescent="0.25">
      <c r="A697" s="11"/>
      <c r="B697" s="573" t="s">
        <v>1824</v>
      </c>
      <c r="C697" s="208" t="s">
        <v>984</v>
      </c>
      <c r="D697" s="207">
        <v>6.0000000000000001E-3</v>
      </c>
      <c r="E697" s="321" t="s">
        <v>124</v>
      </c>
      <c r="F697" s="497">
        <v>10.33</v>
      </c>
      <c r="G697" s="322">
        <f t="shared" si="64"/>
        <v>6.198E-2</v>
      </c>
      <c r="H697" s="35"/>
      <c r="I697" s="35"/>
      <c r="J697" s="22"/>
    </row>
    <row r="698" spans="1:10" s="155" customFormat="1" ht="31.5" x14ac:dyDescent="0.25">
      <c r="A698" s="11"/>
      <c r="B698" s="573" t="s">
        <v>1825</v>
      </c>
      <c r="C698" s="208" t="s">
        <v>985</v>
      </c>
      <c r="D698" s="207">
        <v>0.121</v>
      </c>
      <c r="E698" s="321" t="s">
        <v>125</v>
      </c>
      <c r="F698" s="497">
        <v>0.56000000000000005</v>
      </c>
      <c r="G698" s="322">
        <f t="shared" si="64"/>
        <v>6.7760000000000001E-2</v>
      </c>
      <c r="H698" s="35"/>
      <c r="I698" s="35"/>
      <c r="J698" s="22"/>
    </row>
    <row r="699" spans="1:10" s="155" customFormat="1" x14ac:dyDescent="0.25">
      <c r="A699" s="11"/>
      <c r="B699" s="624" t="s">
        <v>34</v>
      </c>
      <c r="C699" s="624"/>
      <c r="D699" s="624"/>
      <c r="E699" s="624"/>
      <c r="F699" s="624"/>
      <c r="G699" s="319">
        <f>SUM(G693:G698)</f>
        <v>15.33816</v>
      </c>
      <c r="H699" s="35"/>
      <c r="I699" s="35"/>
      <c r="J699" s="22"/>
    </row>
    <row r="700" spans="1:10" s="155" customFormat="1" x14ac:dyDescent="0.25">
      <c r="A700" s="11"/>
      <c r="B700" s="249"/>
      <c r="C700" s="249"/>
      <c r="D700" s="473"/>
      <c r="E700" s="250"/>
      <c r="F700" s="249"/>
      <c r="G700" s="251"/>
      <c r="H700" s="35"/>
      <c r="I700" s="35"/>
      <c r="J700" s="22"/>
    </row>
    <row r="701" spans="1:10" s="155" customFormat="1" x14ac:dyDescent="0.25">
      <c r="A701" s="11"/>
      <c r="B701" s="315" t="s">
        <v>986</v>
      </c>
      <c r="C701" s="618" t="s">
        <v>987</v>
      </c>
      <c r="D701" s="618"/>
      <c r="E701" s="618"/>
      <c r="F701" s="618"/>
      <c r="G701" s="618"/>
      <c r="H701" s="35"/>
      <c r="I701" s="35"/>
      <c r="J701" s="22"/>
    </row>
    <row r="702" spans="1:10" s="105" customFormat="1" x14ac:dyDescent="0.25">
      <c r="A702" s="103"/>
      <c r="B702" s="491" t="s">
        <v>84</v>
      </c>
      <c r="C702" s="492" t="s">
        <v>85</v>
      </c>
      <c r="D702" s="491" t="s">
        <v>31</v>
      </c>
      <c r="E702" s="493" t="s">
        <v>86</v>
      </c>
      <c r="F702" s="494" t="s">
        <v>87</v>
      </c>
      <c r="G702" s="495" t="s">
        <v>88</v>
      </c>
      <c r="H702" s="311"/>
      <c r="I702" s="311"/>
      <c r="J702" s="104"/>
    </row>
    <row r="703" spans="1:10" s="105" customFormat="1" x14ac:dyDescent="0.25">
      <c r="A703" s="103"/>
      <c r="B703" s="573" t="s">
        <v>1828</v>
      </c>
      <c r="C703" s="488" t="s">
        <v>988</v>
      </c>
      <c r="D703" s="489">
        <v>1</v>
      </c>
      <c r="E703" s="486" t="s">
        <v>73</v>
      </c>
      <c r="F703" s="210">
        <v>13.38</v>
      </c>
      <c r="G703" s="487">
        <f>F703*D703</f>
        <v>13.38</v>
      </c>
      <c r="H703" s="311"/>
      <c r="I703" s="311"/>
      <c r="J703" s="104"/>
    </row>
    <row r="704" spans="1:10" s="105" customFormat="1" ht="31.5" x14ac:dyDescent="0.25">
      <c r="A704" s="103"/>
      <c r="B704" s="573" t="s">
        <v>1829</v>
      </c>
      <c r="C704" s="211" t="s">
        <v>989</v>
      </c>
      <c r="D704" s="489">
        <v>4.0000000000000001E-3</v>
      </c>
      <c r="E704" s="486" t="s">
        <v>50</v>
      </c>
      <c r="F704" s="210">
        <v>31.72</v>
      </c>
      <c r="G704" s="487">
        <f t="shared" ref="G704:G706" si="65">F704*D704</f>
        <v>0.12687999999999999</v>
      </c>
      <c r="H704" s="311"/>
      <c r="I704" s="311"/>
      <c r="J704" s="104"/>
    </row>
    <row r="705" spans="1:10" s="105" customFormat="1" x14ac:dyDescent="0.25">
      <c r="A705" s="103"/>
      <c r="B705" s="573" t="s">
        <v>1830</v>
      </c>
      <c r="C705" s="488" t="s">
        <v>990</v>
      </c>
      <c r="D705" s="489">
        <v>1.7999999999999999E-2</v>
      </c>
      <c r="E705" s="486" t="s">
        <v>91</v>
      </c>
      <c r="F705" s="210">
        <v>26.38</v>
      </c>
      <c r="G705" s="487">
        <f t="shared" si="65"/>
        <v>0.47483999999999993</v>
      </c>
      <c r="H705" s="311"/>
      <c r="I705" s="311"/>
      <c r="J705" s="104"/>
    </row>
    <row r="706" spans="1:10" s="105" customFormat="1" x14ac:dyDescent="0.25">
      <c r="A706" s="103"/>
      <c r="B706" s="573" t="s">
        <v>1820</v>
      </c>
      <c r="C706" s="488" t="s">
        <v>94</v>
      </c>
      <c r="D706" s="489">
        <v>1.7999999999999999E-2</v>
      </c>
      <c r="E706" s="486" t="s">
        <v>91</v>
      </c>
      <c r="F706" s="210">
        <v>18.84</v>
      </c>
      <c r="G706" s="487">
        <f t="shared" si="65"/>
        <v>0.33911999999999998</v>
      </c>
      <c r="H706" s="311"/>
      <c r="I706" s="311"/>
      <c r="J706" s="104"/>
    </row>
    <row r="707" spans="1:10" s="105" customFormat="1" x14ac:dyDescent="0.25">
      <c r="A707" s="103"/>
      <c r="B707" s="625" t="s">
        <v>34</v>
      </c>
      <c r="C707" s="625"/>
      <c r="D707" s="625"/>
      <c r="E707" s="625"/>
      <c r="F707" s="625"/>
      <c r="G707" s="495">
        <f>SUM(G703:G706)</f>
        <v>14.32084</v>
      </c>
      <c r="H707" s="311"/>
      <c r="I707" s="311"/>
      <c r="J707" s="104"/>
    </row>
    <row r="708" spans="1:10" s="105" customFormat="1" x14ac:dyDescent="0.25">
      <c r="A708" s="103"/>
      <c r="B708" s="498"/>
      <c r="C708" s="498"/>
      <c r="D708" s="499"/>
      <c r="E708" s="500"/>
      <c r="F708" s="498"/>
      <c r="G708" s="248"/>
      <c r="H708" s="311"/>
      <c r="I708" s="311"/>
      <c r="J708" s="104"/>
    </row>
    <row r="709" spans="1:10" s="155" customFormat="1" x14ac:dyDescent="0.25">
      <c r="A709" s="11"/>
      <c r="B709" s="315" t="s">
        <v>991</v>
      </c>
      <c r="C709" s="618" t="s">
        <v>992</v>
      </c>
      <c r="D709" s="618"/>
      <c r="E709" s="618"/>
      <c r="F709" s="618"/>
      <c r="G709" s="618"/>
      <c r="H709" s="35"/>
      <c r="I709" s="35"/>
      <c r="J709" s="22"/>
    </row>
    <row r="710" spans="1:10" s="105" customFormat="1" x14ac:dyDescent="0.25">
      <c r="A710" s="103"/>
      <c r="B710" s="491" t="s">
        <v>84</v>
      </c>
      <c r="C710" s="492" t="s">
        <v>85</v>
      </c>
      <c r="D710" s="491" t="s">
        <v>31</v>
      </c>
      <c r="E710" s="493" t="s">
        <v>86</v>
      </c>
      <c r="F710" s="494" t="s">
        <v>87</v>
      </c>
      <c r="G710" s="495" t="s">
        <v>88</v>
      </c>
      <c r="H710" s="311"/>
      <c r="I710" s="311"/>
      <c r="J710" s="104"/>
    </row>
    <row r="711" spans="1:10" s="105" customFormat="1" x14ac:dyDescent="0.25">
      <c r="A711" s="103"/>
      <c r="B711" s="573" t="s">
        <v>1831</v>
      </c>
      <c r="C711" s="488" t="s">
        <v>993</v>
      </c>
      <c r="D711" s="489">
        <v>1</v>
      </c>
      <c r="E711" s="486" t="s">
        <v>73</v>
      </c>
      <c r="F711" s="210">
        <v>19.48</v>
      </c>
      <c r="G711" s="487">
        <f>F711*D711</f>
        <v>19.48</v>
      </c>
      <c r="H711" s="311"/>
      <c r="I711" s="311"/>
      <c r="J711" s="104"/>
    </row>
    <row r="712" spans="1:10" s="105" customFormat="1" ht="31.5" x14ac:dyDescent="0.25">
      <c r="A712" s="103"/>
      <c r="B712" s="573" t="s">
        <v>1832</v>
      </c>
      <c r="C712" s="211" t="s">
        <v>989</v>
      </c>
      <c r="D712" s="489">
        <v>4.0000000000000001E-3</v>
      </c>
      <c r="E712" s="486" t="s">
        <v>50</v>
      </c>
      <c r="F712" s="210">
        <v>31.72</v>
      </c>
      <c r="G712" s="487">
        <f t="shared" ref="G712:G714" si="66">F712*D712</f>
        <v>0.12687999999999999</v>
      </c>
      <c r="H712" s="311"/>
      <c r="I712" s="311"/>
      <c r="J712" s="104"/>
    </row>
    <row r="713" spans="1:10" s="105" customFormat="1" x14ac:dyDescent="0.25">
      <c r="A713" s="103"/>
      <c r="B713" s="573" t="s">
        <v>1833</v>
      </c>
      <c r="C713" s="488" t="s">
        <v>990</v>
      </c>
      <c r="D713" s="489">
        <v>1.7999999999999999E-2</v>
      </c>
      <c r="E713" s="486" t="s">
        <v>91</v>
      </c>
      <c r="F713" s="210">
        <v>26.38</v>
      </c>
      <c r="G713" s="487">
        <f t="shared" si="66"/>
        <v>0.47483999999999993</v>
      </c>
      <c r="H713" s="311"/>
      <c r="I713" s="311"/>
      <c r="J713" s="104"/>
    </row>
    <row r="714" spans="1:10" s="105" customFormat="1" x14ac:dyDescent="0.25">
      <c r="A714" s="103"/>
      <c r="B714" s="573" t="s">
        <v>705</v>
      </c>
      <c r="C714" s="488" t="s">
        <v>94</v>
      </c>
      <c r="D714" s="489">
        <v>1.7999999999999999E-2</v>
      </c>
      <c r="E714" s="486" t="s">
        <v>91</v>
      </c>
      <c r="F714" s="210">
        <v>18.84</v>
      </c>
      <c r="G714" s="487">
        <f t="shared" si="66"/>
        <v>0.33911999999999998</v>
      </c>
      <c r="H714" s="311"/>
      <c r="I714" s="311"/>
      <c r="J714" s="104"/>
    </row>
    <row r="715" spans="1:10" s="105" customFormat="1" x14ac:dyDescent="0.25">
      <c r="A715" s="103"/>
      <c r="B715" s="625" t="s">
        <v>34</v>
      </c>
      <c r="C715" s="625"/>
      <c r="D715" s="625"/>
      <c r="E715" s="625"/>
      <c r="F715" s="625"/>
      <c r="G715" s="495">
        <f>SUM(G711:G714)</f>
        <v>20.420840000000002</v>
      </c>
      <c r="H715" s="311"/>
      <c r="I715" s="311"/>
      <c r="J715" s="104"/>
    </row>
    <row r="716" spans="1:10" s="155" customFormat="1" x14ac:dyDescent="0.25">
      <c r="A716" s="11"/>
      <c r="B716" s="249"/>
      <c r="C716" s="249"/>
      <c r="D716" s="473"/>
      <c r="E716" s="250"/>
      <c r="F716" s="249"/>
      <c r="G716" s="251"/>
      <c r="H716" s="35"/>
      <c r="I716" s="35"/>
      <c r="J716" s="22"/>
    </row>
    <row r="717" spans="1:10" s="155" customFormat="1" ht="40.5" customHeight="1" x14ac:dyDescent="0.25">
      <c r="A717" s="11"/>
      <c r="B717" s="315" t="s">
        <v>907</v>
      </c>
      <c r="C717" s="618" t="s">
        <v>1616</v>
      </c>
      <c r="D717" s="618"/>
      <c r="E717" s="618"/>
      <c r="F717" s="618"/>
      <c r="G717" s="618"/>
      <c r="H717" s="35"/>
      <c r="I717" s="35"/>
      <c r="J717" s="22"/>
    </row>
    <row r="718" spans="1:10" s="155" customFormat="1" x14ac:dyDescent="0.25">
      <c r="A718" s="11"/>
      <c r="B718" s="222" t="s">
        <v>84</v>
      </c>
      <c r="C718" s="323" t="s">
        <v>85</v>
      </c>
      <c r="D718" s="324" t="s">
        <v>31</v>
      </c>
      <c r="E718" s="325" t="s">
        <v>86</v>
      </c>
      <c r="F718" s="201" t="s">
        <v>87</v>
      </c>
      <c r="G718" s="326" t="s">
        <v>88</v>
      </c>
      <c r="H718" s="35"/>
      <c r="I718" s="35"/>
      <c r="J718" s="22"/>
    </row>
    <row r="719" spans="1:10" s="155" customFormat="1" ht="31.5" x14ac:dyDescent="0.25">
      <c r="A719" s="11"/>
      <c r="B719" s="573" t="s">
        <v>1826</v>
      </c>
      <c r="C719" s="208" t="s">
        <v>1073</v>
      </c>
      <c r="D719" s="209">
        <v>0.24</v>
      </c>
      <c r="E719" s="327" t="s">
        <v>41</v>
      </c>
      <c r="F719" s="502">
        <v>7.78</v>
      </c>
      <c r="G719" s="328">
        <f>F719*D719</f>
        <v>1.8672</v>
      </c>
      <c r="H719" s="35"/>
      <c r="I719" s="35"/>
      <c r="J719" s="22"/>
    </row>
    <row r="720" spans="1:10" s="155" customFormat="1" x14ac:dyDescent="0.25">
      <c r="A720" s="11"/>
      <c r="B720" s="573" t="s">
        <v>1827</v>
      </c>
      <c r="C720" s="208" t="s">
        <v>1072</v>
      </c>
      <c r="D720" s="481">
        <v>0.04</v>
      </c>
      <c r="E720" s="327" t="s">
        <v>41</v>
      </c>
      <c r="F720" s="502">
        <v>85</v>
      </c>
      <c r="G720" s="328">
        <f t="shared" ref="G720:G722" si="67">F720*D720</f>
        <v>3.4</v>
      </c>
      <c r="H720" s="35"/>
      <c r="I720" s="35"/>
      <c r="J720" s="22"/>
    </row>
    <row r="721" spans="1:10" s="155" customFormat="1" ht="31.5" x14ac:dyDescent="0.25">
      <c r="A721" s="11"/>
      <c r="B721" s="573" t="s">
        <v>991</v>
      </c>
      <c r="C721" s="208" t="s">
        <v>992</v>
      </c>
      <c r="D721" s="481">
        <v>1</v>
      </c>
      <c r="E721" s="327" t="s">
        <v>73</v>
      </c>
      <c r="F721" s="502">
        <f>G715</f>
        <v>20.420840000000002</v>
      </c>
      <c r="G721" s="328">
        <f t="shared" si="67"/>
        <v>20.420840000000002</v>
      </c>
      <c r="H721" s="35"/>
      <c r="I721" s="35"/>
      <c r="J721" s="22"/>
    </row>
    <row r="722" spans="1:10" s="155" customFormat="1" x14ac:dyDescent="0.25">
      <c r="A722" s="11"/>
      <c r="B722" s="573" t="s">
        <v>1834</v>
      </c>
      <c r="C722" s="208" t="s">
        <v>995</v>
      </c>
      <c r="D722" s="481">
        <v>0.26</v>
      </c>
      <c r="E722" s="327" t="s">
        <v>41</v>
      </c>
      <c r="F722" s="502">
        <v>30.12</v>
      </c>
      <c r="G722" s="328">
        <f t="shared" si="67"/>
        <v>7.8312000000000008</v>
      </c>
      <c r="H722" s="35"/>
      <c r="I722" s="35"/>
      <c r="J722" s="22"/>
    </row>
    <row r="723" spans="1:10" s="155" customFormat="1" x14ac:dyDescent="0.25">
      <c r="A723" s="11"/>
      <c r="B723" s="624" t="s">
        <v>34</v>
      </c>
      <c r="C723" s="624"/>
      <c r="D723" s="624"/>
      <c r="E723" s="624"/>
      <c r="F723" s="624"/>
      <c r="G723" s="319">
        <f>SUM(G719:G722)</f>
        <v>33.519240000000003</v>
      </c>
      <c r="H723" s="35"/>
      <c r="I723" s="35"/>
      <c r="J723" s="22"/>
    </row>
    <row r="724" spans="1:10" s="155" customFormat="1" x14ac:dyDescent="0.25">
      <c r="A724" s="11"/>
      <c r="B724" s="249"/>
      <c r="C724" s="249"/>
      <c r="D724" s="473"/>
      <c r="E724" s="250"/>
      <c r="F724" s="249"/>
      <c r="G724" s="251"/>
      <c r="H724" s="35"/>
      <c r="I724" s="35"/>
      <c r="J724" s="22"/>
    </row>
    <row r="725" spans="1:10" s="155" customFormat="1" ht="38.25" customHeight="1" x14ac:dyDescent="0.25">
      <c r="A725" s="11"/>
      <c r="B725" s="315" t="s">
        <v>908</v>
      </c>
      <c r="C725" s="618" t="s">
        <v>930</v>
      </c>
      <c r="D725" s="618"/>
      <c r="E725" s="618"/>
      <c r="F725" s="618"/>
      <c r="G725" s="618"/>
      <c r="H725" s="35"/>
      <c r="I725" s="35"/>
      <c r="J725" s="22"/>
    </row>
    <row r="726" spans="1:10" s="155" customFormat="1" x14ac:dyDescent="0.25">
      <c r="A726" s="11"/>
      <c r="B726" s="222" t="s">
        <v>84</v>
      </c>
      <c r="C726" s="316" t="s">
        <v>85</v>
      </c>
      <c r="D726" s="222" t="s">
        <v>31</v>
      </c>
      <c r="E726" s="317" t="s">
        <v>86</v>
      </c>
      <c r="F726" s="318" t="s">
        <v>87</v>
      </c>
      <c r="G726" s="319" t="s">
        <v>88</v>
      </c>
      <c r="H726" s="35"/>
      <c r="I726" s="35"/>
      <c r="J726" s="22"/>
    </row>
    <row r="727" spans="1:10" s="155" customFormat="1" ht="31.5" x14ac:dyDescent="0.25">
      <c r="A727" s="11"/>
      <c r="B727" s="573" t="s">
        <v>1826</v>
      </c>
      <c r="C727" s="501" t="s">
        <v>1073</v>
      </c>
      <c r="D727" s="471">
        <v>0.24</v>
      </c>
      <c r="E727" s="321" t="s">
        <v>41</v>
      </c>
      <c r="F727" s="497">
        <v>7.78</v>
      </c>
      <c r="G727" s="322">
        <f>F727*D727</f>
        <v>1.8672</v>
      </c>
      <c r="H727" s="35"/>
      <c r="I727" s="35"/>
      <c r="J727" s="22"/>
    </row>
    <row r="728" spans="1:10" s="155" customFormat="1" x14ac:dyDescent="0.25">
      <c r="A728" s="11"/>
      <c r="B728" s="573" t="s">
        <v>1827</v>
      </c>
      <c r="C728" s="329" t="s">
        <v>1615</v>
      </c>
      <c r="D728" s="471">
        <v>0.04</v>
      </c>
      <c r="E728" s="321" t="s">
        <v>41</v>
      </c>
      <c r="F728" s="497">
        <v>85</v>
      </c>
      <c r="G728" s="322">
        <f t="shared" ref="G728:G730" si="68">F728*D728</f>
        <v>3.4</v>
      </c>
      <c r="H728" s="35"/>
      <c r="I728" s="35"/>
      <c r="J728" s="22"/>
    </row>
    <row r="729" spans="1:10" s="155" customFormat="1" ht="31.5" x14ac:dyDescent="0.25">
      <c r="A729" s="11"/>
      <c r="B729" s="573" t="s">
        <v>986</v>
      </c>
      <c r="C729" s="501" t="s">
        <v>987</v>
      </c>
      <c r="D729" s="471">
        <v>1</v>
      </c>
      <c r="E729" s="321" t="s">
        <v>73</v>
      </c>
      <c r="F729" s="497">
        <f>G707</f>
        <v>14.32084</v>
      </c>
      <c r="G729" s="322">
        <f t="shared" si="68"/>
        <v>14.32084</v>
      </c>
      <c r="H729" s="35"/>
      <c r="I729" s="35"/>
      <c r="J729" s="22"/>
    </row>
    <row r="730" spans="1:10" s="155" customFormat="1" x14ac:dyDescent="0.25">
      <c r="A730" s="11"/>
      <c r="B730" s="573" t="s">
        <v>1835</v>
      </c>
      <c r="C730" s="329" t="s">
        <v>995</v>
      </c>
      <c r="D730" s="471">
        <v>0.26</v>
      </c>
      <c r="E730" s="321" t="s">
        <v>41</v>
      </c>
      <c r="F730" s="497">
        <v>30.12</v>
      </c>
      <c r="G730" s="322">
        <f t="shared" si="68"/>
        <v>7.8312000000000008</v>
      </c>
      <c r="H730" s="35"/>
      <c r="I730" s="35"/>
      <c r="J730" s="22"/>
    </row>
    <row r="731" spans="1:10" s="155" customFormat="1" x14ac:dyDescent="0.25">
      <c r="A731" s="11"/>
      <c r="B731" s="624" t="s">
        <v>34</v>
      </c>
      <c r="C731" s="624"/>
      <c r="D731" s="624"/>
      <c r="E731" s="624"/>
      <c r="F731" s="624"/>
      <c r="G731" s="319">
        <f>SUM(G727:G730)</f>
        <v>27.419240000000002</v>
      </c>
      <c r="H731" s="35" t="str">
        <f t="shared" ref="H731:H733" si="69">UPPER(E731)</f>
        <v/>
      </c>
      <c r="I731" s="35"/>
      <c r="J731" s="22"/>
    </row>
    <row r="732" spans="1:10" s="155" customFormat="1" x14ac:dyDescent="0.25">
      <c r="A732" s="11"/>
      <c r="B732" s="249"/>
      <c r="C732" s="249"/>
      <c r="D732" s="473"/>
      <c r="E732" s="250"/>
      <c r="F732" s="249"/>
      <c r="G732" s="251"/>
      <c r="H732" s="35" t="str">
        <f t="shared" si="69"/>
        <v/>
      </c>
      <c r="I732" s="35"/>
      <c r="J732" s="22"/>
    </row>
    <row r="733" spans="1:10" s="161" customFormat="1" x14ac:dyDescent="0.25">
      <c r="A733" s="160"/>
      <c r="B733" s="626" t="s">
        <v>1099</v>
      </c>
      <c r="C733" s="627"/>
      <c r="D733" s="627"/>
      <c r="E733" s="627"/>
      <c r="F733" s="627"/>
      <c r="G733" s="628"/>
      <c r="H733" s="35" t="str">
        <f t="shared" si="69"/>
        <v/>
      </c>
      <c r="I733" s="35"/>
    </row>
    <row r="734" spans="1:10" s="155" customFormat="1" x14ac:dyDescent="0.25">
      <c r="A734" s="11"/>
      <c r="B734" s="249"/>
      <c r="C734" s="249"/>
      <c r="D734" s="473"/>
      <c r="E734" s="250"/>
      <c r="F734" s="249"/>
      <c r="G734" s="251"/>
      <c r="H734" s="35"/>
      <c r="I734" s="35"/>
      <c r="J734" s="22"/>
    </row>
    <row r="735" spans="1:10" s="155" customFormat="1" ht="45.75" customHeight="1" x14ac:dyDescent="0.25">
      <c r="A735" s="11"/>
      <c r="B735" s="235" t="s">
        <v>709</v>
      </c>
      <c r="C735" s="622" t="s">
        <v>1000</v>
      </c>
      <c r="D735" s="622" t="s">
        <v>787</v>
      </c>
      <c r="E735" s="622" t="s">
        <v>73</v>
      </c>
      <c r="F735" s="622"/>
      <c r="G735" s="622"/>
      <c r="H735" s="35" t="s">
        <v>1028</v>
      </c>
      <c r="I735" s="35"/>
      <c r="J735" s="22"/>
    </row>
    <row r="736" spans="1:10" s="155" customFormat="1" x14ac:dyDescent="0.25">
      <c r="A736" s="11"/>
      <c r="B736" s="113" t="s">
        <v>84</v>
      </c>
      <c r="C736" s="236" t="s">
        <v>85</v>
      </c>
      <c r="D736" s="113" t="s">
        <v>31</v>
      </c>
      <c r="E736" s="237" t="s">
        <v>86</v>
      </c>
      <c r="F736" s="238" t="s">
        <v>87</v>
      </c>
      <c r="G736" s="239" t="s">
        <v>88</v>
      </c>
      <c r="H736" s="330"/>
      <c r="I736" s="35"/>
      <c r="J736" s="22"/>
    </row>
    <row r="737" spans="1:10" s="155" customFormat="1" ht="31.5" x14ac:dyDescent="0.25">
      <c r="A737" s="11"/>
      <c r="B737" s="355" t="s">
        <v>1836</v>
      </c>
      <c r="C737" s="332" t="s">
        <v>1029</v>
      </c>
      <c r="D737" s="333">
        <v>1</v>
      </c>
      <c r="E737" s="331" t="s">
        <v>73</v>
      </c>
      <c r="F737" s="331">
        <v>20.14</v>
      </c>
      <c r="G737" s="334">
        <f>F737*D737</f>
        <v>20.14</v>
      </c>
      <c r="H737" s="330"/>
      <c r="I737" s="35"/>
      <c r="J737" s="22"/>
    </row>
    <row r="738" spans="1:10" s="155" customFormat="1" ht="31.5" x14ac:dyDescent="0.25">
      <c r="A738" s="11"/>
      <c r="B738" s="355" t="s">
        <v>1837</v>
      </c>
      <c r="C738" s="335" t="s">
        <v>1030</v>
      </c>
      <c r="D738" s="333">
        <v>0.85840000000000005</v>
      </c>
      <c r="E738" s="336" t="s">
        <v>50</v>
      </c>
      <c r="F738" s="337">
        <v>11.14</v>
      </c>
      <c r="G738" s="334">
        <f t="shared" ref="G738:G741" si="70">F738*D738</f>
        <v>9.5625760000000017</v>
      </c>
      <c r="H738" s="330"/>
      <c r="I738" s="35"/>
      <c r="J738" s="22"/>
    </row>
    <row r="739" spans="1:10" s="155" customFormat="1" ht="31.5" x14ac:dyDescent="0.25">
      <c r="A739" s="11"/>
      <c r="B739" s="355" t="s">
        <v>1838</v>
      </c>
      <c r="C739" s="335" t="s">
        <v>1031</v>
      </c>
      <c r="D739" s="333">
        <v>0.76910000000000001</v>
      </c>
      <c r="E739" s="336" t="s">
        <v>50</v>
      </c>
      <c r="F739" s="337">
        <v>7.67</v>
      </c>
      <c r="G739" s="334">
        <f t="shared" si="70"/>
        <v>5.8989969999999996</v>
      </c>
      <c r="H739" s="330"/>
      <c r="I739" s="35"/>
      <c r="J739" s="22"/>
    </row>
    <row r="740" spans="1:10" s="155" customFormat="1" ht="31.5" x14ac:dyDescent="0.25">
      <c r="A740" s="11"/>
      <c r="B740" s="355" t="s">
        <v>1839</v>
      </c>
      <c r="C740" s="335" t="s">
        <v>1032</v>
      </c>
      <c r="D740" s="333">
        <v>0.29239999999999999</v>
      </c>
      <c r="E740" s="336" t="s">
        <v>50</v>
      </c>
      <c r="F740" s="337">
        <v>6.76</v>
      </c>
      <c r="G740" s="334">
        <f t="shared" si="70"/>
        <v>1.9766239999999999</v>
      </c>
      <c r="H740" s="330"/>
      <c r="I740" s="35"/>
      <c r="J740" s="22"/>
    </row>
    <row r="741" spans="1:10" s="155" customFormat="1" ht="31.5" x14ac:dyDescent="0.25">
      <c r="A741" s="11"/>
      <c r="B741" s="355" t="s">
        <v>1840</v>
      </c>
      <c r="C741" s="335" t="s">
        <v>1033</v>
      </c>
      <c r="D741" s="333">
        <v>0.31159999999999999</v>
      </c>
      <c r="E741" s="336" t="s">
        <v>50</v>
      </c>
      <c r="F741" s="337">
        <v>13.27</v>
      </c>
      <c r="G741" s="334">
        <f t="shared" si="70"/>
        <v>4.1349320000000001</v>
      </c>
      <c r="H741" s="330"/>
      <c r="I741" s="35"/>
      <c r="J741" s="22"/>
    </row>
    <row r="742" spans="1:10" s="155" customFormat="1" x14ac:dyDescent="0.25">
      <c r="A742" s="11"/>
      <c r="B742" s="630" t="s">
        <v>34</v>
      </c>
      <c r="C742" s="631"/>
      <c r="D742" s="631"/>
      <c r="E742" s="631"/>
      <c r="F742" s="632"/>
      <c r="G742" s="338">
        <f>SUM(G737:G741)</f>
        <v>41.713129000000002</v>
      </c>
      <c r="H742" s="330"/>
      <c r="I742" s="35"/>
      <c r="J742" s="22"/>
    </row>
    <row r="743" spans="1:10" s="155" customFormat="1" x14ac:dyDescent="0.25">
      <c r="A743" s="11"/>
      <c r="B743" s="249"/>
      <c r="C743" s="249"/>
      <c r="D743" s="473"/>
      <c r="E743" s="250"/>
      <c r="F743" s="249"/>
      <c r="G743" s="251"/>
      <c r="H743" s="35"/>
      <c r="I743" s="35"/>
      <c r="J743" s="22"/>
    </row>
    <row r="744" spans="1:10" s="155" customFormat="1" ht="35.25" customHeight="1" x14ac:dyDescent="0.25">
      <c r="A744" s="11"/>
      <c r="B744" s="235" t="s">
        <v>686</v>
      </c>
      <c r="C744" s="622" t="s">
        <v>1001</v>
      </c>
      <c r="D744" s="622" t="s">
        <v>787</v>
      </c>
      <c r="E744" s="622" t="s">
        <v>73</v>
      </c>
      <c r="F744" s="622"/>
      <c r="G744" s="622"/>
      <c r="H744" s="35" t="s">
        <v>1034</v>
      </c>
      <c r="I744" s="35"/>
      <c r="J744" s="22"/>
    </row>
    <row r="745" spans="1:10" s="155" customFormat="1" x14ac:dyDescent="0.25">
      <c r="A745" s="11"/>
      <c r="B745" s="113" t="s">
        <v>84</v>
      </c>
      <c r="C745" s="236" t="s">
        <v>85</v>
      </c>
      <c r="D745" s="113" t="s">
        <v>31</v>
      </c>
      <c r="E745" s="237" t="s">
        <v>86</v>
      </c>
      <c r="F745" s="238" t="s">
        <v>87</v>
      </c>
      <c r="G745" s="239" t="s">
        <v>88</v>
      </c>
      <c r="H745" s="330"/>
      <c r="I745" s="35"/>
      <c r="J745" s="22"/>
    </row>
    <row r="746" spans="1:10" s="155" customFormat="1" ht="31.5" x14ac:dyDescent="0.25">
      <c r="A746" s="11"/>
      <c r="B746" s="355" t="s">
        <v>1841</v>
      </c>
      <c r="C746" s="332" t="s">
        <v>1035</v>
      </c>
      <c r="D746" s="333">
        <v>1</v>
      </c>
      <c r="E746" s="331" t="s">
        <v>73</v>
      </c>
      <c r="F746" s="334">
        <v>30.96</v>
      </c>
      <c r="G746" s="334">
        <f>F746*D746</f>
        <v>30.96</v>
      </c>
      <c r="H746" s="330"/>
      <c r="I746" s="35"/>
      <c r="J746" s="22"/>
    </row>
    <row r="747" spans="1:10" s="155" customFormat="1" ht="31.5" x14ac:dyDescent="0.25">
      <c r="A747" s="11"/>
      <c r="B747" s="355" t="s">
        <v>1842</v>
      </c>
      <c r="C747" s="335" t="s">
        <v>1036</v>
      </c>
      <c r="D747" s="333">
        <v>1.4222999999999999</v>
      </c>
      <c r="E747" s="336" t="s">
        <v>50</v>
      </c>
      <c r="F747" s="337">
        <v>11.39</v>
      </c>
      <c r="G747" s="334">
        <f t="shared" ref="G747:G751" si="71">F747*D747</f>
        <v>16.199997</v>
      </c>
      <c r="H747" s="330"/>
      <c r="I747" s="35"/>
      <c r="J747" s="22"/>
    </row>
    <row r="748" spans="1:10" s="155" customFormat="1" ht="31.5" x14ac:dyDescent="0.25">
      <c r="A748" s="11"/>
      <c r="B748" s="355" t="s">
        <v>1843</v>
      </c>
      <c r="C748" s="335" t="s">
        <v>1037</v>
      </c>
      <c r="D748" s="333">
        <v>1.4991000000000001</v>
      </c>
      <c r="E748" s="336" t="s">
        <v>50</v>
      </c>
      <c r="F748" s="337">
        <v>12.21</v>
      </c>
      <c r="G748" s="334">
        <f t="shared" si="71"/>
        <v>18.304011000000003</v>
      </c>
      <c r="H748" s="330"/>
      <c r="I748" s="35"/>
      <c r="J748" s="22"/>
    </row>
    <row r="749" spans="1:10" s="155" customFormat="1" ht="31.5" x14ac:dyDescent="0.25">
      <c r="A749" s="11"/>
      <c r="B749" s="355" t="s">
        <v>1844</v>
      </c>
      <c r="C749" s="335" t="s">
        <v>1038</v>
      </c>
      <c r="D749" s="333">
        <v>1.2919</v>
      </c>
      <c r="E749" s="336" t="s">
        <v>50</v>
      </c>
      <c r="F749" s="337">
        <v>9.7799999999999994</v>
      </c>
      <c r="G749" s="334">
        <f t="shared" si="71"/>
        <v>12.634782</v>
      </c>
      <c r="H749" s="330"/>
      <c r="I749" s="35"/>
      <c r="J749" s="22"/>
    </row>
    <row r="750" spans="1:10" s="155" customFormat="1" ht="31.5" x14ac:dyDescent="0.25">
      <c r="A750" s="11"/>
      <c r="B750" s="355" t="s">
        <v>1845</v>
      </c>
      <c r="C750" s="335" t="s">
        <v>1039</v>
      </c>
      <c r="D750" s="333">
        <v>7.0000000000000007E-2</v>
      </c>
      <c r="E750" s="336" t="s">
        <v>50</v>
      </c>
      <c r="F750" s="337">
        <v>21.77</v>
      </c>
      <c r="G750" s="334">
        <f t="shared" si="71"/>
        <v>1.5239</v>
      </c>
      <c r="H750" s="330"/>
      <c r="I750" s="35"/>
      <c r="J750" s="22"/>
    </row>
    <row r="751" spans="1:10" s="155" customFormat="1" ht="31.5" x14ac:dyDescent="0.25">
      <c r="A751" s="11"/>
      <c r="B751" s="355" t="s">
        <v>1846</v>
      </c>
      <c r="C751" s="332" t="s">
        <v>1040</v>
      </c>
      <c r="D751" s="333">
        <v>2.7799999999999998E-2</v>
      </c>
      <c r="E751" s="331" t="s">
        <v>50</v>
      </c>
      <c r="F751" s="337">
        <v>7.69</v>
      </c>
      <c r="G751" s="334">
        <f t="shared" si="71"/>
        <v>0.213782</v>
      </c>
      <c r="H751" s="330"/>
      <c r="I751" s="35"/>
      <c r="J751" s="22"/>
    </row>
    <row r="752" spans="1:10" s="155" customFormat="1" x14ac:dyDescent="0.25">
      <c r="A752" s="11"/>
      <c r="B752" s="630" t="s">
        <v>34</v>
      </c>
      <c r="C752" s="631"/>
      <c r="D752" s="631"/>
      <c r="E752" s="631"/>
      <c r="F752" s="632"/>
      <c r="G752" s="338">
        <f>SUM(G746:G751)</f>
        <v>79.836472000000001</v>
      </c>
      <c r="H752" s="330"/>
      <c r="I752" s="35"/>
      <c r="J752" s="22"/>
    </row>
    <row r="753" spans="1:10" s="155" customFormat="1" x14ac:dyDescent="0.25">
      <c r="A753" s="11"/>
      <c r="B753" s="249"/>
      <c r="C753" s="249"/>
      <c r="D753" s="473"/>
      <c r="E753" s="250"/>
      <c r="F753" s="249"/>
      <c r="G753" s="251"/>
      <c r="H753" s="35"/>
      <c r="I753" s="35"/>
      <c r="J753" s="22"/>
    </row>
    <row r="754" spans="1:10" s="155" customFormat="1" ht="38.25" customHeight="1" x14ac:dyDescent="0.25">
      <c r="A754" s="11"/>
      <c r="B754" s="235" t="s">
        <v>691</v>
      </c>
      <c r="C754" s="622" t="s">
        <v>1002</v>
      </c>
      <c r="D754" s="622" t="s">
        <v>787</v>
      </c>
      <c r="E754" s="622" t="s">
        <v>73</v>
      </c>
      <c r="F754" s="622"/>
      <c r="G754" s="622"/>
      <c r="H754" s="35" t="s">
        <v>1041</v>
      </c>
      <c r="I754" s="35"/>
      <c r="J754" s="22"/>
    </row>
    <row r="755" spans="1:10" s="155" customFormat="1" x14ac:dyDescent="0.25">
      <c r="A755" s="11"/>
      <c r="B755" s="113" t="s">
        <v>84</v>
      </c>
      <c r="C755" s="236" t="s">
        <v>85</v>
      </c>
      <c r="D755" s="113" t="s">
        <v>31</v>
      </c>
      <c r="E755" s="237" t="s">
        <v>86</v>
      </c>
      <c r="F755" s="238" t="s">
        <v>87</v>
      </c>
      <c r="G755" s="239" t="s">
        <v>88</v>
      </c>
      <c r="H755" s="330"/>
      <c r="I755" s="35"/>
      <c r="J755" s="22"/>
    </row>
    <row r="756" spans="1:10" s="155" customFormat="1" ht="31.5" x14ac:dyDescent="0.25">
      <c r="A756" s="11"/>
      <c r="B756" s="355" t="s">
        <v>1847</v>
      </c>
      <c r="C756" s="332" t="s">
        <v>1042</v>
      </c>
      <c r="D756" s="333">
        <v>0.1099</v>
      </c>
      <c r="E756" s="331" t="s">
        <v>73</v>
      </c>
      <c r="F756" s="334">
        <v>47.22</v>
      </c>
      <c r="G756" s="334">
        <f>F756*D756</f>
        <v>5.1894779999999994</v>
      </c>
      <c r="H756" s="330"/>
      <c r="I756" s="35"/>
      <c r="J756" s="22"/>
    </row>
    <row r="757" spans="1:10" s="155" customFormat="1" ht="31.5" x14ac:dyDescent="0.25">
      <c r="A757" s="11"/>
      <c r="B757" s="355" t="s">
        <v>1848</v>
      </c>
      <c r="C757" s="335" t="s">
        <v>1043</v>
      </c>
      <c r="D757" s="333">
        <v>6.3500000000000001E-2</v>
      </c>
      <c r="E757" s="336" t="s">
        <v>50</v>
      </c>
      <c r="F757" s="337">
        <v>20.5</v>
      </c>
      <c r="G757" s="334">
        <f t="shared" ref="G757:G767" si="72">F757*D757</f>
        <v>1.30175</v>
      </c>
      <c r="H757" s="330"/>
      <c r="I757" s="35"/>
      <c r="J757" s="22"/>
    </row>
    <row r="758" spans="1:10" s="155" customFormat="1" ht="31.5" x14ac:dyDescent="0.25">
      <c r="A758" s="11"/>
      <c r="B758" s="355" t="s">
        <v>1849</v>
      </c>
      <c r="C758" s="335" t="s">
        <v>1044</v>
      </c>
      <c r="D758" s="333">
        <v>7.2099999999999997E-2</v>
      </c>
      <c r="E758" s="336" t="s">
        <v>50</v>
      </c>
      <c r="F758" s="337">
        <v>21.67</v>
      </c>
      <c r="G758" s="334">
        <f t="shared" si="72"/>
        <v>1.5624070000000001</v>
      </c>
      <c r="H758" s="330"/>
      <c r="I758" s="35"/>
      <c r="J758" s="22"/>
    </row>
    <row r="759" spans="1:10" s="155" customFormat="1" ht="31.5" x14ac:dyDescent="0.25">
      <c r="A759" s="11"/>
      <c r="B759" s="355" t="s">
        <v>1850</v>
      </c>
      <c r="C759" s="335" t="s">
        <v>1045</v>
      </c>
      <c r="D759" s="333">
        <v>4.2200000000000001E-2</v>
      </c>
      <c r="E759" s="336" t="s">
        <v>50</v>
      </c>
      <c r="F759" s="337">
        <v>16.559999999999999</v>
      </c>
      <c r="G759" s="334">
        <f t="shared" si="72"/>
        <v>0.69883200000000001</v>
      </c>
      <c r="H759" s="330"/>
      <c r="I759" s="35"/>
      <c r="J759" s="22"/>
    </row>
    <row r="760" spans="1:10" s="155" customFormat="1" ht="31.5" x14ac:dyDescent="0.25">
      <c r="A760" s="11"/>
      <c r="B760" s="355" t="s">
        <v>1851</v>
      </c>
      <c r="C760" s="335" t="s">
        <v>1046</v>
      </c>
      <c r="D760" s="333">
        <v>2.0400000000000001E-2</v>
      </c>
      <c r="E760" s="336" t="s">
        <v>50</v>
      </c>
      <c r="F760" s="337">
        <v>37.01</v>
      </c>
      <c r="G760" s="334">
        <f t="shared" si="72"/>
        <v>0.75500400000000001</v>
      </c>
      <c r="H760" s="330"/>
      <c r="I760" s="35"/>
      <c r="J760" s="22"/>
    </row>
    <row r="761" spans="1:10" s="155" customFormat="1" ht="31.5" x14ac:dyDescent="0.25">
      <c r="A761" s="11"/>
      <c r="B761" s="355" t="s">
        <v>1852</v>
      </c>
      <c r="C761" s="332" t="s">
        <v>1047</v>
      </c>
      <c r="D761" s="333">
        <v>2.7799999999999998E-2</v>
      </c>
      <c r="E761" s="331" t="s">
        <v>50</v>
      </c>
      <c r="F761" s="337">
        <v>40.21</v>
      </c>
      <c r="G761" s="334">
        <f t="shared" si="72"/>
        <v>1.1178379999999999</v>
      </c>
      <c r="H761" s="330"/>
      <c r="I761" s="35"/>
      <c r="J761" s="22"/>
    </row>
    <row r="762" spans="1:10" s="155" customFormat="1" ht="31.5" x14ac:dyDescent="0.25">
      <c r="A762" s="11"/>
      <c r="B762" s="355" t="s">
        <v>1853</v>
      </c>
      <c r="C762" s="332" t="s">
        <v>1048</v>
      </c>
      <c r="D762" s="333">
        <v>0.8901</v>
      </c>
      <c r="E762" s="331" t="s">
        <v>73</v>
      </c>
      <c r="F762" s="334">
        <v>24.43</v>
      </c>
      <c r="G762" s="334">
        <f t="shared" si="72"/>
        <v>21.745142999999999</v>
      </c>
      <c r="H762" s="330"/>
      <c r="I762" s="35"/>
      <c r="J762" s="22"/>
    </row>
    <row r="763" spans="1:10" s="155" customFormat="1" ht="31.5" x14ac:dyDescent="0.25">
      <c r="A763" s="11"/>
      <c r="B763" s="355" t="s">
        <v>1854</v>
      </c>
      <c r="C763" s="335" t="s">
        <v>1049</v>
      </c>
      <c r="D763" s="333">
        <v>2.4199999999999999E-2</v>
      </c>
      <c r="E763" s="336" t="s">
        <v>50</v>
      </c>
      <c r="F763" s="337">
        <v>17.05</v>
      </c>
      <c r="G763" s="334">
        <f t="shared" si="72"/>
        <v>0.41261000000000003</v>
      </c>
      <c r="H763" s="330"/>
      <c r="I763" s="35"/>
      <c r="J763" s="22"/>
    </row>
    <row r="764" spans="1:10" s="155" customFormat="1" ht="31.5" x14ac:dyDescent="0.25">
      <c r="A764" s="11"/>
      <c r="B764" s="355" t="s">
        <v>1855</v>
      </c>
      <c r="C764" s="335" t="s">
        <v>1050</v>
      </c>
      <c r="D764" s="333">
        <v>6.4999999999999997E-3</v>
      </c>
      <c r="E764" s="336" t="s">
        <v>50</v>
      </c>
      <c r="F764" s="337">
        <v>32.61</v>
      </c>
      <c r="G764" s="334">
        <f t="shared" si="72"/>
        <v>0.21196499999999999</v>
      </c>
      <c r="H764" s="330"/>
      <c r="I764" s="35"/>
      <c r="J764" s="22"/>
    </row>
    <row r="765" spans="1:10" s="155" customFormat="1" ht="31.5" x14ac:dyDescent="0.25">
      <c r="A765" s="11"/>
      <c r="B765" s="355" t="s">
        <v>1856</v>
      </c>
      <c r="C765" s="335" t="s">
        <v>1051</v>
      </c>
      <c r="D765" s="333">
        <v>0.2329</v>
      </c>
      <c r="E765" s="336" t="s">
        <v>50</v>
      </c>
      <c r="F765" s="337">
        <v>13.63</v>
      </c>
      <c r="G765" s="334">
        <f t="shared" si="72"/>
        <v>3.1744270000000001</v>
      </c>
      <c r="H765" s="330"/>
      <c r="I765" s="35"/>
      <c r="J765" s="22"/>
    </row>
    <row r="766" spans="1:10" s="155" customFormat="1" ht="31.5" x14ac:dyDescent="0.25">
      <c r="A766" s="11"/>
      <c r="B766" s="355" t="s">
        <v>1857</v>
      </c>
      <c r="C766" s="335" t="s">
        <v>1052</v>
      </c>
      <c r="D766" s="333">
        <v>3.9899999999999998E-2</v>
      </c>
      <c r="E766" s="336" t="s">
        <v>50</v>
      </c>
      <c r="F766" s="337">
        <v>31.13</v>
      </c>
      <c r="G766" s="334">
        <f t="shared" si="72"/>
        <v>1.2420869999999999</v>
      </c>
      <c r="H766" s="330"/>
      <c r="I766" s="35"/>
      <c r="J766" s="22"/>
    </row>
    <row r="767" spans="1:10" s="155" customFormat="1" ht="31.5" x14ac:dyDescent="0.25">
      <c r="A767" s="11"/>
      <c r="B767" s="355" t="s">
        <v>1858</v>
      </c>
      <c r="C767" s="332" t="s">
        <v>1053</v>
      </c>
      <c r="D767" s="333">
        <v>0.126</v>
      </c>
      <c r="E767" s="331" t="s">
        <v>50</v>
      </c>
      <c r="F767" s="337">
        <v>34.33</v>
      </c>
      <c r="G767" s="334">
        <f t="shared" si="72"/>
        <v>4.3255799999999995</v>
      </c>
      <c r="H767" s="330"/>
      <c r="I767" s="35"/>
      <c r="J767" s="22"/>
    </row>
    <row r="768" spans="1:10" s="155" customFormat="1" x14ac:dyDescent="0.25">
      <c r="A768" s="11"/>
      <c r="B768" s="630" t="s">
        <v>34</v>
      </c>
      <c r="C768" s="631"/>
      <c r="D768" s="631"/>
      <c r="E768" s="631"/>
      <c r="F768" s="632"/>
      <c r="G768" s="338">
        <f>SUM(G756:G767)</f>
        <v>41.737121000000002</v>
      </c>
      <c r="H768" s="330"/>
      <c r="I768" s="35"/>
      <c r="J768" s="22"/>
    </row>
    <row r="769" spans="1:10" s="155" customFormat="1" x14ac:dyDescent="0.25">
      <c r="A769" s="11"/>
      <c r="B769" s="330"/>
      <c r="C769" s="330"/>
      <c r="D769" s="482"/>
      <c r="E769" s="330"/>
      <c r="F769" s="339"/>
      <c r="G769" s="340"/>
      <c r="H769" s="330"/>
      <c r="I769" s="35"/>
      <c r="J769" s="22"/>
    </row>
    <row r="770" spans="1:10" s="155" customFormat="1" ht="33" customHeight="1" x14ac:dyDescent="0.25">
      <c r="A770" s="11"/>
      <c r="B770" s="235" t="s">
        <v>692</v>
      </c>
      <c r="C770" s="622" t="s">
        <v>1054</v>
      </c>
      <c r="D770" s="622" t="s">
        <v>787</v>
      </c>
      <c r="E770" s="622" t="s">
        <v>73</v>
      </c>
      <c r="F770" s="622"/>
      <c r="G770" s="622"/>
      <c r="H770" s="35" t="s">
        <v>1055</v>
      </c>
      <c r="I770" s="35"/>
      <c r="J770" s="22"/>
    </row>
    <row r="771" spans="1:10" s="155" customFormat="1" x14ac:dyDescent="0.25">
      <c r="A771" s="11"/>
      <c r="B771" s="113" t="s">
        <v>84</v>
      </c>
      <c r="C771" s="236" t="s">
        <v>85</v>
      </c>
      <c r="D771" s="113" t="s">
        <v>31</v>
      </c>
      <c r="E771" s="237" t="s">
        <v>86</v>
      </c>
      <c r="F771" s="238" t="s">
        <v>87</v>
      </c>
      <c r="G771" s="239" t="s">
        <v>88</v>
      </c>
      <c r="H771" s="330"/>
      <c r="I771" s="35"/>
      <c r="J771" s="22"/>
    </row>
    <row r="772" spans="1:10" s="155" customFormat="1" ht="31.5" x14ac:dyDescent="0.25">
      <c r="A772" s="11"/>
      <c r="B772" s="355" t="s">
        <v>1859</v>
      </c>
      <c r="C772" s="332" t="s">
        <v>1056</v>
      </c>
      <c r="D772" s="333">
        <v>0.18459999999999999</v>
      </c>
      <c r="E772" s="331" t="s">
        <v>73</v>
      </c>
      <c r="F772" s="334">
        <v>59.93</v>
      </c>
      <c r="G772" s="334">
        <f>F772*D772</f>
        <v>11.063077999999999</v>
      </c>
      <c r="H772" s="330"/>
      <c r="I772" s="35"/>
      <c r="J772" s="22"/>
    </row>
    <row r="773" spans="1:10" s="155" customFormat="1" ht="31.5" x14ac:dyDescent="0.25">
      <c r="A773" s="11"/>
      <c r="B773" s="355" t="s">
        <v>1860</v>
      </c>
      <c r="C773" s="335" t="s">
        <v>1057</v>
      </c>
      <c r="D773" s="333">
        <v>6.5299999999999997E-2</v>
      </c>
      <c r="E773" s="336" t="s">
        <v>50</v>
      </c>
      <c r="F773" s="337">
        <v>26.4</v>
      </c>
      <c r="G773" s="334">
        <f t="shared" ref="G773:G786" si="73">F773*D773</f>
        <v>1.7239199999999999</v>
      </c>
      <c r="H773" s="330"/>
      <c r="I773" s="35"/>
      <c r="J773" s="22"/>
    </row>
    <row r="774" spans="1:10" s="155" customFormat="1" ht="31.5" x14ac:dyDescent="0.25">
      <c r="A774" s="11"/>
      <c r="B774" s="355" t="s">
        <v>1861</v>
      </c>
      <c r="C774" s="335" t="s">
        <v>1058</v>
      </c>
      <c r="D774" s="333">
        <v>0.2122</v>
      </c>
      <c r="E774" s="336" t="s">
        <v>50</v>
      </c>
      <c r="F774" s="337">
        <v>44.66</v>
      </c>
      <c r="G774" s="334">
        <f t="shared" si="73"/>
        <v>9.4768519999999992</v>
      </c>
      <c r="H774" s="330"/>
      <c r="I774" s="35"/>
      <c r="J774" s="22"/>
    </row>
    <row r="775" spans="1:10" s="155" customFormat="1" ht="31.5" x14ac:dyDescent="0.25">
      <c r="A775" s="11"/>
      <c r="B775" s="355" t="s">
        <v>1862</v>
      </c>
      <c r="C775" s="335" t="s">
        <v>1059</v>
      </c>
      <c r="D775" s="333">
        <v>9.8199999999999996E-2</v>
      </c>
      <c r="E775" s="336" t="s">
        <v>50</v>
      </c>
      <c r="F775" s="337">
        <v>20.5</v>
      </c>
      <c r="G775" s="334">
        <f t="shared" si="73"/>
        <v>2.0131000000000001</v>
      </c>
      <c r="H775" s="330"/>
      <c r="I775" s="35"/>
      <c r="J775" s="22"/>
    </row>
    <row r="776" spans="1:10" s="155" customFormat="1" ht="31.5" x14ac:dyDescent="0.25">
      <c r="A776" s="11"/>
      <c r="B776" s="355" t="s">
        <v>1863</v>
      </c>
      <c r="C776" s="335" t="s">
        <v>1060</v>
      </c>
      <c r="D776" s="333">
        <v>4.7800000000000002E-2</v>
      </c>
      <c r="E776" s="336" t="s">
        <v>50</v>
      </c>
      <c r="F776" s="337">
        <v>44.95</v>
      </c>
      <c r="G776" s="334">
        <f t="shared" si="73"/>
        <v>2.1486100000000001</v>
      </c>
      <c r="H776" s="330"/>
      <c r="I776" s="35"/>
      <c r="J776" s="22"/>
    </row>
    <row r="777" spans="1:10" s="155" customFormat="1" ht="31.5" x14ac:dyDescent="0.25">
      <c r="A777" s="11"/>
      <c r="B777" s="355" t="s">
        <v>1864</v>
      </c>
      <c r="C777" s="332" t="s">
        <v>1061</v>
      </c>
      <c r="D777" s="333">
        <v>0.1086</v>
      </c>
      <c r="E777" s="331" t="s">
        <v>50</v>
      </c>
      <c r="F777" s="337">
        <v>52.46</v>
      </c>
      <c r="G777" s="334">
        <f t="shared" si="73"/>
        <v>5.6971560000000006</v>
      </c>
      <c r="H777" s="330"/>
      <c r="I777" s="35"/>
      <c r="J777" s="22"/>
    </row>
    <row r="778" spans="1:10" s="155" customFormat="1" ht="31.5" x14ac:dyDescent="0.25">
      <c r="A778" s="11"/>
      <c r="B778" s="355" t="s">
        <v>1865</v>
      </c>
      <c r="C778" s="332" t="s">
        <v>1062</v>
      </c>
      <c r="D778" s="333">
        <v>0.56100000000000005</v>
      </c>
      <c r="E778" s="331" t="s">
        <v>73</v>
      </c>
      <c r="F778" s="334">
        <v>29.76</v>
      </c>
      <c r="G778" s="334">
        <f t="shared" si="73"/>
        <v>16.695360000000001</v>
      </c>
      <c r="H778" s="330"/>
      <c r="I778" s="35"/>
      <c r="J778" s="22"/>
    </row>
    <row r="779" spans="1:10" s="155" customFormat="1" ht="31.5" x14ac:dyDescent="0.25">
      <c r="A779" s="11"/>
      <c r="B779" s="355" t="s">
        <v>1866</v>
      </c>
      <c r="C779" s="335" t="s">
        <v>1063</v>
      </c>
      <c r="D779" s="333">
        <v>8.5000000000000006E-3</v>
      </c>
      <c r="E779" s="336" t="s">
        <v>50</v>
      </c>
      <c r="F779" s="337">
        <v>20.95</v>
      </c>
      <c r="G779" s="334">
        <f t="shared" si="73"/>
        <v>0.17807500000000001</v>
      </c>
      <c r="H779" s="330"/>
      <c r="I779" s="35"/>
      <c r="J779" s="22"/>
    </row>
    <row r="780" spans="1:10" s="155" customFormat="1" ht="31.5" x14ac:dyDescent="0.25">
      <c r="A780" s="11"/>
      <c r="B780" s="355" t="s">
        <v>1867</v>
      </c>
      <c r="C780" s="335" t="s">
        <v>1064</v>
      </c>
      <c r="D780" s="333">
        <v>0.2392</v>
      </c>
      <c r="E780" s="336" t="s">
        <v>50</v>
      </c>
      <c r="F780" s="337">
        <v>16.71</v>
      </c>
      <c r="G780" s="334">
        <f t="shared" si="73"/>
        <v>3.9970319999999999</v>
      </c>
      <c r="H780" s="330"/>
      <c r="I780" s="35"/>
      <c r="J780" s="22"/>
    </row>
    <row r="781" spans="1:10" s="155" customFormat="1" ht="31.5" x14ac:dyDescent="0.25">
      <c r="A781" s="11"/>
      <c r="B781" s="355" t="s">
        <v>1868</v>
      </c>
      <c r="C781" s="335" t="s">
        <v>1065</v>
      </c>
      <c r="D781" s="333">
        <v>5.9799999999999999E-2</v>
      </c>
      <c r="E781" s="336" t="s">
        <v>50</v>
      </c>
      <c r="F781" s="337">
        <v>37.82</v>
      </c>
      <c r="G781" s="334">
        <f t="shared" si="73"/>
        <v>2.2616359999999998</v>
      </c>
      <c r="H781" s="330"/>
      <c r="I781" s="35"/>
      <c r="J781" s="22"/>
    </row>
    <row r="782" spans="1:10" s="155" customFormat="1" ht="31.5" x14ac:dyDescent="0.25">
      <c r="A782" s="11"/>
      <c r="B782" s="355" t="s">
        <v>1869</v>
      </c>
      <c r="C782" s="335" t="s">
        <v>1066</v>
      </c>
      <c r="D782" s="333">
        <v>3.1099999999999999E-2</v>
      </c>
      <c r="E782" s="336" t="s">
        <v>50</v>
      </c>
      <c r="F782" s="337">
        <v>45.33</v>
      </c>
      <c r="G782" s="334">
        <f t="shared" si="73"/>
        <v>1.4097629999999999</v>
      </c>
      <c r="H782" s="330"/>
      <c r="I782" s="35"/>
      <c r="J782" s="22"/>
    </row>
    <row r="783" spans="1:10" s="155" customFormat="1" ht="31.5" x14ac:dyDescent="0.25">
      <c r="A783" s="11"/>
      <c r="B783" s="355" t="s">
        <v>1870</v>
      </c>
      <c r="C783" s="332" t="s">
        <v>1067</v>
      </c>
      <c r="D783" s="333">
        <v>0.25440000000000002</v>
      </c>
      <c r="E783" s="331" t="s">
        <v>73</v>
      </c>
      <c r="F783" s="337">
        <v>34.909999999999997</v>
      </c>
      <c r="G783" s="334">
        <f t="shared" si="73"/>
        <v>8.8811039999999988</v>
      </c>
      <c r="H783" s="330"/>
      <c r="I783" s="35"/>
      <c r="J783" s="22"/>
    </row>
    <row r="784" spans="1:10" s="155" customFormat="1" ht="31.5" x14ac:dyDescent="0.25">
      <c r="A784" s="11"/>
      <c r="B784" s="355" t="s">
        <v>1871</v>
      </c>
      <c r="C784" s="332" t="s">
        <v>1068</v>
      </c>
      <c r="D784" s="333">
        <v>1.78E-2</v>
      </c>
      <c r="E784" s="331" t="s">
        <v>50</v>
      </c>
      <c r="F784" s="334">
        <v>25.98</v>
      </c>
      <c r="G784" s="334">
        <f t="shared" si="73"/>
        <v>0.46244400000000002</v>
      </c>
      <c r="H784" s="330"/>
      <c r="I784" s="35"/>
      <c r="J784" s="22"/>
    </row>
    <row r="785" spans="1:10" s="155" customFormat="1" ht="31.5" x14ac:dyDescent="0.25">
      <c r="A785" s="11"/>
      <c r="B785" s="355" t="s">
        <v>1872</v>
      </c>
      <c r="C785" s="335" t="s">
        <v>1069</v>
      </c>
      <c r="D785" s="333">
        <v>0.12670000000000001</v>
      </c>
      <c r="E785" s="336" t="s">
        <v>50</v>
      </c>
      <c r="F785" s="337">
        <v>20.07</v>
      </c>
      <c r="G785" s="334">
        <f t="shared" si="73"/>
        <v>2.542869</v>
      </c>
      <c r="H785" s="330"/>
      <c r="I785" s="35"/>
      <c r="J785" s="22"/>
    </row>
    <row r="786" spans="1:10" s="155" customFormat="1" ht="31.5" x14ac:dyDescent="0.25">
      <c r="A786" s="11"/>
      <c r="B786" s="355" t="s">
        <v>1873</v>
      </c>
      <c r="C786" s="335" t="s">
        <v>1070</v>
      </c>
      <c r="D786" s="333">
        <v>8.0000000000000004E-4</v>
      </c>
      <c r="E786" s="336" t="s">
        <v>50</v>
      </c>
      <c r="F786" s="337">
        <v>52.04</v>
      </c>
      <c r="G786" s="334">
        <f t="shared" si="73"/>
        <v>4.1632000000000002E-2</v>
      </c>
      <c r="H786" s="330"/>
      <c r="I786" s="35"/>
      <c r="J786" s="22"/>
    </row>
    <row r="787" spans="1:10" s="155" customFormat="1" x14ac:dyDescent="0.25">
      <c r="A787" s="11"/>
      <c r="B787" s="630" t="s">
        <v>34</v>
      </c>
      <c r="C787" s="631"/>
      <c r="D787" s="631"/>
      <c r="E787" s="631"/>
      <c r="F787" s="632"/>
      <c r="G787" s="338">
        <f>SUM(G772:G786)</f>
        <v>68.592631000000011</v>
      </c>
      <c r="H787" s="330"/>
      <c r="I787" s="35"/>
      <c r="J787" s="22"/>
    </row>
    <row r="788" spans="1:10" s="155" customFormat="1" x14ac:dyDescent="0.25">
      <c r="A788" s="11"/>
      <c r="B788" s="330"/>
      <c r="C788" s="330"/>
      <c r="D788" s="482"/>
      <c r="E788" s="330"/>
      <c r="F788" s="339"/>
      <c r="G788" s="340"/>
      <c r="H788" s="330"/>
      <c r="I788" s="35"/>
      <c r="J788" s="22"/>
    </row>
    <row r="789" spans="1:10" s="155" customFormat="1" ht="39" customHeight="1" x14ac:dyDescent="0.25">
      <c r="A789" s="11"/>
      <c r="B789" s="235" t="s">
        <v>693</v>
      </c>
      <c r="C789" s="622" t="s">
        <v>1071</v>
      </c>
      <c r="D789" s="622" t="s">
        <v>787</v>
      </c>
      <c r="E789" s="622" t="s">
        <v>73</v>
      </c>
      <c r="F789" s="622"/>
      <c r="G789" s="622"/>
      <c r="H789" s="35" t="s">
        <v>1041</v>
      </c>
      <c r="I789" s="35"/>
      <c r="J789" s="22"/>
    </row>
    <row r="790" spans="1:10" s="155" customFormat="1" x14ac:dyDescent="0.25">
      <c r="A790" s="11"/>
      <c r="B790" s="113" t="s">
        <v>84</v>
      </c>
      <c r="C790" s="236" t="s">
        <v>85</v>
      </c>
      <c r="D790" s="113" t="s">
        <v>31</v>
      </c>
      <c r="E790" s="237" t="s">
        <v>86</v>
      </c>
      <c r="F790" s="238" t="s">
        <v>87</v>
      </c>
      <c r="G790" s="239" t="s">
        <v>88</v>
      </c>
      <c r="H790" s="330"/>
      <c r="I790" s="35"/>
      <c r="J790" s="22"/>
    </row>
    <row r="791" spans="1:10" s="155" customFormat="1" ht="31.5" x14ac:dyDescent="0.25">
      <c r="A791" s="11"/>
      <c r="B791" s="355" t="s">
        <v>1847</v>
      </c>
      <c r="C791" s="332" t="s">
        <v>1042</v>
      </c>
      <c r="D791" s="333">
        <v>0.1099</v>
      </c>
      <c r="E791" s="331" t="s">
        <v>73</v>
      </c>
      <c r="F791" s="334">
        <v>47.22</v>
      </c>
      <c r="G791" s="334">
        <f>F791*D791</f>
        <v>5.1894779999999994</v>
      </c>
      <c r="H791" s="330"/>
      <c r="I791" s="35"/>
      <c r="J791" s="22"/>
    </row>
    <row r="792" spans="1:10" s="155" customFormat="1" ht="31.5" x14ac:dyDescent="0.25">
      <c r="A792" s="11"/>
      <c r="B792" s="355" t="s">
        <v>1874</v>
      </c>
      <c r="C792" s="335" t="s">
        <v>1043</v>
      </c>
      <c r="D792" s="333">
        <v>6.3500000000000001E-2</v>
      </c>
      <c r="E792" s="336" t="s">
        <v>50</v>
      </c>
      <c r="F792" s="337">
        <v>20.5</v>
      </c>
      <c r="G792" s="334">
        <f t="shared" ref="G792:G805" si="74">F792*D792</f>
        <v>1.30175</v>
      </c>
      <c r="H792" s="330"/>
      <c r="I792" s="35"/>
      <c r="J792" s="22"/>
    </row>
    <row r="793" spans="1:10" s="155" customFormat="1" ht="31.5" x14ac:dyDescent="0.25">
      <c r="A793" s="11"/>
      <c r="B793" s="355" t="s">
        <v>1875</v>
      </c>
      <c r="C793" s="335" t="s">
        <v>1044</v>
      </c>
      <c r="D793" s="333">
        <v>7.2099999999999997E-2</v>
      </c>
      <c r="E793" s="336" t="s">
        <v>50</v>
      </c>
      <c r="F793" s="337">
        <v>21.67</v>
      </c>
      <c r="G793" s="334">
        <f t="shared" si="74"/>
        <v>1.5624070000000001</v>
      </c>
      <c r="H793" s="330"/>
      <c r="I793" s="35"/>
      <c r="J793" s="22"/>
    </row>
    <row r="794" spans="1:10" s="155" customFormat="1" ht="31.5" x14ac:dyDescent="0.25">
      <c r="A794" s="11"/>
      <c r="B794" s="355" t="s">
        <v>1876</v>
      </c>
      <c r="C794" s="335" t="s">
        <v>1045</v>
      </c>
      <c r="D794" s="333">
        <v>4.2200000000000001E-2</v>
      </c>
      <c r="E794" s="336" t="s">
        <v>50</v>
      </c>
      <c r="F794" s="337">
        <v>16.559999999999999</v>
      </c>
      <c r="G794" s="334">
        <f t="shared" si="74"/>
        <v>0.69883200000000001</v>
      </c>
      <c r="H794" s="330"/>
      <c r="I794" s="35"/>
      <c r="J794" s="22"/>
    </row>
    <row r="795" spans="1:10" s="155" customFormat="1" ht="31.5" x14ac:dyDescent="0.25">
      <c r="A795" s="11"/>
      <c r="B795" s="355" t="s">
        <v>1877</v>
      </c>
      <c r="C795" s="335" t="s">
        <v>1046</v>
      </c>
      <c r="D795" s="333">
        <v>2.0400000000000001E-2</v>
      </c>
      <c r="E795" s="336" t="s">
        <v>50</v>
      </c>
      <c r="F795" s="337">
        <v>37.01</v>
      </c>
      <c r="G795" s="334">
        <f t="shared" si="74"/>
        <v>0.75500400000000001</v>
      </c>
      <c r="H795" s="330"/>
      <c r="I795" s="35"/>
      <c r="J795" s="22"/>
    </row>
    <row r="796" spans="1:10" s="155" customFormat="1" ht="31.5" x14ac:dyDescent="0.25">
      <c r="A796" s="11"/>
      <c r="B796" s="355" t="s">
        <v>1878</v>
      </c>
      <c r="C796" s="332" t="s">
        <v>1047</v>
      </c>
      <c r="D796" s="333">
        <v>2.7799999999999998E-2</v>
      </c>
      <c r="E796" s="331" t="s">
        <v>50</v>
      </c>
      <c r="F796" s="337">
        <v>38.01</v>
      </c>
      <c r="G796" s="334">
        <f t="shared" si="74"/>
        <v>1.0566779999999998</v>
      </c>
      <c r="H796" s="330"/>
      <c r="I796" s="35"/>
      <c r="J796" s="22"/>
    </row>
    <row r="797" spans="1:10" s="155" customFormat="1" ht="31.5" x14ac:dyDescent="0.25">
      <c r="A797" s="11"/>
      <c r="B797" s="355" t="s">
        <v>1853</v>
      </c>
      <c r="C797" s="332" t="s">
        <v>1048</v>
      </c>
      <c r="D797" s="333">
        <v>0.8901</v>
      </c>
      <c r="E797" s="331" t="s">
        <v>73</v>
      </c>
      <c r="F797" s="334">
        <v>40.21</v>
      </c>
      <c r="G797" s="334">
        <f t="shared" si="74"/>
        <v>35.790920999999997</v>
      </c>
      <c r="H797" s="330"/>
      <c r="I797" s="35"/>
      <c r="J797" s="22"/>
    </row>
    <row r="798" spans="1:10" s="155" customFormat="1" ht="31.5" x14ac:dyDescent="0.25">
      <c r="A798" s="11"/>
      <c r="B798" s="355" t="s">
        <v>1854</v>
      </c>
      <c r="C798" s="335" t="s">
        <v>1049</v>
      </c>
      <c r="D798" s="333">
        <v>2.4199999999999999E-2</v>
      </c>
      <c r="E798" s="336" t="s">
        <v>50</v>
      </c>
      <c r="F798" s="337">
        <v>24.43</v>
      </c>
      <c r="G798" s="334">
        <f t="shared" si="74"/>
        <v>0.59120600000000001</v>
      </c>
      <c r="H798" s="330"/>
      <c r="I798" s="35"/>
      <c r="J798" s="22"/>
    </row>
    <row r="799" spans="1:10" s="155" customFormat="1" ht="31.5" x14ac:dyDescent="0.25">
      <c r="A799" s="11"/>
      <c r="B799" s="355" t="s">
        <v>1855</v>
      </c>
      <c r="C799" s="335" t="s">
        <v>1050</v>
      </c>
      <c r="D799" s="333">
        <v>6.4999999999999997E-3</v>
      </c>
      <c r="E799" s="336" t="s">
        <v>50</v>
      </c>
      <c r="F799" s="337">
        <v>17.05</v>
      </c>
      <c r="G799" s="334">
        <f t="shared" si="74"/>
        <v>0.11082499999999999</v>
      </c>
      <c r="H799" s="330"/>
      <c r="I799" s="35"/>
      <c r="J799" s="22"/>
    </row>
    <row r="800" spans="1:10" s="155" customFormat="1" ht="31.5" x14ac:dyDescent="0.25">
      <c r="A800" s="11"/>
      <c r="B800" s="355" t="s">
        <v>1879</v>
      </c>
      <c r="C800" s="335" t="s">
        <v>1051</v>
      </c>
      <c r="D800" s="333">
        <v>0.2329</v>
      </c>
      <c r="E800" s="336" t="s">
        <v>50</v>
      </c>
      <c r="F800" s="337">
        <v>32.61</v>
      </c>
      <c r="G800" s="334">
        <f t="shared" si="74"/>
        <v>7.5948690000000001</v>
      </c>
      <c r="H800" s="330"/>
      <c r="I800" s="35"/>
      <c r="J800" s="22"/>
    </row>
    <row r="801" spans="1:10" s="155" customFormat="1" ht="31.5" x14ac:dyDescent="0.25">
      <c r="A801" s="11"/>
      <c r="B801" s="355" t="s">
        <v>1880</v>
      </c>
      <c r="C801" s="335" t="s">
        <v>1052</v>
      </c>
      <c r="D801" s="333">
        <v>3.9899999999999998E-2</v>
      </c>
      <c r="E801" s="336" t="s">
        <v>50</v>
      </c>
      <c r="F801" s="337">
        <v>13.63</v>
      </c>
      <c r="G801" s="334">
        <f t="shared" si="74"/>
        <v>0.54383700000000001</v>
      </c>
      <c r="H801" s="330"/>
      <c r="I801" s="35"/>
      <c r="J801" s="22"/>
    </row>
    <row r="802" spans="1:10" s="155" customFormat="1" ht="31.5" x14ac:dyDescent="0.25">
      <c r="A802" s="11"/>
      <c r="B802" s="355" t="s">
        <v>1881</v>
      </c>
      <c r="C802" s="332" t="s">
        <v>1053</v>
      </c>
      <c r="D802" s="333">
        <v>0.126</v>
      </c>
      <c r="E802" s="331" t="s">
        <v>50</v>
      </c>
      <c r="F802" s="337">
        <v>31.13</v>
      </c>
      <c r="G802" s="334">
        <f t="shared" si="74"/>
        <v>3.92238</v>
      </c>
      <c r="H802" s="330"/>
      <c r="I802" s="35"/>
      <c r="J802" s="22"/>
    </row>
    <row r="803" spans="1:10" s="155" customFormat="1" x14ac:dyDescent="0.25">
      <c r="A803" s="11"/>
      <c r="B803" s="355" t="s">
        <v>1827</v>
      </c>
      <c r="C803" s="332" t="s">
        <v>1072</v>
      </c>
      <c r="D803" s="341">
        <v>4.0000000000000008E-2</v>
      </c>
      <c r="E803" s="342" t="s">
        <v>41</v>
      </c>
      <c r="F803" s="343">
        <v>85</v>
      </c>
      <c r="G803" s="334">
        <f t="shared" si="74"/>
        <v>3.4000000000000008</v>
      </c>
      <c r="H803" s="330"/>
      <c r="I803" s="35"/>
      <c r="J803" s="22"/>
    </row>
    <row r="804" spans="1:10" s="155" customFormat="1" ht="31.5" x14ac:dyDescent="0.25">
      <c r="A804" s="11"/>
      <c r="B804" s="355" t="s">
        <v>1826</v>
      </c>
      <c r="C804" s="332" t="s">
        <v>1073</v>
      </c>
      <c r="D804" s="341">
        <v>0.24</v>
      </c>
      <c r="E804" s="342" t="s">
        <v>41</v>
      </c>
      <c r="F804" s="343">
        <v>7.78</v>
      </c>
      <c r="G804" s="334">
        <f t="shared" si="74"/>
        <v>1.8672</v>
      </c>
      <c r="H804" s="330"/>
      <c r="I804" s="35"/>
      <c r="J804" s="22"/>
    </row>
    <row r="805" spans="1:10" s="155" customFormat="1" x14ac:dyDescent="0.25">
      <c r="A805" s="11"/>
      <c r="B805" s="603" t="s">
        <v>1835</v>
      </c>
      <c r="C805" s="344" t="s">
        <v>995</v>
      </c>
      <c r="D805" s="341">
        <v>0.26</v>
      </c>
      <c r="E805" s="342" t="s">
        <v>41</v>
      </c>
      <c r="F805" s="343">
        <v>30.12</v>
      </c>
      <c r="G805" s="334">
        <f t="shared" si="74"/>
        <v>7.8312000000000008</v>
      </c>
      <c r="H805" s="330"/>
      <c r="I805" s="35"/>
      <c r="J805" s="22"/>
    </row>
    <row r="806" spans="1:10" s="155" customFormat="1" x14ac:dyDescent="0.25">
      <c r="A806" s="11"/>
      <c r="B806" s="630" t="s">
        <v>34</v>
      </c>
      <c r="C806" s="631"/>
      <c r="D806" s="631"/>
      <c r="E806" s="631"/>
      <c r="F806" s="632"/>
      <c r="G806" s="338">
        <f>SUM(G791:G805)</f>
        <v>72.21658699999999</v>
      </c>
      <c r="H806" s="330"/>
      <c r="I806" s="35"/>
      <c r="J806" s="22"/>
    </row>
    <row r="807" spans="1:10" s="155" customFormat="1" x14ac:dyDescent="0.25">
      <c r="A807" s="11"/>
      <c r="B807" s="330"/>
      <c r="C807" s="330"/>
      <c r="D807" s="482"/>
      <c r="E807" s="330"/>
      <c r="F807" s="339"/>
      <c r="G807" s="340"/>
      <c r="H807" s="330"/>
      <c r="I807" s="35"/>
      <c r="J807" s="22"/>
    </row>
    <row r="808" spans="1:10" s="155" customFormat="1" ht="34.5" customHeight="1" x14ac:dyDescent="0.25">
      <c r="A808" s="11"/>
      <c r="B808" s="235" t="s">
        <v>703</v>
      </c>
      <c r="C808" s="622" t="s">
        <v>1074</v>
      </c>
      <c r="D808" s="622" t="s">
        <v>787</v>
      </c>
      <c r="E808" s="622" t="s">
        <v>73</v>
      </c>
      <c r="F808" s="622"/>
      <c r="G808" s="622"/>
      <c r="H808" s="35" t="s">
        <v>1055</v>
      </c>
      <c r="I808" s="35"/>
      <c r="J808" s="22"/>
    </row>
    <row r="809" spans="1:10" s="155" customFormat="1" x14ac:dyDescent="0.25">
      <c r="A809" s="11"/>
      <c r="B809" s="113" t="s">
        <v>84</v>
      </c>
      <c r="C809" s="236" t="s">
        <v>85</v>
      </c>
      <c r="D809" s="113" t="s">
        <v>31</v>
      </c>
      <c r="E809" s="237" t="s">
        <v>86</v>
      </c>
      <c r="F809" s="238" t="s">
        <v>87</v>
      </c>
      <c r="G809" s="239" t="s">
        <v>88</v>
      </c>
      <c r="H809" s="330"/>
      <c r="I809" s="35"/>
      <c r="J809" s="22"/>
    </row>
    <row r="810" spans="1:10" s="155" customFormat="1" ht="31.5" x14ac:dyDescent="0.25">
      <c r="A810" s="11"/>
      <c r="B810" s="355" t="s">
        <v>1859</v>
      </c>
      <c r="C810" s="332" t="s">
        <v>1056</v>
      </c>
      <c r="D810" s="333">
        <v>0.18459999999999999</v>
      </c>
      <c r="E810" s="331" t="s">
        <v>73</v>
      </c>
      <c r="F810" s="334">
        <v>59.93</v>
      </c>
      <c r="G810" s="334">
        <f>F810*D810</f>
        <v>11.063077999999999</v>
      </c>
      <c r="H810" s="330"/>
      <c r="I810" s="35"/>
      <c r="J810" s="22"/>
    </row>
    <row r="811" spans="1:10" s="155" customFormat="1" ht="31.5" x14ac:dyDescent="0.25">
      <c r="A811" s="11"/>
      <c r="B811" s="355" t="s">
        <v>1882</v>
      </c>
      <c r="C811" s="335" t="s">
        <v>1057</v>
      </c>
      <c r="D811" s="333">
        <v>6.5299999999999997E-2</v>
      </c>
      <c r="E811" s="336" t="s">
        <v>50</v>
      </c>
      <c r="F811" s="337">
        <v>26.4</v>
      </c>
      <c r="G811" s="334">
        <f t="shared" ref="G811:G827" si="75">F811*D811</f>
        <v>1.7239199999999999</v>
      </c>
      <c r="H811" s="330"/>
      <c r="I811" s="35"/>
      <c r="J811" s="22"/>
    </row>
    <row r="812" spans="1:10" s="155" customFormat="1" ht="31.5" x14ac:dyDescent="0.25">
      <c r="A812" s="11"/>
      <c r="B812" s="355" t="s">
        <v>1883</v>
      </c>
      <c r="C812" s="335" t="s">
        <v>1058</v>
      </c>
      <c r="D812" s="333">
        <v>0.2122</v>
      </c>
      <c r="E812" s="336" t="s">
        <v>50</v>
      </c>
      <c r="F812" s="337">
        <v>44.68</v>
      </c>
      <c r="G812" s="334">
        <f t="shared" si="75"/>
        <v>9.4810959999999991</v>
      </c>
      <c r="H812" s="330"/>
      <c r="I812" s="35"/>
      <c r="J812" s="22"/>
    </row>
    <row r="813" spans="1:10" s="155" customFormat="1" ht="31.5" x14ac:dyDescent="0.25">
      <c r="A813" s="11"/>
      <c r="B813" s="355" t="s">
        <v>1884</v>
      </c>
      <c r="C813" s="335" t="s">
        <v>1059</v>
      </c>
      <c r="D813" s="333">
        <v>9.8199999999999996E-2</v>
      </c>
      <c r="E813" s="336" t="s">
        <v>50</v>
      </c>
      <c r="F813" s="337">
        <v>20.5</v>
      </c>
      <c r="G813" s="334">
        <f t="shared" si="75"/>
        <v>2.0131000000000001</v>
      </c>
      <c r="H813" s="330"/>
      <c r="I813" s="35"/>
      <c r="J813" s="22"/>
    </row>
    <row r="814" spans="1:10" s="155" customFormat="1" ht="31.5" x14ac:dyDescent="0.25">
      <c r="A814" s="11"/>
      <c r="B814" s="355" t="s">
        <v>1885</v>
      </c>
      <c r="C814" s="335" t="s">
        <v>1060</v>
      </c>
      <c r="D814" s="333">
        <v>4.7800000000000002E-2</v>
      </c>
      <c r="E814" s="336" t="s">
        <v>50</v>
      </c>
      <c r="F814" s="337">
        <v>44.95</v>
      </c>
      <c r="G814" s="334">
        <f t="shared" si="75"/>
        <v>2.1486100000000001</v>
      </c>
      <c r="H814" s="35"/>
      <c r="I814" s="35"/>
      <c r="J814" s="22"/>
    </row>
    <row r="815" spans="1:10" s="155" customFormat="1" ht="31.5" x14ac:dyDescent="0.25">
      <c r="A815" s="11"/>
      <c r="B815" s="355" t="s">
        <v>1864</v>
      </c>
      <c r="C815" s="332" t="s">
        <v>1061</v>
      </c>
      <c r="D815" s="333">
        <v>0.1086</v>
      </c>
      <c r="E815" s="331" t="s">
        <v>50</v>
      </c>
      <c r="F815" s="337">
        <v>52.46</v>
      </c>
      <c r="G815" s="334">
        <f t="shared" si="75"/>
        <v>5.6971560000000006</v>
      </c>
      <c r="H815" s="35"/>
      <c r="I815" s="35"/>
      <c r="J815" s="22"/>
    </row>
    <row r="816" spans="1:10" s="155" customFormat="1" ht="31.5" x14ac:dyDescent="0.25">
      <c r="A816" s="11"/>
      <c r="B816" s="355" t="s">
        <v>1886</v>
      </c>
      <c r="C816" s="332" t="s">
        <v>1062</v>
      </c>
      <c r="D816" s="333">
        <v>0.56100000000000005</v>
      </c>
      <c r="E816" s="331" t="s">
        <v>73</v>
      </c>
      <c r="F816" s="334">
        <v>29.76</v>
      </c>
      <c r="G816" s="334">
        <f t="shared" si="75"/>
        <v>16.695360000000001</v>
      </c>
      <c r="H816" s="35"/>
      <c r="I816" s="35"/>
      <c r="J816" s="22"/>
    </row>
    <row r="817" spans="1:10" s="155" customFormat="1" ht="31.5" x14ac:dyDescent="0.25">
      <c r="A817" s="11"/>
      <c r="B817" s="355" t="s">
        <v>1866</v>
      </c>
      <c r="C817" s="335" t="s">
        <v>1063</v>
      </c>
      <c r="D817" s="333">
        <v>8.5000000000000006E-3</v>
      </c>
      <c r="E817" s="336" t="s">
        <v>50</v>
      </c>
      <c r="F817" s="337">
        <v>20.95</v>
      </c>
      <c r="G817" s="334">
        <f t="shared" si="75"/>
        <v>0.17807500000000001</v>
      </c>
      <c r="H817" s="35"/>
      <c r="I817" s="35"/>
      <c r="J817" s="22"/>
    </row>
    <row r="818" spans="1:10" s="155" customFormat="1" ht="31.5" x14ac:dyDescent="0.25">
      <c r="A818" s="11"/>
      <c r="B818" s="355" t="s">
        <v>1867</v>
      </c>
      <c r="C818" s="335" t="s">
        <v>1064</v>
      </c>
      <c r="D818" s="333">
        <v>0.2392</v>
      </c>
      <c r="E818" s="336" t="s">
        <v>50</v>
      </c>
      <c r="F818" s="337">
        <v>16.71</v>
      </c>
      <c r="G818" s="334">
        <f t="shared" si="75"/>
        <v>3.9970319999999999</v>
      </c>
      <c r="H818" s="35"/>
      <c r="I818" s="35"/>
      <c r="J818" s="22"/>
    </row>
    <row r="819" spans="1:10" s="155" customFormat="1" ht="31.5" x14ac:dyDescent="0.25">
      <c r="A819" s="11"/>
      <c r="B819" s="355" t="s">
        <v>1887</v>
      </c>
      <c r="C819" s="335" t="s">
        <v>1065</v>
      </c>
      <c r="D819" s="333">
        <v>5.9799999999999999E-2</v>
      </c>
      <c r="E819" s="336" t="s">
        <v>50</v>
      </c>
      <c r="F819" s="337">
        <v>37.82</v>
      </c>
      <c r="G819" s="334">
        <f t="shared" si="75"/>
        <v>2.2616359999999998</v>
      </c>
      <c r="H819" s="35"/>
      <c r="I819" s="35"/>
      <c r="J819" s="22"/>
    </row>
    <row r="820" spans="1:10" s="155" customFormat="1" ht="31.5" x14ac:dyDescent="0.25">
      <c r="A820" s="11"/>
      <c r="B820" s="355" t="s">
        <v>1888</v>
      </c>
      <c r="C820" s="335" t="s">
        <v>1066</v>
      </c>
      <c r="D820" s="333">
        <v>3.1099999999999999E-2</v>
      </c>
      <c r="E820" s="336" t="s">
        <v>50</v>
      </c>
      <c r="F820" s="337">
        <v>45.33</v>
      </c>
      <c r="G820" s="334">
        <f t="shared" si="75"/>
        <v>1.4097629999999999</v>
      </c>
      <c r="H820" s="35"/>
      <c r="I820" s="35"/>
      <c r="J820" s="22"/>
    </row>
    <row r="821" spans="1:10" s="155" customFormat="1" ht="31.5" x14ac:dyDescent="0.25">
      <c r="A821" s="11"/>
      <c r="B821" s="355" t="s">
        <v>1889</v>
      </c>
      <c r="C821" s="332" t="s">
        <v>1067</v>
      </c>
      <c r="D821" s="333">
        <v>0.25440000000000002</v>
      </c>
      <c r="E821" s="331" t="s">
        <v>73</v>
      </c>
      <c r="F821" s="337">
        <v>34.909999999999997</v>
      </c>
      <c r="G821" s="334">
        <f t="shared" si="75"/>
        <v>8.8811039999999988</v>
      </c>
      <c r="H821" s="35"/>
      <c r="I821" s="35"/>
      <c r="J821" s="22"/>
    </row>
    <row r="822" spans="1:10" s="155" customFormat="1" ht="31.5" x14ac:dyDescent="0.25">
      <c r="A822" s="11"/>
      <c r="B822" s="355" t="s">
        <v>1890</v>
      </c>
      <c r="C822" s="332" t="s">
        <v>1068</v>
      </c>
      <c r="D822" s="333">
        <v>1.78E-2</v>
      </c>
      <c r="E822" s="331" t="s">
        <v>50</v>
      </c>
      <c r="F822" s="334">
        <v>25.98</v>
      </c>
      <c r="G822" s="334">
        <f t="shared" si="75"/>
        <v>0.46244400000000002</v>
      </c>
      <c r="H822" s="35"/>
      <c r="I822" s="35"/>
      <c r="J822" s="22"/>
    </row>
    <row r="823" spans="1:10" s="155" customFormat="1" ht="31.5" x14ac:dyDescent="0.25">
      <c r="A823" s="11"/>
      <c r="B823" s="355" t="s">
        <v>1872</v>
      </c>
      <c r="C823" s="335" t="s">
        <v>1069</v>
      </c>
      <c r="D823" s="333">
        <v>0.12670000000000001</v>
      </c>
      <c r="E823" s="336" t="s">
        <v>50</v>
      </c>
      <c r="F823" s="337">
        <v>20.07</v>
      </c>
      <c r="G823" s="334">
        <f t="shared" si="75"/>
        <v>2.542869</v>
      </c>
      <c r="H823" s="35"/>
      <c r="I823" s="35"/>
      <c r="J823" s="22"/>
    </row>
    <row r="824" spans="1:10" s="155" customFormat="1" ht="31.5" x14ac:dyDescent="0.25">
      <c r="A824" s="11"/>
      <c r="B824" s="355" t="s">
        <v>1873</v>
      </c>
      <c r="C824" s="335" t="s">
        <v>1070</v>
      </c>
      <c r="D824" s="333">
        <v>8.0000000000000004E-4</v>
      </c>
      <c r="E824" s="336" t="s">
        <v>50</v>
      </c>
      <c r="F824" s="337">
        <v>52.04</v>
      </c>
      <c r="G824" s="334">
        <f t="shared" si="75"/>
        <v>4.1632000000000002E-2</v>
      </c>
      <c r="H824" s="35"/>
      <c r="I824" s="35"/>
      <c r="J824" s="22"/>
    </row>
    <row r="825" spans="1:10" s="155" customFormat="1" x14ac:dyDescent="0.25">
      <c r="A825" s="11"/>
      <c r="B825" s="355" t="s">
        <v>1827</v>
      </c>
      <c r="C825" s="332" t="s">
        <v>1072</v>
      </c>
      <c r="D825" s="333">
        <v>4.0000000000000008E-2</v>
      </c>
      <c r="E825" s="331" t="s">
        <v>41</v>
      </c>
      <c r="F825" s="334">
        <v>85</v>
      </c>
      <c r="G825" s="334">
        <f t="shared" si="75"/>
        <v>3.4000000000000008</v>
      </c>
      <c r="H825" s="35"/>
      <c r="I825" s="35"/>
      <c r="J825" s="22"/>
    </row>
    <row r="826" spans="1:10" s="155" customFormat="1" ht="31.5" x14ac:dyDescent="0.25">
      <c r="A826" s="11"/>
      <c r="B826" s="355" t="s">
        <v>1891</v>
      </c>
      <c r="C826" s="332" t="s">
        <v>1073</v>
      </c>
      <c r="D826" s="333">
        <v>0.24</v>
      </c>
      <c r="E826" s="331" t="s">
        <v>41</v>
      </c>
      <c r="F826" s="334">
        <v>7.78</v>
      </c>
      <c r="G826" s="334">
        <f t="shared" si="75"/>
        <v>1.8672</v>
      </c>
      <c r="H826" s="35"/>
      <c r="I826" s="35"/>
      <c r="J826" s="22"/>
    </row>
    <row r="827" spans="1:10" s="155" customFormat="1" x14ac:dyDescent="0.25">
      <c r="A827" s="11"/>
      <c r="B827" s="603" t="s">
        <v>1834</v>
      </c>
      <c r="C827" s="344" t="s">
        <v>995</v>
      </c>
      <c r="D827" s="333">
        <v>0.26</v>
      </c>
      <c r="E827" s="331" t="s">
        <v>41</v>
      </c>
      <c r="F827" s="343">
        <v>30.12</v>
      </c>
      <c r="G827" s="334">
        <f t="shared" si="75"/>
        <v>7.8312000000000008</v>
      </c>
      <c r="H827" s="35"/>
      <c r="I827" s="35"/>
      <c r="J827" s="22"/>
    </row>
    <row r="828" spans="1:10" s="155" customFormat="1" x14ac:dyDescent="0.25">
      <c r="A828" s="11"/>
      <c r="B828" s="630" t="s">
        <v>34</v>
      </c>
      <c r="C828" s="631"/>
      <c r="D828" s="631"/>
      <c r="E828" s="631"/>
      <c r="F828" s="632"/>
      <c r="G828" s="338">
        <f>SUM(G810:G827)</f>
        <v>81.695275000000009</v>
      </c>
      <c r="H828" s="35"/>
      <c r="I828" s="35"/>
      <c r="J828" s="22"/>
    </row>
    <row r="829" spans="1:10" s="155" customFormat="1" x14ac:dyDescent="0.25">
      <c r="A829" s="11"/>
      <c r="B829" s="330"/>
      <c r="C829" s="330"/>
      <c r="D829" s="482"/>
      <c r="E829" s="330"/>
      <c r="F829" s="339"/>
      <c r="G829" s="340"/>
      <c r="H829" s="35"/>
      <c r="I829" s="35"/>
      <c r="J829" s="22"/>
    </row>
    <row r="830" spans="1:10" s="155" customFormat="1" ht="42" customHeight="1" x14ac:dyDescent="0.25">
      <c r="A830" s="11"/>
      <c r="B830" s="235" t="s">
        <v>704</v>
      </c>
      <c r="C830" s="622" t="s">
        <v>1075</v>
      </c>
      <c r="D830" s="622" t="s">
        <v>73</v>
      </c>
      <c r="E830" s="622" t="s">
        <v>787</v>
      </c>
      <c r="F830" s="622"/>
      <c r="G830" s="622"/>
      <c r="H830" s="35" t="s">
        <v>1076</v>
      </c>
      <c r="I830" s="35"/>
      <c r="J830" s="22"/>
    </row>
    <row r="831" spans="1:10" s="155" customFormat="1" x14ac:dyDescent="0.25">
      <c r="A831" s="11"/>
      <c r="B831" s="113" t="s">
        <v>84</v>
      </c>
      <c r="C831" s="236" t="s">
        <v>85</v>
      </c>
      <c r="D831" s="113" t="s">
        <v>31</v>
      </c>
      <c r="E831" s="237" t="s">
        <v>86</v>
      </c>
      <c r="F831" s="238" t="s">
        <v>87</v>
      </c>
      <c r="G831" s="239" t="s">
        <v>88</v>
      </c>
      <c r="H831" s="330"/>
      <c r="I831" s="35"/>
      <c r="J831" s="22"/>
    </row>
    <row r="832" spans="1:10" s="155" customFormat="1" ht="31.5" x14ac:dyDescent="0.25">
      <c r="A832" s="11"/>
      <c r="B832" s="355" t="s">
        <v>1893</v>
      </c>
      <c r="C832" s="332" t="s">
        <v>1077</v>
      </c>
      <c r="D832" s="334">
        <v>1</v>
      </c>
      <c r="E832" s="334" t="s">
        <v>73</v>
      </c>
      <c r="F832" s="334">
        <v>44.95</v>
      </c>
      <c r="G832" s="334">
        <f>F832*D832</f>
        <v>44.95</v>
      </c>
      <c r="H832" s="330"/>
      <c r="I832" s="35"/>
      <c r="J832" s="22"/>
    </row>
    <row r="833" spans="1:10" s="155" customFormat="1" ht="31.5" x14ac:dyDescent="0.25">
      <c r="A833" s="11"/>
      <c r="B833" s="355" t="s">
        <v>1892</v>
      </c>
      <c r="C833" s="335" t="s">
        <v>1078</v>
      </c>
      <c r="D833" s="337">
        <v>1.11E-2</v>
      </c>
      <c r="E833" s="334" t="s">
        <v>50</v>
      </c>
      <c r="F833" s="337">
        <v>102.77</v>
      </c>
      <c r="G833" s="334">
        <f t="shared" ref="G833:G836" si="76">F833*D833</f>
        <v>1.140747</v>
      </c>
      <c r="H833" s="330"/>
      <c r="I833" s="35"/>
      <c r="J833" s="22"/>
    </row>
    <row r="834" spans="1:10" s="155" customFormat="1" x14ac:dyDescent="0.25">
      <c r="A834" s="11"/>
      <c r="B834" s="355" t="s">
        <v>1827</v>
      </c>
      <c r="C834" s="332" t="s">
        <v>1072</v>
      </c>
      <c r="D834" s="334">
        <v>4.0000000000000008E-2</v>
      </c>
      <c r="E834" s="336" t="s">
        <v>41</v>
      </c>
      <c r="F834" s="337">
        <v>85</v>
      </c>
      <c r="G834" s="334">
        <f t="shared" si="76"/>
        <v>3.4000000000000008</v>
      </c>
      <c r="H834" s="330"/>
      <c r="I834" s="35"/>
      <c r="J834" s="22"/>
    </row>
    <row r="835" spans="1:10" s="155" customFormat="1" ht="31.5" x14ac:dyDescent="0.25">
      <c r="A835" s="11"/>
      <c r="B835" s="355" t="s">
        <v>1891</v>
      </c>
      <c r="C835" s="332" t="s">
        <v>1073</v>
      </c>
      <c r="D835" s="334">
        <v>0.24</v>
      </c>
      <c r="E835" s="336" t="s">
        <v>41</v>
      </c>
      <c r="F835" s="337">
        <v>7.78</v>
      </c>
      <c r="G835" s="334">
        <f>F835*D835</f>
        <v>1.8672</v>
      </c>
      <c r="H835" s="330"/>
      <c r="I835" s="35"/>
      <c r="J835" s="22"/>
    </row>
    <row r="836" spans="1:10" s="155" customFormat="1" x14ac:dyDescent="0.25">
      <c r="A836" s="11"/>
      <c r="B836" s="603" t="s">
        <v>1835</v>
      </c>
      <c r="C836" s="344" t="s">
        <v>995</v>
      </c>
      <c r="D836" s="334">
        <v>0.26</v>
      </c>
      <c r="E836" s="336" t="s">
        <v>41</v>
      </c>
      <c r="F836" s="337">
        <v>30.12</v>
      </c>
      <c r="G836" s="334">
        <f t="shared" si="76"/>
        <v>7.8312000000000008</v>
      </c>
      <c r="H836" s="330"/>
      <c r="I836" s="35"/>
      <c r="J836" s="22"/>
    </row>
    <row r="837" spans="1:10" s="155" customFormat="1" x14ac:dyDescent="0.25">
      <c r="A837" s="11"/>
      <c r="B837" s="630" t="s">
        <v>34</v>
      </c>
      <c r="C837" s="631"/>
      <c r="D837" s="631"/>
      <c r="E837" s="631"/>
      <c r="F837" s="632"/>
      <c r="G837" s="338">
        <f>SUM(G832:G836)</f>
        <v>59.189146999999998</v>
      </c>
      <c r="H837" s="330"/>
      <c r="I837" s="35"/>
      <c r="J837" s="22"/>
    </row>
    <row r="838" spans="1:10" s="155" customFormat="1" x14ac:dyDescent="0.25">
      <c r="A838" s="11"/>
      <c r="B838" s="330"/>
      <c r="C838" s="330"/>
      <c r="D838" s="482"/>
      <c r="E838" s="330"/>
      <c r="F838" s="345"/>
      <c r="G838" s="345"/>
      <c r="H838" s="330"/>
      <c r="I838" s="35"/>
      <c r="J838" s="22"/>
    </row>
    <row r="839" spans="1:10" s="155" customFormat="1" ht="38.25" customHeight="1" x14ac:dyDescent="0.25">
      <c r="A839" s="11"/>
      <c r="B839" s="235" t="s">
        <v>710</v>
      </c>
      <c r="C839" s="622" t="s">
        <v>1079</v>
      </c>
      <c r="D839" s="622"/>
      <c r="E839" s="622"/>
      <c r="F839" s="622"/>
      <c r="G839" s="622"/>
      <c r="H839" s="35"/>
      <c r="I839" s="35"/>
      <c r="J839" s="22"/>
    </row>
    <row r="840" spans="1:10" s="155" customFormat="1" x14ac:dyDescent="0.25">
      <c r="A840" s="11"/>
      <c r="B840" s="113" t="s">
        <v>84</v>
      </c>
      <c r="C840" s="236" t="s">
        <v>85</v>
      </c>
      <c r="D840" s="113" t="s">
        <v>31</v>
      </c>
      <c r="E840" s="237" t="s">
        <v>86</v>
      </c>
      <c r="F840" s="238" t="s">
        <v>87</v>
      </c>
      <c r="G840" s="239" t="s">
        <v>88</v>
      </c>
      <c r="H840" s="330"/>
      <c r="I840" s="35"/>
      <c r="J840" s="22"/>
    </row>
    <row r="841" spans="1:10" s="155" customFormat="1" x14ac:dyDescent="0.25">
      <c r="A841" s="11"/>
      <c r="B841" s="601" t="s">
        <v>695</v>
      </c>
      <c r="C841" s="346" t="s">
        <v>106</v>
      </c>
      <c r="D841" s="347">
        <v>3</v>
      </c>
      <c r="E841" s="348" t="s">
        <v>595</v>
      </c>
      <c r="F841" s="349">
        <v>22.36</v>
      </c>
      <c r="G841" s="349">
        <f>F841*D841</f>
        <v>67.08</v>
      </c>
      <c r="H841" s="330"/>
      <c r="I841" s="35"/>
      <c r="J841" s="22"/>
    </row>
    <row r="842" spans="1:10" s="155" customFormat="1" x14ac:dyDescent="0.25">
      <c r="A842" s="11"/>
      <c r="B842" s="601" t="s">
        <v>705</v>
      </c>
      <c r="C842" s="346" t="s">
        <v>94</v>
      </c>
      <c r="D842" s="350">
        <v>3</v>
      </c>
      <c r="E842" s="351" t="s">
        <v>595</v>
      </c>
      <c r="F842" s="352">
        <v>18.84</v>
      </c>
      <c r="G842" s="349">
        <f t="shared" ref="G842:G845" si="77">F842*D842</f>
        <v>56.519999999999996</v>
      </c>
      <c r="H842" s="330"/>
      <c r="I842" s="35"/>
      <c r="J842" s="22"/>
    </row>
    <row r="843" spans="1:10" s="155" customFormat="1" x14ac:dyDescent="0.25">
      <c r="A843" s="11"/>
      <c r="B843" s="601" t="s">
        <v>1895</v>
      </c>
      <c r="C843" s="353" t="s">
        <v>1080</v>
      </c>
      <c r="D843" s="354">
        <v>1.8</v>
      </c>
      <c r="E843" s="355" t="s">
        <v>41</v>
      </c>
      <c r="F843" s="337">
        <v>74.53</v>
      </c>
      <c r="G843" s="349">
        <f t="shared" si="77"/>
        <v>134.154</v>
      </c>
      <c r="H843" s="330"/>
      <c r="I843" s="35"/>
      <c r="J843" s="22"/>
    </row>
    <row r="844" spans="1:10" s="155" customFormat="1" x14ac:dyDescent="0.25">
      <c r="A844" s="11"/>
      <c r="B844" s="603" t="s">
        <v>1834</v>
      </c>
      <c r="C844" s="344" t="s">
        <v>995</v>
      </c>
      <c r="D844" s="333">
        <v>1.1499999999999999</v>
      </c>
      <c r="E844" s="331" t="s">
        <v>41</v>
      </c>
      <c r="F844" s="337">
        <v>30.12</v>
      </c>
      <c r="G844" s="349">
        <f t="shared" si="77"/>
        <v>34.637999999999998</v>
      </c>
      <c r="H844" s="35"/>
      <c r="I844" s="35"/>
      <c r="J844" s="22"/>
    </row>
    <row r="845" spans="1:10" s="105" customFormat="1" x14ac:dyDescent="0.25">
      <c r="A845" s="103"/>
      <c r="B845" s="602" t="s">
        <v>136</v>
      </c>
      <c r="C845" s="527" t="s">
        <v>1081</v>
      </c>
      <c r="D845" s="528">
        <v>1</v>
      </c>
      <c r="E845" s="529" t="s">
        <v>38</v>
      </c>
      <c r="F845" s="530">
        <v>1499</v>
      </c>
      <c r="G845" s="364">
        <f t="shared" si="77"/>
        <v>1499</v>
      </c>
      <c r="H845" s="311"/>
      <c r="I845" s="311"/>
      <c r="J845" s="104"/>
    </row>
    <row r="846" spans="1:10" s="155" customFormat="1" x14ac:dyDescent="0.25">
      <c r="A846" s="11"/>
      <c r="B846" s="630" t="s">
        <v>34</v>
      </c>
      <c r="C846" s="631"/>
      <c r="D846" s="631"/>
      <c r="E846" s="631"/>
      <c r="F846" s="632"/>
      <c r="G846" s="338">
        <f>SUM(G841:G845)</f>
        <v>1791.3920000000001</v>
      </c>
      <c r="H846" s="35"/>
      <c r="I846" s="35"/>
      <c r="J846" s="22"/>
    </row>
    <row r="847" spans="1:10" s="155" customFormat="1" x14ac:dyDescent="0.25">
      <c r="A847" s="11"/>
      <c r="B847" s="330"/>
      <c r="C847" s="330"/>
      <c r="D847" s="482"/>
      <c r="E847" s="356"/>
      <c r="F847" s="357"/>
      <c r="G847" s="358"/>
      <c r="H847" s="35"/>
      <c r="I847" s="35"/>
      <c r="J847" s="22"/>
    </row>
    <row r="848" spans="1:10" s="155" customFormat="1" ht="39" customHeight="1" x14ac:dyDescent="0.25">
      <c r="A848" s="11"/>
      <c r="B848" s="235" t="s">
        <v>874</v>
      </c>
      <c r="C848" s="622" t="s">
        <v>1082</v>
      </c>
      <c r="D848" s="622"/>
      <c r="E848" s="622"/>
      <c r="F848" s="622"/>
      <c r="G848" s="622"/>
      <c r="H848" s="35"/>
      <c r="I848" s="35"/>
      <c r="J848" s="22"/>
    </row>
    <row r="849" spans="1:10" s="155" customFormat="1" x14ac:dyDescent="0.25">
      <c r="A849" s="11"/>
      <c r="B849" s="113" t="s">
        <v>84</v>
      </c>
      <c r="C849" s="236" t="s">
        <v>85</v>
      </c>
      <c r="D849" s="113" t="s">
        <v>31</v>
      </c>
      <c r="E849" s="237" t="s">
        <v>86</v>
      </c>
      <c r="F849" s="238" t="s">
        <v>87</v>
      </c>
      <c r="G849" s="239" t="s">
        <v>88</v>
      </c>
      <c r="H849" s="35"/>
      <c r="I849" s="35"/>
      <c r="J849" s="22"/>
    </row>
    <row r="850" spans="1:10" s="155" customFormat="1" x14ac:dyDescent="0.25">
      <c r="A850" s="11"/>
      <c r="B850" s="601" t="s">
        <v>1821</v>
      </c>
      <c r="C850" s="332" t="s">
        <v>1072</v>
      </c>
      <c r="D850" s="354">
        <v>4.0000000000000008E-2</v>
      </c>
      <c r="E850" s="355" t="s">
        <v>41</v>
      </c>
      <c r="F850" s="337">
        <v>85</v>
      </c>
      <c r="G850" s="337">
        <f>F850*D850</f>
        <v>3.4000000000000008</v>
      </c>
      <c r="H850" s="35"/>
      <c r="I850" s="35"/>
      <c r="J850" s="22"/>
    </row>
    <row r="851" spans="1:10" s="155" customFormat="1" ht="47.25" x14ac:dyDescent="0.25">
      <c r="A851" s="11"/>
      <c r="B851" s="601" t="s">
        <v>1896</v>
      </c>
      <c r="C851" s="353" t="s">
        <v>1083</v>
      </c>
      <c r="D851" s="354">
        <v>1</v>
      </c>
      <c r="E851" s="355" t="s">
        <v>73</v>
      </c>
      <c r="F851" s="337">
        <v>79.78</v>
      </c>
      <c r="G851" s="337">
        <f t="shared" ref="G851:G853" si="78">F851*D851</f>
        <v>79.78</v>
      </c>
      <c r="H851" s="35"/>
      <c r="I851" s="35"/>
      <c r="J851" s="22"/>
    </row>
    <row r="852" spans="1:10" s="155" customFormat="1" ht="31.5" x14ac:dyDescent="0.25">
      <c r="A852" s="11"/>
      <c r="B852" s="601" t="s">
        <v>1891</v>
      </c>
      <c r="C852" s="353" t="s">
        <v>1084</v>
      </c>
      <c r="D852" s="354">
        <v>0.32000000000000006</v>
      </c>
      <c r="E852" s="355" t="s">
        <v>41</v>
      </c>
      <c r="F852" s="337">
        <v>7.78</v>
      </c>
      <c r="G852" s="337">
        <f t="shared" si="78"/>
        <v>2.4896000000000007</v>
      </c>
      <c r="H852" s="35"/>
      <c r="I852" s="35"/>
      <c r="J852" s="22"/>
    </row>
    <row r="853" spans="1:10" s="155" customFormat="1" x14ac:dyDescent="0.25">
      <c r="A853" s="11"/>
      <c r="B853" s="601" t="s">
        <v>1897</v>
      </c>
      <c r="C853" s="353" t="s">
        <v>1898</v>
      </c>
      <c r="D853" s="354">
        <v>0.41600000000000009</v>
      </c>
      <c r="E853" s="355" t="s">
        <v>41</v>
      </c>
      <c r="F853" s="337">
        <v>45.18</v>
      </c>
      <c r="G853" s="337">
        <f t="shared" si="78"/>
        <v>18.794880000000003</v>
      </c>
      <c r="H853" s="35"/>
      <c r="I853" s="35"/>
      <c r="J853" s="22"/>
    </row>
    <row r="854" spans="1:10" s="155" customFormat="1" x14ac:dyDescent="0.25">
      <c r="A854" s="11"/>
      <c r="B854" s="630" t="s">
        <v>34</v>
      </c>
      <c r="C854" s="631"/>
      <c r="D854" s="631"/>
      <c r="E854" s="631"/>
      <c r="F854" s="632"/>
      <c r="G854" s="338">
        <f>SUM(G850:G853)</f>
        <v>104.46448000000001</v>
      </c>
      <c r="H854" s="35"/>
      <c r="I854" s="35"/>
      <c r="J854" s="22"/>
    </row>
    <row r="855" spans="1:10" s="155" customFormat="1" x14ac:dyDescent="0.25">
      <c r="A855" s="11"/>
      <c r="B855" s="356"/>
      <c r="C855" s="359"/>
      <c r="D855" s="360"/>
      <c r="E855" s="356"/>
      <c r="F855" s="357"/>
      <c r="G855" s="358"/>
      <c r="H855" s="35"/>
      <c r="I855" s="35"/>
      <c r="J855" s="22"/>
    </row>
    <row r="856" spans="1:10" s="161" customFormat="1" x14ac:dyDescent="0.25">
      <c r="A856" s="160"/>
      <c r="B856" s="626" t="s">
        <v>1101</v>
      </c>
      <c r="C856" s="627"/>
      <c r="D856" s="627"/>
      <c r="E856" s="627"/>
      <c r="F856" s="627"/>
      <c r="G856" s="628"/>
      <c r="H856" s="35"/>
      <c r="I856" s="35"/>
    </row>
    <row r="857" spans="1:10" s="155" customFormat="1" x14ac:dyDescent="0.25">
      <c r="A857" s="11"/>
      <c r="B857" s="330"/>
      <c r="C857" s="330"/>
      <c r="D857" s="482"/>
      <c r="E857" s="356"/>
      <c r="F857" s="330"/>
      <c r="G857" s="330"/>
      <c r="H857" s="35"/>
      <c r="I857" s="35"/>
      <c r="J857" s="22"/>
    </row>
    <row r="858" spans="1:10" s="155" customFormat="1" ht="39" customHeight="1" x14ac:dyDescent="0.25">
      <c r="A858" s="11"/>
      <c r="B858" s="235" t="s">
        <v>460</v>
      </c>
      <c r="C858" s="622" t="s">
        <v>1085</v>
      </c>
      <c r="D858" s="622"/>
      <c r="E858" s="622"/>
      <c r="F858" s="622"/>
      <c r="G858" s="622"/>
      <c r="H858" s="35"/>
      <c r="I858" s="35"/>
      <c r="J858" s="22"/>
    </row>
    <row r="859" spans="1:10" s="155" customFormat="1" x14ac:dyDescent="0.25">
      <c r="A859" s="11"/>
      <c r="B859" s="113" t="s">
        <v>84</v>
      </c>
      <c r="C859" s="236" t="s">
        <v>85</v>
      </c>
      <c r="D859" s="113" t="s">
        <v>31</v>
      </c>
      <c r="E859" s="237" t="s">
        <v>86</v>
      </c>
      <c r="F859" s="238" t="s">
        <v>87</v>
      </c>
      <c r="G859" s="239" t="s">
        <v>88</v>
      </c>
      <c r="H859" s="35"/>
      <c r="I859" s="35"/>
      <c r="J859" s="22"/>
    </row>
    <row r="860" spans="1:10" s="155" customFormat="1" x14ac:dyDescent="0.25">
      <c r="A860" s="11"/>
      <c r="B860" s="601" t="s">
        <v>793</v>
      </c>
      <c r="C860" s="346" t="s">
        <v>965</v>
      </c>
      <c r="D860" s="347">
        <v>0.2</v>
      </c>
      <c r="E860" s="348" t="s">
        <v>91</v>
      </c>
      <c r="F860" s="349">
        <v>19.59</v>
      </c>
      <c r="G860" s="349">
        <f>F860*D860</f>
        <v>3.9180000000000001</v>
      </c>
      <c r="H860" s="35"/>
      <c r="I860" s="35"/>
      <c r="J860" s="22"/>
    </row>
    <row r="861" spans="1:10" s="155" customFormat="1" x14ac:dyDescent="0.25">
      <c r="A861" s="11"/>
      <c r="B861" s="601" t="s">
        <v>695</v>
      </c>
      <c r="C861" s="346" t="s">
        <v>106</v>
      </c>
      <c r="D861" s="347">
        <v>0.2</v>
      </c>
      <c r="E861" s="348" t="s">
        <v>91</v>
      </c>
      <c r="F861" s="349">
        <v>22.36</v>
      </c>
      <c r="G861" s="349">
        <f t="shared" ref="G861:G865" si="79">F861*D861</f>
        <v>4.4720000000000004</v>
      </c>
      <c r="H861" s="35"/>
      <c r="I861" s="35"/>
      <c r="J861" s="22"/>
    </row>
    <row r="862" spans="1:10" s="155" customFormat="1" x14ac:dyDescent="0.25">
      <c r="A862" s="11"/>
      <c r="B862" s="601" t="s">
        <v>1904</v>
      </c>
      <c r="C862" s="346" t="s">
        <v>1086</v>
      </c>
      <c r="D862" s="347">
        <v>1.7000000000000001E-2</v>
      </c>
      <c r="E862" s="348" t="s">
        <v>38</v>
      </c>
      <c r="F862" s="349">
        <v>76.86</v>
      </c>
      <c r="G862" s="349">
        <f t="shared" si="79"/>
        <v>1.3066200000000001</v>
      </c>
      <c r="H862" s="35"/>
      <c r="I862" s="35"/>
      <c r="J862" s="22"/>
    </row>
    <row r="863" spans="1:10" s="155" customFormat="1" x14ac:dyDescent="0.25">
      <c r="A863" s="11"/>
      <c r="B863" s="602" t="s">
        <v>1905</v>
      </c>
      <c r="C863" s="361" t="s">
        <v>1087</v>
      </c>
      <c r="D863" s="362">
        <v>1.05</v>
      </c>
      <c r="E863" s="363" t="s">
        <v>73</v>
      </c>
      <c r="F863" s="364">
        <v>47.93</v>
      </c>
      <c r="G863" s="349">
        <f t="shared" si="79"/>
        <v>50.326500000000003</v>
      </c>
      <c r="H863" s="35"/>
      <c r="I863" s="35"/>
      <c r="J863" s="22"/>
    </row>
    <row r="864" spans="1:10" s="155" customFormat="1" x14ac:dyDescent="0.25">
      <c r="A864" s="11"/>
      <c r="B864" s="601" t="s">
        <v>1906</v>
      </c>
      <c r="C864" s="346" t="s">
        <v>1088</v>
      </c>
      <c r="D864" s="347">
        <v>2.8000000000000001E-2</v>
      </c>
      <c r="E864" s="348" t="s">
        <v>38</v>
      </c>
      <c r="F864" s="349">
        <v>87.08</v>
      </c>
      <c r="G864" s="349">
        <f t="shared" si="79"/>
        <v>2.43824</v>
      </c>
      <c r="H864" s="35"/>
      <c r="I864" s="35"/>
      <c r="J864" s="22"/>
    </row>
    <row r="865" spans="1:10" s="155" customFormat="1" x14ac:dyDescent="0.25">
      <c r="A865" s="11"/>
      <c r="B865" s="601" t="s">
        <v>1907</v>
      </c>
      <c r="C865" s="346" t="s">
        <v>1089</v>
      </c>
      <c r="D865" s="347">
        <v>0.123</v>
      </c>
      <c r="E865" s="348" t="s">
        <v>38</v>
      </c>
      <c r="F865" s="349">
        <v>2.2799999999999998</v>
      </c>
      <c r="G865" s="349">
        <f t="shared" si="79"/>
        <v>0.28043999999999997</v>
      </c>
      <c r="H865" s="35"/>
      <c r="I865" s="35"/>
      <c r="J865" s="22"/>
    </row>
    <row r="866" spans="1:10" s="155" customFormat="1" x14ac:dyDescent="0.25">
      <c r="A866" s="11"/>
      <c r="B866" s="630" t="s">
        <v>34</v>
      </c>
      <c r="C866" s="631"/>
      <c r="D866" s="631"/>
      <c r="E866" s="631"/>
      <c r="F866" s="632"/>
      <c r="G866" s="365">
        <f>SUM(G860:G865)</f>
        <v>62.741800000000005</v>
      </c>
      <c r="H866" s="35"/>
      <c r="I866" s="35"/>
      <c r="J866" s="22"/>
    </row>
    <row r="867" spans="1:10" s="155" customFormat="1" x14ac:dyDescent="0.25">
      <c r="A867" s="11"/>
      <c r="B867" s="249"/>
      <c r="C867" s="249"/>
      <c r="D867" s="473"/>
      <c r="E867" s="250"/>
      <c r="F867" s="249"/>
      <c r="G867" s="251"/>
      <c r="H867" s="35"/>
      <c r="I867" s="35"/>
      <c r="J867" s="22"/>
    </row>
    <row r="868" spans="1:10" s="155" customFormat="1" ht="34.5" customHeight="1" x14ac:dyDescent="0.25">
      <c r="A868" s="11"/>
      <c r="B868" s="235" t="s">
        <v>904</v>
      </c>
      <c r="C868" s="622" t="s">
        <v>1090</v>
      </c>
      <c r="D868" s="622"/>
      <c r="E868" s="622"/>
      <c r="F868" s="622"/>
      <c r="G868" s="622"/>
      <c r="H868" s="35"/>
      <c r="I868" s="35"/>
      <c r="J868" s="22"/>
    </row>
    <row r="869" spans="1:10" s="155" customFormat="1" x14ac:dyDescent="0.25">
      <c r="A869" s="11"/>
      <c r="B869" s="113" t="s">
        <v>84</v>
      </c>
      <c r="C869" s="236" t="s">
        <v>85</v>
      </c>
      <c r="D869" s="113" t="s">
        <v>31</v>
      </c>
      <c r="E869" s="237" t="s">
        <v>86</v>
      </c>
      <c r="F869" s="238" t="s">
        <v>87</v>
      </c>
      <c r="G869" s="239" t="s">
        <v>88</v>
      </c>
      <c r="H869" s="35"/>
      <c r="I869" s="35"/>
      <c r="J869" s="22"/>
    </row>
    <row r="870" spans="1:10" s="155" customFormat="1" x14ac:dyDescent="0.25">
      <c r="A870" s="11"/>
      <c r="B870" s="601" t="s">
        <v>793</v>
      </c>
      <c r="C870" s="346" t="s">
        <v>965</v>
      </c>
      <c r="D870" s="347">
        <v>0.2</v>
      </c>
      <c r="E870" s="348" t="s">
        <v>91</v>
      </c>
      <c r="F870" s="349">
        <v>19.59</v>
      </c>
      <c r="G870" s="349">
        <f>F870*D870</f>
        <v>3.9180000000000001</v>
      </c>
      <c r="H870" s="35"/>
      <c r="I870" s="35"/>
      <c r="J870" s="22"/>
    </row>
    <row r="871" spans="1:10" s="155" customFormat="1" x14ac:dyDescent="0.25">
      <c r="A871" s="11"/>
      <c r="B871" s="601" t="s">
        <v>1817</v>
      </c>
      <c r="C871" s="346" t="s">
        <v>106</v>
      </c>
      <c r="D871" s="347">
        <v>0.2</v>
      </c>
      <c r="E871" s="348" t="s">
        <v>91</v>
      </c>
      <c r="F871" s="349">
        <v>22.36</v>
      </c>
      <c r="G871" s="349">
        <f t="shared" ref="G871:G875" si="80">F871*D871</f>
        <v>4.4720000000000004</v>
      </c>
      <c r="H871" s="35"/>
      <c r="I871" s="35"/>
      <c r="J871" s="22"/>
    </row>
    <row r="872" spans="1:10" s="155" customFormat="1" x14ac:dyDescent="0.25">
      <c r="A872" s="11"/>
      <c r="B872" s="601" t="s">
        <v>1904</v>
      </c>
      <c r="C872" s="346" t="s">
        <v>1086</v>
      </c>
      <c r="D872" s="347">
        <v>1.7000000000000001E-2</v>
      </c>
      <c r="E872" s="348" t="s">
        <v>38</v>
      </c>
      <c r="F872" s="349">
        <v>76.86</v>
      </c>
      <c r="G872" s="349">
        <f t="shared" si="80"/>
        <v>1.3066200000000001</v>
      </c>
      <c r="H872" s="35"/>
      <c r="I872" s="35"/>
      <c r="J872" s="22"/>
    </row>
    <row r="873" spans="1:10" s="155" customFormat="1" x14ac:dyDescent="0.25">
      <c r="A873" s="11"/>
      <c r="B873" s="602" t="s">
        <v>1908</v>
      </c>
      <c r="C873" s="361" t="s">
        <v>1091</v>
      </c>
      <c r="D873" s="362">
        <v>1.05</v>
      </c>
      <c r="E873" s="363" t="s">
        <v>73</v>
      </c>
      <c r="F873" s="364">
        <v>97.41</v>
      </c>
      <c r="G873" s="349">
        <f t="shared" si="80"/>
        <v>102.2805</v>
      </c>
      <c r="H873" s="35"/>
      <c r="I873" s="35"/>
      <c r="J873" s="22"/>
    </row>
    <row r="874" spans="1:10" s="155" customFormat="1" x14ac:dyDescent="0.25">
      <c r="A874" s="11"/>
      <c r="B874" s="601" t="s">
        <v>1906</v>
      </c>
      <c r="C874" s="346" t="s">
        <v>1088</v>
      </c>
      <c r="D874" s="347">
        <v>2.8000000000000001E-2</v>
      </c>
      <c r="E874" s="348" t="s">
        <v>38</v>
      </c>
      <c r="F874" s="349">
        <v>87.08</v>
      </c>
      <c r="G874" s="349">
        <f t="shared" si="80"/>
        <v>2.43824</v>
      </c>
      <c r="H874" s="35"/>
      <c r="I874" s="35"/>
      <c r="J874" s="22"/>
    </row>
    <row r="875" spans="1:10" s="155" customFormat="1" x14ac:dyDescent="0.25">
      <c r="A875" s="11"/>
      <c r="B875" s="601" t="s">
        <v>1909</v>
      </c>
      <c r="C875" s="346" t="s">
        <v>1089</v>
      </c>
      <c r="D875" s="347">
        <v>0.123</v>
      </c>
      <c r="E875" s="348" t="s">
        <v>38</v>
      </c>
      <c r="F875" s="349">
        <v>2.2799999999999998</v>
      </c>
      <c r="G875" s="349">
        <f t="shared" si="80"/>
        <v>0.28043999999999997</v>
      </c>
      <c r="H875" s="35"/>
      <c r="I875" s="35"/>
      <c r="J875" s="22"/>
    </row>
    <row r="876" spans="1:10" s="155" customFormat="1" x14ac:dyDescent="0.25">
      <c r="A876" s="11"/>
      <c r="B876" s="630" t="s">
        <v>34</v>
      </c>
      <c r="C876" s="631"/>
      <c r="D876" s="631"/>
      <c r="E876" s="631"/>
      <c r="F876" s="632"/>
      <c r="G876" s="365">
        <f>SUM(G870:G875)</f>
        <v>114.69579999999999</v>
      </c>
      <c r="H876" s="35"/>
      <c r="I876" s="35"/>
      <c r="J876" s="22"/>
    </row>
    <row r="877" spans="1:10" s="155" customFormat="1" x14ac:dyDescent="0.25">
      <c r="A877" s="11"/>
      <c r="B877" s="249"/>
      <c r="C877" s="249"/>
      <c r="D877" s="473"/>
      <c r="E877" s="250"/>
      <c r="F877" s="249"/>
      <c r="G877" s="251"/>
      <c r="H877" s="35"/>
      <c r="I877" s="35"/>
      <c r="J877" s="22"/>
    </row>
    <row r="878" spans="1:10" s="155" customFormat="1" ht="44.25" customHeight="1" x14ac:dyDescent="0.25">
      <c r="A878" s="11"/>
      <c r="B878" s="235" t="s">
        <v>905</v>
      </c>
      <c r="C878" s="622" t="s">
        <v>1092</v>
      </c>
      <c r="D878" s="622"/>
      <c r="E878" s="622"/>
      <c r="F878" s="622"/>
      <c r="G878" s="622"/>
      <c r="H878" s="35"/>
      <c r="I878" s="35"/>
      <c r="J878" s="22"/>
    </row>
    <row r="879" spans="1:10" s="155" customFormat="1" x14ac:dyDescent="0.25">
      <c r="A879" s="11"/>
      <c r="B879" s="113" t="s">
        <v>84</v>
      </c>
      <c r="C879" s="236" t="s">
        <v>85</v>
      </c>
      <c r="D879" s="113" t="s">
        <v>31</v>
      </c>
      <c r="E879" s="237" t="s">
        <v>86</v>
      </c>
      <c r="F879" s="238" t="s">
        <v>87</v>
      </c>
      <c r="G879" s="239" t="s">
        <v>88</v>
      </c>
      <c r="H879" s="330"/>
      <c r="I879" s="35"/>
      <c r="J879" s="22"/>
    </row>
    <row r="880" spans="1:10" s="155" customFormat="1" x14ac:dyDescent="0.25">
      <c r="A880" s="11"/>
      <c r="B880" s="601" t="s">
        <v>1818</v>
      </c>
      <c r="C880" s="346" t="s">
        <v>965</v>
      </c>
      <c r="D880" s="347">
        <v>0.2</v>
      </c>
      <c r="E880" s="348" t="s">
        <v>91</v>
      </c>
      <c r="F880" s="349">
        <v>19.59</v>
      </c>
      <c r="G880" s="349">
        <f>F880*D880</f>
        <v>3.9180000000000001</v>
      </c>
      <c r="H880" s="330"/>
      <c r="I880" s="35"/>
      <c r="J880" s="22"/>
    </row>
    <row r="881" spans="1:10" s="155" customFormat="1" x14ac:dyDescent="0.25">
      <c r="A881" s="11"/>
      <c r="B881" s="601" t="s">
        <v>695</v>
      </c>
      <c r="C881" s="346" t="s">
        <v>106</v>
      </c>
      <c r="D881" s="347">
        <v>0.2</v>
      </c>
      <c r="E881" s="348" t="s">
        <v>91</v>
      </c>
      <c r="F881" s="349">
        <v>22.36</v>
      </c>
      <c r="G881" s="349">
        <f t="shared" ref="G881:G885" si="81">F881*D881</f>
        <v>4.4720000000000004</v>
      </c>
      <c r="H881" s="330"/>
      <c r="I881" s="35"/>
      <c r="J881" s="22"/>
    </row>
    <row r="882" spans="1:10" s="155" customFormat="1" x14ac:dyDescent="0.25">
      <c r="A882" s="11"/>
      <c r="B882" s="601" t="s">
        <v>1904</v>
      </c>
      <c r="C882" s="346" t="s">
        <v>1086</v>
      </c>
      <c r="D882" s="347">
        <v>1.7000000000000001E-2</v>
      </c>
      <c r="E882" s="348" t="s">
        <v>38</v>
      </c>
      <c r="F882" s="349">
        <v>76.86</v>
      </c>
      <c r="G882" s="349">
        <f t="shared" si="81"/>
        <v>1.3066200000000001</v>
      </c>
      <c r="H882" s="330"/>
      <c r="I882" s="35"/>
      <c r="J882" s="22"/>
    </row>
    <row r="883" spans="1:10" s="155" customFormat="1" x14ac:dyDescent="0.25">
      <c r="A883" s="11"/>
      <c r="B883" s="602" t="s">
        <v>1910</v>
      </c>
      <c r="C883" s="361" t="s">
        <v>1093</v>
      </c>
      <c r="D883" s="362">
        <v>1.05</v>
      </c>
      <c r="E883" s="363" t="s">
        <v>73</v>
      </c>
      <c r="F883" s="364">
        <v>134.28</v>
      </c>
      <c r="G883" s="349">
        <f t="shared" si="81"/>
        <v>140.994</v>
      </c>
      <c r="H883" s="330"/>
      <c r="I883" s="35"/>
      <c r="J883" s="22"/>
    </row>
    <row r="884" spans="1:10" s="155" customFormat="1" x14ac:dyDescent="0.25">
      <c r="A884" s="11"/>
      <c r="B884" s="601" t="s">
        <v>1906</v>
      </c>
      <c r="C884" s="366" t="s">
        <v>1088</v>
      </c>
      <c r="D884" s="347">
        <v>2.8000000000000001E-2</v>
      </c>
      <c r="E884" s="348" t="s">
        <v>38</v>
      </c>
      <c r="F884" s="349">
        <v>8.08</v>
      </c>
      <c r="G884" s="349">
        <f t="shared" si="81"/>
        <v>0.22624</v>
      </c>
      <c r="H884" s="330"/>
      <c r="I884" s="35"/>
      <c r="J884" s="22"/>
    </row>
    <row r="885" spans="1:10" s="155" customFormat="1" x14ac:dyDescent="0.25">
      <c r="A885" s="11"/>
      <c r="B885" s="601" t="s">
        <v>1907</v>
      </c>
      <c r="C885" s="346" t="s">
        <v>1089</v>
      </c>
      <c r="D885" s="347">
        <v>0.123</v>
      </c>
      <c r="E885" s="348" t="s">
        <v>38</v>
      </c>
      <c r="F885" s="349">
        <v>2.2799999999999998</v>
      </c>
      <c r="G885" s="349">
        <f t="shared" si="81"/>
        <v>0.28043999999999997</v>
      </c>
      <c r="H885" s="330"/>
      <c r="I885" s="35"/>
      <c r="J885" s="22"/>
    </row>
    <row r="886" spans="1:10" s="155" customFormat="1" x14ac:dyDescent="0.25">
      <c r="A886" s="11"/>
      <c r="B886" s="630" t="s">
        <v>34</v>
      </c>
      <c r="C886" s="631"/>
      <c r="D886" s="631"/>
      <c r="E886" s="631"/>
      <c r="F886" s="632"/>
      <c r="G886" s="365">
        <f>SUM(G880:G885)</f>
        <v>151.19729999999998</v>
      </c>
      <c r="H886" s="330"/>
      <c r="I886" s="35"/>
      <c r="J886" s="22"/>
    </row>
    <row r="887" spans="1:10" s="155" customFormat="1" x14ac:dyDescent="0.25">
      <c r="A887" s="11"/>
      <c r="B887" s="367"/>
      <c r="C887" s="367"/>
      <c r="D887" s="360"/>
      <c r="E887" s="356"/>
      <c r="F887" s="368"/>
      <c r="G887" s="369"/>
      <c r="H887" s="330"/>
      <c r="I887" s="35"/>
      <c r="J887" s="22"/>
    </row>
    <row r="888" spans="1:10" s="155" customFormat="1" ht="40.5" customHeight="1" x14ac:dyDescent="0.25">
      <c r="A888" s="11"/>
      <c r="B888" s="235" t="s">
        <v>906</v>
      </c>
      <c r="C888" s="622" t="s">
        <v>1020</v>
      </c>
      <c r="D888" s="622"/>
      <c r="E888" s="622"/>
      <c r="F888" s="622"/>
      <c r="G888" s="622"/>
      <c r="H888" s="35" t="s">
        <v>1094</v>
      </c>
      <c r="I888" s="35"/>
      <c r="J888" s="22"/>
    </row>
    <row r="889" spans="1:10" s="155" customFormat="1" x14ac:dyDescent="0.25">
      <c r="A889" s="11"/>
      <c r="B889" s="113" t="s">
        <v>84</v>
      </c>
      <c r="C889" s="236" t="s">
        <v>85</v>
      </c>
      <c r="D889" s="113" t="s">
        <v>31</v>
      </c>
      <c r="E889" s="237" t="s">
        <v>86</v>
      </c>
      <c r="F889" s="238" t="s">
        <v>87</v>
      </c>
      <c r="G889" s="239" t="s">
        <v>88</v>
      </c>
      <c r="H889" s="330"/>
      <c r="I889" s="35"/>
      <c r="J889" s="22"/>
    </row>
    <row r="890" spans="1:10" s="155" customFormat="1" x14ac:dyDescent="0.25">
      <c r="A890" s="11"/>
      <c r="B890" s="600" t="s">
        <v>136</v>
      </c>
      <c r="C890" s="344" t="s">
        <v>1095</v>
      </c>
      <c r="D890" s="333">
        <v>1</v>
      </c>
      <c r="E890" s="331" t="s">
        <v>38</v>
      </c>
      <c r="F890" s="334">
        <v>11511.71</v>
      </c>
      <c r="G890" s="370">
        <f>F890*D890</f>
        <v>11511.71</v>
      </c>
      <c r="H890" s="330"/>
      <c r="I890" s="35"/>
      <c r="J890" s="22"/>
    </row>
    <row r="891" spans="1:10" s="155" customFormat="1" x14ac:dyDescent="0.25">
      <c r="A891" s="11"/>
      <c r="B891" s="600" t="s">
        <v>695</v>
      </c>
      <c r="C891" s="344" t="s">
        <v>106</v>
      </c>
      <c r="D891" s="333">
        <v>4</v>
      </c>
      <c r="E891" s="331" t="s">
        <v>91</v>
      </c>
      <c r="F891" s="349">
        <v>22.36</v>
      </c>
      <c r="G891" s="370">
        <f t="shared" ref="G891:G892" si="82">F891*D891</f>
        <v>89.44</v>
      </c>
      <c r="H891" s="330"/>
      <c r="I891" s="35"/>
      <c r="J891" s="22"/>
    </row>
    <row r="892" spans="1:10" s="155" customFormat="1" x14ac:dyDescent="0.25">
      <c r="A892" s="11"/>
      <c r="B892" s="600" t="s">
        <v>793</v>
      </c>
      <c r="C892" s="344" t="s">
        <v>965</v>
      </c>
      <c r="D892" s="333">
        <v>4</v>
      </c>
      <c r="E892" s="331" t="s">
        <v>91</v>
      </c>
      <c r="F892" s="334">
        <v>19.59</v>
      </c>
      <c r="G892" s="370">
        <f t="shared" si="82"/>
        <v>78.36</v>
      </c>
      <c r="H892" s="330"/>
      <c r="I892" s="35"/>
      <c r="J892" s="22"/>
    </row>
    <row r="893" spans="1:10" s="155" customFormat="1" x14ac:dyDescent="0.25">
      <c r="A893" s="11"/>
      <c r="B893" s="630" t="s">
        <v>34</v>
      </c>
      <c r="C893" s="631"/>
      <c r="D893" s="631"/>
      <c r="E893" s="631"/>
      <c r="F893" s="632"/>
      <c r="G893" s="365">
        <f>SUM(G890:G892)</f>
        <v>11679.51</v>
      </c>
      <c r="H893" s="330"/>
      <c r="I893" s="35"/>
      <c r="J893" s="22"/>
    </row>
    <row r="894" spans="1:10" s="155" customFormat="1" x14ac:dyDescent="0.25">
      <c r="A894" s="11"/>
      <c r="B894" s="371"/>
      <c r="C894" s="371"/>
      <c r="D894" s="372"/>
      <c r="E894" s="373"/>
      <c r="F894" s="330"/>
      <c r="G894" s="330"/>
      <c r="H894" s="330"/>
      <c r="I894" s="35"/>
      <c r="J894" s="22"/>
    </row>
    <row r="895" spans="1:10" s="155" customFormat="1" ht="38.25" customHeight="1" x14ac:dyDescent="0.25">
      <c r="A895" s="11"/>
      <c r="B895" s="235" t="s">
        <v>986</v>
      </c>
      <c r="C895" s="622" t="s">
        <v>1021</v>
      </c>
      <c r="D895" s="622"/>
      <c r="E895" s="622"/>
      <c r="F895" s="622"/>
      <c r="G895" s="622"/>
      <c r="H895" s="35"/>
      <c r="I895" s="35"/>
      <c r="J895" s="22"/>
    </row>
    <row r="896" spans="1:10" s="155" customFormat="1" x14ac:dyDescent="0.25">
      <c r="A896" s="11"/>
      <c r="B896" s="113" t="s">
        <v>84</v>
      </c>
      <c r="C896" s="236" t="s">
        <v>85</v>
      </c>
      <c r="D896" s="113" t="s">
        <v>31</v>
      </c>
      <c r="E896" s="237" t="s">
        <v>86</v>
      </c>
      <c r="F896" s="238" t="s">
        <v>87</v>
      </c>
      <c r="G896" s="239" t="s">
        <v>88</v>
      </c>
      <c r="H896" s="330"/>
      <c r="I896" s="35"/>
      <c r="J896" s="22"/>
    </row>
    <row r="897" spans="1:10" s="155" customFormat="1" x14ac:dyDescent="0.25">
      <c r="A897" s="11"/>
      <c r="B897" s="600" t="s">
        <v>695</v>
      </c>
      <c r="C897" s="344" t="s">
        <v>106</v>
      </c>
      <c r="D897" s="374">
        <v>6</v>
      </c>
      <c r="E897" s="331" t="s">
        <v>91</v>
      </c>
      <c r="F897" s="375">
        <v>22.36</v>
      </c>
      <c r="G897" s="349">
        <f>F897*D897</f>
        <v>134.16</v>
      </c>
      <c r="H897" s="330"/>
      <c r="I897" s="35"/>
      <c r="J897" s="22"/>
    </row>
    <row r="898" spans="1:10" s="155" customFormat="1" x14ac:dyDescent="0.25">
      <c r="A898" s="11"/>
      <c r="B898" s="600" t="s">
        <v>705</v>
      </c>
      <c r="C898" s="344" t="s">
        <v>94</v>
      </c>
      <c r="D898" s="374">
        <v>6</v>
      </c>
      <c r="E898" s="331" t="s">
        <v>91</v>
      </c>
      <c r="F898" s="375">
        <v>18.84</v>
      </c>
      <c r="G898" s="349">
        <f t="shared" ref="G898:G900" si="83">F898*D898</f>
        <v>113.03999999999999</v>
      </c>
      <c r="H898" s="330"/>
      <c r="I898" s="35"/>
      <c r="J898" s="22"/>
    </row>
    <row r="899" spans="1:10" s="105" customFormat="1" x14ac:dyDescent="0.25">
      <c r="A899" s="103"/>
      <c r="B899" s="531" t="s">
        <v>136</v>
      </c>
      <c r="C899" s="532" t="s">
        <v>1096</v>
      </c>
      <c r="D899" s="533">
        <v>1</v>
      </c>
      <c r="E899" s="534" t="s">
        <v>38</v>
      </c>
      <c r="F899" s="535">
        <f>6545.1*1.2706</f>
        <v>8316.20406</v>
      </c>
      <c r="G899" s="364">
        <f t="shared" si="83"/>
        <v>8316.20406</v>
      </c>
      <c r="H899" s="536"/>
      <c r="I899" s="311"/>
      <c r="J899" s="104"/>
    </row>
    <row r="900" spans="1:10" s="105" customFormat="1" x14ac:dyDescent="0.25">
      <c r="A900" s="103"/>
      <c r="B900" s="531" t="s">
        <v>136</v>
      </c>
      <c r="C900" s="532" t="s">
        <v>1097</v>
      </c>
      <c r="D900" s="537">
        <v>1</v>
      </c>
      <c r="E900" s="538" t="s">
        <v>38</v>
      </c>
      <c r="F900" s="538">
        <f>1374.1*1.2706</f>
        <v>1745.9314599999998</v>
      </c>
      <c r="G900" s="364">
        <f t="shared" si="83"/>
        <v>1745.9314599999998</v>
      </c>
      <c r="H900" s="536"/>
      <c r="I900" s="311"/>
      <c r="J900" s="104"/>
    </row>
    <row r="901" spans="1:10" s="155" customFormat="1" x14ac:dyDescent="0.25">
      <c r="A901" s="11"/>
      <c r="B901" s="630" t="s">
        <v>34</v>
      </c>
      <c r="C901" s="631"/>
      <c r="D901" s="631"/>
      <c r="E901" s="631"/>
      <c r="F901" s="632"/>
      <c r="G901" s="245">
        <f>SUM(G897:G900)</f>
        <v>10309.335520000001</v>
      </c>
      <c r="H901" s="330"/>
      <c r="I901" s="35"/>
      <c r="J901" s="22"/>
    </row>
    <row r="902" spans="1:10" s="155" customFormat="1" x14ac:dyDescent="0.25">
      <c r="A902" s="11"/>
      <c r="B902" s="330"/>
      <c r="C902" s="330"/>
      <c r="D902" s="482"/>
      <c r="E902" s="330"/>
      <c r="F902" s="357"/>
      <c r="G902" s="358"/>
      <c r="H902" s="35"/>
      <c r="I902" s="35"/>
      <c r="J902" s="22"/>
    </row>
    <row r="903" spans="1:10" s="161" customFormat="1" x14ac:dyDescent="0.25">
      <c r="A903" s="160"/>
      <c r="B903" s="626" t="s">
        <v>1100</v>
      </c>
      <c r="C903" s="627"/>
      <c r="D903" s="627"/>
      <c r="E903" s="627"/>
      <c r="F903" s="627"/>
      <c r="G903" s="628"/>
      <c r="H903" s="35"/>
      <c r="I903" s="35"/>
    </row>
    <row r="904" spans="1:10" s="155" customFormat="1" x14ac:dyDescent="0.25">
      <c r="A904" s="11"/>
      <c r="B904" s="249"/>
      <c r="C904" s="249"/>
      <c r="D904" s="473"/>
      <c r="E904" s="250"/>
      <c r="F904" s="249"/>
      <c r="G904" s="251"/>
      <c r="H904" s="35"/>
      <c r="I904" s="35"/>
      <c r="J904" s="22"/>
    </row>
    <row r="905" spans="1:10" s="34" customFormat="1" ht="30" customHeight="1" x14ac:dyDescent="0.25">
      <c r="A905" s="11"/>
      <c r="B905" s="165" t="s">
        <v>1098</v>
      </c>
      <c r="C905" s="633" t="str">
        <f>ORÇAMENTO!C272</f>
        <v>CUBA DE EMBUTIR EM LOUÇA, TIPO OVAL BRANCA, MARCA DECA L.37.17, INCLUSIVE  VÁLVULA CROMADA, ENGATE FLEXÍVEL METÁLICO E SIFÃO DE PVC</v>
      </c>
      <c r="D905" s="634"/>
      <c r="E905" s="634"/>
      <c r="F905" s="634"/>
      <c r="G905" s="635"/>
      <c r="H905" s="35"/>
      <c r="I905" s="35"/>
      <c r="J905" s="22"/>
    </row>
    <row r="906" spans="1:10" s="34" customFormat="1" x14ac:dyDescent="0.25">
      <c r="A906" s="11"/>
      <c r="B906" s="113" t="s">
        <v>84</v>
      </c>
      <c r="C906" s="236" t="s">
        <v>85</v>
      </c>
      <c r="D906" s="113" t="s">
        <v>31</v>
      </c>
      <c r="E906" s="237" t="s">
        <v>86</v>
      </c>
      <c r="F906" s="238" t="s">
        <v>87</v>
      </c>
      <c r="G906" s="239" t="s">
        <v>88</v>
      </c>
      <c r="H906" s="35"/>
      <c r="I906" s="35"/>
      <c r="J906" s="22"/>
    </row>
    <row r="907" spans="1:10" s="34" customFormat="1" ht="31.5" x14ac:dyDescent="0.25">
      <c r="A907" s="11"/>
      <c r="B907" s="585" t="s">
        <v>217</v>
      </c>
      <c r="C907" s="253" t="s">
        <v>468</v>
      </c>
      <c r="D907" s="252" t="s">
        <v>50</v>
      </c>
      <c r="E907" s="304">
        <v>1</v>
      </c>
      <c r="F907" s="242">
        <v>86.88</v>
      </c>
      <c r="G907" s="243">
        <f t="shared" ref="G907:G910" si="84">E907*F907</f>
        <v>86.88</v>
      </c>
      <c r="H907" s="35"/>
      <c r="I907" s="35"/>
      <c r="J907" s="22"/>
    </row>
    <row r="908" spans="1:10" s="155" customFormat="1" x14ac:dyDescent="0.25">
      <c r="A908" s="11"/>
      <c r="B908" s="593" t="s">
        <v>833</v>
      </c>
      <c r="C908" s="301" t="s">
        <v>843</v>
      </c>
      <c r="D908" s="300" t="s">
        <v>50</v>
      </c>
      <c r="E908" s="376">
        <v>1</v>
      </c>
      <c r="F908" s="292">
        <v>14.19</v>
      </c>
      <c r="G908" s="243">
        <f t="shared" si="84"/>
        <v>14.19</v>
      </c>
      <c r="H908" s="35"/>
      <c r="I908" s="35"/>
      <c r="J908" s="22"/>
    </row>
    <row r="909" spans="1:10" s="155" customFormat="1" x14ac:dyDescent="0.25">
      <c r="A909" s="11"/>
      <c r="B909" s="585" t="s">
        <v>131</v>
      </c>
      <c r="C909" s="253" t="s">
        <v>469</v>
      </c>
      <c r="D909" s="252" t="s">
        <v>50</v>
      </c>
      <c r="E909" s="304">
        <v>1</v>
      </c>
      <c r="F909" s="242">
        <v>63.99</v>
      </c>
      <c r="G909" s="243">
        <f t="shared" si="84"/>
        <v>63.99</v>
      </c>
      <c r="H909" s="35"/>
      <c r="I909" s="35"/>
      <c r="J909" s="22"/>
    </row>
    <row r="910" spans="1:10" s="34" customFormat="1" ht="31.5" x14ac:dyDescent="0.25">
      <c r="A910" s="11"/>
      <c r="B910" s="585" t="s">
        <v>832</v>
      </c>
      <c r="C910" s="253" t="s">
        <v>842</v>
      </c>
      <c r="D910" s="252" t="s">
        <v>50</v>
      </c>
      <c r="E910" s="304">
        <v>1</v>
      </c>
      <c r="F910" s="242">
        <v>130.88999999999999</v>
      </c>
      <c r="G910" s="243">
        <f t="shared" si="84"/>
        <v>130.88999999999999</v>
      </c>
      <c r="H910" s="35"/>
      <c r="I910" s="35"/>
      <c r="J910" s="22"/>
    </row>
    <row r="911" spans="1:10" s="105" customFormat="1" x14ac:dyDescent="0.25">
      <c r="A911" s="103"/>
      <c r="B911" s="639" t="s">
        <v>34</v>
      </c>
      <c r="C911" s="640"/>
      <c r="D911" s="640"/>
      <c r="E911" s="640"/>
      <c r="F911" s="641"/>
      <c r="G911" s="245">
        <f>SUM(G907:G910)</f>
        <v>295.95</v>
      </c>
      <c r="H911" s="311"/>
      <c r="I911" s="311"/>
      <c r="J911" s="104"/>
    </row>
    <row r="912" spans="1:10" s="105" customFormat="1" x14ac:dyDescent="0.25">
      <c r="A912" s="103"/>
      <c r="B912" s="246"/>
      <c r="C912" s="246"/>
      <c r="D912" s="80"/>
      <c r="E912" s="246"/>
      <c r="F912" s="246"/>
      <c r="G912" s="248"/>
      <c r="H912" s="311"/>
      <c r="I912" s="311"/>
      <c r="J912" s="104"/>
    </row>
    <row r="913" spans="1:10" s="105" customFormat="1" ht="37.5" customHeight="1" x14ac:dyDescent="0.25">
      <c r="A913" s="103"/>
      <c r="B913" s="165" t="s">
        <v>1104</v>
      </c>
      <c r="C913" s="633" t="str">
        <f>ORÇAMENTO!C273</f>
        <v>LAVATÓRIO DE LOUÇA COR BRANCA COM COLUNA, 50 X 36 CM, MARCA INCEPA LINHA THEMA, INCLUSO SIFÃO FLEXÍVEL PVC, VÁLVULA CROMADA E ENGATE FLEXÍVEL METÁLICO (SANITÁRIO DE SERVIÇO)</v>
      </c>
      <c r="D913" s="634"/>
      <c r="E913" s="634"/>
      <c r="F913" s="634"/>
      <c r="G913" s="635"/>
      <c r="H913" s="311"/>
      <c r="I913" s="311"/>
      <c r="J913" s="104"/>
    </row>
    <row r="914" spans="1:10" s="105" customFormat="1" x14ac:dyDescent="0.25">
      <c r="A914" s="103"/>
      <c r="B914" s="113" t="s">
        <v>84</v>
      </c>
      <c r="C914" s="236" t="s">
        <v>85</v>
      </c>
      <c r="D914" s="113" t="s">
        <v>31</v>
      </c>
      <c r="E914" s="237" t="s">
        <v>86</v>
      </c>
      <c r="F914" s="238" t="s">
        <v>87</v>
      </c>
      <c r="G914" s="239" t="s">
        <v>88</v>
      </c>
      <c r="H914" s="311"/>
      <c r="I914" s="311"/>
      <c r="J914" s="104"/>
    </row>
    <row r="915" spans="1:10" s="105" customFormat="1" ht="31.5" x14ac:dyDescent="0.25">
      <c r="A915" s="103"/>
      <c r="B915" s="585" t="s">
        <v>217</v>
      </c>
      <c r="C915" s="253" t="s">
        <v>468</v>
      </c>
      <c r="D915" s="252" t="s">
        <v>50</v>
      </c>
      <c r="E915" s="304">
        <v>1</v>
      </c>
      <c r="F915" s="242">
        <v>86.88</v>
      </c>
      <c r="G915" s="243">
        <f t="shared" ref="G915:G918" si="85">E915*F915</f>
        <v>86.88</v>
      </c>
      <c r="H915" s="311"/>
      <c r="I915" s="311"/>
      <c r="J915" s="104"/>
    </row>
    <row r="916" spans="1:10" s="105" customFormat="1" x14ac:dyDescent="0.25">
      <c r="A916" s="103"/>
      <c r="B916" s="593" t="s">
        <v>833</v>
      </c>
      <c r="C916" s="301" t="s">
        <v>843</v>
      </c>
      <c r="D916" s="300" t="s">
        <v>50</v>
      </c>
      <c r="E916" s="376">
        <v>1</v>
      </c>
      <c r="F916" s="292">
        <v>14.19</v>
      </c>
      <c r="G916" s="243">
        <f t="shared" si="85"/>
        <v>14.19</v>
      </c>
      <c r="H916" s="311"/>
      <c r="I916" s="311"/>
      <c r="J916" s="104"/>
    </row>
    <row r="917" spans="1:10" s="105" customFormat="1" x14ac:dyDescent="0.25">
      <c r="A917" s="103"/>
      <c r="B917" s="585" t="s">
        <v>131</v>
      </c>
      <c r="C917" s="253" t="s">
        <v>469</v>
      </c>
      <c r="D917" s="252" t="s">
        <v>50</v>
      </c>
      <c r="E917" s="304">
        <v>1</v>
      </c>
      <c r="F917" s="242">
        <v>63.99</v>
      </c>
      <c r="G917" s="243">
        <f t="shared" si="85"/>
        <v>63.99</v>
      </c>
      <c r="H917" s="311"/>
      <c r="I917" s="311"/>
      <c r="J917" s="104"/>
    </row>
    <row r="918" spans="1:10" s="105" customFormat="1" ht="31.5" x14ac:dyDescent="0.25">
      <c r="A918" s="103"/>
      <c r="B918" s="585" t="s">
        <v>834</v>
      </c>
      <c r="C918" s="253" t="s">
        <v>844</v>
      </c>
      <c r="D918" s="252" t="s">
        <v>50</v>
      </c>
      <c r="E918" s="304">
        <v>1</v>
      </c>
      <c r="F918" s="242">
        <v>291.38</v>
      </c>
      <c r="G918" s="243">
        <f t="shared" si="85"/>
        <v>291.38</v>
      </c>
      <c r="H918" s="311"/>
      <c r="I918" s="311"/>
      <c r="J918" s="104"/>
    </row>
    <row r="919" spans="1:10" s="105" customFormat="1" x14ac:dyDescent="0.25">
      <c r="A919" s="103"/>
      <c r="B919" s="639" t="s">
        <v>34</v>
      </c>
      <c r="C919" s="640"/>
      <c r="D919" s="640"/>
      <c r="E919" s="640"/>
      <c r="F919" s="641"/>
      <c r="G919" s="245">
        <f>SUM(G915:G918)</f>
        <v>456.44</v>
      </c>
      <c r="H919" s="311"/>
      <c r="I919" s="311"/>
      <c r="J919" s="104"/>
    </row>
    <row r="920" spans="1:10" s="105" customFormat="1" x14ac:dyDescent="0.25">
      <c r="A920" s="103"/>
      <c r="B920" s="246"/>
      <c r="C920" s="246"/>
      <c r="D920" s="80"/>
      <c r="E920" s="246"/>
      <c r="F920" s="246"/>
      <c r="G920" s="248"/>
      <c r="H920" s="311"/>
      <c r="I920" s="311"/>
      <c r="J920" s="104"/>
    </row>
    <row r="921" spans="1:10" s="105" customFormat="1" ht="37.5" customHeight="1" x14ac:dyDescent="0.25">
      <c r="A921" s="103"/>
      <c r="B921" s="235" t="s">
        <v>120</v>
      </c>
      <c r="C921" s="633" t="str">
        <f>ORÇAMENTO!C276</f>
        <v>VÁLVULA DE DESCARGA PARA MICTÓRIO COM FECHAMENTO AUTOMÁTICO TIPO PRESSMATIC MARCA INCEPA MODELO WATERPRESS</v>
      </c>
      <c r="D921" s="634"/>
      <c r="E921" s="634"/>
      <c r="F921" s="634"/>
      <c r="G921" s="635"/>
      <c r="H921" s="311"/>
      <c r="I921" s="311"/>
      <c r="J921" s="104"/>
    </row>
    <row r="922" spans="1:10" s="105" customFormat="1" x14ac:dyDescent="0.25">
      <c r="A922" s="103"/>
      <c r="B922" s="113" t="s">
        <v>84</v>
      </c>
      <c r="C922" s="236" t="s">
        <v>85</v>
      </c>
      <c r="D922" s="113" t="s">
        <v>31</v>
      </c>
      <c r="E922" s="237" t="s">
        <v>86</v>
      </c>
      <c r="F922" s="238" t="s">
        <v>87</v>
      </c>
      <c r="G922" s="239" t="s">
        <v>88</v>
      </c>
      <c r="H922" s="311"/>
      <c r="I922" s="311"/>
      <c r="J922" s="104"/>
    </row>
    <row r="923" spans="1:10" s="105" customFormat="1" x14ac:dyDescent="0.25">
      <c r="A923" s="103"/>
      <c r="B923" s="585" t="s">
        <v>105</v>
      </c>
      <c r="C923" s="253" t="s">
        <v>106</v>
      </c>
      <c r="D923" s="252" t="s">
        <v>91</v>
      </c>
      <c r="E923" s="304">
        <v>0.3</v>
      </c>
      <c r="F923" s="242">
        <v>22.36</v>
      </c>
      <c r="G923" s="243">
        <f t="shared" ref="G923:G925" si="86">E923*F923</f>
        <v>6.7079999999999993</v>
      </c>
      <c r="H923" s="311"/>
      <c r="I923" s="311"/>
      <c r="J923" s="104"/>
    </row>
    <row r="924" spans="1:10" s="105" customFormat="1" x14ac:dyDescent="0.25">
      <c r="A924" s="103"/>
      <c r="B924" s="585" t="s">
        <v>93</v>
      </c>
      <c r="C924" s="253" t="s">
        <v>94</v>
      </c>
      <c r="D924" s="252" t="s">
        <v>91</v>
      </c>
      <c r="E924" s="304">
        <v>0.3</v>
      </c>
      <c r="F924" s="242">
        <v>18.84</v>
      </c>
      <c r="G924" s="243">
        <f t="shared" si="86"/>
        <v>5.6520000000000001</v>
      </c>
      <c r="H924" s="311"/>
      <c r="I924" s="311"/>
      <c r="J924" s="104"/>
    </row>
    <row r="925" spans="1:10" s="105" customFormat="1" ht="31.5" x14ac:dyDescent="0.25">
      <c r="A925" s="103"/>
      <c r="B925" s="585" t="s">
        <v>1920</v>
      </c>
      <c r="C925" s="380" t="s">
        <v>465</v>
      </c>
      <c r="D925" s="379" t="s">
        <v>50</v>
      </c>
      <c r="E925" s="381">
        <v>1</v>
      </c>
      <c r="F925" s="242">
        <v>258.85000000000002</v>
      </c>
      <c r="G925" s="309">
        <f t="shared" si="86"/>
        <v>258.85000000000002</v>
      </c>
      <c r="H925" s="311"/>
      <c r="I925" s="311"/>
      <c r="J925" s="104"/>
    </row>
    <row r="926" spans="1:10" s="105" customFormat="1" x14ac:dyDescent="0.25">
      <c r="A926" s="103"/>
      <c r="B926" s="639" t="s">
        <v>34</v>
      </c>
      <c r="C926" s="640"/>
      <c r="D926" s="640"/>
      <c r="E926" s="640"/>
      <c r="F926" s="641"/>
      <c r="G926" s="245">
        <f>SUM(G923:G925)</f>
        <v>271.21000000000004</v>
      </c>
      <c r="H926" s="311"/>
      <c r="I926" s="311"/>
      <c r="J926" s="104"/>
    </row>
    <row r="927" spans="1:10" s="105" customFormat="1" x14ac:dyDescent="0.25">
      <c r="A927" s="103"/>
      <c r="B927" s="246"/>
      <c r="C927" s="246"/>
      <c r="D927" s="80"/>
      <c r="E927" s="246"/>
      <c r="F927" s="246"/>
      <c r="G927" s="248"/>
      <c r="H927" s="311"/>
      <c r="I927" s="311"/>
      <c r="J927" s="104"/>
    </row>
    <row r="928" spans="1:10" s="161" customFormat="1" x14ac:dyDescent="0.25">
      <c r="A928" s="160"/>
      <c r="B928" s="626" t="s">
        <v>1103</v>
      </c>
      <c r="C928" s="627"/>
      <c r="D928" s="627"/>
      <c r="E928" s="627"/>
      <c r="F928" s="627"/>
      <c r="G928" s="628"/>
      <c r="H928" s="377"/>
      <c r="I928" s="378"/>
    </row>
    <row r="929" spans="1:10" s="105" customFormat="1" x14ac:dyDescent="0.25">
      <c r="A929" s="103"/>
      <c r="B929" s="246"/>
      <c r="C929" s="246"/>
      <c r="D929" s="80"/>
      <c r="E929" s="246"/>
      <c r="F929" s="246"/>
      <c r="G929" s="248"/>
      <c r="H929" s="311"/>
      <c r="I929" s="311"/>
      <c r="J929" s="104"/>
    </row>
    <row r="930" spans="1:10" s="105" customFormat="1" ht="38.25" customHeight="1" x14ac:dyDescent="0.25">
      <c r="A930" s="103"/>
      <c r="B930" s="235" t="s">
        <v>49</v>
      </c>
      <c r="C930" s="633" t="str">
        <f>ORÇAMENTO!C282</f>
        <v>LAVATÓRIO DE LOUÇA SUSPENSO DE CANTO, COR BRANCA, COM COLUNA SUSPENSA, MARCA INCEPA OU CELITE, INCLUSIVE  VÁLVULA CROMADA, ENGATE FLEXÍVEL METÁLICO E SIFÃO DE PVC</v>
      </c>
      <c r="D930" s="634"/>
      <c r="E930" s="634"/>
      <c r="F930" s="634"/>
      <c r="G930" s="635"/>
      <c r="H930" s="311"/>
      <c r="I930" s="311"/>
      <c r="J930" s="104"/>
    </row>
    <row r="931" spans="1:10" s="105" customFormat="1" x14ac:dyDescent="0.25">
      <c r="A931" s="103"/>
      <c r="B931" s="113" t="s">
        <v>84</v>
      </c>
      <c r="C931" s="236" t="s">
        <v>85</v>
      </c>
      <c r="D931" s="113" t="s">
        <v>31</v>
      </c>
      <c r="E931" s="237" t="s">
        <v>86</v>
      </c>
      <c r="F931" s="238" t="s">
        <v>87</v>
      </c>
      <c r="G931" s="239" t="s">
        <v>88</v>
      </c>
      <c r="H931" s="311"/>
      <c r="I931" s="311"/>
      <c r="J931" s="104"/>
    </row>
    <row r="932" spans="1:10" s="105" customFormat="1" ht="31.5" x14ac:dyDescent="0.25">
      <c r="A932" s="103"/>
      <c r="B932" s="585" t="s">
        <v>217</v>
      </c>
      <c r="C932" s="253" t="s">
        <v>468</v>
      </c>
      <c r="D932" s="252" t="s">
        <v>50</v>
      </c>
      <c r="E932" s="304">
        <v>1</v>
      </c>
      <c r="F932" s="242">
        <v>86.88</v>
      </c>
      <c r="G932" s="243">
        <f t="shared" ref="G932:G935" si="87">E932*F932</f>
        <v>86.88</v>
      </c>
      <c r="H932" s="311"/>
      <c r="I932" s="311"/>
      <c r="J932" s="104"/>
    </row>
    <row r="933" spans="1:10" s="105" customFormat="1" x14ac:dyDescent="0.25">
      <c r="A933" s="103"/>
      <c r="B933" s="593" t="s">
        <v>833</v>
      </c>
      <c r="C933" s="301" t="s">
        <v>843</v>
      </c>
      <c r="D933" s="300" t="s">
        <v>50</v>
      </c>
      <c r="E933" s="376">
        <v>1</v>
      </c>
      <c r="F933" s="292">
        <v>14.19</v>
      </c>
      <c r="G933" s="243">
        <f t="shared" si="87"/>
        <v>14.19</v>
      </c>
      <c r="H933" s="311"/>
      <c r="I933" s="311"/>
      <c r="J933" s="104"/>
    </row>
    <row r="934" spans="1:10" s="105" customFormat="1" x14ac:dyDescent="0.25">
      <c r="A934" s="103"/>
      <c r="B934" s="585" t="s">
        <v>131</v>
      </c>
      <c r="C934" s="253" t="s">
        <v>469</v>
      </c>
      <c r="D934" s="252" t="s">
        <v>50</v>
      </c>
      <c r="E934" s="304">
        <v>1</v>
      </c>
      <c r="F934" s="242">
        <v>63.99</v>
      </c>
      <c r="G934" s="243">
        <f t="shared" si="87"/>
        <v>63.99</v>
      </c>
      <c r="H934" s="311"/>
      <c r="I934" s="311"/>
      <c r="J934" s="104"/>
    </row>
    <row r="935" spans="1:10" s="105" customFormat="1" x14ac:dyDescent="0.25">
      <c r="A935" s="103"/>
      <c r="B935" s="585" t="s">
        <v>136</v>
      </c>
      <c r="C935" s="253" t="s">
        <v>365</v>
      </c>
      <c r="D935" s="252" t="s">
        <v>50</v>
      </c>
      <c r="E935" s="304">
        <v>1</v>
      </c>
      <c r="F935" s="242">
        <v>302.10000000000002</v>
      </c>
      <c r="G935" s="243">
        <f t="shared" si="87"/>
        <v>302.10000000000002</v>
      </c>
      <c r="H935" s="311"/>
      <c r="I935" s="311"/>
      <c r="J935" s="104"/>
    </row>
    <row r="936" spans="1:10" s="105" customFormat="1" x14ac:dyDescent="0.25">
      <c r="A936" s="103"/>
      <c r="B936" s="639" t="s">
        <v>34</v>
      </c>
      <c r="C936" s="640"/>
      <c r="D936" s="640"/>
      <c r="E936" s="640"/>
      <c r="F936" s="641"/>
      <c r="G936" s="245">
        <f>SUM(G932:G935)</f>
        <v>467.16</v>
      </c>
      <c r="H936" s="311"/>
      <c r="I936" s="311"/>
      <c r="J936" s="104"/>
    </row>
    <row r="937" spans="1:10" s="105" customFormat="1" x14ac:dyDescent="0.25">
      <c r="A937" s="103"/>
      <c r="B937" s="246"/>
      <c r="C937" s="246"/>
      <c r="D937" s="80"/>
      <c r="E937" s="246"/>
      <c r="F937" s="246"/>
      <c r="G937" s="248"/>
      <c r="H937" s="311"/>
      <c r="I937" s="311"/>
      <c r="J937" s="104"/>
    </row>
    <row r="938" spans="1:10" s="105" customFormat="1" ht="47.25" customHeight="1" x14ac:dyDescent="0.25">
      <c r="A938" s="103"/>
      <c r="B938" s="235" t="s">
        <v>100</v>
      </c>
      <c r="C938" s="633" t="str">
        <f>ORÇAMENTO!C283</f>
        <v>TORNEIRAS DE MESA METÁLICA CROMADA, COM FECHAMENTO AUTOMÁTICO DO TIPO PRESSMATIC PARA ACIONAMENTO COM A MÃO, COM AREJADOR ECONÔMICO, MODELO DOCOL PRESSMATIC MESA BENEFIT CROMADO</v>
      </c>
      <c r="D938" s="634"/>
      <c r="E938" s="634"/>
      <c r="F938" s="634"/>
      <c r="G938" s="635"/>
      <c r="H938" s="311"/>
      <c r="I938" s="311"/>
      <c r="J938" s="104"/>
    </row>
    <row r="939" spans="1:10" s="105" customFormat="1" x14ac:dyDescent="0.25">
      <c r="A939" s="103"/>
      <c r="B939" s="113" t="s">
        <v>84</v>
      </c>
      <c r="C939" s="236" t="s">
        <v>85</v>
      </c>
      <c r="D939" s="113" t="s">
        <v>31</v>
      </c>
      <c r="E939" s="237" t="s">
        <v>86</v>
      </c>
      <c r="F939" s="238" t="s">
        <v>87</v>
      </c>
      <c r="G939" s="239" t="s">
        <v>88</v>
      </c>
      <c r="H939" s="311"/>
      <c r="I939" s="311"/>
      <c r="J939" s="104"/>
    </row>
    <row r="940" spans="1:10" s="105" customFormat="1" x14ac:dyDescent="0.25">
      <c r="A940" s="103"/>
      <c r="B940" s="585" t="s">
        <v>105</v>
      </c>
      <c r="C940" s="253" t="s">
        <v>106</v>
      </c>
      <c r="D940" s="252" t="s">
        <v>91</v>
      </c>
      <c r="E940" s="304">
        <v>0.17</v>
      </c>
      <c r="F940" s="242">
        <v>22.36</v>
      </c>
      <c r="G940" s="243">
        <f t="shared" ref="G940:G943" si="88">E940*F940</f>
        <v>3.8012000000000001</v>
      </c>
      <c r="H940" s="311"/>
      <c r="I940" s="311"/>
      <c r="J940" s="104"/>
    </row>
    <row r="941" spans="1:10" s="105" customFormat="1" x14ac:dyDescent="0.25">
      <c r="A941" s="103"/>
      <c r="B941" s="585" t="s">
        <v>93</v>
      </c>
      <c r="C941" s="253" t="s">
        <v>94</v>
      </c>
      <c r="D941" s="252" t="s">
        <v>91</v>
      </c>
      <c r="E941" s="304">
        <v>0.05</v>
      </c>
      <c r="F941" s="242">
        <v>18.84</v>
      </c>
      <c r="G941" s="243">
        <f t="shared" si="88"/>
        <v>0.94200000000000006</v>
      </c>
      <c r="H941" s="311"/>
      <c r="I941" s="311"/>
      <c r="J941" s="104"/>
    </row>
    <row r="942" spans="1:10" s="105" customFormat="1" x14ac:dyDescent="0.25">
      <c r="A942" s="103"/>
      <c r="B942" s="585" t="s">
        <v>130</v>
      </c>
      <c r="C942" s="380" t="s">
        <v>129</v>
      </c>
      <c r="D942" s="379" t="s">
        <v>50</v>
      </c>
      <c r="E942" s="381">
        <v>3.04E-2</v>
      </c>
      <c r="F942" s="242">
        <v>4.29</v>
      </c>
      <c r="G942" s="243">
        <f t="shared" si="88"/>
        <v>0.130416</v>
      </c>
      <c r="H942" s="311"/>
      <c r="I942" s="311"/>
      <c r="J942" s="104"/>
    </row>
    <row r="943" spans="1:10" s="105" customFormat="1" ht="31.5" x14ac:dyDescent="0.25">
      <c r="A943" s="103"/>
      <c r="B943" s="585" t="s">
        <v>1921</v>
      </c>
      <c r="C943" s="253" t="s">
        <v>197</v>
      </c>
      <c r="D943" s="252" t="s">
        <v>50</v>
      </c>
      <c r="E943" s="304">
        <v>1</v>
      </c>
      <c r="F943" s="242">
        <v>846.72</v>
      </c>
      <c r="G943" s="243">
        <f t="shared" si="88"/>
        <v>846.72</v>
      </c>
      <c r="H943" s="311"/>
      <c r="I943" s="311"/>
      <c r="J943" s="104"/>
    </row>
    <row r="944" spans="1:10" s="105" customFormat="1" x14ac:dyDescent="0.25">
      <c r="A944" s="103"/>
      <c r="B944" s="623" t="s">
        <v>34</v>
      </c>
      <c r="C944" s="623"/>
      <c r="D944" s="623"/>
      <c r="E944" s="623"/>
      <c r="F944" s="623"/>
      <c r="G944" s="245">
        <f>SUM(G940:G943)</f>
        <v>851.593616</v>
      </c>
      <c r="H944" s="311"/>
      <c r="I944" s="311"/>
      <c r="J944" s="104"/>
    </row>
    <row r="945" spans="1:10" s="105" customFormat="1" x14ac:dyDescent="0.25">
      <c r="A945" s="103"/>
      <c r="B945" s="246"/>
      <c r="C945" s="246"/>
      <c r="D945" s="80"/>
      <c r="E945" s="246"/>
      <c r="F945" s="246"/>
      <c r="G945" s="248"/>
      <c r="H945" s="311"/>
      <c r="I945" s="311"/>
      <c r="J945" s="104"/>
    </row>
    <row r="946" spans="1:10" s="161" customFormat="1" x14ac:dyDescent="0.25">
      <c r="A946" s="160"/>
      <c r="B946" s="626" t="s">
        <v>1102</v>
      </c>
      <c r="C946" s="627"/>
      <c r="D946" s="627"/>
      <c r="E946" s="627"/>
      <c r="F946" s="627"/>
      <c r="G946" s="628"/>
      <c r="H946" s="377"/>
      <c r="I946" s="378"/>
    </row>
    <row r="947" spans="1:10" s="155" customFormat="1" ht="15.75" customHeight="1" x14ac:dyDescent="0.25">
      <c r="A947" s="11"/>
      <c r="B947" s="35"/>
      <c r="C947" s="35"/>
      <c r="D947" s="480"/>
      <c r="E947" s="35"/>
      <c r="F947" s="35"/>
      <c r="G947" s="35"/>
      <c r="H947" s="35"/>
      <c r="I947" s="35"/>
      <c r="J947" s="22"/>
    </row>
    <row r="948" spans="1:10" s="156" customFormat="1" ht="39.75" customHeight="1" x14ac:dyDescent="0.25">
      <c r="A948" s="33"/>
      <c r="B948" s="165" t="s">
        <v>1105</v>
      </c>
      <c r="C948" s="622" t="str">
        <f>ORÇAMENTO!C292</f>
        <v>CUBA DE EMBUTIR EM LOUÇA, TIPO OVAL BRANCA, MODELO DECA L.37.17, INCLUSIVE  VÁLVULA CROMADA, ENGATE FLEXÍVEL METÁLICO E SIFÃO DE INOX</v>
      </c>
      <c r="D948" s="622"/>
      <c r="E948" s="622"/>
      <c r="F948" s="622"/>
      <c r="G948" s="622"/>
      <c r="H948" s="35"/>
      <c r="I948" s="35"/>
      <c r="J948" s="157"/>
    </row>
    <row r="949" spans="1:10" s="156" customFormat="1" x14ac:dyDescent="0.25">
      <c r="A949" s="33"/>
      <c r="B949" s="113" t="s">
        <v>84</v>
      </c>
      <c r="C949" s="236" t="s">
        <v>85</v>
      </c>
      <c r="D949" s="113" t="s">
        <v>31</v>
      </c>
      <c r="E949" s="237" t="s">
        <v>86</v>
      </c>
      <c r="F949" s="238" t="s">
        <v>87</v>
      </c>
      <c r="G949" s="239" t="s">
        <v>88</v>
      </c>
      <c r="H949" s="35"/>
      <c r="I949" s="35"/>
      <c r="J949" s="157"/>
    </row>
    <row r="950" spans="1:10" s="156" customFormat="1" ht="31.5" x14ac:dyDescent="0.25">
      <c r="A950" s="33"/>
      <c r="B950" s="585" t="s">
        <v>217</v>
      </c>
      <c r="C950" s="253" t="s">
        <v>468</v>
      </c>
      <c r="D950" s="252" t="s">
        <v>50</v>
      </c>
      <c r="E950" s="304">
        <v>1</v>
      </c>
      <c r="F950" s="242">
        <v>86.88</v>
      </c>
      <c r="G950" s="243">
        <f t="shared" ref="G950:G953" si="89">E950*F950</f>
        <v>86.88</v>
      </c>
      <c r="H950" s="35"/>
      <c r="I950" s="35"/>
      <c r="J950" s="157"/>
    </row>
    <row r="951" spans="1:10" s="156" customFormat="1" x14ac:dyDescent="0.25">
      <c r="A951" s="33"/>
      <c r="B951" s="593" t="s">
        <v>470</v>
      </c>
      <c r="C951" s="301" t="s">
        <v>835</v>
      </c>
      <c r="D951" s="300" t="s">
        <v>50</v>
      </c>
      <c r="E951" s="376">
        <v>1</v>
      </c>
      <c r="F951" s="292">
        <v>267.77</v>
      </c>
      <c r="G951" s="243">
        <f t="shared" si="89"/>
        <v>267.77</v>
      </c>
      <c r="H951" s="35"/>
      <c r="I951" s="35"/>
      <c r="J951" s="157"/>
    </row>
    <row r="952" spans="1:10" s="156" customFormat="1" x14ac:dyDescent="0.25">
      <c r="A952" s="33"/>
      <c r="B952" s="585" t="s">
        <v>131</v>
      </c>
      <c r="C952" s="253" t="s">
        <v>469</v>
      </c>
      <c r="D952" s="252" t="s">
        <v>50</v>
      </c>
      <c r="E952" s="304">
        <v>1</v>
      </c>
      <c r="F952" s="242">
        <v>63.99</v>
      </c>
      <c r="G952" s="243">
        <f t="shared" si="89"/>
        <v>63.99</v>
      </c>
      <c r="H952" s="35"/>
      <c r="I952" s="35"/>
      <c r="J952" s="157"/>
    </row>
    <row r="953" spans="1:10" s="156" customFormat="1" ht="31.5" x14ac:dyDescent="0.25">
      <c r="A953" s="33"/>
      <c r="B953" s="585" t="s">
        <v>832</v>
      </c>
      <c r="C953" s="253" t="s">
        <v>842</v>
      </c>
      <c r="D953" s="252" t="s">
        <v>50</v>
      </c>
      <c r="E953" s="304">
        <v>1</v>
      </c>
      <c r="F953" s="242">
        <v>130.88999999999999</v>
      </c>
      <c r="G953" s="243">
        <f t="shared" si="89"/>
        <v>130.88999999999999</v>
      </c>
      <c r="H953" s="35"/>
      <c r="I953" s="35"/>
      <c r="J953" s="157"/>
    </row>
    <row r="954" spans="1:10" s="156" customFormat="1" x14ac:dyDescent="0.25">
      <c r="A954" s="33"/>
      <c r="B954" s="623" t="s">
        <v>34</v>
      </c>
      <c r="C954" s="623"/>
      <c r="D954" s="623"/>
      <c r="E954" s="623"/>
      <c r="F954" s="623"/>
      <c r="G954" s="245">
        <f>SUM(G950:G953)</f>
        <v>549.53</v>
      </c>
      <c r="H954" s="35"/>
      <c r="I954" s="35"/>
      <c r="J954" s="157"/>
    </row>
    <row r="955" spans="1:10" s="156" customFormat="1" x14ac:dyDescent="0.25">
      <c r="A955" s="33"/>
      <c r="B955" s="246"/>
      <c r="C955" s="246"/>
      <c r="D955" s="80"/>
      <c r="E955" s="247"/>
      <c r="F955" s="246"/>
      <c r="G955" s="248"/>
      <c r="H955" s="35"/>
      <c r="I955" s="35"/>
      <c r="J955" s="157"/>
    </row>
    <row r="956" spans="1:10" s="159" customFormat="1" ht="35.25" customHeight="1" x14ac:dyDescent="0.25">
      <c r="A956" s="33"/>
      <c r="B956" s="235" t="s">
        <v>100</v>
      </c>
      <c r="C956" s="622" t="str">
        <f>ORÇAMENTO!C295</f>
        <v>TORNEIRA PARA COZINHA DE MESA MARCA DOCOL MODELO INVICTA, BICA GIRATÓRIA DE 360º, ACABAMENTO CROMADO COM AREJADOR EMBUTIDO</v>
      </c>
      <c r="D956" s="622"/>
      <c r="E956" s="622"/>
      <c r="F956" s="622"/>
      <c r="G956" s="622"/>
      <c r="H956" s="35"/>
      <c r="I956" s="35"/>
      <c r="J956" s="157"/>
    </row>
    <row r="957" spans="1:10" s="159" customFormat="1" x14ac:dyDescent="0.25">
      <c r="A957" s="33"/>
      <c r="B957" s="113" t="s">
        <v>84</v>
      </c>
      <c r="C957" s="236" t="s">
        <v>85</v>
      </c>
      <c r="D957" s="113" t="s">
        <v>31</v>
      </c>
      <c r="E957" s="237" t="s">
        <v>86</v>
      </c>
      <c r="F957" s="238" t="s">
        <v>87</v>
      </c>
      <c r="G957" s="239" t="s">
        <v>88</v>
      </c>
      <c r="H957" s="35"/>
      <c r="I957" s="35"/>
      <c r="J957" s="157"/>
    </row>
    <row r="958" spans="1:10" s="159" customFormat="1" x14ac:dyDescent="0.25">
      <c r="A958" s="33"/>
      <c r="B958" s="585" t="s">
        <v>105</v>
      </c>
      <c r="C958" s="253" t="s">
        <v>106</v>
      </c>
      <c r="D958" s="252" t="s">
        <v>91</v>
      </c>
      <c r="E958" s="304">
        <v>0.17</v>
      </c>
      <c r="F958" s="242">
        <v>22.36</v>
      </c>
      <c r="G958" s="243">
        <f t="shared" ref="G958:G961" si="90">E958*F958</f>
        <v>3.8012000000000001</v>
      </c>
      <c r="H958" s="35"/>
      <c r="I958" s="35"/>
      <c r="J958" s="157"/>
    </row>
    <row r="959" spans="1:10" s="159" customFormat="1" x14ac:dyDescent="0.25">
      <c r="A959" s="33"/>
      <c r="B959" s="585" t="s">
        <v>93</v>
      </c>
      <c r="C959" s="253" t="s">
        <v>94</v>
      </c>
      <c r="D959" s="252" t="s">
        <v>91</v>
      </c>
      <c r="E959" s="304">
        <v>0.05</v>
      </c>
      <c r="F959" s="242">
        <v>18.84</v>
      </c>
      <c r="G959" s="243">
        <f t="shared" si="90"/>
        <v>0.94200000000000006</v>
      </c>
      <c r="H959" s="35"/>
      <c r="I959" s="35"/>
      <c r="J959" s="157"/>
    </row>
    <row r="960" spans="1:10" s="159" customFormat="1" x14ac:dyDescent="0.25">
      <c r="A960" s="33"/>
      <c r="B960" s="585" t="s">
        <v>130</v>
      </c>
      <c r="C960" s="253" t="s">
        <v>129</v>
      </c>
      <c r="D960" s="252" t="s">
        <v>50</v>
      </c>
      <c r="E960" s="304">
        <v>3.04E-2</v>
      </c>
      <c r="F960" s="242">
        <v>4.29</v>
      </c>
      <c r="G960" s="243">
        <f t="shared" si="90"/>
        <v>0.130416</v>
      </c>
      <c r="H960" s="35"/>
      <c r="I960" s="35"/>
      <c r="J960" s="157"/>
    </row>
    <row r="961" spans="1:10" s="105" customFormat="1" ht="31.5" x14ac:dyDescent="0.25">
      <c r="A961" s="103"/>
      <c r="B961" s="585" t="s">
        <v>136</v>
      </c>
      <c r="C961" s="380" t="s">
        <v>854</v>
      </c>
      <c r="D961" s="379" t="s">
        <v>50</v>
      </c>
      <c r="E961" s="381">
        <v>1</v>
      </c>
      <c r="F961" s="242">
        <v>276.51</v>
      </c>
      <c r="G961" s="309">
        <f t="shared" si="90"/>
        <v>276.51</v>
      </c>
      <c r="H961" s="311"/>
      <c r="I961" s="311"/>
      <c r="J961" s="104"/>
    </row>
    <row r="962" spans="1:10" s="159" customFormat="1" x14ac:dyDescent="0.25">
      <c r="A962" s="33"/>
      <c r="B962" s="623" t="s">
        <v>34</v>
      </c>
      <c r="C962" s="623"/>
      <c r="D962" s="623"/>
      <c r="E962" s="623"/>
      <c r="F962" s="623"/>
      <c r="G962" s="245">
        <f>SUM(G958:G961)</f>
        <v>281.38361600000002</v>
      </c>
      <c r="H962" s="35"/>
      <c r="I962" s="35"/>
      <c r="J962" s="157"/>
    </row>
    <row r="963" spans="1:10" s="23" customFormat="1" x14ac:dyDescent="0.25">
      <c r="A963" s="7"/>
      <c r="B963" s="246"/>
      <c r="C963" s="246"/>
      <c r="D963" s="80"/>
      <c r="E963" s="247"/>
      <c r="F963" s="246"/>
      <c r="G963" s="248"/>
      <c r="H963" s="35"/>
      <c r="I963" s="35"/>
      <c r="J963" s="21"/>
    </row>
    <row r="964" spans="1:10" s="155" customFormat="1" ht="39" customHeight="1" x14ac:dyDescent="0.25">
      <c r="A964" s="11"/>
      <c r="B964" s="235" t="s">
        <v>120</v>
      </c>
      <c r="C964" s="622" t="str">
        <f>ORÇAMENTO!C296</f>
        <v>LAVATÓRIO DE LOUÇA, SUSPENSO, NA COR BRANCA, DE PRIMEIRA QUALIDADE, LINHA ECO, MARCA INCEPA, INCLUSIVE  VÁLVULA CROMADA, ENGATE FLEXÍVEL METÁLICO E SIFÃO DE INOX (HALL E CIRCULAÇÃO)</v>
      </c>
      <c r="D964" s="622"/>
      <c r="E964" s="622"/>
      <c r="F964" s="622"/>
      <c r="G964" s="622"/>
      <c r="H964" s="35"/>
      <c r="I964" s="35"/>
      <c r="J964" s="22"/>
    </row>
    <row r="965" spans="1:10" s="155" customFormat="1" x14ac:dyDescent="0.25">
      <c r="A965" s="11"/>
      <c r="B965" s="113" t="s">
        <v>84</v>
      </c>
      <c r="C965" s="236" t="s">
        <v>85</v>
      </c>
      <c r="D965" s="113" t="s">
        <v>31</v>
      </c>
      <c r="E965" s="237" t="s">
        <v>86</v>
      </c>
      <c r="F965" s="238" t="s">
        <v>87</v>
      </c>
      <c r="G965" s="239" t="s">
        <v>88</v>
      </c>
      <c r="H965" s="35"/>
      <c r="I965" s="35"/>
      <c r="J965" s="22"/>
    </row>
    <row r="966" spans="1:10" s="23" customFormat="1" ht="31.5" x14ac:dyDescent="0.25">
      <c r="A966" s="7"/>
      <c r="B966" s="585" t="s">
        <v>217</v>
      </c>
      <c r="C966" s="253" t="s">
        <v>468</v>
      </c>
      <c r="D966" s="252" t="s">
        <v>50</v>
      </c>
      <c r="E966" s="304">
        <v>1</v>
      </c>
      <c r="F966" s="242">
        <v>86.88</v>
      </c>
      <c r="G966" s="243">
        <f t="shared" ref="G966:G969" si="91">E966*F966</f>
        <v>86.88</v>
      </c>
      <c r="H966" s="35"/>
      <c r="I966" s="35"/>
      <c r="J966" s="21"/>
    </row>
    <row r="967" spans="1:10" s="23" customFormat="1" x14ac:dyDescent="0.25">
      <c r="A967" s="7"/>
      <c r="B967" s="593" t="s">
        <v>470</v>
      </c>
      <c r="C967" s="301" t="s">
        <v>835</v>
      </c>
      <c r="D967" s="300" t="s">
        <v>50</v>
      </c>
      <c r="E967" s="376">
        <v>1</v>
      </c>
      <c r="F967" s="292">
        <v>267.77</v>
      </c>
      <c r="G967" s="243">
        <f t="shared" si="91"/>
        <v>267.77</v>
      </c>
      <c r="H967" s="35"/>
      <c r="I967" s="35"/>
      <c r="J967" s="21"/>
    </row>
    <row r="968" spans="1:10" s="23" customFormat="1" x14ac:dyDescent="0.25">
      <c r="A968" s="7"/>
      <c r="B968" s="585" t="s">
        <v>131</v>
      </c>
      <c r="C968" s="253" t="s">
        <v>469</v>
      </c>
      <c r="D968" s="252" t="s">
        <v>50</v>
      </c>
      <c r="E968" s="304">
        <v>1</v>
      </c>
      <c r="F968" s="242">
        <v>63.99</v>
      </c>
      <c r="G968" s="243">
        <f t="shared" si="91"/>
        <v>63.99</v>
      </c>
      <c r="H968" s="35"/>
      <c r="I968" s="35"/>
      <c r="J968" s="21"/>
    </row>
    <row r="969" spans="1:10" s="105" customFormat="1" ht="31.5" x14ac:dyDescent="0.25">
      <c r="A969" s="103"/>
      <c r="B969" s="585" t="s">
        <v>834</v>
      </c>
      <c r="C969" s="380" t="s">
        <v>841</v>
      </c>
      <c r="D969" s="252" t="s">
        <v>50</v>
      </c>
      <c r="E969" s="304">
        <v>1</v>
      </c>
      <c r="F969" s="242">
        <v>291.38</v>
      </c>
      <c r="G969" s="243">
        <f t="shared" si="91"/>
        <v>291.38</v>
      </c>
      <c r="H969" s="311"/>
      <c r="I969" s="311"/>
      <c r="J969" s="104"/>
    </row>
    <row r="970" spans="1:10" s="155" customFormat="1" x14ac:dyDescent="0.25">
      <c r="A970" s="11"/>
      <c r="B970" s="623" t="s">
        <v>34</v>
      </c>
      <c r="C970" s="623"/>
      <c r="D970" s="623"/>
      <c r="E970" s="623"/>
      <c r="F970" s="623"/>
      <c r="G970" s="245">
        <f>SUM(G966:G969)</f>
        <v>710.02</v>
      </c>
      <c r="H970" s="35"/>
      <c r="I970" s="35"/>
      <c r="J970" s="22"/>
    </row>
    <row r="971" spans="1:10" s="32" customFormat="1" x14ac:dyDescent="0.25">
      <c r="A971" s="33"/>
      <c r="B971" s="246"/>
      <c r="C971" s="246"/>
      <c r="D971" s="80"/>
      <c r="E971" s="247"/>
      <c r="F971" s="246"/>
      <c r="G971" s="248"/>
      <c r="H971" s="35"/>
      <c r="I971" s="35"/>
      <c r="J971" s="21"/>
    </row>
    <row r="972" spans="1:10" s="156" customFormat="1" x14ac:dyDescent="0.25">
      <c r="B972" s="226" t="s">
        <v>1624</v>
      </c>
      <c r="C972" s="227"/>
      <c r="D972" s="472"/>
      <c r="E972" s="228"/>
      <c r="F972" s="286"/>
      <c r="G972" s="287"/>
      <c r="H972" s="35"/>
      <c r="I972" s="35"/>
      <c r="J972" s="157"/>
    </row>
    <row r="973" spans="1:10" x14ac:dyDescent="0.25">
      <c r="B973" s="246"/>
      <c r="C973" s="246"/>
      <c r="D973" s="80"/>
      <c r="E973" s="247"/>
      <c r="F973" s="246"/>
      <c r="G973" s="248"/>
    </row>
    <row r="974" spans="1:10" ht="44.25" customHeight="1" x14ac:dyDescent="0.25">
      <c r="B974" s="165" t="s">
        <v>495</v>
      </c>
      <c r="C974" s="622" t="s">
        <v>496</v>
      </c>
      <c r="D974" s="622"/>
      <c r="E974" s="622"/>
      <c r="F974" s="622"/>
      <c r="G974" s="622"/>
    </row>
    <row r="975" spans="1:10" x14ac:dyDescent="0.25">
      <c r="B975" s="113" t="s">
        <v>84</v>
      </c>
      <c r="C975" s="236" t="s">
        <v>85</v>
      </c>
      <c r="D975" s="113" t="s">
        <v>31</v>
      </c>
      <c r="E975" s="237" t="s">
        <v>86</v>
      </c>
      <c r="F975" s="238" t="s">
        <v>87</v>
      </c>
      <c r="G975" s="239" t="s">
        <v>88</v>
      </c>
    </row>
    <row r="976" spans="1:10" x14ac:dyDescent="0.25">
      <c r="B976" s="583" t="s">
        <v>830</v>
      </c>
      <c r="C976" s="240" t="s">
        <v>597</v>
      </c>
      <c r="D976" s="48" t="s">
        <v>38</v>
      </c>
      <c r="E976" s="382">
        <v>1</v>
      </c>
      <c r="F976" s="242">
        <v>142.19</v>
      </c>
      <c r="G976" s="243">
        <f>F976*E976</f>
        <v>142.19</v>
      </c>
    </row>
    <row r="977" spans="2:10" x14ac:dyDescent="0.25">
      <c r="B977" s="599" t="s">
        <v>811</v>
      </c>
      <c r="C977" s="312" t="s">
        <v>594</v>
      </c>
      <c r="D977" s="102" t="s">
        <v>91</v>
      </c>
      <c r="E977" s="382">
        <v>0.15</v>
      </c>
      <c r="F977" s="292">
        <v>17.79</v>
      </c>
      <c r="G977" s="243">
        <f t="shared" ref="G977:G978" si="92">F977*E977</f>
        <v>2.6684999999999999</v>
      </c>
    </row>
    <row r="978" spans="2:10" x14ac:dyDescent="0.25">
      <c r="B978" s="583" t="s">
        <v>799</v>
      </c>
      <c r="C978" s="240" t="s">
        <v>92</v>
      </c>
      <c r="D978" s="48" t="s">
        <v>91</v>
      </c>
      <c r="E978" s="382">
        <v>0.15</v>
      </c>
      <c r="F978" s="242">
        <v>23.23</v>
      </c>
      <c r="G978" s="243">
        <f t="shared" si="92"/>
        <v>3.4845000000000002</v>
      </c>
    </row>
    <row r="979" spans="2:10" x14ac:dyDescent="0.25">
      <c r="B979" s="636" t="s">
        <v>34</v>
      </c>
      <c r="C979" s="637"/>
      <c r="D979" s="637"/>
      <c r="E979" s="637"/>
      <c r="F979" s="638"/>
      <c r="G979" s="245">
        <f>SUM(G976:G978)</f>
        <v>148.34299999999999</v>
      </c>
    </row>
    <row r="980" spans="2:10" x14ac:dyDescent="0.25">
      <c r="B980" s="246"/>
      <c r="C980" s="246"/>
      <c r="D980" s="80"/>
      <c r="E980" s="247"/>
      <c r="F980" s="246"/>
      <c r="G980" s="248"/>
    </row>
    <row r="981" spans="2:10" ht="36.75" customHeight="1" x14ac:dyDescent="0.25">
      <c r="B981" s="165" t="s">
        <v>497</v>
      </c>
      <c r="C981" s="622" t="s">
        <v>498</v>
      </c>
      <c r="D981" s="622"/>
      <c r="E981" s="622"/>
      <c r="F981" s="622"/>
      <c r="G981" s="622"/>
    </row>
    <row r="982" spans="2:10" x14ac:dyDescent="0.25">
      <c r="B982" s="113" t="s">
        <v>84</v>
      </c>
      <c r="C982" s="236" t="s">
        <v>85</v>
      </c>
      <c r="D982" s="113" t="s">
        <v>31</v>
      </c>
      <c r="E982" s="237" t="s">
        <v>86</v>
      </c>
      <c r="F982" s="238" t="s">
        <v>87</v>
      </c>
      <c r="G982" s="239" t="s">
        <v>88</v>
      </c>
    </row>
    <row r="983" spans="2:10" ht="31.5" x14ac:dyDescent="0.25">
      <c r="B983" s="583" t="s">
        <v>829</v>
      </c>
      <c r="C983" s="240" t="s">
        <v>598</v>
      </c>
      <c r="D983" s="48" t="s">
        <v>38</v>
      </c>
      <c r="E983" s="382">
        <v>1</v>
      </c>
      <c r="F983" s="242">
        <v>106.31</v>
      </c>
      <c r="G983" s="243">
        <f>F983*E983</f>
        <v>106.31</v>
      </c>
    </row>
    <row r="984" spans="2:10" x14ac:dyDescent="0.25">
      <c r="B984" s="599" t="s">
        <v>811</v>
      </c>
      <c r="C984" s="312" t="s">
        <v>594</v>
      </c>
      <c r="D984" s="102" t="s">
        <v>91</v>
      </c>
      <c r="E984" s="382">
        <v>7.0000000000000007E-2</v>
      </c>
      <c r="F984" s="292">
        <v>17.79</v>
      </c>
      <c r="G984" s="243">
        <f t="shared" ref="G984:G985" si="93">F984*E984</f>
        <v>1.2453000000000001</v>
      </c>
    </row>
    <row r="985" spans="2:10" x14ac:dyDescent="0.25">
      <c r="B985" s="583" t="s">
        <v>799</v>
      </c>
      <c r="C985" s="240" t="s">
        <v>92</v>
      </c>
      <c r="D985" s="48" t="s">
        <v>91</v>
      </c>
      <c r="E985" s="382">
        <v>7.0000000000000007E-2</v>
      </c>
      <c r="F985" s="242">
        <v>23.23</v>
      </c>
      <c r="G985" s="243">
        <f t="shared" si="93"/>
        <v>1.6261000000000001</v>
      </c>
    </row>
    <row r="986" spans="2:10" x14ac:dyDescent="0.25">
      <c r="B986" s="636" t="s">
        <v>34</v>
      </c>
      <c r="C986" s="637"/>
      <c r="D986" s="637"/>
      <c r="E986" s="637"/>
      <c r="F986" s="638"/>
      <c r="G986" s="245">
        <f>SUM(G983:G985)</f>
        <v>109.1814</v>
      </c>
    </row>
    <row r="987" spans="2:10" x14ac:dyDescent="0.25">
      <c r="B987" s="246"/>
      <c r="C987" s="246"/>
      <c r="D987" s="80"/>
      <c r="E987" s="247"/>
      <c r="F987" s="246"/>
      <c r="G987" s="248"/>
    </row>
    <row r="988" spans="2:10" ht="38.25" customHeight="1" x14ac:dyDescent="0.25">
      <c r="B988" s="165" t="s">
        <v>503</v>
      </c>
      <c r="C988" s="622" t="s">
        <v>504</v>
      </c>
      <c r="D988" s="622"/>
      <c r="E988" s="622"/>
      <c r="F988" s="622"/>
      <c r="G988" s="622"/>
    </row>
    <row r="989" spans="2:10" x14ac:dyDescent="0.25">
      <c r="B989" s="113" t="s">
        <v>84</v>
      </c>
      <c r="C989" s="236" t="s">
        <v>85</v>
      </c>
      <c r="D989" s="113" t="s">
        <v>31</v>
      </c>
      <c r="E989" s="237" t="s">
        <v>86</v>
      </c>
      <c r="F989" s="238" t="s">
        <v>87</v>
      </c>
      <c r="G989" s="239" t="s">
        <v>88</v>
      </c>
    </row>
    <row r="990" spans="2:10" s="19" customFormat="1" ht="24" customHeight="1" x14ac:dyDescent="0.25">
      <c r="B990" s="583" t="s">
        <v>827</v>
      </c>
      <c r="C990" s="240" t="s">
        <v>599</v>
      </c>
      <c r="D990" s="49" t="s">
        <v>73</v>
      </c>
      <c r="E990" s="241">
        <v>1</v>
      </c>
      <c r="F990" s="242">
        <v>7.74</v>
      </c>
      <c r="G990" s="309">
        <f>F990*E990</f>
        <v>7.74</v>
      </c>
      <c r="H990" s="311"/>
      <c r="I990" s="311"/>
      <c r="J990" s="450"/>
    </row>
    <row r="991" spans="2:10" x14ac:dyDescent="0.25">
      <c r="B991" s="599" t="s">
        <v>828</v>
      </c>
      <c r="C991" s="312" t="s">
        <v>600</v>
      </c>
      <c r="D991" s="102" t="s">
        <v>73</v>
      </c>
      <c r="E991" s="383">
        <v>1</v>
      </c>
      <c r="F991" s="292">
        <v>5.61</v>
      </c>
      <c r="G991" s="309">
        <f t="shared" ref="G991:G993" si="94">F991*E991</f>
        <v>5.61</v>
      </c>
    </row>
    <row r="992" spans="2:10" x14ac:dyDescent="0.25">
      <c r="B992" s="599" t="s">
        <v>811</v>
      </c>
      <c r="C992" s="312" t="s">
        <v>594</v>
      </c>
      <c r="D992" s="102" t="s">
        <v>91</v>
      </c>
      <c r="E992" s="382">
        <v>7.0000000000000007E-2</v>
      </c>
      <c r="F992" s="292">
        <v>17.79</v>
      </c>
      <c r="G992" s="309">
        <f t="shared" si="94"/>
        <v>1.2453000000000001</v>
      </c>
    </row>
    <row r="993" spans="2:7" x14ac:dyDescent="0.25">
      <c r="B993" s="583" t="s">
        <v>799</v>
      </c>
      <c r="C993" s="240" t="s">
        <v>92</v>
      </c>
      <c r="D993" s="48" t="s">
        <v>91</v>
      </c>
      <c r="E993" s="382">
        <v>7.0000000000000007E-2</v>
      </c>
      <c r="F993" s="242">
        <v>23.23</v>
      </c>
      <c r="G993" s="309">
        <f t="shared" si="94"/>
        <v>1.6261000000000001</v>
      </c>
    </row>
    <row r="994" spans="2:7" x14ac:dyDescent="0.25">
      <c r="B994" s="636" t="s">
        <v>34</v>
      </c>
      <c r="C994" s="637"/>
      <c r="D994" s="637"/>
      <c r="E994" s="637"/>
      <c r="F994" s="638"/>
      <c r="G994" s="245">
        <f>SUM(G990:G993)</f>
        <v>16.221400000000003</v>
      </c>
    </row>
    <row r="995" spans="2:7" x14ac:dyDescent="0.25">
      <c r="B995" s="246"/>
      <c r="C995" s="246"/>
      <c r="D995" s="80"/>
      <c r="E995" s="247"/>
      <c r="F995" s="246"/>
      <c r="G995" s="248"/>
    </row>
    <row r="996" spans="2:7" ht="34.5" customHeight="1" x14ac:dyDescent="0.25">
      <c r="B996" s="165" t="s">
        <v>509</v>
      </c>
      <c r="C996" s="622" t="s">
        <v>510</v>
      </c>
      <c r="D996" s="622"/>
      <c r="E996" s="622"/>
      <c r="F996" s="622"/>
      <c r="G996" s="622"/>
    </row>
    <row r="997" spans="2:7" x14ac:dyDescent="0.25">
      <c r="B997" s="113" t="s">
        <v>84</v>
      </c>
      <c r="C997" s="236" t="s">
        <v>85</v>
      </c>
      <c r="D997" s="113" t="s">
        <v>31</v>
      </c>
      <c r="E997" s="237" t="s">
        <v>86</v>
      </c>
      <c r="F997" s="238" t="s">
        <v>87</v>
      </c>
      <c r="G997" s="239" t="s">
        <v>88</v>
      </c>
    </row>
    <row r="998" spans="2:7" x14ac:dyDescent="0.25">
      <c r="B998" s="583" t="s">
        <v>825</v>
      </c>
      <c r="C998" s="240" t="s">
        <v>601</v>
      </c>
      <c r="D998" s="48" t="s">
        <v>73</v>
      </c>
      <c r="E998" s="382">
        <v>1</v>
      </c>
      <c r="F998" s="242">
        <v>7.84</v>
      </c>
      <c r="G998" s="243">
        <f>F998*E998</f>
        <v>7.84</v>
      </c>
    </row>
    <row r="999" spans="2:7" x14ac:dyDescent="0.25">
      <c r="B999" s="599" t="s">
        <v>826</v>
      </c>
      <c r="C999" s="312" t="s">
        <v>602</v>
      </c>
      <c r="D999" s="102" t="s">
        <v>38</v>
      </c>
      <c r="E999" s="383">
        <v>0.33</v>
      </c>
      <c r="F999" s="292">
        <v>2.13</v>
      </c>
      <c r="G999" s="243">
        <f t="shared" ref="G999:G1003" si="95">F999*E999</f>
        <v>0.70289999999999997</v>
      </c>
    </row>
    <row r="1000" spans="2:7" ht="47.25" x14ac:dyDescent="0.25">
      <c r="B1000" s="599" t="s">
        <v>823</v>
      </c>
      <c r="C1000" s="312" t="s">
        <v>603</v>
      </c>
      <c r="D1000" s="102" t="s">
        <v>41</v>
      </c>
      <c r="E1000" s="383">
        <v>0.6</v>
      </c>
      <c r="F1000" s="292">
        <v>5.66</v>
      </c>
      <c r="G1000" s="243">
        <f t="shared" si="95"/>
        <v>3.3959999999999999</v>
      </c>
    </row>
    <row r="1001" spans="2:7" ht="47.25" x14ac:dyDescent="0.25">
      <c r="B1001" s="599" t="s">
        <v>824</v>
      </c>
      <c r="C1001" s="312" t="s">
        <v>604</v>
      </c>
      <c r="D1001" s="102" t="s">
        <v>41</v>
      </c>
      <c r="E1001" s="383">
        <v>0.6</v>
      </c>
      <c r="F1001" s="292">
        <v>9.61</v>
      </c>
      <c r="G1001" s="243">
        <f t="shared" si="95"/>
        <v>5.7659999999999991</v>
      </c>
    </row>
    <row r="1002" spans="2:7" x14ac:dyDescent="0.25">
      <c r="B1002" s="599" t="s">
        <v>811</v>
      </c>
      <c r="C1002" s="312" t="s">
        <v>594</v>
      </c>
      <c r="D1002" s="102" t="s">
        <v>91</v>
      </c>
      <c r="E1002" s="382">
        <v>0.05</v>
      </c>
      <c r="F1002" s="292">
        <v>17.79</v>
      </c>
      <c r="G1002" s="243">
        <f t="shared" si="95"/>
        <v>0.88949999999999996</v>
      </c>
    </row>
    <row r="1003" spans="2:7" x14ac:dyDescent="0.25">
      <c r="B1003" s="583" t="s">
        <v>799</v>
      </c>
      <c r="C1003" s="240" t="s">
        <v>92</v>
      </c>
      <c r="D1003" s="48" t="s">
        <v>91</v>
      </c>
      <c r="E1003" s="382">
        <v>0.05</v>
      </c>
      <c r="F1003" s="242">
        <v>23.23</v>
      </c>
      <c r="G1003" s="243">
        <f t="shared" si="95"/>
        <v>1.1615</v>
      </c>
    </row>
    <row r="1004" spans="2:7" x14ac:dyDescent="0.25">
      <c r="B1004" s="636" t="s">
        <v>34</v>
      </c>
      <c r="C1004" s="637"/>
      <c r="D1004" s="637"/>
      <c r="E1004" s="637"/>
      <c r="F1004" s="638"/>
      <c r="G1004" s="245">
        <f>SUM(G998:G1003)</f>
        <v>19.7559</v>
      </c>
    </row>
    <row r="1005" spans="2:7" x14ac:dyDescent="0.25">
      <c r="B1005" s="246"/>
      <c r="C1005" s="246"/>
      <c r="D1005" s="80"/>
      <c r="E1005" s="247"/>
      <c r="F1005" s="246"/>
      <c r="G1005" s="248"/>
    </row>
    <row r="1006" spans="2:7" ht="42" customHeight="1" x14ac:dyDescent="0.25">
      <c r="B1006" s="165" t="s">
        <v>512</v>
      </c>
      <c r="C1006" s="622" t="s">
        <v>513</v>
      </c>
      <c r="D1006" s="622"/>
      <c r="E1006" s="622"/>
      <c r="F1006" s="622"/>
      <c r="G1006" s="622"/>
    </row>
    <row r="1007" spans="2:7" x14ac:dyDescent="0.25">
      <c r="B1007" s="113" t="s">
        <v>84</v>
      </c>
      <c r="C1007" s="236" t="s">
        <v>85</v>
      </c>
      <c r="D1007" s="113" t="s">
        <v>31</v>
      </c>
      <c r="E1007" s="237" t="s">
        <v>86</v>
      </c>
      <c r="F1007" s="238" t="s">
        <v>87</v>
      </c>
      <c r="G1007" s="239" t="s">
        <v>88</v>
      </c>
    </row>
    <row r="1008" spans="2:7" x14ac:dyDescent="0.25">
      <c r="B1008" s="583" t="s">
        <v>821</v>
      </c>
      <c r="C1008" s="240" t="s">
        <v>605</v>
      </c>
      <c r="D1008" s="48" t="s">
        <v>73</v>
      </c>
      <c r="E1008" s="382">
        <v>1</v>
      </c>
      <c r="F1008" s="242">
        <v>18.75</v>
      </c>
      <c r="G1008" s="243">
        <f>F1008*E1008</f>
        <v>18.75</v>
      </c>
    </row>
    <row r="1009" spans="2:10" x14ac:dyDescent="0.25">
      <c r="B1009" s="599" t="s">
        <v>822</v>
      </c>
      <c r="C1009" s="312" t="s">
        <v>606</v>
      </c>
      <c r="D1009" s="102" t="s">
        <v>38</v>
      </c>
      <c r="E1009" s="383">
        <v>0.33</v>
      </c>
      <c r="F1009" s="292">
        <v>6.57</v>
      </c>
      <c r="G1009" s="243">
        <f t="shared" ref="G1009:G1013" si="96">F1009*E1009</f>
        <v>2.1681000000000004</v>
      </c>
    </row>
    <row r="1010" spans="2:10" ht="47.25" x14ac:dyDescent="0.25">
      <c r="B1010" s="599" t="s">
        <v>823</v>
      </c>
      <c r="C1010" s="312" t="s">
        <v>603</v>
      </c>
      <c r="D1010" s="102" t="s">
        <v>41</v>
      </c>
      <c r="E1010" s="383">
        <v>0.6</v>
      </c>
      <c r="F1010" s="292">
        <v>5.66</v>
      </c>
      <c r="G1010" s="243">
        <f t="shared" si="96"/>
        <v>3.3959999999999999</v>
      </c>
    </row>
    <row r="1011" spans="2:10" ht="47.25" x14ac:dyDescent="0.25">
      <c r="B1011" s="599" t="s">
        <v>824</v>
      </c>
      <c r="C1011" s="312" t="s">
        <v>604</v>
      </c>
      <c r="D1011" s="102" t="s">
        <v>41</v>
      </c>
      <c r="E1011" s="383">
        <v>0.6</v>
      </c>
      <c r="F1011" s="292">
        <v>9.61</v>
      </c>
      <c r="G1011" s="243">
        <f t="shared" si="96"/>
        <v>5.7659999999999991</v>
      </c>
    </row>
    <row r="1012" spans="2:10" x14ac:dyDescent="0.25">
      <c r="B1012" s="599" t="s">
        <v>811</v>
      </c>
      <c r="C1012" s="312" t="s">
        <v>594</v>
      </c>
      <c r="D1012" s="102" t="s">
        <v>91</v>
      </c>
      <c r="E1012" s="382">
        <v>0.05</v>
      </c>
      <c r="F1012" s="292">
        <v>17.79</v>
      </c>
      <c r="G1012" s="243">
        <f t="shared" si="96"/>
        <v>0.88949999999999996</v>
      </c>
    </row>
    <row r="1013" spans="2:10" x14ac:dyDescent="0.25">
      <c r="B1013" s="583" t="s">
        <v>596</v>
      </c>
      <c r="C1013" s="240" t="s">
        <v>92</v>
      </c>
      <c r="D1013" s="48" t="s">
        <v>91</v>
      </c>
      <c r="E1013" s="382">
        <v>0.05</v>
      </c>
      <c r="F1013" s="242">
        <v>23.23</v>
      </c>
      <c r="G1013" s="243">
        <f t="shared" si="96"/>
        <v>1.1615</v>
      </c>
    </row>
    <row r="1014" spans="2:10" x14ac:dyDescent="0.25">
      <c r="B1014" s="636" t="s">
        <v>34</v>
      </c>
      <c r="C1014" s="637"/>
      <c r="D1014" s="637"/>
      <c r="E1014" s="637"/>
      <c r="F1014" s="638"/>
      <c r="G1014" s="245">
        <f>SUM(G1008:G1013)</f>
        <v>32.131099999999996</v>
      </c>
    </row>
    <row r="1015" spans="2:10" x14ac:dyDescent="0.25">
      <c r="B1015" s="246"/>
      <c r="C1015" s="246"/>
      <c r="D1015" s="80"/>
      <c r="E1015" s="247"/>
      <c r="F1015" s="246"/>
      <c r="G1015" s="248"/>
    </row>
    <row r="1016" spans="2:10" ht="36.75" customHeight="1" x14ac:dyDescent="0.25">
      <c r="B1016" s="165" t="s">
        <v>519</v>
      </c>
      <c r="C1016" s="650" t="s">
        <v>520</v>
      </c>
      <c r="D1016" s="651"/>
      <c r="E1016" s="651"/>
      <c r="F1016" s="651"/>
      <c r="G1016" s="652"/>
    </row>
    <row r="1017" spans="2:10" x14ac:dyDescent="0.25">
      <c r="B1017" s="113" t="s">
        <v>84</v>
      </c>
      <c r="C1017" s="236" t="s">
        <v>85</v>
      </c>
      <c r="D1017" s="113" t="s">
        <v>31</v>
      </c>
      <c r="E1017" s="237" t="s">
        <v>86</v>
      </c>
      <c r="F1017" s="238" t="s">
        <v>87</v>
      </c>
      <c r="G1017" s="239" t="s">
        <v>88</v>
      </c>
    </row>
    <row r="1018" spans="2:10" s="19" customFormat="1" x14ac:dyDescent="0.25">
      <c r="B1018" s="583" t="s">
        <v>136</v>
      </c>
      <c r="C1018" s="240" t="s">
        <v>746</v>
      </c>
      <c r="D1018" s="49" t="s">
        <v>38</v>
      </c>
      <c r="E1018" s="241">
        <v>1</v>
      </c>
      <c r="F1018" s="242">
        <f>(12.4+9.31+8.55)/3</f>
        <v>10.086666666666668</v>
      </c>
      <c r="G1018" s="309">
        <f>F1018*E1018</f>
        <v>10.086666666666668</v>
      </c>
      <c r="H1018" s="311"/>
      <c r="I1018" s="311"/>
      <c r="J1018" s="450"/>
    </row>
    <row r="1019" spans="2:10" x14ac:dyDescent="0.25">
      <c r="B1019" s="599" t="s">
        <v>816</v>
      </c>
      <c r="C1019" s="312" t="s">
        <v>607</v>
      </c>
      <c r="D1019" s="102" t="s">
        <v>38</v>
      </c>
      <c r="E1019" s="383">
        <v>4</v>
      </c>
      <c r="F1019" s="292">
        <v>0.25</v>
      </c>
      <c r="G1019" s="309">
        <f t="shared" ref="G1019:G1022" si="97">F1019*E1019</f>
        <v>1</v>
      </c>
    </row>
    <row r="1020" spans="2:10" x14ac:dyDescent="0.25">
      <c r="B1020" s="599" t="s">
        <v>817</v>
      </c>
      <c r="C1020" s="312" t="s">
        <v>608</v>
      </c>
      <c r="D1020" s="102" t="s">
        <v>38</v>
      </c>
      <c r="E1020" s="383">
        <v>4</v>
      </c>
      <c r="F1020" s="292">
        <v>0.34</v>
      </c>
      <c r="G1020" s="309">
        <f t="shared" si="97"/>
        <v>1.36</v>
      </c>
    </row>
    <row r="1021" spans="2:10" x14ac:dyDescent="0.25">
      <c r="B1021" s="599" t="s">
        <v>811</v>
      </c>
      <c r="C1021" s="312" t="s">
        <v>594</v>
      </c>
      <c r="D1021" s="102" t="s">
        <v>91</v>
      </c>
      <c r="E1021" s="382">
        <v>0.05</v>
      </c>
      <c r="F1021" s="292">
        <v>17.79</v>
      </c>
      <c r="G1021" s="309">
        <f t="shared" si="97"/>
        <v>0.88949999999999996</v>
      </c>
    </row>
    <row r="1022" spans="2:10" x14ac:dyDescent="0.25">
      <c r="B1022" s="583" t="s">
        <v>799</v>
      </c>
      <c r="C1022" s="240" t="s">
        <v>92</v>
      </c>
      <c r="D1022" s="48" t="s">
        <v>91</v>
      </c>
      <c r="E1022" s="382">
        <v>0.05</v>
      </c>
      <c r="F1022" s="242">
        <v>23.23</v>
      </c>
      <c r="G1022" s="309">
        <f t="shared" si="97"/>
        <v>1.1615</v>
      </c>
    </row>
    <row r="1023" spans="2:10" x14ac:dyDescent="0.25">
      <c r="B1023" s="636" t="s">
        <v>34</v>
      </c>
      <c r="C1023" s="637"/>
      <c r="D1023" s="637"/>
      <c r="E1023" s="637"/>
      <c r="F1023" s="638"/>
      <c r="G1023" s="245">
        <f>SUM(G1018:G1022)</f>
        <v>14.497666666666667</v>
      </c>
    </row>
    <row r="1024" spans="2:10" x14ac:dyDescent="0.25">
      <c r="B1024" s="246"/>
      <c r="C1024" s="246"/>
      <c r="D1024" s="80"/>
      <c r="E1024" s="247"/>
      <c r="F1024" s="246"/>
      <c r="G1024" s="248"/>
    </row>
    <row r="1025" spans="2:10" ht="34.5" customHeight="1" x14ac:dyDescent="0.25">
      <c r="B1025" s="165" t="s">
        <v>521</v>
      </c>
      <c r="C1025" s="650" t="s">
        <v>522</v>
      </c>
      <c r="D1025" s="651"/>
      <c r="E1025" s="651"/>
      <c r="F1025" s="651"/>
      <c r="G1025" s="652"/>
    </row>
    <row r="1026" spans="2:10" x14ac:dyDescent="0.25">
      <c r="B1026" s="113" t="s">
        <v>84</v>
      </c>
      <c r="C1026" s="236" t="s">
        <v>85</v>
      </c>
      <c r="D1026" s="113" t="s">
        <v>31</v>
      </c>
      <c r="E1026" s="237" t="s">
        <v>86</v>
      </c>
      <c r="F1026" s="238" t="s">
        <v>87</v>
      </c>
      <c r="G1026" s="239" t="s">
        <v>88</v>
      </c>
    </row>
    <row r="1027" spans="2:10" s="19" customFormat="1" x14ac:dyDescent="0.25">
      <c r="B1027" s="583" t="s">
        <v>136</v>
      </c>
      <c r="C1027" s="240" t="s">
        <v>747</v>
      </c>
      <c r="D1027" s="49" t="s">
        <v>38</v>
      </c>
      <c r="E1027" s="241">
        <v>1</v>
      </c>
      <c r="F1027" s="242">
        <f>(13.2+15.74+10.8)/3</f>
        <v>13.246666666666664</v>
      </c>
      <c r="G1027" s="309">
        <f>F1027*E1027</f>
        <v>13.246666666666664</v>
      </c>
      <c r="H1027" s="311"/>
      <c r="I1027" s="311"/>
      <c r="J1027" s="450"/>
    </row>
    <row r="1028" spans="2:10" x14ac:dyDescent="0.25">
      <c r="B1028" s="599" t="s">
        <v>816</v>
      </c>
      <c r="C1028" s="312" t="s">
        <v>607</v>
      </c>
      <c r="D1028" s="102" t="s">
        <v>38</v>
      </c>
      <c r="E1028" s="383">
        <v>6</v>
      </c>
      <c r="F1028" s="292">
        <v>0.25</v>
      </c>
      <c r="G1028" s="309">
        <f t="shared" ref="G1028:G1031" si="98">F1028*E1028</f>
        <v>1.5</v>
      </c>
    </row>
    <row r="1029" spans="2:10" x14ac:dyDescent="0.25">
      <c r="B1029" s="599" t="s">
        <v>817</v>
      </c>
      <c r="C1029" s="312" t="s">
        <v>608</v>
      </c>
      <c r="D1029" s="102" t="s">
        <v>38</v>
      </c>
      <c r="E1029" s="383">
        <v>6</v>
      </c>
      <c r="F1029" s="292">
        <v>0.34</v>
      </c>
      <c r="G1029" s="309">
        <f t="shared" si="98"/>
        <v>2.04</v>
      </c>
    </row>
    <row r="1030" spans="2:10" x14ac:dyDescent="0.25">
      <c r="B1030" s="599" t="s">
        <v>811</v>
      </c>
      <c r="C1030" s="312" t="s">
        <v>594</v>
      </c>
      <c r="D1030" s="102" t="s">
        <v>91</v>
      </c>
      <c r="E1030" s="382">
        <v>0.05</v>
      </c>
      <c r="F1030" s="292">
        <v>17.79</v>
      </c>
      <c r="G1030" s="309">
        <f t="shared" si="98"/>
        <v>0.88949999999999996</v>
      </c>
    </row>
    <row r="1031" spans="2:10" x14ac:dyDescent="0.25">
      <c r="B1031" s="583" t="s">
        <v>799</v>
      </c>
      <c r="C1031" s="240" t="s">
        <v>92</v>
      </c>
      <c r="D1031" s="48" t="s">
        <v>91</v>
      </c>
      <c r="E1031" s="382">
        <v>0.05</v>
      </c>
      <c r="F1031" s="242">
        <v>23.23</v>
      </c>
      <c r="G1031" s="309">
        <f t="shared" si="98"/>
        <v>1.1615</v>
      </c>
    </row>
    <row r="1032" spans="2:10" x14ac:dyDescent="0.25">
      <c r="B1032" s="636" t="s">
        <v>34</v>
      </c>
      <c r="C1032" s="637"/>
      <c r="D1032" s="637"/>
      <c r="E1032" s="637"/>
      <c r="F1032" s="638"/>
      <c r="G1032" s="245">
        <f>SUM(G1027:G1031)</f>
        <v>18.837666666666667</v>
      </c>
    </row>
    <row r="1033" spans="2:10" x14ac:dyDescent="0.25">
      <c r="B1033" s="246"/>
      <c r="C1033" s="246"/>
      <c r="D1033" s="80"/>
      <c r="E1033" s="247"/>
      <c r="F1033" s="246"/>
      <c r="G1033" s="248"/>
    </row>
    <row r="1034" spans="2:10" ht="36.75" customHeight="1" x14ac:dyDescent="0.25">
      <c r="B1034" s="165" t="s">
        <v>523</v>
      </c>
      <c r="C1034" s="650" t="s">
        <v>524</v>
      </c>
      <c r="D1034" s="651"/>
      <c r="E1034" s="651"/>
      <c r="F1034" s="651"/>
      <c r="G1034" s="652"/>
    </row>
    <row r="1035" spans="2:10" x14ac:dyDescent="0.25">
      <c r="B1035" s="113" t="s">
        <v>84</v>
      </c>
      <c r="C1035" s="236" t="s">
        <v>85</v>
      </c>
      <c r="D1035" s="113" t="s">
        <v>31</v>
      </c>
      <c r="E1035" s="237" t="s">
        <v>86</v>
      </c>
      <c r="F1035" s="238" t="s">
        <v>87</v>
      </c>
      <c r="G1035" s="239" t="s">
        <v>88</v>
      </c>
    </row>
    <row r="1036" spans="2:10" s="19" customFormat="1" x14ac:dyDescent="0.25">
      <c r="B1036" s="583" t="s">
        <v>136</v>
      </c>
      <c r="C1036" s="240" t="s">
        <v>747</v>
      </c>
      <c r="D1036" s="49" t="s">
        <v>38</v>
      </c>
      <c r="E1036" s="241">
        <v>1</v>
      </c>
      <c r="F1036" s="242">
        <f>(12.09+18.5+17.62)/3</f>
        <v>16.07</v>
      </c>
      <c r="G1036" s="309">
        <f>F1036*E1036</f>
        <v>16.07</v>
      </c>
      <c r="H1036" s="311"/>
      <c r="I1036" s="311"/>
      <c r="J1036" s="450"/>
    </row>
    <row r="1037" spans="2:10" x14ac:dyDescent="0.25">
      <c r="B1037" s="599" t="s">
        <v>816</v>
      </c>
      <c r="C1037" s="312" t="s">
        <v>607</v>
      </c>
      <c r="D1037" s="102" t="s">
        <v>38</v>
      </c>
      <c r="E1037" s="383">
        <v>8</v>
      </c>
      <c r="F1037" s="292">
        <v>0.25</v>
      </c>
      <c r="G1037" s="309">
        <f t="shared" ref="G1037:G1040" si="99">F1037*E1037</f>
        <v>2</v>
      </c>
    </row>
    <row r="1038" spans="2:10" x14ac:dyDescent="0.25">
      <c r="B1038" s="599" t="s">
        <v>817</v>
      </c>
      <c r="C1038" s="312" t="s">
        <v>608</v>
      </c>
      <c r="D1038" s="102" t="s">
        <v>38</v>
      </c>
      <c r="E1038" s="383">
        <v>8</v>
      </c>
      <c r="F1038" s="292">
        <v>0.34</v>
      </c>
      <c r="G1038" s="309">
        <f t="shared" si="99"/>
        <v>2.72</v>
      </c>
    </row>
    <row r="1039" spans="2:10" x14ac:dyDescent="0.25">
      <c r="B1039" s="599" t="s">
        <v>811</v>
      </c>
      <c r="C1039" s="312" t="s">
        <v>594</v>
      </c>
      <c r="D1039" s="102" t="s">
        <v>91</v>
      </c>
      <c r="E1039" s="382">
        <v>0.05</v>
      </c>
      <c r="F1039" s="292">
        <v>17.79</v>
      </c>
      <c r="G1039" s="309">
        <f t="shared" si="99"/>
        <v>0.88949999999999996</v>
      </c>
    </row>
    <row r="1040" spans="2:10" x14ac:dyDescent="0.25">
      <c r="B1040" s="583" t="s">
        <v>799</v>
      </c>
      <c r="C1040" s="240" t="s">
        <v>92</v>
      </c>
      <c r="D1040" s="48" t="s">
        <v>91</v>
      </c>
      <c r="E1040" s="382">
        <v>0.05</v>
      </c>
      <c r="F1040" s="242">
        <v>23.23</v>
      </c>
      <c r="G1040" s="309">
        <f t="shared" si="99"/>
        <v>1.1615</v>
      </c>
    </row>
    <row r="1041" spans="2:10" x14ac:dyDescent="0.25">
      <c r="B1041" s="636" t="s">
        <v>34</v>
      </c>
      <c r="C1041" s="637"/>
      <c r="D1041" s="637"/>
      <c r="E1041" s="637"/>
      <c r="F1041" s="638"/>
      <c r="G1041" s="245">
        <f>SUM(G1036:G1040)</f>
        <v>22.840999999999998</v>
      </c>
    </row>
    <row r="1042" spans="2:10" x14ac:dyDescent="0.25">
      <c r="B1042" s="246"/>
      <c r="C1042" s="246"/>
      <c r="D1042" s="80"/>
      <c r="E1042" s="247"/>
      <c r="F1042" s="246"/>
      <c r="G1042" s="248"/>
    </row>
    <row r="1043" spans="2:10" ht="39" customHeight="1" x14ac:dyDescent="0.25">
      <c r="B1043" s="165" t="s">
        <v>526</v>
      </c>
      <c r="C1043" s="622" t="s">
        <v>2052</v>
      </c>
      <c r="D1043" s="622"/>
      <c r="E1043" s="622"/>
      <c r="F1043" s="622"/>
      <c r="G1043" s="622"/>
    </row>
    <row r="1044" spans="2:10" x14ac:dyDescent="0.25">
      <c r="B1044" s="113" t="s">
        <v>84</v>
      </c>
      <c r="C1044" s="236" t="s">
        <v>85</v>
      </c>
      <c r="D1044" s="113" t="s">
        <v>31</v>
      </c>
      <c r="E1044" s="237" t="s">
        <v>86</v>
      </c>
      <c r="F1044" s="238" t="s">
        <v>87</v>
      </c>
      <c r="G1044" s="239" t="s">
        <v>88</v>
      </c>
    </row>
    <row r="1045" spans="2:10" s="19" customFormat="1" ht="30.75" customHeight="1" x14ac:dyDescent="0.25">
      <c r="B1045" s="583" t="s">
        <v>136</v>
      </c>
      <c r="C1045" s="564" t="s">
        <v>2022</v>
      </c>
      <c r="D1045" s="49" t="s">
        <v>38</v>
      </c>
      <c r="E1045" s="241">
        <v>1</v>
      </c>
      <c r="F1045" s="470">
        <f>(183.76+165.5+110)/3</f>
        <v>153.08666666666667</v>
      </c>
      <c r="G1045" s="309">
        <f>F1045*E1045</f>
        <v>153.08666666666667</v>
      </c>
      <c r="H1045" s="311"/>
      <c r="I1045" s="311"/>
      <c r="J1045" s="450"/>
    </row>
    <row r="1046" spans="2:10" s="19" customFormat="1" x14ac:dyDescent="0.25">
      <c r="B1046" s="583" t="s">
        <v>136</v>
      </c>
      <c r="C1046" s="312" t="s">
        <v>748</v>
      </c>
      <c r="D1046" s="109" t="s">
        <v>38</v>
      </c>
      <c r="E1046" s="313">
        <v>2</v>
      </c>
      <c r="F1046" s="470">
        <f>(13.49+12.94+14.16)/3</f>
        <v>13.530000000000001</v>
      </c>
      <c r="G1046" s="309">
        <f t="shared" ref="G1046:G1048" si="100">F1046*E1046</f>
        <v>27.060000000000002</v>
      </c>
      <c r="H1046" s="311"/>
      <c r="I1046" s="311"/>
      <c r="J1046" s="450"/>
    </row>
    <row r="1047" spans="2:10" x14ac:dyDescent="0.25">
      <c r="B1047" s="599" t="s">
        <v>811</v>
      </c>
      <c r="C1047" s="312" t="s">
        <v>594</v>
      </c>
      <c r="D1047" s="102" t="s">
        <v>91</v>
      </c>
      <c r="E1047" s="382">
        <v>0.5</v>
      </c>
      <c r="F1047" s="292">
        <v>17.79</v>
      </c>
      <c r="G1047" s="309">
        <f t="shared" si="100"/>
        <v>8.8949999999999996</v>
      </c>
    </row>
    <row r="1048" spans="2:10" x14ac:dyDescent="0.25">
      <c r="B1048" s="583" t="s">
        <v>799</v>
      </c>
      <c r="C1048" s="240" t="s">
        <v>92</v>
      </c>
      <c r="D1048" s="48" t="s">
        <v>91</v>
      </c>
      <c r="E1048" s="382">
        <v>0.5</v>
      </c>
      <c r="F1048" s="242">
        <v>23.23</v>
      </c>
      <c r="G1048" s="309">
        <f t="shared" si="100"/>
        <v>11.615</v>
      </c>
    </row>
    <row r="1049" spans="2:10" x14ac:dyDescent="0.25">
      <c r="B1049" s="636" t="s">
        <v>34</v>
      </c>
      <c r="C1049" s="637"/>
      <c r="D1049" s="637"/>
      <c r="E1049" s="637"/>
      <c r="F1049" s="638"/>
      <c r="G1049" s="245">
        <f>SUM(G1045:G1048)</f>
        <v>200.65666666666669</v>
      </c>
    </row>
    <row r="1050" spans="2:10" x14ac:dyDescent="0.25">
      <c r="B1050" s="246"/>
      <c r="C1050" s="246"/>
      <c r="D1050" s="80"/>
      <c r="E1050" s="247"/>
      <c r="F1050" s="246"/>
      <c r="G1050" s="248"/>
    </row>
    <row r="1051" spans="2:10" ht="38.25" customHeight="1" x14ac:dyDescent="0.25">
      <c r="B1051" s="165" t="s">
        <v>527</v>
      </c>
      <c r="C1051" s="622" t="s">
        <v>528</v>
      </c>
      <c r="D1051" s="622"/>
      <c r="E1051" s="622"/>
      <c r="F1051" s="622"/>
      <c r="G1051" s="622"/>
    </row>
    <row r="1052" spans="2:10" x14ac:dyDescent="0.25">
      <c r="B1052" s="113" t="s">
        <v>84</v>
      </c>
      <c r="C1052" s="236" t="s">
        <v>85</v>
      </c>
      <c r="D1052" s="113" t="s">
        <v>31</v>
      </c>
      <c r="E1052" s="237" t="s">
        <v>86</v>
      </c>
      <c r="F1052" s="238" t="s">
        <v>87</v>
      </c>
      <c r="G1052" s="239" t="s">
        <v>88</v>
      </c>
    </row>
    <row r="1053" spans="2:10" s="19" customFormat="1" x14ac:dyDescent="0.25">
      <c r="B1053" s="583" t="s">
        <v>136</v>
      </c>
      <c r="C1053" s="240" t="s">
        <v>749</v>
      </c>
      <c r="D1053" s="49" t="s">
        <v>38</v>
      </c>
      <c r="E1053" s="241">
        <v>1</v>
      </c>
      <c r="F1053" s="242">
        <f>(108.8+104.06+115.3)/3</f>
        <v>109.38666666666667</v>
      </c>
      <c r="G1053" s="309">
        <f>F1053*E1053</f>
        <v>109.38666666666667</v>
      </c>
      <c r="H1053" s="311"/>
      <c r="I1053" s="311"/>
      <c r="J1053" s="450"/>
    </row>
    <row r="1054" spans="2:10" s="19" customFormat="1" x14ac:dyDescent="0.25">
      <c r="B1054" s="583" t="s">
        <v>136</v>
      </c>
      <c r="C1054" s="312" t="s">
        <v>748</v>
      </c>
      <c r="D1054" s="109" t="s">
        <v>38</v>
      </c>
      <c r="E1054" s="313">
        <v>2</v>
      </c>
      <c r="F1054" s="292">
        <v>13.53</v>
      </c>
      <c r="G1054" s="309">
        <f t="shared" ref="G1054:G1056" si="101">F1054*E1054</f>
        <v>27.06</v>
      </c>
      <c r="H1054" s="311"/>
      <c r="I1054" s="311"/>
      <c r="J1054" s="450"/>
    </row>
    <row r="1055" spans="2:10" x14ac:dyDescent="0.25">
      <c r="B1055" s="599" t="s">
        <v>811</v>
      </c>
      <c r="C1055" s="312" t="s">
        <v>594</v>
      </c>
      <c r="D1055" s="102" t="s">
        <v>91</v>
      </c>
      <c r="E1055" s="382">
        <v>0.5</v>
      </c>
      <c r="F1055" s="292">
        <v>17.79</v>
      </c>
      <c r="G1055" s="243">
        <f t="shared" si="101"/>
        <v>8.8949999999999996</v>
      </c>
    </row>
    <row r="1056" spans="2:10" x14ac:dyDescent="0.25">
      <c r="B1056" s="583" t="s">
        <v>799</v>
      </c>
      <c r="C1056" s="240" t="s">
        <v>92</v>
      </c>
      <c r="D1056" s="48" t="s">
        <v>91</v>
      </c>
      <c r="E1056" s="382">
        <v>0.5</v>
      </c>
      <c r="F1056" s="242">
        <v>23.23</v>
      </c>
      <c r="G1056" s="243">
        <f t="shared" si="101"/>
        <v>11.615</v>
      </c>
    </row>
    <row r="1057" spans="2:10" x14ac:dyDescent="0.25">
      <c r="B1057" s="636" t="s">
        <v>34</v>
      </c>
      <c r="C1057" s="637"/>
      <c r="D1057" s="637"/>
      <c r="E1057" s="637"/>
      <c r="F1057" s="638"/>
      <c r="G1057" s="245">
        <f>SUM(G1053:G1056)</f>
        <v>156.95666666666668</v>
      </c>
    </row>
    <row r="1058" spans="2:10" x14ac:dyDescent="0.25">
      <c r="B1058" s="246"/>
      <c r="C1058" s="246"/>
      <c r="D1058" s="80"/>
      <c r="E1058" s="247"/>
      <c r="F1058" s="246"/>
      <c r="G1058" s="248"/>
    </row>
    <row r="1059" spans="2:10" ht="39.75" customHeight="1" x14ac:dyDescent="0.25">
      <c r="B1059" s="165" t="s">
        <v>531</v>
      </c>
      <c r="C1059" s="622" t="s">
        <v>532</v>
      </c>
      <c r="D1059" s="622"/>
      <c r="E1059" s="622"/>
      <c r="F1059" s="622"/>
      <c r="G1059" s="622"/>
    </row>
    <row r="1060" spans="2:10" x14ac:dyDescent="0.25">
      <c r="B1060" s="113" t="s">
        <v>84</v>
      </c>
      <c r="C1060" s="236" t="s">
        <v>85</v>
      </c>
      <c r="D1060" s="113" t="s">
        <v>31</v>
      </c>
      <c r="E1060" s="237" t="s">
        <v>86</v>
      </c>
      <c r="F1060" s="238" t="s">
        <v>87</v>
      </c>
      <c r="G1060" s="239" t="s">
        <v>88</v>
      </c>
    </row>
    <row r="1061" spans="2:10" s="19" customFormat="1" x14ac:dyDescent="0.25">
      <c r="B1061" s="583" t="s">
        <v>136</v>
      </c>
      <c r="C1061" s="240" t="s">
        <v>609</v>
      </c>
      <c r="D1061" s="49" t="s">
        <v>38</v>
      </c>
      <c r="E1061" s="241">
        <v>1</v>
      </c>
      <c r="F1061" s="242">
        <f>(224.49+329+486)/3</f>
        <v>346.49666666666667</v>
      </c>
      <c r="G1061" s="309">
        <f>F1061*E1061</f>
        <v>346.49666666666667</v>
      </c>
      <c r="H1061" s="311"/>
      <c r="I1061" s="311"/>
      <c r="J1061" s="450"/>
    </row>
    <row r="1062" spans="2:10" s="19" customFormat="1" ht="31.5" x14ac:dyDescent="0.25">
      <c r="B1062" s="573" t="s">
        <v>2023</v>
      </c>
      <c r="C1062" s="564" t="s">
        <v>2024</v>
      </c>
      <c r="D1062" s="109" t="s">
        <v>38</v>
      </c>
      <c r="E1062" s="313">
        <v>1</v>
      </c>
      <c r="F1062" s="292">
        <v>337.18</v>
      </c>
      <c r="G1062" s="309">
        <f t="shared" ref="G1062:G1064" si="102">F1062*E1062</f>
        <v>337.18</v>
      </c>
      <c r="H1062" s="311"/>
      <c r="I1062" s="311"/>
      <c r="J1062" s="450"/>
    </row>
    <row r="1063" spans="2:10" x14ac:dyDescent="0.25">
      <c r="B1063" s="599" t="s">
        <v>811</v>
      </c>
      <c r="C1063" s="312" t="s">
        <v>594</v>
      </c>
      <c r="D1063" s="102" t="s">
        <v>91</v>
      </c>
      <c r="E1063" s="382">
        <v>1.2</v>
      </c>
      <c r="F1063" s="292">
        <v>17.79</v>
      </c>
      <c r="G1063" s="309">
        <f t="shared" si="102"/>
        <v>21.347999999999999</v>
      </c>
    </row>
    <row r="1064" spans="2:10" x14ac:dyDescent="0.25">
      <c r="B1064" s="583" t="s">
        <v>799</v>
      </c>
      <c r="C1064" s="240" t="s">
        <v>92</v>
      </c>
      <c r="D1064" s="48" t="s">
        <v>91</v>
      </c>
      <c r="E1064" s="382">
        <v>1.2</v>
      </c>
      <c r="F1064" s="242">
        <v>23.23</v>
      </c>
      <c r="G1064" s="309">
        <f t="shared" si="102"/>
        <v>27.876000000000001</v>
      </c>
    </row>
    <row r="1065" spans="2:10" x14ac:dyDescent="0.25">
      <c r="B1065" s="636" t="s">
        <v>34</v>
      </c>
      <c r="C1065" s="637"/>
      <c r="D1065" s="637"/>
      <c r="E1065" s="637"/>
      <c r="F1065" s="638"/>
      <c r="G1065" s="245">
        <f>SUM(G1061:G1064)</f>
        <v>732.90066666666667</v>
      </c>
    </row>
    <row r="1066" spans="2:10" x14ac:dyDescent="0.25">
      <c r="B1066" s="246"/>
      <c r="C1066" s="246"/>
      <c r="D1066" s="80"/>
      <c r="E1066" s="247"/>
      <c r="F1066" s="246"/>
      <c r="G1066" s="248"/>
    </row>
    <row r="1067" spans="2:10" ht="36.75" customHeight="1" x14ac:dyDescent="0.25">
      <c r="B1067" s="165" t="s">
        <v>533</v>
      </c>
      <c r="C1067" s="622" t="s">
        <v>534</v>
      </c>
      <c r="D1067" s="622"/>
      <c r="E1067" s="622"/>
      <c r="F1067" s="622"/>
      <c r="G1067" s="622"/>
    </row>
    <row r="1068" spans="2:10" x14ac:dyDescent="0.25">
      <c r="B1068" s="113" t="s">
        <v>84</v>
      </c>
      <c r="C1068" s="236" t="s">
        <v>85</v>
      </c>
      <c r="D1068" s="113" t="s">
        <v>31</v>
      </c>
      <c r="E1068" s="237" t="s">
        <v>86</v>
      </c>
      <c r="F1068" s="238" t="s">
        <v>87</v>
      </c>
      <c r="G1068" s="239" t="s">
        <v>88</v>
      </c>
    </row>
    <row r="1069" spans="2:10" x14ac:dyDescent="0.25">
      <c r="B1069" s="583" t="s">
        <v>819</v>
      </c>
      <c r="C1069" s="240" t="s">
        <v>610</v>
      </c>
      <c r="D1069" s="48" t="s">
        <v>38</v>
      </c>
      <c r="E1069" s="382">
        <v>1</v>
      </c>
      <c r="F1069" s="242">
        <v>15.05</v>
      </c>
      <c r="G1069" s="243">
        <f>F1069*E1069</f>
        <v>15.05</v>
      </c>
    </row>
    <row r="1070" spans="2:10" s="19" customFormat="1" x14ac:dyDescent="0.25">
      <c r="B1070" s="583" t="s">
        <v>136</v>
      </c>
      <c r="C1070" s="312" t="s">
        <v>750</v>
      </c>
      <c r="D1070" s="109" t="s">
        <v>38</v>
      </c>
      <c r="E1070" s="313">
        <v>0.66666666666666663</v>
      </c>
      <c r="F1070" s="292">
        <f>(4.5+4.89+3.89)/3</f>
        <v>4.4266666666666667</v>
      </c>
      <c r="G1070" s="309">
        <f t="shared" ref="G1070:G1077" si="103">F1070*E1070</f>
        <v>2.951111111111111</v>
      </c>
      <c r="H1070" s="311"/>
      <c r="I1070" s="311"/>
      <c r="J1070" s="450"/>
    </row>
    <row r="1071" spans="2:10" s="19" customFormat="1" x14ac:dyDescent="0.25">
      <c r="B1071" s="583" t="s">
        <v>136</v>
      </c>
      <c r="C1071" s="312" t="s">
        <v>751</v>
      </c>
      <c r="D1071" s="109" t="s">
        <v>73</v>
      </c>
      <c r="E1071" s="313">
        <v>0.33333333333333331</v>
      </c>
      <c r="F1071" s="292">
        <f>(4.96+4.46+9.9)/3</f>
        <v>6.44</v>
      </c>
      <c r="G1071" s="309">
        <f t="shared" si="103"/>
        <v>2.1466666666666665</v>
      </c>
      <c r="H1071" s="311"/>
      <c r="I1071" s="311"/>
      <c r="J1071" s="450"/>
    </row>
    <row r="1072" spans="2:10" s="19" customFormat="1" ht="31.5" x14ac:dyDescent="0.25">
      <c r="B1072" s="599" t="s">
        <v>816</v>
      </c>
      <c r="C1072" s="312" t="s">
        <v>752</v>
      </c>
      <c r="D1072" s="109" t="s">
        <v>38</v>
      </c>
      <c r="E1072" s="313">
        <v>0.66666666666666663</v>
      </c>
      <c r="F1072" s="292">
        <v>0.25</v>
      </c>
      <c r="G1072" s="309">
        <f t="shared" si="103"/>
        <v>0.16666666666666666</v>
      </c>
      <c r="H1072" s="311"/>
      <c r="I1072" s="311"/>
      <c r="J1072" s="450"/>
    </row>
    <row r="1073" spans="2:10" s="19" customFormat="1" x14ac:dyDescent="0.25">
      <c r="B1073" s="599" t="s">
        <v>817</v>
      </c>
      <c r="C1073" s="312" t="s">
        <v>753</v>
      </c>
      <c r="D1073" s="109" t="s">
        <v>38</v>
      </c>
      <c r="E1073" s="313">
        <v>5.333333333333333</v>
      </c>
      <c r="F1073" s="292">
        <v>0.34</v>
      </c>
      <c r="G1073" s="309">
        <f t="shared" si="103"/>
        <v>1.8133333333333335</v>
      </c>
      <c r="H1073" s="311"/>
      <c r="I1073" s="311"/>
      <c r="J1073" s="450"/>
    </row>
    <row r="1074" spans="2:10" s="19" customFormat="1" x14ac:dyDescent="0.25">
      <c r="B1074" s="599" t="s">
        <v>820</v>
      </c>
      <c r="C1074" s="312" t="s">
        <v>611</v>
      </c>
      <c r="D1074" s="109" t="s">
        <v>38</v>
      </c>
      <c r="E1074" s="313">
        <v>0.66666666666666663</v>
      </c>
      <c r="F1074" s="292">
        <v>12.24</v>
      </c>
      <c r="G1074" s="309">
        <f t="shared" si="103"/>
        <v>8.16</v>
      </c>
      <c r="H1074" s="311"/>
      <c r="I1074" s="311"/>
      <c r="J1074" s="450"/>
    </row>
    <row r="1075" spans="2:10" s="19" customFormat="1" x14ac:dyDescent="0.25">
      <c r="B1075" s="583" t="s">
        <v>136</v>
      </c>
      <c r="C1075" s="312" t="s">
        <v>754</v>
      </c>
      <c r="D1075" s="109" t="s">
        <v>38</v>
      </c>
      <c r="E1075" s="313">
        <v>0.33333333333333331</v>
      </c>
      <c r="F1075" s="292">
        <f>(6.49+6.5+5.49)/3</f>
        <v>6.16</v>
      </c>
      <c r="G1075" s="309">
        <f t="shared" si="103"/>
        <v>2.0533333333333332</v>
      </c>
      <c r="H1075" s="311"/>
      <c r="I1075" s="311"/>
      <c r="J1075" s="450"/>
    </row>
    <row r="1076" spans="2:10" x14ac:dyDescent="0.25">
      <c r="B1076" s="599" t="s">
        <v>811</v>
      </c>
      <c r="C1076" s="312" t="s">
        <v>594</v>
      </c>
      <c r="D1076" s="102" t="s">
        <v>91</v>
      </c>
      <c r="E1076" s="382">
        <v>0.25</v>
      </c>
      <c r="F1076" s="292">
        <v>17.79</v>
      </c>
      <c r="G1076" s="243">
        <f t="shared" si="103"/>
        <v>4.4474999999999998</v>
      </c>
    </row>
    <row r="1077" spans="2:10" x14ac:dyDescent="0.25">
      <c r="B1077" s="583" t="s">
        <v>799</v>
      </c>
      <c r="C1077" s="240" t="s">
        <v>92</v>
      </c>
      <c r="D1077" s="48" t="s">
        <v>91</v>
      </c>
      <c r="E1077" s="382">
        <v>0.25</v>
      </c>
      <c r="F1077" s="242">
        <v>23.23</v>
      </c>
      <c r="G1077" s="243">
        <f t="shared" si="103"/>
        <v>5.8075000000000001</v>
      </c>
    </row>
    <row r="1078" spans="2:10" x14ac:dyDescent="0.25">
      <c r="B1078" s="636" t="s">
        <v>34</v>
      </c>
      <c r="C1078" s="637"/>
      <c r="D1078" s="637"/>
      <c r="E1078" s="637"/>
      <c r="F1078" s="638"/>
      <c r="G1078" s="245">
        <f>SUM(G1069:G1077)</f>
        <v>42.596111111111107</v>
      </c>
    </row>
    <row r="1079" spans="2:10" x14ac:dyDescent="0.25">
      <c r="B1079" s="246"/>
      <c r="C1079" s="246"/>
      <c r="D1079" s="80"/>
      <c r="E1079" s="247"/>
      <c r="F1079" s="246"/>
      <c r="G1079" s="248"/>
    </row>
    <row r="1080" spans="2:10" ht="37.5" customHeight="1" x14ac:dyDescent="0.25">
      <c r="B1080" s="165" t="s">
        <v>536</v>
      </c>
      <c r="C1080" s="622" t="s">
        <v>612</v>
      </c>
      <c r="D1080" s="622"/>
      <c r="E1080" s="622"/>
      <c r="F1080" s="622"/>
      <c r="G1080" s="622"/>
    </row>
    <row r="1081" spans="2:10" x14ac:dyDescent="0.25">
      <c r="B1081" s="113" t="s">
        <v>84</v>
      </c>
      <c r="C1081" s="236" t="s">
        <v>85</v>
      </c>
      <c r="D1081" s="113" t="s">
        <v>31</v>
      </c>
      <c r="E1081" s="237" t="s">
        <v>86</v>
      </c>
      <c r="F1081" s="238" t="s">
        <v>87</v>
      </c>
      <c r="G1081" s="239" t="s">
        <v>88</v>
      </c>
    </row>
    <row r="1082" spans="2:10" ht="31.5" x14ac:dyDescent="0.25">
      <c r="B1082" s="583" t="s">
        <v>818</v>
      </c>
      <c r="C1082" s="240" t="s">
        <v>613</v>
      </c>
      <c r="D1082" s="48" t="s">
        <v>38</v>
      </c>
      <c r="E1082" s="382">
        <v>1</v>
      </c>
      <c r="F1082" s="242">
        <v>584.45000000000005</v>
      </c>
      <c r="G1082" s="243">
        <f>F1082*E1082</f>
        <v>584.45000000000005</v>
      </c>
    </row>
    <row r="1083" spans="2:10" ht="31.5" x14ac:dyDescent="0.25">
      <c r="B1083" s="599" t="s">
        <v>814</v>
      </c>
      <c r="C1083" s="312" t="s">
        <v>614</v>
      </c>
      <c r="D1083" s="102" t="s">
        <v>38</v>
      </c>
      <c r="E1083" s="383">
        <v>4</v>
      </c>
      <c r="F1083" s="292">
        <v>1.59</v>
      </c>
      <c r="G1083" s="243">
        <f t="shared" ref="G1083:G1085" si="104">F1083*E1083</f>
        <v>6.36</v>
      </c>
    </row>
    <row r="1084" spans="2:10" x14ac:dyDescent="0.25">
      <c r="B1084" s="599" t="s">
        <v>811</v>
      </c>
      <c r="C1084" s="312" t="s">
        <v>594</v>
      </c>
      <c r="D1084" s="102" t="s">
        <v>91</v>
      </c>
      <c r="E1084" s="382">
        <v>2</v>
      </c>
      <c r="F1084" s="292">
        <v>17.79</v>
      </c>
      <c r="G1084" s="243">
        <f t="shared" si="104"/>
        <v>35.58</v>
      </c>
    </row>
    <row r="1085" spans="2:10" x14ac:dyDescent="0.25">
      <c r="B1085" s="583" t="s">
        <v>799</v>
      </c>
      <c r="C1085" s="240" t="s">
        <v>92</v>
      </c>
      <c r="D1085" s="48" t="s">
        <v>91</v>
      </c>
      <c r="E1085" s="382">
        <v>2</v>
      </c>
      <c r="F1085" s="242">
        <v>23.23</v>
      </c>
      <c r="G1085" s="243">
        <f t="shared" si="104"/>
        <v>46.46</v>
      </c>
    </row>
    <row r="1086" spans="2:10" x14ac:dyDescent="0.25">
      <c r="B1086" s="636" t="s">
        <v>34</v>
      </c>
      <c r="C1086" s="637"/>
      <c r="D1086" s="637"/>
      <c r="E1086" s="637"/>
      <c r="F1086" s="638"/>
      <c r="G1086" s="245">
        <f>SUM(G1082:G1085)</f>
        <v>672.85000000000014</v>
      </c>
    </row>
    <row r="1087" spans="2:10" x14ac:dyDescent="0.25">
      <c r="B1087" s="246"/>
      <c r="C1087" s="246"/>
      <c r="D1087" s="80"/>
      <c r="E1087" s="247"/>
      <c r="F1087" s="246"/>
      <c r="G1087" s="248"/>
    </row>
    <row r="1088" spans="2:10" ht="33.75" customHeight="1" x14ac:dyDescent="0.25">
      <c r="B1088" s="165" t="s">
        <v>541</v>
      </c>
      <c r="C1088" s="622" t="s">
        <v>542</v>
      </c>
      <c r="D1088" s="622"/>
      <c r="E1088" s="622"/>
      <c r="F1088" s="622"/>
      <c r="G1088" s="622"/>
    </row>
    <row r="1089" spans="2:10" x14ac:dyDescent="0.25">
      <c r="B1089" s="113" t="s">
        <v>84</v>
      </c>
      <c r="C1089" s="236" t="s">
        <v>85</v>
      </c>
      <c r="D1089" s="113" t="s">
        <v>31</v>
      </c>
      <c r="E1089" s="237" t="s">
        <v>86</v>
      </c>
      <c r="F1089" s="238" t="s">
        <v>87</v>
      </c>
      <c r="G1089" s="239" t="s">
        <v>88</v>
      </c>
    </row>
    <row r="1090" spans="2:10" s="19" customFormat="1" x14ac:dyDescent="0.25">
      <c r="B1090" s="583" t="s">
        <v>136</v>
      </c>
      <c r="C1090" s="240" t="s">
        <v>615</v>
      </c>
      <c r="D1090" s="49" t="s">
        <v>38</v>
      </c>
      <c r="E1090" s="241">
        <v>1</v>
      </c>
      <c r="F1090" s="242">
        <f>(6.3+6.68+4.7)/3</f>
        <v>5.8933333333333335</v>
      </c>
      <c r="G1090" s="309">
        <f>F1090*E1090</f>
        <v>5.8933333333333335</v>
      </c>
      <c r="H1090" s="311"/>
      <c r="I1090" s="311"/>
      <c r="J1090" s="450"/>
    </row>
    <row r="1091" spans="2:10" x14ac:dyDescent="0.25">
      <c r="B1091" s="599" t="s">
        <v>816</v>
      </c>
      <c r="C1091" s="312" t="s">
        <v>607</v>
      </c>
      <c r="D1091" s="102" t="s">
        <v>38</v>
      </c>
      <c r="E1091" s="383">
        <v>2</v>
      </c>
      <c r="F1091" s="292">
        <v>0.25</v>
      </c>
      <c r="G1091" s="309">
        <f t="shared" ref="G1091:G1094" si="105">F1091*E1091</f>
        <v>0.5</v>
      </c>
    </row>
    <row r="1092" spans="2:10" x14ac:dyDescent="0.25">
      <c r="B1092" s="599" t="s">
        <v>817</v>
      </c>
      <c r="C1092" s="312" t="s">
        <v>608</v>
      </c>
      <c r="D1092" s="102" t="s">
        <v>38</v>
      </c>
      <c r="E1092" s="383">
        <v>2</v>
      </c>
      <c r="F1092" s="292">
        <v>0.34</v>
      </c>
      <c r="G1092" s="309">
        <f t="shared" si="105"/>
        <v>0.68</v>
      </c>
    </row>
    <row r="1093" spans="2:10" x14ac:dyDescent="0.25">
      <c r="B1093" s="599" t="s">
        <v>811</v>
      </c>
      <c r="C1093" s="312" t="s">
        <v>594</v>
      </c>
      <c r="D1093" s="102" t="s">
        <v>91</v>
      </c>
      <c r="E1093" s="382">
        <v>7.0000000000000007E-2</v>
      </c>
      <c r="F1093" s="292">
        <v>17.79</v>
      </c>
      <c r="G1093" s="309">
        <f t="shared" si="105"/>
        <v>1.2453000000000001</v>
      </c>
    </row>
    <row r="1094" spans="2:10" x14ac:dyDescent="0.25">
      <c r="B1094" s="583" t="s">
        <v>799</v>
      </c>
      <c r="C1094" s="240" t="s">
        <v>92</v>
      </c>
      <c r="D1094" s="48" t="s">
        <v>91</v>
      </c>
      <c r="E1094" s="382">
        <v>7.0000000000000007E-2</v>
      </c>
      <c r="F1094" s="242">
        <v>23.23</v>
      </c>
      <c r="G1094" s="309">
        <f t="shared" si="105"/>
        <v>1.6261000000000001</v>
      </c>
    </row>
    <row r="1095" spans="2:10" x14ac:dyDescent="0.25">
      <c r="B1095" s="636" t="s">
        <v>34</v>
      </c>
      <c r="C1095" s="637"/>
      <c r="D1095" s="637"/>
      <c r="E1095" s="637"/>
      <c r="F1095" s="638"/>
      <c r="G1095" s="245">
        <f>SUM(G1090:G1094)</f>
        <v>9.9447333333333319</v>
      </c>
    </row>
    <row r="1096" spans="2:10" x14ac:dyDescent="0.25">
      <c r="B1096" s="246"/>
      <c r="C1096" s="246"/>
      <c r="D1096" s="80"/>
      <c r="E1096" s="247"/>
      <c r="F1096" s="246"/>
      <c r="G1096" s="248"/>
    </row>
    <row r="1097" spans="2:10" ht="36" customHeight="1" x14ac:dyDescent="0.25">
      <c r="B1097" s="165" t="s">
        <v>543</v>
      </c>
      <c r="C1097" s="650" t="s">
        <v>544</v>
      </c>
      <c r="D1097" s="651"/>
      <c r="E1097" s="651"/>
      <c r="F1097" s="651"/>
      <c r="G1097" s="652"/>
    </row>
    <row r="1098" spans="2:10" x14ac:dyDescent="0.25">
      <c r="B1098" s="113" t="s">
        <v>84</v>
      </c>
      <c r="C1098" s="236" t="s">
        <v>85</v>
      </c>
      <c r="D1098" s="113" t="s">
        <v>31</v>
      </c>
      <c r="E1098" s="237" t="s">
        <v>86</v>
      </c>
      <c r="F1098" s="238" t="s">
        <v>87</v>
      </c>
      <c r="G1098" s="239" t="s">
        <v>88</v>
      </c>
    </row>
    <row r="1099" spans="2:10" s="19" customFormat="1" x14ac:dyDescent="0.25">
      <c r="B1099" s="583" t="s">
        <v>136</v>
      </c>
      <c r="C1099" s="240" t="s">
        <v>755</v>
      </c>
      <c r="D1099" s="49" t="s">
        <v>38</v>
      </c>
      <c r="E1099" s="241">
        <v>1</v>
      </c>
      <c r="F1099" s="470">
        <f>(12.9+9.53+8.29)/3</f>
        <v>10.24</v>
      </c>
      <c r="G1099" s="309">
        <f>F1099*E1099</f>
        <v>10.24</v>
      </c>
      <c r="H1099" s="311"/>
      <c r="I1099" s="311"/>
      <c r="J1099" s="450"/>
    </row>
    <row r="1100" spans="2:10" x14ac:dyDescent="0.25">
      <c r="B1100" s="599" t="s">
        <v>816</v>
      </c>
      <c r="C1100" s="312" t="s">
        <v>607</v>
      </c>
      <c r="D1100" s="102" t="s">
        <v>38</v>
      </c>
      <c r="E1100" s="383">
        <v>2</v>
      </c>
      <c r="F1100" s="292">
        <v>0.25</v>
      </c>
      <c r="G1100" s="309">
        <f t="shared" ref="G1100:G1103" si="106">F1100*E1100</f>
        <v>0.5</v>
      </c>
    </row>
    <row r="1101" spans="2:10" x14ac:dyDescent="0.25">
      <c r="B1101" s="599" t="s">
        <v>817</v>
      </c>
      <c r="C1101" s="312" t="s">
        <v>608</v>
      </c>
      <c r="D1101" s="102" t="s">
        <v>38</v>
      </c>
      <c r="E1101" s="383">
        <v>2</v>
      </c>
      <c r="F1101" s="292">
        <v>0.34</v>
      </c>
      <c r="G1101" s="309">
        <f t="shared" si="106"/>
        <v>0.68</v>
      </c>
    </row>
    <row r="1102" spans="2:10" x14ac:dyDescent="0.25">
      <c r="B1102" s="599" t="s">
        <v>811</v>
      </c>
      <c r="C1102" s="312" t="s">
        <v>594</v>
      </c>
      <c r="D1102" s="102" t="s">
        <v>91</v>
      </c>
      <c r="E1102" s="382">
        <v>0.05</v>
      </c>
      <c r="F1102" s="292">
        <v>17.79</v>
      </c>
      <c r="G1102" s="309">
        <f t="shared" si="106"/>
        <v>0.88949999999999996</v>
      </c>
    </row>
    <row r="1103" spans="2:10" x14ac:dyDescent="0.25">
      <c r="B1103" s="583" t="s">
        <v>799</v>
      </c>
      <c r="C1103" s="240" t="s">
        <v>92</v>
      </c>
      <c r="D1103" s="48" t="s">
        <v>91</v>
      </c>
      <c r="E1103" s="382">
        <v>0.05</v>
      </c>
      <c r="F1103" s="242">
        <v>23.23</v>
      </c>
      <c r="G1103" s="309">
        <f t="shared" si="106"/>
        <v>1.1615</v>
      </c>
    </row>
    <row r="1104" spans="2:10" x14ac:dyDescent="0.25">
      <c r="B1104" s="636" t="s">
        <v>34</v>
      </c>
      <c r="C1104" s="637"/>
      <c r="D1104" s="637"/>
      <c r="E1104" s="637"/>
      <c r="F1104" s="638"/>
      <c r="G1104" s="245">
        <f>SUM(G1099:G1103)</f>
        <v>13.471</v>
      </c>
    </row>
    <row r="1105" spans="2:10" x14ac:dyDescent="0.25">
      <c r="B1105" s="246"/>
      <c r="C1105" s="246"/>
      <c r="D1105" s="80"/>
      <c r="E1105" s="247"/>
      <c r="F1105" s="246"/>
      <c r="G1105" s="248"/>
    </row>
    <row r="1106" spans="2:10" ht="34.5" customHeight="1" x14ac:dyDescent="0.25">
      <c r="B1106" s="165" t="s">
        <v>553</v>
      </c>
      <c r="C1106" s="650" t="s">
        <v>554</v>
      </c>
      <c r="D1106" s="651"/>
      <c r="E1106" s="651"/>
      <c r="F1106" s="651"/>
      <c r="G1106" s="652"/>
    </row>
    <row r="1107" spans="2:10" x14ac:dyDescent="0.25">
      <c r="B1107" s="113" t="s">
        <v>84</v>
      </c>
      <c r="C1107" s="236" t="s">
        <v>85</v>
      </c>
      <c r="D1107" s="113" t="s">
        <v>31</v>
      </c>
      <c r="E1107" s="237" t="s">
        <v>86</v>
      </c>
      <c r="F1107" s="238" t="s">
        <v>87</v>
      </c>
      <c r="G1107" s="239" t="s">
        <v>88</v>
      </c>
    </row>
    <row r="1108" spans="2:10" s="19" customFormat="1" x14ac:dyDescent="0.25">
      <c r="B1108" s="583" t="s">
        <v>136</v>
      </c>
      <c r="C1108" s="240" t="s">
        <v>616</v>
      </c>
      <c r="D1108" s="49" t="s">
        <v>38</v>
      </c>
      <c r="E1108" s="241">
        <v>1</v>
      </c>
      <c r="F1108" s="242">
        <f>(325.98+277.59+399)/3</f>
        <v>334.19</v>
      </c>
      <c r="G1108" s="309">
        <f>F1108*E1108</f>
        <v>334.19</v>
      </c>
      <c r="H1108" s="311"/>
      <c r="I1108" s="311"/>
      <c r="J1108" s="450"/>
    </row>
    <row r="1109" spans="2:10" x14ac:dyDescent="0.25">
      <c r="B1109" s="599" t="s">
        <v>815</v>
      </c>
      <c r="C1109" s="312" t="s">
        <v>617</v>
      </c>
      <c r="D1109" s="102" t="s">
        <v>38</v>
      </c>
      <c r="E1109" s="383">
        <v>2</v>
      </c>
      <c r="F1109" s="292">
        <v>8</v>
      </c>
      <c r="G1109" s="309">
        <f t="shared" ref="G1109:G1112" si="107">F1109*E1109</f>
        <v>16</v>
      </c>
    </row>
    <row r="1110" spans="2:10" x14ac:dyDescent="0.25">
      <c r="B1110" s="583" t="s">
        <v>812</v>
      </c>
      <c r="C1110" s="240" t="s">
        <v>618</v>
      </c>
      <c r="D1110" s="48" t="s">
        <v>38</v>
      </c>
      <c r="E1110" s="382">
        <v>2</v>
      </c>
      <c r="F1110" s="242">
        <v>22.23</v>
      </c>
      <c r="G1110" s="309">
        <f t="shared" si="107"/>
        <v>44.46</v>
      </c>
    </row>
    <row r="1111" spans="2:10" x14ac:dyDescent="0.25">
      <c r="B1111" s="599" t="s">
        <v>811</v>
      </c>
      <c r="C1111" s="312" t="s">
        <v>594</v>
      </c>
      <c r="D1111" s="102" t="s">
        <v>91</v>
      </c>
      <c r="E1111" s="382">
        <v>0.85</v>
      </c>
      <c r="F1111" s="292">
        <v>17.79</v>
      </c>
      <c r="G1111" s="309">
        <f t="shared" si="107"/>
        <v>15.121499999999999</v>
      </c>
    </row>
    <row r="1112" spans="2:10" x14ac:dyDescent="0.25">
      <c r="B1112" s="583" t="s">
        <v>799</v>
      </c>
      <c r="C1112" s="240" t="s">
        <v>92</v>
      </c>
      <c r="D1112" s="48" t="s">
        <v>91</v>
      </c>
      <c r="E1112" s="382">
        <v>0.85</v>
      </c>
      <c r="F1112" s="242">
        <v>23.23</v>
      </c>
      <c r="G1112" s="309">
        <f t="shared" si="107"/>
        <v>19.7455</v>
      </c>
    </row>
    <row r="1113" spans="2:10" x14ac:dyDescent="0.25">
      <c r="B1113" s="636" t="s">
        <v>34</v>
      </c>
      <c r="C1113" s="637"/>
      <c r="D1113" s="637"/>
      <c r="E1113" s="637"/>
      <c r="F1113" s="638"/>
      <c r="G1113" s="245">
        <f>SUM(G1108:G1112)</f>
        <v>429.517</v>
      </c>
    </row>
    <row r="1114" spans="2:10" x14ac:dyDescent="0.25">
      <c r="B1114" s="246"/>
      <c r="C1114" s="246"/>
      <c r="D1114" s="80"/>
      <c r="E1114" s="247"/>
      <c r="F1114" s="246"/>
      <c r="G1114" s="248"/>
    </row>
    <row r="1115" spans="2:10" ht="35.25" customHeight="1" x14ac:dyDescent="0.25">
      <c r="B1115" s="165" t="s">
        <v>555</v>
      </c>
      <c r="C1115" s="650" t="s">
        <v>556</v>
      </c>
      <c r="D1115" s="651"/>
      <c r="E1115" s="651"/>
      <c r="F1115" s="651"/>
      <c r="G1115" s="652"/>
    </row>
    <row r="1116" spans="2:10" ht="17.25" customHeight="1" x14ac:dyDescent="0.25">
      <c r="B1116" s="113" t="s">
        <v>84</v>
      </c>
      <c r="C1116" s="236" t="s">
        <v>85</v>
      </c>
      <c r="D1116" s="113" t="s">
        <v>31</v>
      </c>
      <c r="E1116" s="237" t="s">
        <v>86</v>
      </c>
      <c r="F1116" s="238" t="s">
        <v>87</v>
      </c>
      <c r="G1116" s="239" t="s">
        <v>88</v>
      </c>
    </row>
    <row r="1117" spans="2:10" s="19" customFormat="1" x14ac:dyDescent="0.25">
      <c r="B1117" s="583" t="s">
        <v>136</v>
      </c>
      <c r="C1117" s="564" t="s">
        <v>2025</v>
      </c>
      <c r="D1117" s="49" t="s">
        <v>38</v>
      </c>
      <c r="E1117" s="241">
        <v>1</v>
      </c>
      <c r="F1117" s="242">
        <f>(57.56+67.87)/2</f>
        <v>62.715000000000003</v>
      </c>
      <c r="G1117" s="309">
        <f>F1117*E1117</f>
        <v>62.715000000000003</v>
      </c>
      <c r="H1117" s="311"/>
      <c r="I1117" s="311"/>
      <c r="J1117" s="450"/>
    </row>
    <row r="1118" spans="2:10" x14ac:dyDescent="0.25">
      <c r="B1118" s="599" t="s">
        <v>811</v>
      </c>
      <c r="C1118" s="312" t="s">
        <v>594</v>
      </c>
      <c r="D1118" s="102" t="s">
        <v>91</v>
      </c>
      <c r="E1118" s="382">
        <v>0.6</v>
      </c>
      <c r="F1118" s="292">
        <v>17.79</v>
      </c>
      <c r="G1118" s="309">
        <f t="shared" ref="G1118" si="108">F1118*E1118</f>
        <v>10.673999999999999</v>
      </c>
    </row>
    <row r="1119" spans="2:10" x14ac:dyDescent="0.25">
      <c r="B1119" s="583" t="s">
        <v>799</v>
      </c>
      <c r="C1119" s="240" t="s">
        <v>92</v>
      </c>
      <c r="D1119" s="48" t="s">
        <v>91</v>
      </c>
      <c r="E1119" s="382">
        <v>0.6</v>
      </c>
      <c r="F1119" s="242">
        <v>23.23</v>
      </c>
      <c r="G1119" s="309">
        <f>F1119*E1119</f>
        <v>13.938000000000001</v>
      </c>
    </row>
    <row r="1120" spans="2:10" x14ac:dyDescent="0.25">
      <c r="B1120" s="636" t="s">
        <v>34</v>
      </c>
      <c r="C1120" s="637"/>
      <c r="D1120" s="637"/>
      <c r="E1120" s="637"/>
      <c r="F1120" s="638"/>
      <c r="G1120" s="245">
        <f>SUM(G1117:G1119)</f>
        <v>87.327000000000012</v>
      </c>
    </row>
    <row r="1121" spans="2:10" x14ac:dyDescent="0.25">
      <c r="B1121" s="246"/>
      <c r="C1121" s="246"/>
      <c r="D1121" s="80"/>
      <c r="E1121" s="247"/>
      <c r="F1121" s="246"/>
      <c r="G1121" s="248"/>
    </row>
    <row r="1122" spans="2:10" ht="41.25" customHeight="1" x14ac:dyDescent="0.25">
      <c r="B1122" s="165" t="s">
        <v>559</v>
      </c>
      <c r="C1122" s="650" t="s">
        <v>560</v>
      </c>
      <c r="D1122" s="651"/>
      <c r="E1122" s="651"/>
      <c r="F1122" s="651"/>
      <c r="G1122" s="652"/>
    </row>
    <row r="1123" spans="2:10" x14ac:dyDescent="0.25">
      <c r="B1123" s="113" t="s">
        <v>84</v>
      </c>
      <c r="C1123" s="236" t="s">
        <v>85</v>
      </c>
      <c r="D1123" s="113" t="s">
        <v>31</v>
      </c>
      <c r="E1123" s="237" t="s">
        <v>86</v>
      </c>
      <c r="F1123" s="238" t="s">
        <v>87</v>
      </c>
      <c r="G1123" s="239" t="s">
        <v>88</v>
      </c>
    </row>
    <row r="1124" spans="2:10" s="19" customFormat="1" x14ac:dyDescent="0.25">
      <c r="B1124" s="583" t="s">
        <v>136</v>
      </c>
      <c r="C1124" s="240" t="s">
        <v>756</v>
      </c>
      <c r="D1124" s="49" t="s">
        <v>38</v>
      </c>
      <c r="E1124" s="241">
        <v>1</v>
      </c>
      <c r="F1124" s="242">
        <f>(180.4+200.9+199)/3</f>
        <v>193.43333333333331</v>
      </c>
      <c r="G1124" s="309">
        <f>F1124*E1124</f>
        <v>193.43333333333331</v>
      </c>
      <c r="H1124" s="311"/>
      <c r="I1124" s="311"/>
      <c r="J1124" s="450"/>
    </row>
    <row r="1125" spans="2:10" x14ac:dyDescent="0.25">
      <c r="B1125" s="599" t="s">
        <v>811</v>
      </c>
      <c r="C1125" s="312" t="s">
        <v>594</v>
      </c>
      <c r="D1125" s="102" t="s">
        <v>91</v>
      </c>
      <c r="E1125" s="382">
        <v>0.85</v>
      </c>
      <c r="F1125" s="292">
        <v>17.79</v>
      </c>
      <c r="G1125" s="309">
        <f t="shared" ref="G1125:G1126" si="109">F1125*E1125</f>
        <v>15.121499999999999</v>
      </c>
    </row>
    <row r="1126" spans="2:10" x14ac:dyDescent="0.25">
      <c r="B1126" s="583" t="s">
        <v>799</v>
      </c>
      <c r="C1126" s="240" t="s">
        <v>92</v>
      </c>
      <c r="D1126" s="48" t="s">
        <v>91</v>
      </c>
      <c r="E1126" s="382">
        <v>0.85</v>
      </c>
      <c r="F1126" s="242">
        <v>23.23</v>
      </c>
      <c r="G1126" s="309">
        <f t="shared" si="109"/>
        <v>19.7455</v>
      </c>
    </row>
    <row r="1127" spans="2:10" x14ac:dyDescent="0.25">
      <c r="B1127" s="636" t="s">
        <v>34</v>
      </c>
      <c r="C1127" s="637"/>
      <c r="D1127" s="637"/>
      <c r="E1127" s="637"/>
      <c r="F1127" s="638"/>
      <c r="G1127" s="245">
        <f>SUM(G1124:G1126)</f>
        <v>228.3003333333333</v>
      </c>
    </row>
    <row r="1128" spans="2:10" x14ac:dyDescent="0.25">
      <c r="B1128" s="246"/>
      <c r="C1128" s="246"/>
      <c r="D1128" s="80"/>
      <c r="E1128" s="247"/>
      <c r="F1128" s="246"/>
      <c r="G1128" s="248"/>
    </row>
    <row r="1129" spans="2:10" ht="37.5" customHeight="1" x14ac:dyDescent="0.25">
      <c r="B1129" s="165" t="s">
        <v>562</v>
      </c>
      <c r="C1129" s="622" t="s">
        <v>563</v>
      </c>
      <c r="D1129" s="622"/>
      <c r="E1129" s="622"/>
      <c r="F1129" s="622"/>
      <c r="G1129" s="622"/>
    </row>
    <row r="1130" spans="2:10" x14ac:dyDescent="0.25">
      <c r="B1130" s="113" t="s">
        <v>84</v>
      </c>
      <c r="C1130" s="236" t="s">
        <v>85</v>
      </c>
      <c r="D1130" s="113" t="s">
        <v>31</v>
      </c>
      <c r="E1130" s="237" t="s">
        <v>86</v>
      </c>
      <c r="F1130" s="238" t="s">
        <v>87</v>
      </c>
      <c r="G1130" s="239" t="s">
        <v>88</v>
      </c>
    </row>
    <row r="1131" spans="2:10" s="19" customFormat="1" x14ac:dyDescent="0.25">
      <c r="B1131" s="583" t="s">
        <v>136</v>
      </c>
      <c r="C1131" s="240" t="s">
        <v>757</v>
      </c>
      <c r="D1131" s="49" t="s">
        <v>38</v>
      </c>
      <c r="E1131" s="241">
        <v>1</v>
      </c>
      <c r="F1131" s="242">
        <f>(417.91+378.47+367.63)/3</f>
        <v>388.00333333333339</v>
      </c>
      <c r="G1131" s="309">
        <f>F1131*E1131</f>
        <v>388.00333333333339</v>
      </c>
      <c r="H1131" s="311"/>
      <c r="I1131" s="311"/>
      <c r="J1131" s="450"/>
    </row>
    <row r="1132" spans="2:10" ht="31.5" x14ac:dyDescent="0.25">
      <c r="B1132" s="599" t="s">
        <v>814</v>
      </c>
      <c r="C1132" s="312" t="s">
        <v>614</v>
      </c>
      <c r="D1132" s="102" t="s">
        <v>38</v>
      </c>
      <c r="E1132" s="383">
        <v>1</v>
      </c>
      <c r="F1132" s="292">
        <v>1.59</v>
      </c>
      <c r="G1132" s="309">
        <f t="shared" ref="G1132:G1134" si="110">F1132*E1132</f>
        <v>1.59</v>
      </c>
    </row>
    <row r="1133" spans="2:10" x14ac:dyDescent="0.25">
      <c r="B1133" s="599" t="s">
        <v>811</v>
      </c>
      <c r="C1133" s="312" t="s">
        <v>594</v>
      </c>
      <c r="D1133" s="102" t="s">
        <v>91</v>
      </c>
      <c r="E1133" s="382">
        <v>0.8</v>
      </c>
      <c r="F1133" s="384">
        <v>17.79</v>
      </c>
      <c r="G1133" s="309">
        <f t="shared" si="110"/>
        <v>14.231999999999999</v>
      </c>
    </row>
    <row r="1134" spans="2:10" x14ac:dyDescent="0.25">
      <c r="B1134" s="583" t="s">
        <v>799</v>
      </c>
      <c r="C1134" s="240" t="s">
        <v>92</v>
      </c>
      <c r="D1134" s="48" t="s">
        <v>91</v>
      </c>
      <c r="E1134" s="382">
        <v>0.8</v>
      </c>
      <c r="F1134" s="385">
        <v>23.23</v>
      </c>
      <c r="G1134" s="309">
        <f t="shared" si="110"/>
        <v>18.584</v>
      </c>
    </row>
    <row r="1135" spans="2:10" x14ac:dyDescent="0.25">
      <c r="B1135" s="636" t="s">
        <v>34</v>
      </c>
      <c r="C1135" s="637"/>
      <c r="D1135" s="637"/>
      <c r="E1135" s="637"/>
      <c r="F1135" s="638"/>
      <c r="G1135" s="245">
        <f>SUM(G1131:G1134)</f>
        <v>422.40933333333334</v>
      </c>
    </row>
    <row r="1136" spans="2:10" x14ac:dyDescent="0.25">
      <c r="B1136" s="246"/>
      <c r="C1136" s="246"/>
      <c r="D1136" s="80"/>
      <c r="E1136" s="247"/>
      <c r="F1136" s="246"/>
      <c r="G1136" s="248"/>
    </row>
    <row r="1137" spans="2:10" ht="33.75" customHeight="1" x14ac:dyDescent="0.25">
      <c r="B1137" s="165" t="s">
        <v>619</v>
      </c>
      <c r="C1137" s="622" t="s">
        <v>565</v>
      </c>
      <c r="D1137" s="622"/>
      <c r="E1137" s="622"/>
      <c r="F1137" s="622"/>
      <c r="G1137" s="622"/>
    </row>
    <row r="1138" spans="2:10" x14ac:dyDescent="0.25">
      <c r="B1138" s="113" t="s">
        <v>84</v>
      </c>
      <c r="C1138" s="236" t="s">
        <v>85</v>
      </c>
      <c r="D1138" s="113" t="s">
        <v>31</v>
      </c>
      <c r="E1138" s="237" t="s">
        <v>86</v>
      </c>
      <c r="F1138" s="238" t="s">
        <v>87</v>
      </c>
      <c r="G1138" s="239" t="s">
        <v>88</v>
      </c>
    </row>
    <row r="1139" spans="2:10" s="19" customFormat="1" x14ac:dyDescent="0.25">
      <c r="B1139" s="583" t="s">
        <v>136</v>
      </c>
      <c r="C1139" s="240" t="s">
        <v>758</v>
      </c>
      <c r="D1139" s="49" t="s">
        <v>38</v>
      </c>
      <c r="E1139" s="241">
        <v>1</v>
      </c>
      <c r="F1139" s="242">
        <f>(76.18+89.99+59.99)/3</f>
        <v>75.38666666666667</v>
      </c>
      <c r="G1139" s="309">
        <f>F1139*E1139</f>
        <v>75.38666666666667</v>
      </c>
      <c r="H1139" s="311"/>
      <c r="I1139" s="311"/>
      <c r="J1139" s="450"/>
    </row>
    <row r="1140" spans="2:10" x14ac:dyDescent="0.25">
      <c r="B1140" s="599" t="s">
        <v>811</v>
      </c>
      <c r="C1140" s="312" t="s">
        <v>594</v>
      </c>
      <c r="D1140" s="102" t="s">
        <v>91</v>
      </c>
      <c r="E1140" s="382">
        <v>0.1</v>
      </c>
      <c r="F1140" s="384">
        <v>17.79</v>
      </c>
      <c r="G1140" s="309">
        <f t="shared" ref="G1140:G1141" si="111">F1140*E1140</f>
        <v>1.7789999999999999</v>
      </c>
    </row>
    <row r="1141" spans="2:10" x14ac:dyDescent="0.25">
      <c r="B1141" s="583" t="s">
        <v>799</v>
      </c>
      <c r="C1141" s="240" t="s">
        <v>92</v>
      </c>
      <c r="D1141" s="48" t="s">
        <v>91</v>
      </c>
      <c r="E1141" s="382">
        <v>0.1</v>
      </c>
      <c r="F1141" s="385">
        <v>23.23</v>
      </c>
      <c r="G1141" s="309">
        <f t="shared" si="111"/>
        <v>2.323</v>
      </c>
    </row>
    <row r="1142" spans="2:10" x14ac:dyDescent="0.25">
      <c r="B1142" s="636" t="s">
        <v>34</v>
      </c>
      <c r="C1142" s="637"/>
      <c r="D1142" s="637"/>
      <c r="E1142" s="637"/>
      <c r="F1142" s="638"/>
      <c r="G1142" s="245">
        <f>SUM(G1139:G1141)</f>
        <v>79.48866666666666</v>
      </c>
    </row>
    <row r="1143" spans="2:10" x14ac:dyDescent="0.25">
      <c r="B1143" s="246"/>
      <c r="C1143" s="246"/>
      <c r="D1143" s="80"/>
      <c r="E1143" s="247"/>
      <c r="F1143" s="246"/>
      <c r="G1143" s="248"/>
    </row>
    <row r="1144" spans="2:10" ht="35.25" customHeight="1" x14ac:dyDescent="0.25">
      <c r="B1144" s="165" t="s">
        <v>566</v>
      </c>
      <c r="C1144" s="622" t="s">
        <v>567</v>
      </c>
      <c r="D1144" s="622"/>
      <c r="E1144" s="622"/>
      <c r="F1144" s="622"/>
      <c r="G1144" s="622"/>
    </row>
    <row r="1145" spans="2:10" x14ac:dyDescent="0.25">
      <c r="B1145" s="113" t="s">
        <v>84</v>
      </c>
      <c r="C1145" s="236" t="s">
        <v>85</v>
      </c>
      <c r="D1145" s="113" t="s">
        <v>31</v>
      </c>
      <c r="E1145" s="237" t="s">
        <v>86</v>
      </c>
      <c r="F1145" s="238" t="s">
        <v>87</v>
      </c>
      <c r="G1145" s="239" t="s">
        <v>88</v>
      </c>
    </row>
    <row r="1146" spans="2:10" x14ac:dyDescent="0.25">
      <c r="B1146" s="583" t="s">
        <v>812</v>
      </c>
      <c r="C1146" s="240" t="s">
        <v>618</v>
      </c>
      <c r="D1146" s="48" t="s">
        <v>38</v>
      </c>
      <c r="E1146" s="382">
        <v>1</v>
      </c>
      <c r="F1146" s="242">
        <v>22.23</v>
      </c>
      <c r="G1146" s="243">
        <f>F1146*E1146</f>
        <v>22.23</v>
      </c>
    </row>
    <row r="1147" spans="2:10" ht="31.5" x14ac:dyDescent="0.25">
      <c r="B1147" s="599" t="s">
        <v>813</v>
      </c>
      <c r="C1147" s="312" t="s">
        <v>620</v>
      </c>
      <c r="D1147" s="102" t="s">
        <v>38</v>
      </c>
      <c r="E1147" s="383">
        <v>1</v>
      </c>
      <c r="F1147" s="292">
        <v>26.24</v>
      </c>
      <c r="G1147" s="243">
        <f t="shared" ref="G1147:G1150" si="112">F1147*E1147</f>
        <v>26.24</v>
      </c>
    </row>
    <row r="1148" spans="2:10" ht="31.5" x14ac:dyDescent="0.25">
      <c r="B1148" s="599" t="s">
        <v>675</v>
      </c>
      <c r="C1148" s="312" t="s">
        <v>621</v>
      </c>
      <c r="D1148" s="102" t="s">
        <v>38</v>
      </c>
      <c r="E1148" s="383">
        <v>2</v>
      </c>
      <c r="F1148" s="292">
        <v>0.35</v>
      </c>
      <c r="G1148" s="243">
        <f t="shared" si="112"/>
        <v>0.7</v>
      </c>
    </row>
    <row r="1149" spans="2:10" x14ac:dyDescent="0.25">
      <c r="B1149" s="599" t="s">
        <v>811</v>
      </c>
      <c r="C1149" s="312" t="s">
        <v>594</v>
      </c>
      <c r="D1149" s="102" t="s">
        <v>91</v>
      </c>
      <c r="E1149" s="382">
        <v>0.1</v>
      </c>
      <c r="F1149" s="384">
        <v>17.79</v>
      </c>
      <c r="G1149" s="243">
        <f t="shared" si="112"/>
        <v>1.7789999999999999</v>
      </c>
    </row>
    <row r="1150" spans="2:10" x14ac:dyDescent="0.25">
      <c r="B1150" s="583" t="s">
        <v>799</v>
      </c>
      <c r="C1150" s="240" t="s">
        <v>92</v>
      </c>
      <c r="D1150" s="48" t="s">
        <v>91</v>
      </c>
      <c r="E1150" s="382">
        <v>0.1</v>
      </c>
      <c r="F1150" s="385">
        <v>23.23</v>
      </c>
      <c r="G1150" s="243">
        <f t="shared" si="112"/>
        <v>2.323</v>
      </c>
    </row>
    <row r="1151" spans="2:10" x14ac:dyDescent="0.25">
      <c r="B1151" s="636" t="s">
        <v>34</v>
      </c>
      <c r="C1151" s="637"/>
      <c r="D1151" s="637"/>
      <c r="E1151" s="637"/>
      <c r="F1151" s="638"/>
      <c r="G1151" s="245">
        <f>SUM(G1146:G1150)</f>
        <v>53.271999999999998</v>
      </c>
    </row>
    <row r="1152" spans="2:10" x14ac:dyDescent="0.25">
      <c r="B1152" s="246"/>
      <c r="C1152" s="246"/>
      <c r="D1152" s="80"/>
      <c r="E1152" s="247"/>
      <c r="F1152" s="246"/>
      <c r="G1152" s="248"/>
    </row>
    <row r="1153" spans="2:10" ht="41.25" customHeight="1" x14ac:dyDescent="0.25">
      <c r="B1153" s="165" t="s">
        <v>568</v>
      </c>
      <c r="C1153" s="622" t="s">
        <v>569</v>
      </c>
      <c r="D1153" s="622"/>
      <c r="E1153" s="622"/>
      <c r="F1153" s="622"/>
      <c r="G1153" s="622"/>
    </row>
    <row r="1154" spans="2:10" x14ac:dyDescent="0.25">
      <c r="B1154" s="113" t="s">
        <v>84</v>
      </c>
      <c r="C1154" s="236" t="s">
        <v>85</v>
      </c>
      <c r="D1154" s="113" t="s">
        <v>31</v>
      </c>
      <c r="E1154" s="237" t="s">
        <v>86</v>
      </c>
      <c r="F1154" s="238" t="s">
        <v>87</v>
      </c>
      <c r="G1154" s="239" t="s">
        <v>88</v>
      </c>
    </row>
    <row r="1155" spans="2:10" x14ac:dyDescent="0.25">
      <c r="B1155" s="583" t="s">
        <v>812</v>
      </c>
      <c r="C1155" s="240" t="s">
        <v>618</v>
      </c>
      <c r="D1155" s="48" t="s">
        <v>38</v>
      </c>
      <c r="E1155" s="382">
        <v>2</v>
      </c>
      <c r="F1155" s="242">
        <v>22.23</v>
      </c>
      <c r="G1155" s="243">
        <f>F1155*E1155</f>
        <v>44.46</v>
      </c>
    </row>
    <row r="1156" spans="2:10" ht="31.5" x14ac:dyDescent="0.25">
      <c r="B1156" s="599" t="s">
        <v>813</v>
      </c>
      <c r="C1156" s="312" t="s">
        <v>620</v>
      </c>
      <c r="D1156" s="102" t="s">
        <v>38</v>
      </c>
      <c r="E1156" s="383">
        <v>1</v>
      </c>
      <c r="F1156" s="292">
        <v>26.24</v>
      </c>
      <c r="G1156" s="243">
        <f t="shared" ref="G1156:G1159" si="113">F1156*E1156</f>
        <v>26.24</v>
      </c>
    </row>
    <row r="1157" spans="2:10" ht="31.5" x14ac:dyDescent="0.25">
      <c r="B1157" s="599" t="s">
        <v>675</v>
      </c>
      <c r="C1157" s="312" t="s">
        <v>621</v>
      </c>
      <c r="D1157" s="102" t="s">
        <v>38</v>
      </c>
      <c r="E1157" s="383">
        <v>2</v>
      </c>
      <c r="F1157" s="292">
        <v>0.35</v>
      </c>
      <c r="G1157" s="243">
        <f t="shared" si="113"/>
        <v>0.7</v>
      </c>
    </row>
    <row r="1158" spans="2:10" x14ac:dyDescent="0.25">
      <c r="B1158" s="599" t="s">
        <v>811</v>
      </c>
      <c r="C1158" s="312" t="s">
        <v>594</v>
      </c>
      <c r="D1158" s="102" t="s">
        <v>91</v>
      </c>
      <c r="E1158" s="382">
        <v>0.15</v>
      </c>
      <c r="F1158" s="384">
        <v>17.79</v>
      </c>
      <c r="G1158" s="243">
        <f t="shared" si="113"/>
        <v>2.6684999999999999</v>
      </c>
    </row>
    <row r="1159" spans="2:10" x14ac:dyDescent="0.25">
      <c r="B1159" s="583" t="s">
        <v>799</v>
      </c>
      <c r="C1159" s="240" t="s">
        <v>92</v>
      </c>
      <c r="D1159" s="48" t="s">
        <v>91</v>
      </c>
      <c r="E1159" s="382">
        <v>0.15</v>
      </c>
      <c r="F1159" s="385">
        <v>23.23</v>
      </c>
      <c r="G1159" s="243">
        <f t="shared" si="113"/>
        <v>3.4845000000000002</v>
      </c>
    </row>
    <row r="1160" spans="2:10" x14ac:dyDescent="0.25">
      <c r="B1160" s="636" t="s">
        <v>34</v>
      </c>
      <c r="C1160" s="637"/>
      <c r="D1160" s="637"/>
      <c r="E1160" s="637"/>
      <c r="F1160" s="638"/>
      <c r="G1160" s="245">
        <f>SUM(G1155:G1159)</f>
        <v>77.552999999999997</v>
      </c>
    </row>
    <row r="1161" spans="2:10" x14ac:dyDescent="0.25">
      <c r="B1161" s="246"/>
      <c r="C1161" s="246"/>
      <c r="D1161" s="80"/>
      <c r="E1161" s="247"/>
      <c r="F1161" s="246"/>
      <c r="G1161" s="248"/>
    </row>
    <row r="1162" spans="2:10" ht="34.5" customHeight="1" x14ac:dyDescent="0.25">
      <c r="B1162" s="165" t="s">
        <v>589</v>
      </c>
      <c r="C1162" s="622" t="s">
        <v>590</v>
      </c>
      <c r="D1162" s="622"/>
      <c r="E1162" s="622"/>
      <c r="F1162" s="622"/>
      <c r="G1162" s="622"/>
    </row>
    <row r="1163" spans="2:10" x14ac:dyDescent="0.25">
      <c r="B1163" s="113" t="s">
        <v>84</v>
      </c>
      <c r="C1163" s="236" t="s">
        <v>85</v>
      </c>
      <c r="D1163" s="113" t="s">
        <v>31</v>
      </c>
      <c r="E1163" s="237" t="s">
        <v>86</v>
      </c>
      <c r="F1163" s="238" t="s">
        <v>87</v>
      </c>
      <c r="G1163" s="239" t="s">
        <v>88</v>
      </c>
    </row>
    <row r="1164" spans="2:10" s="19" customFormat="1" x14ac:dyDescent="0.25">
      <c r="B1164" s="573" t="s">
        <v>2036</v>
      </c>
      <c r="C1164" s="240" t="s">
        <v>2037</v>
      </c>
      <c r="D1164" s="49" t="s">
        <v>38</v>
      </c>
      <c r="E1164" s="241">
        <v>1</v>
      </c>
      <c r="F1164" s="242">
        <v>81.900000000000006</v>
      </c>
      <c r="G1164" s="309">
        <f>F1164*E1164</f>
        <v>81.900000000000006</v>
      </c>
      <c r="H1164" s="311"/>
      <c r="I1164" s="311"/>
      <c r="J1164" s="450"/>
    </row>
    <row r="1165" spans="2:10" ht="31.5" x14ac:dyDescent="0.25">
      <c r="B1165" s="599" t="s">
        <v>810</v>
      </c>
      <c r="C1165" s="312" t="s">
        <v>622</v>
      </c>
      <c r="D1165" s="102" t="s">
        <v>38</v>
      </c>
      <c r="E1165" s="383">
        <v>2</v>
      </c>
      <c r="F1165" s="292">
        <v>0.71</v>
      </c>
      <c r="G1165" s="309">
        <f t="shared" ref="G1165:G1167" si="114">F1165*E1165</f>
        <v>1.42</v>
      </c>
    </row>
    <row r="1166" spans="2:10" x14ac:dyDescent="0.25">
      <c r="B1166" s="599" t="s">
        <v>811</v>
      </c>
      <c r="C1166" s="312" t="s">
        <v>594</v>
      </c>
      <c r="D1166" s="102" t="s">
        <v>91</v>
      </c>
      <c r="E1166" s="382">
        <v>0.1</v>
      </c>
      <c r="F1166" s="292">
        <v>17.79</v>
      </c>
      <c r="G1166" s="309">
        <f t="shared" si="114"/>
        <v>1.7789999999999999</v>
      </c>
    </row>
    <row r="1167" spans="2:10" x14ac:dyDescent="0.25">
      <c r="B1167" s="583" t="s">
        <v>799</v>
      </c>
      <c r="C1167" s="240" t="s">
        <v>92</v>
      </c>
      <c r="D1167" s="48" t="s">
        <v>91</v>
      </c>
      <c r="E1167" s="382">
        <v>0.1</v>
      </c>
      <c r="F1167" s="242">
        <v>23.23</v>
      </c>
      <c r="G1167" s="309">
        <f t="shared" si="114"/>
        <v>2.323</v>
      </c>
    </row>
    <row r="1168" spans="2:10" x14ac:dyDescent="0.25">
      <c r="B1168" s="636" t="s">
        <v>34</v>
      </c>
      <c r="C1168" s="637"/>
      <c r="D1168" s="637"/>
      <c r="E1168" s="637"/>
      <c r="F1168" s="638"/>
      <c r="G1168" s="245">
        <f>SUM(G1164:G1167)</f>
        <v>87.421999999999997</v>
      </c>
    </row>
    <row r="1169" spans="2:10" s="156" customFormat="1" x14ac:dyDescent="0.25">
      <c r="B1169" s="246"/>
      <c r="C1169" s="246"/>
      <c r="D1169" s="246"/>
      <c r="E1169" s="246"/>
      <c r="F1169" s="246"/>
      <c r="G1169" s="248"/>
      <c r="H1169" s="35"/>
      <c r="I1169" s="35"/>
      <c r="J1169" s="157"/>
    </row>
    <row r="1170" spans="2:10" s="156" customFormat="1" x14ac:dyDescent="0.25">
      <c r="B1170" s="565" t="s">
        <v>2026</v>
      </c>
      <c r="C1170" s="618" t="s">
        <v>573</v>
      </c>
      <c r="D1170" s="618"/>
      <c r="E1170" s="618"/>
      <c r="F1170" s="618"/>
      <c r="G1170" s="618"/>
      <c r="H1170" s="35"/>
      <c r="I1170" s="35"/>
      <c r="J1170" s="157"/>
    </row>
    <row r="1171" spans="2:10" s="156" customFormat="1" x14ac:dyDescent="0.25">
      <c r="B1171" s="222" t="s">
        <v>84</v>
      </c>
      <c r="C1171" s="316" t="s">
        <v>85</v>
      </c>
      <c r="D1171" s="222" t="s">
        <v>31</v>
      </c>
      <c r="E1171" s="317" t="s">
        <v>86</v>
      </c>
      <c r="F1171" s="318" t="s">
        <v>87</v>
      </c>
      <c r="G1171" s="319" t="s">
        <v>88</v>
      </c>
      <c r="H1171" s="35"/>
      <c r="I1171" s="35"/>
      <c r="J1171" s="157"/>
    </row>
    <row r="1172" spans="2:10" s="156" customFormat="1" x14ac:dyDescent="0.25">
      <c r="B1172" s="573" t="s">
        <v>2027</v>
      </c>
      <c r="C1172" s="564" t="s">
        <v>2028</v>
      </c>
      <c r="D1172" s="207" t="s">
        <v>73</v>
      </c>
      <c r="E1172" s="321">
        <v>1</v>
      </c>
      <c r="F1172" s="566">
        <v>2.2599999999999998</v>
      </c>
      <c r="G1172" s="487">
        <f>F1172*E1172</f>
        <v>2.2599999999999998</v>
      </c>
      <c r="H1172" s="35"/>
      <c r="I1172" s="35"/>
      <c r="J1172" s="157"/>
    </row>
    <row r="1173" spans="2:10" s="156" customFormat="1" x14ac:dyDescent="0.25">
      <c r="B1173" s="573" t="s">
        <v>811</v>
      </c>
      <c r="C1173" s="564" t="s">
        <v>594</v>
      </c>
      <c r="D1173" s="207" t="s">
        <v>91</v>
      </c>
      <c r="E1173" s="321">
        <v>0.08</v>
      </c>
      <c r="F1173" s="566">
        <v>17.79</v>
      </c>
      <c r="G1173" s="487">
        <f t="shared" ref="G1173:G1174" si="115">F1173*E1173</f>
        <v>1.4232</v>
      </c>
      <c r="H1173" s="35"/>
      <c r="I1173" s="35"/>
      <c r="J1173" s="157"/>
    </row>
    <row r="1174" spans="2:10" s="156" customFormat="1" x14ac:dyDescent="0.25">
      <c r="B1174" s="573" t="s">
        <v>799</v>
      </c>
      <c r="C1174" s="564" t="s">
        <v>92</v>
      </c>
      <c r="D1174" s="207" t="s">
        <v>91</v>
      </c>
      <c r="E1174" s="321">
        <v>0.08</v>
      </c>
      <c r="F1174" s="566">
        <v>23.23</v>
      </c>
      <c r="G1174" s="487">
        <f t="shared" si="115"/>
        <v>1.8584000000000001</v>
      </c>
      <c r="H1174" s="35"/>
      <c r="I1174" s="35"/>
      <c r="J1174" s="157"/>
    </row>
    <row r="1175" spans="2:10" s="156" customFormat="1" x14ac:dyDescent="0.25">
      <c r="B1175" s="619" t="s">
        <v>34</v>
      </c>
      <c r="C1175" s="620"/>
      <c r="D1175" s="620"/>
      <c r="E1175" s="620"/>
      <c r="F1175" s="621"/>
      <c r="G1175" s="495">
        <f>SUM(G1172:G1174)</f>
        <v>5.5415999999999999</v>
      </c>
      <c r="H1175" s="35"/>
      <c r="I1175" s="35"/>
      <c r="J1175" s="157"/>
    </row>
    <row r="1176" spans="2:10" s="156" customFormat="1" x14ac:dyDescent="0.25">
      <c r="B1176" s="246"/>
      <c r="C1176" s="246"/>
      <c r="D1176" s="246"/>
      <c r="E1176" s="246"/>
      <c r="F1176" s="246"/>
      <c r="G1176" s="248"/>
      <c r="H1176" s="35"/>
      <c r="I1176" s="35"/>
      <c r="J1176" s="157"/>
    </row>
    <row r="1177" spans="2:10" s="156" customFormat="1" x14ac:dyDescent="0.25">
      <c r="B1177" s="565" t="s">
        <v>2029</v>
      </c>
      <c r="C1177" s="618" t="s">
        <v>2030</v>
      </c>
      <c r="D1177" s="618"/>
      <c r="E1177" s="618"/>
      <c r="F1177" s="618"/>
      <c r="G1177" s="618"/>
      <c r="H1177" s="35"/>
      <c r="I1177" s="35"/>
      <c r="J1177" s="157"/>
    </row>
    <row r="1178" spans="2:10" s="156" customFormat="1" x14ac:dyDescent="0.25">
      <c r="B1178" s="222" t="s">
        <v>84</v>
      </c>
      <c r="C1178" s="316" t="s">
        <v>85</v>
      </c>
      <c r="D1178" s="222" t="s">
        <v>31</v>
      </c>
      <c r="E1178" s="317" t="s">
        <v>86</v>
      </c>
      <c r="F1178" s="318" t="s">
        <v>87</v>
      </c>
      <c r="G1178" s="319" t="s">
        <v>88</v>
      </c>
      <c r="H1178" s="35"/>
      <c r="I1178" s="35"/>
      <c r="J1178" s="157"/>
    </row>
    <row r="1179" spans="2:10" s="156" customFormat="1" x14ac:dyDescent="0.25">
      <c r="B1179" s="573" t="s">
        <v>2031</v>
      </c>
      <c r="C1179" s="564" t="s">
        <v>2032</v>
      </c>
      <c r="D1179" s="207" t="s">
        <v>31</v>
      </c>
      <c r="E1179" s="321">
        <v>1</v>
      </c>
      <c r="F1179" s="566">
        <v>14.84</v>
      </c>
      <c r="G1179" s="487">
        <f>F1179*E1179</f>
        <v>14.84</v>
      </c>
      <c r="H1179" s="35"/>
      <c r="I1179" s="35"/>
      <c r="J1179" s="157"/>
    </row>
    <row r="1180" spans="2:10" s="156" customFormat="1" x14ac:dyDescent="0.25">
      <c r="B1180" s="573" t="s">
        <v>811</v>
      </c>
      <c r="C1180" s="564" t="s">
        <v>594</v>
      </c>
      <c r="D1180" s="207" t="s">
        <v>91</v>
      </c>
      <c r="E1180" s="321">
        <v>0.1</v>
      </c>
      <c r="F1180" s="566">
        <v>17.79</v>
      </c>
      <c r="G1180" s="487">
        <f t="shared" ref="G1180:G1181" si="116">F1180*E1180</f>
        <v>1.7789999999999999</v>
      </c>
      <c r="H1180" s="35"/>
      <c r="I1180" s="35"/>
      <c r="J1180" s="157"/>
    </row>
    <row r="1181" spans="2:10" s="156" customFormat="1" x14ac:dyDescent="0.25">
      <c r="B1181" s="573" t="s">
        <v>799</v>
      </c>
      <c r="C1181" s="564" t="s">
        <v>92</v>
      </c>
      <c r="D1181" s="207" t="s">
        <v>91</v>
      </c>
      <c r="E1181" s="321">
        <v>0.1</v>
      </c>
      <c r="F1181" s="566">
        <v>23.23</v>
      </c>
      <c r="G1181" s="487">
        <f t="shared" si="116"/>
        <v>2.323</v>
      </c>
      <c r="H1181" s="35"/>
      <c r="I1181" s="35"/>
      <c r="J1181" s="157"/>
    </row>
    <row r="1182" spans="2:10" s="156" customFormat="1" x14ac:dyDescent="0.25">
      <c r="B1182" s="619" t="s">
        <v>34</v>
      </c>
      <c r="C1182" s="620"/>
      <c r="D1182" s="620"/>
      <c r="E1182" s="620"/>
      <c r="F1182" s="621"/>
      <c r="G1182" s="495">
        <f>SUM(G1179:G1181)</f>
        <v>18.942</v>
      </c>
      <c r="H1182" s="35"/>
      <c r="I1182" s="35"/>
      <c r="J1182" s="157"/>
    </row>
    <row r="1183" spans="2:10" s="156" customFormat="1" x14ac:dyDescent="0.25">
      <c r="B1183" s="246"/>
      <c r="C1183" s="246"/>
      <c r="D1183" s="246"/>
      <c r="E1183" s="246"/>
      <c r="F1183" s="246"/>
      <c r="G1183" s="248"/>
      <c r="H1183" s="35"/>
      <c r="I1183" s="35"/>
      <c r="J1183" s="157"/>
    </row>
    <row r="1184" spans="2:10" x14ac:dyDescent="0.25">
      <c r="B1184" s="226" t="s">
        <v>1155</v>
      </c>
      <c r="C1184" s="227"/>
      <c r="D1184" s="472"/>
      <c r="E1184" s="228"/>
      <c r="F1184" s="286"/>
      <c r="G1184" s="287"/>
    </row>
    <row r="1185" spans="2:10" s="156" customFormat="1" x14ac:dyDescent="0.25">
      <c r="B1185" s="249"/>
      <c r="C1185" s="249"/>
      <c r="D1185" s="473"/>
      <c r="E1185" s="386"/>
      <c r="F1185" s="249"/>
      <c r="G1185" s="249"/>
      <c r="H1185" s="35"/>
      <c r="I1185" s="35"/>
      <c r="J1185" s="157"/>
    </row>
    <row r="1186" spans="2:10" s="156" customFormat="1" ht="38.25" customHeight="1" x14ac:dyDescent="0.25">
      <c r="B1186" s="165" t="s">
        <v>49</v>
      </c>
      <c r="C1186" s="622" t="str">
        <f>ORÇAMENTO!C419</f>
        <v>ABRIGO PARA EXTINTOR EM CHAPA DE AÇO CARBONO 75x35x25CM</v>
      </c>
      <c r="D1186" s="622"/>
      <c r="E1186" s="622"/>
      <c r="F1186" s="622"/>
      <c r="G1186" s="622"/>
      <c r="H1186" s="35"/>
      <c r="I1186" s="35"/>
      <c r="J1186" s="157"/>
    </row>
    <row r="1187" spans="2:10" s="156" customFormat="1" x14ac:dyDescent="0.25">
      <c r="B1187" s="113" t="s">
        <v>84</v>
      </c>
      <c r="C1187" s="236" t="s">
        <v>85</v>
      </c>
      <c r="D1187" s="113" t="s">
        <v>31</v>
      </c>
      <c r="E1187" s="237" t="s">
        <v>86</v>
      </c>
      <c r="F1187" s="238" t="s">
        <v>87</v>
      </c>
      <c r="G1187" s="239" t="s">
        <v>88</v>
      </c>
      <c r="H1187" s="35"/>
      <c r="I1187" s="35"/>
      <c r="J1187" s="157"/>
    </row>
    <row r="1188" spans="2:10" s="19" customFormat="1" ht="31.5" x14ac:dyDescent="0.25">
      <c r="B1188" s="583" t="s">
        <v>866</v>
      </c>
      <c r="C1188" s="240" t="s">
        <v>875</v>
      </c>
      <c r="D1188" s="241" t="s">
        <v>31</v>
      </c>
      <c r="E1188" s="49">
        <v>1</v>
      </c>
      <c r="F1188" s="242">
        <v>300</v>
      </c>
      <c r="G1188" s="309">
        <f>E1188*F1188</f>
        <v>300</v>
      </c>
      <c r="H1188" s="311"/>
      <c r="I1188" s="311"/>
      <c r="J1188" s="450"/>
    </row>
    <row r="1189" spans="2:10" s="156" customFormat="1" x14ac:dyDescent="0.25">
      <c r="B1189" s="599" t="s">
        <v>867</v>
      </c>
      <c r="C1189" s="312" t="s">
        <v>94</v>
      </c>
      <c r="D1189" s="382" t="s">
        <v>91</v>
      </c>
      <c r="E1189" s="102">
        <v>0.5</v>
      </c>
      <c r="F1189" s="384">
        <v>18.84</v>
      </c>
      <c r="G1189" s="243">
        <f>E1189*F1189</f>
        <v>9.42</v>
      </c>
      <c r="H1189" s="35"/>
      <c r="I1189" s="35"/>
      <c r="J1189" s="157"/>
    </row>
    <row r="1190" spans="2:10" s="156" customFormat="1" x14ac:dyDescent="0.25">
      <c r="B1190" s="636" t="s">
        <v>34</v>
      </c>
      <c r="C1190" s="637"/>
      <c r="D1190" s="637"/>
      <c r="E1190" s="637"/>
      <c r="F1190" s="638"/>
      <c r="G1190" s="245">
        <f>SUM(G1188:G1189)</f>
        <v>309.42</v>
      </c>
      <c r="H1190" s="35"/>
      <c r="I1190" s="35"/>
      <c r="J1190" s="157"/>
    </row>
    <row r="1191" spans="2:10" s="156" customFormat="1" x14ac:dyDescent="0.25">
      <c r="B1191" s="249"/>
      <c r="C1191" s="249"/>
      <c r="D1191" s="473"/>
      <c r="E1191" s="386"/>
      <c r="F1191" s="249"/>
      <c r="G1191" s="249"/>
      <c r="H1191" s="35"/>
      <c r="I1191" s="35"/>
      <c r="J1191" s="157"/>
    </row>
    <row r="1192" spans="2:10" s="156" customFormat="1" ht="37.5" customHeight="1" x14ac:dyDescent="0.25">
      <c r="B1192" s="165" t="s">
        <v>100</v>
      </c>
      <c r="C1192" s="622" t="str">
        <f>ORÇAMENTO!C420</f>
        <v>BARRA ANTIPÂNICO DUPLA, CEGA LADO OPOSTO, COR CINZA, COM PLACA DE SINALIZAÇÃO, FORNECIMENTO E INSTALAÇÃO</v>
      </c>
      <c r="D1192" s="622"/>
      <c r="E1192" s="622"/>
      <c r="F1192" s="622"/>
      <c r="G1192" s="622"/>
      <c r="H1192" s="35"/>
      <c r="I1192" s="35"/>
      <c r="J1192" s="157"/>
    </row>
    <row r="1193" spans="2:10" s="156" customFormat="1" x14ac:dyDescent="0.25">
      <c r="B1193" s="113" t="s">
        <v>84</v>
      </c>
      <c r="C1193" s="236" t="s">
        <v>85</v>
      </c>
      <c r="D1193" s="113" t="s">
        <v>31</v>
      </c>
      <c r="E1193" s="237" t="s">
        <v>86</v>
      </c>
      <c r="F1193" s="238" t="s">
        <v>87</v>
      </c>
      <c r="G1193" s="239" t="s">
        <v>88</v>
      </c>
      <c r="H1193" s="35"/>
      <c r="I1193" s="35"/>
      <c r="J1193" s="157"/>
    </row>
    <row r="1194" spans="2:10" s="156" customFormat="1" x14ac:dyDescent="0.25">
      <c r="B1194" s="583" t="s">
        <v>868</v>
      </c>
      <c r="C1194" s="240" t="s">
        <v>876</v>
      </c>
      <c r="D1194" s="382" t="s">
        <v>858</v>
      </c>
      <c r="E1194" s="48">
        <v>1</v>
      </c>
      <c r="F1194" s="508">
        <v>1189.95</v>
      </c>
      <c r="G1194" s="243">
        <f>E1194*F1194</f>
        <v>1189.95</v>
      </c>
      <c r="H1194" s="35"/>
      <c r="I1194" s="35"/>
      <c r="J1194" s="157"/>
    </row>
    <row r="1195" spans="2:10" s="156" customFormat="1" ht="31.5" x14ac:dyDescent="0.25">
      <c r="B1195" s="599" t="s">
        <v>869</v>
      </c>
      <c r="C1195" s="312" t="s">
        <v>877</v>
      </c>
      <c r="D1195" s="383" t="s">
        <v>31</v>
      </c>
      <c r="E1195" s="102">
        <v>1</v>
      </c>
      <c r="F1195" s="510">
        <v>18.23</v>
      </c>
      <c r="G1195" s="243">
        <f t="shared" ref="G1195:G1196" si="117">E1195*F1195</f>
        <v>18.23</v>
      </c>
      <c r="H1195" s="35"/>
      <c r="I1195" s="35"/>
      <c r="J1195" s="157"/>
    </row>
    <row r="1196" spans="2:10" s="156" customFormat="1" x14ac:dyDescent="0.25">
      <c r="B1196" s="599" t="s">
        <v>867</v>
      </c>
      <c r="C1196" s="312" t="s">
        <v>94</v>
      </c>
      <c r="D1196" s="382" t="s">
        <v>91</v>
      </c>
      <c r="E1196" s="102">
        <v>1</v>
      </c>
      <c r="F1196" s="509">
        <v>18.84</v>
      </c>
      <c r="G1196" s="243">
        <f t="shared" si="117"/>
        <v>18.84</v>
      </c>
      <c r="H1196" s="35"/>
      <c r="I1196" s="35"/>
      <c r="J1196" s="157"/>
    </row>
    <row r="1197" spans="2:10" s="156" customFormat="1" x14ac:dyDescent="0.25">
      <c r="B1197" s="636" t="s">
        <v>34</v>
      </c>
      <c r="C1197" s="637"/>
      <c r="D1197" s="637"/>
      <c r="E1197" s="637"/>
      <c r="F1197" s="638"/>
      <c r="G1197" s="245">
        <f>SUM(G1194:G1196)</f>
        <v>1227.02</v>
      </c>
      <c r="H1197" s="35"/>
      <c r="I1197" s="35"/>
      <c r="J1197" s="157"/>
    </row>
    <row r="1198" spans="2:10" s="156" customFormat="1" x14ac:dyDescent="0.25">
      <c r="B1198" s="249"/>
      <c r="C1198" s="249"/>
      <c r="D1198" s="473"/>
      <c r="E1198" s="386"/>
      <c r="F1198" s="249"/>
      <c r="G1198" s="249"/>
      <c r="H1198" s="35"/>
      <c r="I1198" s="35"/>
      <c r="J1198" s="157"/>
    </row>
    <row r="1199" spans="2:10" s="156" customFormat="1" ht="31.5" customHeight="1" x14ac:dyDescent="0.25">
      <c r="B1199" s="165" t="s">
        <v>120</v>
      </c>
      <c r="C1199" s="622" t="str">
        <f>ORÇAMENTO!C421</f>
        <v>PLACA DE SINALIZAÇÃO EXTINTOR DE INCÊNDIO FOTOLUMINESCENTE 20X20 CM, CONFORME NBR 13434, FORNECIMENTO E INSTALAÇÃO</v>
      </c>
      <c r="D1199" s="622"/>
      <c r="E1199" s="622"/>
      <c r="F1199" s="622"/>
      <c r="G1199" s="622"/>
      <c r="H1199" s="35"/>
      <c r="I1199" s="35"/>
      <c r="J1199" s="157"/>
    </row>
    <row r="1200" spans="2:10" s="156" customFormat="1" x14ac:dyDescent="0.25">
      <c r="B1200" s="113" t="s">
        <v>84</v>
      </c>
      <c r="C1200" s="236" t="s">
        <v>85</v>
      </c>
      <c r="D1200" s="113" t="s">
        <v>31</v>
      </c>
      <c r="E1200" s="237" t="s">
        <v>86</v>
      </c>
      <c r="F1200" s="238" t="s">
        <v>87</v>
      </c>
      <c r="G1200" s="239" t="s">
        <v>88</v>
      </c>
      <c r="H1200" s="35"/>
      <c r="I1200" s="35"/>
      <c r="J1200" s="157"/>
    </row>
    <row r="1201" spans="2:10" s="156" customFormat="1" ht="47.25" x14ac:dyDescent="0.25">
      <c r="B1201" s="583" t="s">
        <v>870</v>
      </c>
      <c r="C1201" s="240" t="s">
        <v>878</v>
      </c>
      <c r="D1201" s="382" t="s">
        <v>31</v>
      </c>
      <c r="E1201" s="48">
        <v>1</v>
      </c>
      <c r="F1201" s="242">
        <v>21.08</v>
      </c>
      <c r="G1201" s="243">
        <f>E1201*F1201</f>
        <v>21.08</v>
      </c>
      <c r="H1201" s="35"/>
      <c r="I1201" s="35"/>
      <c r="J1201" s="157"/>
    </row>
    <row r="1202" spans="2:10" s="156" customFormat="1" x14ac:dyDescent="0.25">
      <c r="B1202" s="599" t="s">
        <v>867</v>
      </c>
      <c r="C1202" s="312" t="s">
        <v>94</v>
      </c>
      <c r="D1202" s="382" t="s">
        <v>91</v>
      </c>
      <c r="E1202" s="102">
        <v>0.3</v>
      </c>
      <c r="F1202" s="384">
        <v>18.84</v>
      </c>
      <c r="G1202" s="243">
        <f>E1202*F1202</f>
        <v>5.6520000000000001</v>
      </c>
      <c r="H1202" s="35"/>
      <c r="I1202" s="35"/>
      <c r="J1202" s="157"/>
    </row>
    <row r="1203" spans="2:10" s="156" customFormat="1" x14ac:dyDescent="0.25">
      <c r="B1203" s="636" t="s">
        <v>34</v>
      </c>
      <c r="C1203" s="637"/>
      <c r="D1203" s="637"/>
      <c r="E1203" s="637"/>
      <c r="F1203" s="638"/>
      <c r="G1203" s="245">
        <f>SUM(G1201:G1202)</f>
        <v>26.731999999999999</v>
      </c>
      <c r="H1203" s="35"/>
      <c r="I1203" s="35"/>
      <c r="J1203" s="157"/>
    </row>
    <row r="1204" spans="2:10" s="156" customFormat="1" x14ac:dyDescent="0.25">
      <c r="B1204" s="249"/>
      <c r="C1204" s="249"/>
      <c r="D1204" s="473"/>
      <c r="E1204" s="386"/>
      <c r="F1204" s="249"/>
      <c r="G1204" s="249"/>
      <c r="H1204" s="35"/>
      <c r="I1204" s="35"/>
      <c r="J1204" s="157"/>
    </row>
    <row r="1205" spans="2:10" s="156" customFormat="1" ht="38.25" customHeight="1" x14ac:dyDescent="0.25">
      <c r="B1205" s="165" t="s">
        <v>133</v>
      </c>
      <c r="C1205" s="622" t="str">
        <f>ORÇAMENTO!C422</f>
        <v>PLACA DE SINALIZAÇÃO EXTINTOR DE INCÊNDIO FOTOLUMINESCENTE 14X14 CM, CONFORME NBR 13434, FORNECIMENTO E INSTALAÇÃO</v>
      </c>
      <c r="D1205" s="622"/>
      <c r="E1205" s="622"/>
      <c r="F1205" s="622"/>
      <c r="G1205" s="622"/>
      <c r="H1205" s="35"/>
      <c r="I1205" s="35"/>
      <c r="J1205" s="157"/>
    </row>
    <row r="1206" spans="2:10" s="156" customFormat="1" x14ac:dyDescent="0.25">
      <c r="B1206" s="113" t="s">
        <v>84</v>
      </c>
      <c r="C1206" s="236" t="s">
        <v>85</v>
      </c>
      <c r="D1206" s="113" t="s">
        <v>31</v>
      </c>
      <c r="E1206" s="237" t="s">
        <v>86</v>
      </c>
      <c r="F1206" s="238" t="s">
        <v>87</v>
      </c>
      <c r="G1206" s="239" t="s">
        <v>88</v>
      </c>
      <c r="H1206" s="35"/>
      <c r="I1206" s="35"/>
      <c r="J1206" s="157"/>
    </row>
    <row r="1207" spans="2:10" s="156" customFormat="1" ht="47.25" x14ac:dyDescent="0.25">
      <c r="B1207" s="583" t="s">
        <v>871</v>
      </c>
      <c r="C1207" s="240" t="s">
        <v>879</v>
      </c>
      <c r="D1207" s="382" t="s">
        <v>31</v>
      </c>
      <c r="E1207" s="48">
        <v>1</v>
      </c>
      <c r="F1207" s="572">
        <v>10.9</v>
      </c>
      <c r="G1207" s="243">
        <f>E1207*F1207</f>
        <v>10.9</v>
      </c>
      <c r="H1207" s="35"/>
      <c r="I1207" s="35"/>
      <c r="J1207" s="157"/>
    </row>
    <row r="1208" spans="2:10" s="156" customFormat="1" x14ac:dyDescent="0.25">
      <c r="B1208" s="599" t="s">
        <v>867</v>
      </c>
      <c r="C1208" s="312" t="s">
        <v>94</v>
      </c>
      <c r="D1208" s="382" t="s">
        <v>91</v>
      </c>
      <c r="E1208" s="102">
        <v>0.3</v>
      </c>
      <c r="F1208" s="509">
        <v>18.84</v>
      </c>
      <c r="G1208" s="243">
        <f>E1208*F1208</f>
        <v>5.6520000000000001</v>
      </c>
      <c r="H1208" s="35"/>
      <c r="I1208" s="35"/>
      <c r="J1208" s="157"/>
    </row>
    <row r="1209" spans="2:10" s="156" customFormat="1" x14ac:dyDescent="0.25">
      <c r="B1209" s="636" t="s">
        <v>34</v>
      </c>
      <c r="C1209" s="637"/>
      <c r="D1209" s="637"/>
      <c r="E1209" s="637"/>
      <c r="F1209" s="638"/>
      <c r="G1209" s="245">
        <f>SUM(G1207:G1208)</f>
        <v>16.552</v>
      </c>
      <c r="H1209" s="35"/>
      <c r="I1209" s="35"/>
      <c r="J1209" s="157"/>
    </row>
    <row r="1210" spans="2:10" s="156" customFormat="1" x14ac:dyDescent="0.25">
      <c r="B1210" s="249"/>
      <c r="C1210" s="249"/>
      <c r="D1210" s="473"/>
      <c r="E1210" s="386"/>
      <c r="F1210" s="249"/>
      <c r="G1210" s="249"/>
      <c r="H1210" s="35"/>
      <c r="I1210" s="35"/>
      <c r="J1210" s="157"/>
    </row>
    <row r="1211" spans="2:10" s="156" customFormat="1" ht="37.5" customHeight="1" x14ac:dyDescent="0.25">
      <c r="B1211" s="165" t="s">
        <v>134</v>
      </c>
      <c r="C1211" s="622" t="str">
        <f>ORÇAMENTO!C423</f>
        <v>PLACA SINALIZAÇÃO PROIBIÇÃO E ALERTA, CERTIFICADA 20X20CM - CONFORME NBR 13434, FORNECIMENTO E INSTALAÇÃO</v>
      </c>
      <c r="D1211" s="622"/>
      <c r="E1211" s="622"/>
      <c r="F1211" s="622"/>
      <c r="G1211" s="622"/>
      <c r="H1211" s="35"/>
      <c r="I1211" s="35"/>
      <c r="J1211" s="157"/>
    </row>
    <row r="1212" spans="2:10" s="156" customFormat="1" x14ac:dyDescent="0.25">
      <c r="B1212" s="113" t="s">
        <v>84</v>
      </c>
      <c r="C1212" s="236" t="s">
        <v>85</v>
      </c>
      <c r="D1212" s="113" t="s">
        <v>31</v>
      </c>
      <c r="E1212" s="237" t="s">
        <v>86</v>
      </c>
      <c r="F1212" s="238" t="s">
        <v>87</v>
      </c>
      <c r="G1212" s="239" t="s">
        <v>88</v>
      </c>
      <c r="H1212" s="35"/>
      <c r="I1212" s="35"/>
      <c r="J1212" s="157"/>
    </row>
    <row r="1213" spans="2:10" s="156" customFormat="1" ht="47.25" x14ac:dyDescent="0.25">
      <c r="B1213" s="583" t="s">
        <v>870</v>
      </c>
      <c r="C1213" s="240" t="s">
        <v>878</v>
      </c>
      <c r="D1213" s="382" t="s">
        <v>31</v>
      </c>
      <c r="E1213" s="48">
        <v>1</v>
      </c>
      <c r="F1213" s="242">
        <v>21.08</v>
      </c>
      <c r="G1213" s="243">
        <f>E1213*F1213</f>
        <v>21.08</v>
      </c>
      <c r="H1213" s="35"/>
      <c r="I1213" s="35"/>
      <c r="J1213" s="157"/>
    </row>
    <row r="1214" spans="2:10" x14ac:dyDescent="0.25">
      <c r="B1214" s="599" t="s">
        <v>867</v>
      </c>
      <c r="C1214" s="312" t="s">
        <v>94</v>
      </c>
      <c r="D1214" s="382" t="s">
        <v>91</v>
      </c>
      <c r="E1214" s="102">
        <v>0.3</v>
      </c>
      <c r="F1214" s="384">
        <v>18.84</v>
      </c>
      <c r="G1214" s="243">
        <f>E1214*F1214</f>
        <v>5.6520000000000001</v>
      </c>
      <c r="J1214" s="157"/>
    </row>
    <row r="1215" spans="2:10" x14ac:dyDescent="0.25">
      <c r="B1215" s="636" t="s">
        <v>34</v>
      </c>
      <c r="C1215" s="637"/>
      <c r="D1215" s="637"/>
      <c r="E1215" s="637"/>
      <c r="F1215" s="638"/>
      <c r="G1215" s="245">
        <f>SUM(G1213:G1214)</f>
        <v>26.731999999999999</v>
      </c>
      <c r="J1215" s="157"/>
    </row>
    <row r="1217" spans="1:10" ht="45" customHeight="1" x14ac:dyDescent="0.25">
      <c r="B1217" s="165" t="s">
        <v>135</v>
      </c>
      <c r="C1217" s="622" t="str">
        <f>ORÇAMENTO!C424</f>
        <v>PLACA SINALIZAÇÃO ORIENTAÇÃO E SALVAMENTO, CÓDIGOS 13 e 14 DO PROJETO PPCI, FOTOLUMINESCENTE, CERTIFICADA 13X26CM - CONFORME NBR 13434 - FORNECIMENTO E INSTALAÇÃO</v>
      </c>
      <c r="D1217" s="622"/>
      <c r="E1217" s="622"/>
      <c r="F1217" s="622"/>
      <c r="G1217" s="622"/>
      <c r="J1217" s="157"/>
    </row>
    <row r="1218" spans="1:10" x14ac:dyDescent="0.25">
      <c r="B1218" s="113" t="s">
        <v>84</v>
      </c>
      <c r="C1218" s="236" t="s">
        <v>85</v>
      </c>
      <c r="D1218" s="113" t="s">
        <v>31</v>
      </c>
      <c r="E1218" s="237" t="s">
        <v>86</v>
      </c>
      <c r="F1218" s="238" t="s">
        <v>87</v>
      </c>
      <c r="G1218" s="239" t="s">
        <v>88</v>
      </c>
      <c r="J1218" s="157"/>
    </row>
    <row r="1219" spans="1:10" ht="47.25" x14ac:dyDescent="0.25">
      <c r="B1219" s="583" t="s">
        <v>869</v>
      </c>
      <c r="C1219" s="240" t="s">
        <v>880</v>
      </c>
      <c r="D1219" s="382" t="s">
        <v>31</v>
      </c>
      <c r="E1219" s="48">
        <v>1</v>
      </c>
      <c r="F1219" s="242">
        <v>18.23</v>
      </c>
      <c r="G1219" s="243">
        <f>E1219*F1219</f>
        <v>18.23</v>
      </c>
      <c r="J1219" s="157"/>
    </row>
    <row r="1220" spans="1:10" x14ac:dyDescent="0.25">
      <c r="B1220" s="599" t="s">
        <v>867</v>
      </c>
      <c r="C1220" s="312" t="s">
        <v>94</v>
      </c>
      <c r="D1220" s="382" t="s">
        <v>91</v>
      </c>
      <c r="E1220" s="102">
        <v>0.3</v>
      </c>
      <c r="F1220" s="384">
        <v>18.84</v>
      </c>
      <c r="G1220" s="243">
        <f>E1220*F1220</f>
        <v>5.6520000000000001</v>
      </c>
      <c r="J1220" s="157"/>
    </row>
    <row r="1221" spans="1:10" x14ac:dyDescent="0.25">
      <c r="B1221" s="636" t="s">
        <v>34</v>
      </c>
      <c r="C1221" s="637"/>
      <c r="D1221" s="637"/>
      <c r="E1221" s="637"/>
      <c r="F1221" s="638"/>
      <c r="G1221" s="245">
        <f>SUM(G1219:G1220)</f>
        <v>23.882000000000001</v>
      </c>
      <c r="J1221" s="157"/>
    </row>
    <row r="1222" spans="1:10" s="155" customFormat="1" x14ac:dyDescent="0.25">
      <c r="A1222" s="11"/>
      <c r="B1222" s="249"/>
      <c r="C1222" s="249"/>
      <c r="D1222" s="473"/>
      <c r="E1222" s="386"/>
      <c r="F1222" s="249"/>
      <c r="G1222" s="249"/>
      <c r="H1222" s="35"/>
      <c r="I1222" s="35"/>
      <c r="J1222" s="22"/>
    </row>
    <row r="1223" spans="1:10" ht="33.75" customHeight="1" x14ac:dyDescent="0.25">
      <c r="B1223" s="165" t="s">
        <v>452</v>
      </c>
      <c r="C1223" s="622" t="str">
        <f>ORÇAMENTO!C425</f>
        <v>PLACA SINALIZAÇÃO ALERTA DE SAÍDA, CERTIFICADA 13X26CM - CONFORME NBR 13434 - FORNECIMENTO E INSTALAÇÃO</v>
      </c>
      <c r="D1223" s="622"/>
      <c r="E1223" s="622"/>
      <c r="F1223" s="622"/>
      <c r="G1223" s="622"/>
      <c r="J1223" s="157"/>
    </row>
    <row r="1224" spans="1:10" x14ac:dyDescent="0.25">
      <c r="B1224" s="113" t="s">
        <v>84</v>
      </c>
      <c r="C1224" s="236" t="s">
        <v>85</v>
      </c>
      <c r="D1224" s="113" t="s">
        <v>31</v>
      </c>
      <c r="E1224" s="237" t="s">
        <v>86</v>
      </c>
      <c r="F1224" s="238" t="s">
        <v>87</v>
      </c>
      <c r="G1224" s="239" t="s">
        <v>88</v>
      </c>
      <c r="J1224" s="157"/>
    </row>
    <row r="1225" spans="1:10" ht="47.25" x14ac:dyDescent="0.25">
      <c r="B1225" s="583" t="s">
        <v>869</v>
      </c>
      <c r="C1225" s="240" t="s">
        <v>880</v>
      </c>
      <c r="D1225" s="382" t="s">
        <v>31</v>
      </c>
      <c r="E1225" s="48">
        <v>1</v>
      </c>
      <c r="F1225" s="242">
        <v>18.23</v>
      </c>
      <c r="G1225" s="243">
        <f>E1225*F1225</f>
        <v>18.23</v>
      </c>
      <c r="J1225" s="157"/>
    </row>
    <row r="1226" spans="1:10" x14ac:dyDescent="0.25">
      <c r="B1226" s="599" t="s">
        <v>867</v>
      </c>
      <c r="C1226" s="312" t="s">
        <v>94</v>
      </c>
      <c r="D1226" s="382" t="s">
        <v>91</v>
      </c>
      <c r="E1226" s="102">
        <v>0.3</v>
      </c>
      <c r="F1226" s="384">
        <v>18.84</v>
      </c>
      <c r="G1226" s="243">
        <f>E1226*F1226</f>
        <v>5.6520000000000001</v>
      </c>
      <c r="J1226" s="157"/>
    </row>
    <row r="1227" spans="1:10" x14ac:dyDescent="0.25">
      <c r="B1227" s="636" t="s">
        <v>34</v>
      </c>
      <c r="C1227" s="637"/>
      <c r="D1227" s="637"/>
      <c r="E1227" s="637"/>
      <c r="F1227" s="638"/>
      <c r="G1227" s="245">
        <f>SUM(G1225:G1226)</f>
        <v>23.882000000000001</v>
      </c>
      <c r="J1227" s="157"/>
    </row>
    <row r="1228" spans="1:10" x14ac:dyDescent="0.25">
      <c r="J1228" s="157"/>
    </row>
    <row r="1229" spans="1:10" ht="38.25" customHeight="1" x14ac:dyDescent="0.25">
      <c r="B1229" s="165" t="s">
        <v>137</v>
      </c>
      <c r="C1229" s="622" t="str">
        <f>ORÇAMENTO!C426</f>
        <v>PLACA SINALIZAÇÃO ALERTA DE SAÍDA, CERTIFICADA 20X40CM - CONFORME NBR 13434 - FORNECIMENTO E INSTALAÇÃO</v>
      </c>
      <c r="D1229" s="622"/>
      <c r="E1229" s="622"/>
      <c r="F1229" s="622"/>
      <c r="G1229" s="622"/>
      <c r="J1229" s="157"/>
    </row>
    <row r="1230" spans="1:10" x14ac:dyDescent="0.25">
      <c r="B1230" s="113" t="s">
        <v>84</v>
      </c>
      <c r="C1230" s="236" t="s">
        <v>85</v>
      </c>
      <c r="D1230" s="113" t="s">
        <v>31</v>
      </c>
      <c r="E1230" s="237" t="s">
        <v>86</v>
      </c>
      <c r="F1230" s="238" t="s">
        <v>87</v>
      </c>
      <c r="G1230" s="239" t="s">
        <v>88</v>
      </c>
      <c r="J1230" s="157"/>
    </row>
    <row r="1231" spans="1:10" s="155" customFormat="1" ht="41.25" customHeight="1" x14ac:dyDescent="0.25">
      <c r="A1231" s="11"/>
      <c r="B1231" s="583" t="s">
        <v>872</v>
      </c>
      <c r="C1231" s="240" t="s">
        <v>881</v>
      </c>
      <c r="D1231" s="382" t="s">
        <v>31</v>
      </c>
      <c r="E1231" s="48">
        <v>1</v>
      </c>
      <c r="F1231" s="242">
        <v>33.99</v>
      </c>
      <c r="G1231" s="243">
        <f>E1231*F1231</f>
        <v>33.99</v>
      </c>
      <c r="H1231" s="35"/>
      <c r="I1231" s="35"/>
      <c r="J1231" s="22"/>
    </row>
    <row r="1232" spans="1:10" x14ac:dyDescent="0.25">
      <c r="B1232" s="599" t="s">
        <v>867</v>
      </c>
      <c r="C1232" s="312" t="s">
        <v>94</v>
      </c>
      <c r="D1232" s="382" t="s">
        <v>91</v>
      </c>
      <c r="E1232" s="102">
        <v>0.3</v>
      </c>
      <c r="F1232" s="384">
        <v>18.84</v>
      </c>
      <c r="G1232" s="243">
        <f>E1232*F1232</f>
        <v>5.6520000000000001</v>
      </c>
      <c r="J1232" s="157"/>
    </row>
    <row r="1233" spans="1:10" x14ac:dyDescent="0.25">
      <c r="B1233" s="636" t="s">
        <v>34</v>
      </c>
      <c r="C1233" s="637"/>
      <c r="D1233" s="637"/>
      <c r="E1233" s="637"/>
      <c r="F1233" s="638"/>
      <c r="G1233" s="245">
        <f>SUM(G1231:G1232)</f>
        <v>39.642000000000003</v>
      </c>
      <c r="J1233" s="157"/>
    </row>
    <row r="1234" spans="1:10" x14ac:dyDescent="0.25">
      <c r="J1234" s="157"/>
    </row>
    <row r="1235" spans="1:10" ht="35.25" customHeight="1" x14ac:dyDescent="0.25">
      <c r="B1235" s="165" t="s">
        <v>138</v>
      </c>
      <c r="C1235" s="622" t="str">
        <f>ORÇAMENTO!C427</f>
        <v>LUMINÁRIA DE EMERGÊNCIA, FORNECIMENTO E INSTALAÇÃO</v>
      </c>
      <c r="D1235" s="622"/>
      <c r="E1235" s="622"/>
      <c r="F1235" s="622"/>
      <c r="G1235" s="622"/>
      <c r="J1235" s="157"/>
    </row>
    <row r="1236" spans="1:10" x14ac:dyDescent="0.25">
      <c r="B1236" s="113" t="s">
        <v>84</v>
      </c>
      <c r="C1236" s="236" t="s">
        <v>85</v>
      </c>
      <c r="D1236" s="113" t="s">
        <v>31</v>
      </c>
      <c r="E1236" s="237" t="s">
        <v>86</v>
      </c>
      <c r="F1236" s="238" t="s">
        <v>87</v>
      </c>
      <c r="G1236" s="239" t="s">
        <v>88</v>
      </c>
      <c r="J1236" s="157"/>
    </row>
    <row r="1237" spans="1:10" x14ac:dyDescent="0.25">
      <c r="B1237" s="583" t="s">
        <v>873</v>
      </c>
      <c r="C1237" s="240" t="s">
        <v>882</v>
      </c>
      <c r="D1237" s="382" t="s">
        <v>31</v>
      </c>
      <c r="E1237" s="48">
        <v>1</v>
      </c>
      <c r="F1237" s="242">
        <v>22.36</v>
      </c>
      <c r="G1237" s="243">
        <f>E1237*F1237</f>
        <v>22.36</v>
      </c>
      <c r="J1237" s="157"/>
    </row>
    <row r="1238" spans="1:10" x14ac:dyDescent="0.25">
      <c r="B1238" s="599" t="s">
        <v>867</v>
      </c>
      <c r="C1238" s="312" t="s">
        <v>94</v>
      </c>
      <c r="D1238" s="382" t="s">
        <v>91</v>
      </c>
      <c r="E1238" s="102">
        <v>0.5</v>
      </c>
      <c r="F1238" s="384">
        <v>18.84</v>
      </c>
      <c r="G1238" s="243">
        <f>E1238*F1238</f>
        <v>9.42</v>
      </c>
      <c r="J1238" s="157"/>
    </row>
    <row r="1239" spans="1:10" x14ac:dyDescent="0.25">
      <c r="B1239" s="636" t="s">
        <v>34</v>
      </c>
      <c r="C1239" s="637"/>
      <c r="D1239" s="637"/>
      <c r="E1239" s="637"/>
      <c r="F1239" s="638"/>
      <c r="G1239" s="245">
        <f>SUM(G1237:G1238)</f>
        <v>31.78</v>
      </c>
      <c r="J1239" s="157"/>
    </row>
    <row r="1240" spans="1:10" s="155" customFormat="1" x14ac:dyDescent="0.25">
      <c r="A1240" s="11"/>
      <c r="B1240" s="35"/>
      <c r="C1240" s="35"/>
      <c r="D1240" s="480"/>
      <c r="E1240" s="35"/>
      <c r="F1240" s="35"/>
      <c r="G1240" s="35"/>
      <c r="H1240" s="35"/>
      <c r="I1240" s="35"/>
      <c r="J1240" s="22"/>
    </row>
    <row r="1241" spans="1:10" s="156" customFormat="1" x14ac:dyDescent="0.25">
      <c r="B1241" s="629" t="s">
        <v>1154</v>
      </c>
      <c r="C1241" s="629"/>
      <c r="D1241" s="629"/>
      <c r="E1241" s="629"/>
      <c r="F1241" s="629"/>
      <c r="G1241" s="629"/>
      <c r="H1241" s="629"/>
      <c r="I1241" s="629"/>
      <c r="J1241" s="157"/>
    </row>
    <row r="1242" spans="1:10" x14ac:dyDescent="0.25">
      <c r="J1242" s="157"/>
    </row>
    <row r="1243" spans="1:10" s="155" customFormat="1" ht="41.25" customHeight="1" x14ac:dyDescent="0.25">
      <c r="A1243" s="11"/>
      <c r="B1243" s="315" t="s">
        <v>738</v>
      </c>
      <c r="C1243" s="618" t="str">
        <f>ORÇAMENTO!C433</f>
        <v xml:space="preserve">CRUZETA DE FERRO GALVANIZADO DE 1/2" - FORNECIMENTO E INSTALAÇÃO </v>
      </c>
      <c r="D1243" s="618"/>
      <c r="E1243" s="618"/>
      <c r="F1243" s="618"/>
      <c r="G1243" s="618"/>
      <c r="H1243" s="618"/>
      <c r="I1243" s="618"/>
      <c r="J1243" s="22"/>
    </row>
    <row r="1244" spans="1:10" s="156" customFormat="1" x14ac:dyDescent="0.25">
      <c r="B1244" s="643" t="s">
        <v>84</v>
      </c>
      <c r="C1244" s="643" t="s">
        <v>85</v>
      </c>
      <c r="D1244" s="643" t="s">
        <v>31</v>
      </c>
      <c r="E1244" s="646" t="s">
        <v>86</v>
      </c>
      <c r="F1244" s="648" t="s">
        <v>87</v>
      </c>
      <c r="G1244" s="649"/>
      <c r="H1244" s="648" t="s">
        <v>789</v>
      </c>
      <c r="I1244" s="649"/>
      <c r="J1244" s="157"/>
    </row>
    <row r="1245" spans="1:10" s="156" customFormat="1" x14ac:dyDescent="0.25">
      <c r="B1245" s="643"/>
      <c r="C1245" s="644"/>
      <c r="D1245" s="645"/>
      <c r="E1245" s="647"/>
      <c r="F1245" s="387" t="s">
        <v>788</v>
      </c>
      <c r="G1245" s="387" t="s">
        <v>687</v>
      </c>
      <c r="H1245" s="387" t="s">
        <v>788</v>
      </c>
      <c r="I1245" s="387" t="s">
        <v>687</v>
      </c>
      <c r="J1245" s="157"/>
    </row>
    <row r="1246" spans="1:10" s="156" customFormat="1" x14ac:dyDescent="0.25">
      <c r="B1246" s="597" t="s">
        <v>705</v>
      </c>
      <c r="C1246" s="389" t="s">
        <v>94</v>
      </c>
      <c r="D1246" s="390" t="s">
        <v>91</v>
      </c>
      <c r="E1246" s="391">
        <v>0.35</v>
      </c>
      <c r="F1246" s="392"/>
      <c r="G1246" s="393">
        <v>18.84</v>
      </c>
      <c r="H1246" s="392">
        <v>0</v>
      </c>
      <c r="I1246" s="392">
        <f>G1246*E1246</f>
        <v>6.5939999999999994</v>
      </c>
      <c r="J1246" s="511"/>
    </row>
    <row r="1247" spans="1:10" s="156" customFormat="1" x14ac:dyDescent="0.25">
      <c r="B1247" s="597" t="s">
        <v>695</v>
      </c>
      <c r="C1247" s="394" t="s">
        <v>106</v>
      </c>
      <c r="D1247" s="390" t="s">
        <v>91</v>
      </c>
      <c r="E1247" s="391">
        <v>0.35</v>
      </c>
      <c r="F1247" s="392"/>
      <c r="G1247" s="392">
        <v>22.36</v>
      </c>
      <c r="H1247" s="392">
        <v>0</v>
      </c>
      <c r="I1247" s="392">
        <f>G1247*E1247</f>
        <v>7.8259999999999996</v>
      </c>
      <c r="J1247" s="157"/>
    </row>
    <row r="1248" spans="1:10" s="156" customFormat="1" x14ac:dyDescent="0.25">
      <c r="B1248" s="598" t="s">
        <v>792</v>
      </c>
      <c r="C1248" s="395" t="s">
        <v>761</v>
      </c>
      <c r="D1248" s="390" t="s">
        <v>50</v>
      </c>
      <c r="E1248" s="391">
        <v>1.2999999999999999E-2</v>
      </c>
      <c r="F1248" s="392">
        <v>15.82</v>
      </c>
      <c r="G1248" s="392"/>
      <c r="H1248" s="392">
        <f>F1248*E1248</f>
        <v>0.20565999999999998</v>
      </c>
      <c r="I1248" s="392">
        <v>0</v>
      </c>
      <c r="J1248" s="157"/>
    </row>
    <row r="1249" spans="1:10" s="156" customFormat="1" x14ac:dyDescent="0.25">
      <c r="B1249" s="597" t="s">
        <v>797</v>
      </c>
      <c r="C1249" s="389" t="s">
        <v>734</v>
      </c>
      <c r="D1249" s="390" t="s">
        <v>50</v>
      </c>
      <c r="E1249" s="391">
        <v>1</v>
      </c>
      <c r="F1249" s="392">
        <v>18.64</v>
      </c>
      <c r="G1249" s="392">
        <v>0</v>
      </c>
      <c r="H1249" s="392">
        <f>F1249*E1249</f>
        <v>18.64</v>
      </c>
      <c r="I1249" s="392">
        <v>0</v>
      </c>
      <c r="J1249" s="157"/>
    </row>
    <row r="1250" spans="1:10" s="156" customFormat="1" x14ac:dyDescent="0.25">
      <c r="B1250" s="597" t="s">
        <v>798</v>
      </c>
      <c r="C1250" s="389" t="s">
        <v>735</v>
      </c>
      <c r="D1250" s="390" t="s">
        <v>11</v>
      </c>
      <c r="E1250" s="391">
        <v>0.03</v>
      </c>
      <c r="F1250" s="392">
        <v>36.700000000000003</v>
      </c>
      <c r="G1250" s="392">
        <v>0</v>
      </c>
      <c r="H1250" s="392">
        <f>F1250*E1250</f>
        <v>1.101</v>
      </c>
      <c r="I1250" s="392">
        <v>0</v>
      </c>
      <c r="J1250" s="157"/>
    </row>
    <row r="1251" spans="1:10" s="156" customFormat="1" x14ac:dyDescent="0.25">
      <c r="B1251" s="396"/>
      <c r="C1251" s="395"/>
      <c r="D1251" s="390"/>
      <c r="E1251" s="397"/>
      <c r="F1251" s="398"/>
      <c r="G1251" s="399" t="s">
        <v>690</v>
      </c>
      <c r="H1251" s="400">
        <f>SUM(H1246:H1250)</f>
        <v>19.946660000000001</v>
      </c>
      <c r="I1251" s="400">
        <f>SUM(I1246:I1250)</f>
        <v>14.419999999999998</v>
      </c>
      <c r="J1251" s="157"/>
    </row>
    <row r="1252" spans="1:10" s="156" customFormat="1" x14ac:dyDescent="0.25">
      <c r="B1252" s="401"/>
      <c r="C1252" s="401"/>
      <c r="D1252" s="483"/>
      <c r="E1252" s="402"/>
      <c r="F1252" s="642" t="s">
        <v>791</v>
      </c>
      <c r="G1252" s="642"/>
      <c r="H1252" s="642">
        <f>H1251+I1251</f>
        <v>34.366659999999996</v>
      </c>
      <c r="I1252" s="642"/>
      <c r="J1252" s="157"/>
    </row>
    <row r="1253" spans="1:10" s="156" customFormat="1" x14ac:dyDescent="0.25">
      <c r="B1253" s="249"/>
      <c r="C1253" s="249"/>
      <c r="D1253" s="473"/>
      <c r="E1253" s="386"/>
      <c r="F1253" s="249"/>
      <c r="G1253" s="249"/>
      <c r="H1253" s="35"/>
      <c r="I1253" s="35"/>
      <c r="J1253" s="157"/>
    </row>
    <row r="1254" spans="1:10" s="155" customFormat="1" ht="41.25" customHeight="1" x14ac:dyDescent="0.25">
      <c r="A1254" s="11"/>
      <c r="B1254" s="315" t="s">
        <v>739</v>
      </c>
      <c r="C1254" s="618" t="str">
        <f>ORÇAMENTO!C436</f>
        <v>PROTEÇÃO DE TUBULAÇÃO ENTERRADA COM FITA 3M SCOTCHRAP - FORNECIMENTO E INSTALAÇÃO</v>
      </c>
      <c r="D1254" s="618"/>
      <c r="E1254" s="618"/>
      <c r="F1254" s="618"/>
      <c r="G1254" s="618"/>
      <c r="H1254" s="618"/>
      <c r="I1254" s="618"/>
      <c r="J1254" s="22"/>
    </row>
    <row r="1255" spans="1:10" x14ac:dyDescent="0.25">
      <c r="B1255" s="643" t="s">
        <v>84</v>
      </c>
      <c r="C1255" s="643" t="s">
        <v>85</v>
      </c>
      <c r="D1255" s="643" t="s">
        <v>31</v>
      </c>
      <c r="E1255" s="646" t="s">
        <v>86</v>
      </c>
      <c r="F1255" s="648" t="s">
        <v>87</v>
      </c>
      <c r="G1255" s="649"/>
      <c r="H1255" s="648" t="s">
        <v>789</v>
      </c>
      <c r="I1255" s="649"/>
      <c r="J1255" s="157"/>
    </row>
    <row r="1256" spans="1:10" x14ac:dyDescent="0.25">
      <c r="B1256" s="643"/>
      <c r="C1256" s="644"/>
      <c r="D1256" s="645"/>
      <c r="E1256" s="647"/>
      <c r="F1256" s="387" t="s">
        <v>788</v>
      </c>
      <c r="G1256" s="387" t="s">
        <v>687</v>
      </c>
      <c r="H1256" s="387" t="s">
        <v>788</v>
      </c>
      <c r="I1256" s="387" t="s">
        <v>687</v>
      </c>
      <c r="J1256" s="157"/>
    </row>
    <row r="1257" spans="1:10" x14ac:dyDescent="0.25">
      <c r="B1257" s="596" t="s">
        <v>1937</v>
      </c>
      <c r="C1257" s="403" t="s">
        <v>767</v>
      </c>
      <c r="D1257" s="390" t="s">
        <v>73</v>
      </c>
      <c r="E1257" s="397">
        <v>2.0099999999999998</v>
      </c>
      <c r="F1257" s="404">
        <v>5.46</v>
      </c>
      <c r="G1257" s="404">
        <v>0</v>
      </c>
      <c r="H1257" s="404">
        <f>F1257*E1257</f>
        <v>10.974599999999999</v>
      </c>
      <c r="I1257" s="404">
        <v>0</v>
      </c>
      <c r="J1257" s="157"/>
    </row>
    <row r="1258" spans="1:10" x14ac:dyDescent="0.25">
      <c r="B1258" s="596" t="s">
        <v>793</v>
      </c>
      <c r="C1258" s="405" t="s">
        <v>763</v>
      </c>
      <c r="D1258" s="390" t="s">
        <v>91</v>
      </c>
      <c r="E1258" s="397">
        <v>0.2</v>
      </c>
      <c r="F1258" s="404">
        <v>0</v>
      </c>
      <c r="G1258" s="392">
        <v>19.59</v>
      </c>
      <c r="H1258" s="404">
        <v>0</v>
      </c>
      <c r="I1258" s="404">
        <f>G1258*E1258</f>
        <v>3.9180000000000001</v>
      </c>
      <c r="J1258" s="157"/>
    </row>
    <row r="1259" spans="1:10" x14ac:dyDescent="0.25">
      <c r="B1259" s="395"/>
      <c r="C1259" s="395"/>
      <c r="D1259" s="390"/>
      <c r="E1259" s="397"/>
      <c r="F1259" s="406"/>
      <c r="G1259" s="406" t="s">
        <v>690</v>
      </c>
      <c r="H1259" s="406">
        <f>SUM(H1257:H1258)</f>
        <v>10.974599999999999</v>
      </c>
      <c r="I1259" s="406">
        <f>SUM(I1257:I1258)</f>
        <v>3.9180000000000001</v>
      </c>
      <c r="J1259" s="157"/>
    </row>
    <row r="1260" spans="1:10" x14ac:dyDescent="0.25">
      <c r="B1260" s="407"/>
      <c r="C1260" s="407"/>
      <c r="D1260" s="484"/>
      <c r="E1260" s="408"/>
      <c r="F1260" s="409" t="s">
        <v>155</v>
      </c>
      <c r="G1260" s="409"/>
      <c r="H1260" s="410">
        <f>H1259+I1259</f>
        <v>14.892599999999998</v>
      </c>
      <c r="I1260" s="410"/>
      <c r="J1260" s="157"/>
    </row>
    <row r="1261" spans="1:10" x14ac:dyDescent="0.25">
      <c r="B1261" s="411"/>
      <c r="C1261" s="411"/>
      <c r="D1261" s="485"/>
      <c r="E1261" s="412"/>
      <c r="F1261" s="413"/>
      <c r="G1261" s="414"/>
      <c r="H1261" s="414"/>
      <c r="I1261" s="414"/>
      <c r="J1261" s="157"/>
    </row>
    <row r="1262" spans="1:10" s="155" customFormat="1" ht="41.25" customHeight="1" x14ac:dyDescent="0.25">
      <c r="A1262" s="11"/>
      <c r="B1262" s="315" t="s">
        <v>740</v>
      </c>
      <c r="C1262" s="618" t="str">
        <f>ORÇAMENTO!C437</f>
        <v>CHICOTE FLEXÍVEL (PIG TAIL) - FORNECIMENTO E INSTALAÇÃO</v>
      </c>
      <c r="D1262" s="618"/>
      <c r="E1262" s="618"/>
      <c r="F1262" s="618"/>
      <c r="G1262" s="618"/>
      <c r="H1262" s="618"/>
      <c r="I1262" s="618"/>
      <c r="J1262" s="22"/>
    </row>
    <row r="1263" spans="1:10" x14ac:dyDescent="0.25">
      <c r="B1263" s="643" t="s">
        <v>84</v>
      </c>
      <c r="C1263" s="643" t="s">
        <v>85</v>
      </c>
      <c r="D1263" s="643" t="s">
        <v>31</v>
      </c>
      <c r="E1263" s="646" t="s">
        <v>86</v>
      </c>
      <c r="F1263" s="648" t="s">
        <v>87</v>
      </c>
      <c r="G1263" s="649"/>
      <c r="H1263" s="648" t="s">
        <v>789</v>
      </c>
      <c r="I1263" s="649"/>
      <c r="J1263" s="157"/>
    </row>
    <row r="1264" spans="1:10" x14ac:dyDescent="0.25">
      <c r="B1264" s="643"/>
      <c r="C1264" s="644"/>
      <c r="D1264" s="645"/>
      <c r="E1264" s="647"/>
      <c r="F1264" s="387" t="s">
        <v>788</v>
      </c>
      <c r="G1264" s="387" t="s">
        <v>687</v>
      </c>
      <c r="H1264" s="387" t="s">
        <v>788</v>
      </c>
      <c r="I1264" s="387" t="s">
        <v>687</v>
      </c>
      <c r="J1264" s="157"/>
    </row>
    <row r="1265" spans="1:10" x14ac:dyDescent="0.25">
      <c r="B1265" s="597" t="s">
        <v>1938</v>
      </c>
      <c r="C1265" s="389" t="s">
        <v>765</v>
      </c>
      <c r="D1265" s="390" t="s">
        <v>50</v>
      </c>
      <c r="E1265" s="391">
        <v>1</v>
      </c>
      <c r="F1265" s="392">
        <v>40.340000000000003</v>
      </c>
      <c r="G1265" s="392"/>
      <c r="H1265" s="392">
        <f>F1265*E1265</f>
        <v>40.340000000000003</v>
      </c>
      <c r="I1265" s="392">
        <v>0</v>
      </c>
      <c r="J1265" s="157"/>
    </row>
    <row r="1266" spans="1:10" x14ac:dyDescent="0.25">
      <c r="B1266" s="596" t="s">
        <v>695</v>
      </c>
      <c r="C1266" s="394" t="s">
        <v>766</v>
      </c>
      <c r="D1266" s="390" t="s">
        <v>91</v>
      </c>
      <c r="E1266" s="391">
        <v>0.15</v>
      </c>
      <c r="F1266" s="392"/>
      <c r="G1266" s="392">
        <v>22.36</v>
      </c>
      <c r="H1266" s="392">
        <v>0</v>
      </c>
      <c r="I1266" s="392">
        <f>G1266*E1266</f>
        <v>3.3539999999999996</v>
      </c>
      <c r="J1266" s="157"/>
    </row>
    <row r="1267" spans="1:10" x14ac:dyDescent="0.25">
      <c r="B1267" s="597" t="s">
        <v>705</v>
      </c>
      <c r="C1267" s="389" t="s">
        <v>94</v>
      </c>
      <c r="D1267" s="390" t="s">
        <v>91</v>
      </c>
      <c r="E1267" s="391">
        <v>0.15</v>
      </c>
      <c r="F1267" s="392"/>
      <c r="G1267" s="393">
        <v>18.84</v>
      </c>
      <c r="H1267" s="392">
        <v>0</v>
      </c>
      <c r="I1267" s="392">
        <f>G1267*E1267</f>
        <v>2.8260000000000001</v>
      </c>
      <c r="J1267" s="157"/>
    </row>
    <row r="1268" spans="1:10" x14ac:dyDescent="0.25">
      <c r="B1268" s="396"/>
      <c r="C1268" s="395"/>
      <c r="D1268" s="390"/>
      <c r="E1268" s="397"/>
      <c r="F1268" s="398"/>
      <c r="G1268" s="399" t="s">
        <v>690</v>
      </c>
      <c r="H1268" s="400">
        <f>SUM(H1265:H1267)</f>
        <v>40.340000000000003</v>
      </c>
      <c r="I1268" s="400">
        <f>SUM(I1265:I1267)</f>
        <v>6.18</v>
      </c>
      <c r="J1268" s="157"/>
    </row>
    <row r="1269" spans="1:10" x14ac:dyDescent="0.25">
      <c r="B1269" s="401"/>
      <c r="C1269" s="401"/>
      <c r="D1269" s="483"/>
      <c r="E1269" s="402"/>
      <c r="F1269" s="642" t="s">
        <v>791</v>
      </c>
      <c r="G1269" s="642"/>
      <c r="H1269" s="642">
        <f>H1268+I1268</f>
        <v>46.52</v>
      </c>
      <c r="I1269" s="642"/>
      <c r="J1269" s="157"/>
    </row>
    <row r="1270" spans="1:10" x14ac:dyDescent="0.25">
      <c r="B1270" s="411"/>
      <c r="C1270" s="411"/>
      <c r="D1270" s="485"/>
      <c r="E1270" s="412"/>
      <c r="F1270" s="413"/>
      <c r="G1270" s="414"/>
      <c r="H1270" s="414"/>
      <c r="I1270" s="414"/>
      <c r="J1270" s="157"/>
    </row>
    <row r="1271" spans="1:10" s="155" customFormat="1" ht="41.25" customHeight="1" x14ac:dyDescent="0.25">
      <c r="A1271" s="11"/>
      <c r="B1271" s="315" t="s">
        <v>741</v>
      </c>
      <c r="C1271" s="618" t="str">
        <f>ORÇAMENTO!C438</f>
        <v>REGULADOR DE PRESSÃO DE 1º ESTÁGIO COM VÁLVULA DE BLOQUEIO POR SOBREPRESSÃO. PRESSÃO DE SAÍDA MÁXIMA 150 KPA. MARCA CLESSE OU EQUIVALENTE TÉCNICO. VAZÃO: 20 KG/H - FORNECIMENTO E INSTALAÇÃO</v>
      </c>
      <c r="D1271" s="618"/>
      <c r="E1271" s="618"/>
      <c r="F1271" s="618"/>
      <c r="G1271" s="618"/>
      <c r="H1271" s="618"/>
      <c r="I1271" s="618"/>
      <c r="J1271" s="22"/>
    </row>
    <row r="1272" spans="1:10" x14ac:dyDescent="0.25">
      <c r="B1272" s="643" t="s">
        <v>84</v>
      </c>
      <c r="C1272" s="643" t="s">
        <v>85</v>
      </c>
      <c r="D1272" s="643" t="s">
        <v>31</v>
      </c>
      <c r="E1272" s="646" t="s">
        <v>86</v>
      </c>
      <c r="F1272" s="648" t="s">
        <v>87</v>
      </c>
      <c r="G1272" s="649"/>
      <c r="H1272" s="648" t="s">
        <v>789</v>
      </c>
      <c r="I1272" s="649"/>
      <c r="J1272" s="157"/>
    </row>
    <row r="1273" spans="1:10" x14ac:dyDescent="0.25">
      <c r="B1273" s="643"/>
      <c r="C1273" s="644"/>
      <c r="D1273" s="645"/>
      <c r="E1273" s="647"/>
      <c r="F1273" s="387" t="s">
        <v>788</v>
      </c>
      <c r="G1273" s="387" t="s">
        <v>687</v>
      </c>
      <c r="H1273" s="387" t="s">
        <v>788</v>
      </c>
      <c r="I1273" s="387" t="s">
        <v>687</v>
      </c>
      <c r="J1273" s="157"/>
    </row>
    <row r="1274" spans="1:10" x14ac:dyDescent="0.25">
      <c r="B1274" s="597" t="s">
        <v>93</v>
      </c>
      <c r="C1274" s="389" t="s">
        <v>721</v>
      </c>
      <c r="D1274" s="390" t="s">
        <v>595</v>
      </c>
      <c r="E1274" s="391">
        <v>0.5</v>
      </c>
      <c r="F1274" s="392"/>
      <c r="G1274" s="393">
        <v>18.84</v>
      </c>
      <c r="H1274" s="392">
        <v>0</v>
      </c>
      <c r="I1274" s="392">
        <f>G1274*E1274</f>
        <v>9.42</v>
      </c>
      <c r="J1274" s="157"/>
    </row>
    <row r="1275" spans="1:10" x14ac:dyDescent="0.25">
      <c r="B1275" s="597" t="s">
        <v>105</v>
      </c>
      <c r="C1275" s="394" t="s">
        <v>106</v>
      </c>
      <c r="D1275" s="390" t="s">
        <v>595</v>
      </c>
      <c r="E1275" s="391">
        <v>0.5</v>
      </c>
      <c r="F1275" s="392"/>
      <c r="G1275" s="392">
        <v>22.36</v>
      </c>
      <c r="H1275" s="392">
        <v>0</v>
      </c>
      <c r="I1275" s="392">
        <f>G1275*E1275</f>
        <v>11.18</v>
      </c>
      <c r="J1275" s="157"/>
    </row>
    <row r="1276" spans="1:10" ht="31.5" x14ac:dyDescent="0.25">
      <c r="B1276" s="598" t="s">
        <v>1939</v>
      </c>
      <c r="C1276" s="415" t="s">
        <v>764</v>
      </c>
      <c r="D1276" s="390" t="s">
        <v>717</v>
      </c>
      <c r="E1276" s="416">
        <v>1</v>
      </c>
      <c r="F1276" s="392">
        <v>117.88</v>
      </c>
      <c r="G1276" s="392"/>
      <c r="H1276" s="392">
        <f>F1276*E1276</f>
        <v>117.88</v>
      </c>
      <c r="I1276" s="392">
        <v>0</v>
      </c>
      <c r="J1276" s="157"/>
    </row>
    <row r="1277" spans="1:10" x14ac:dyDescent="0.25">
      <c r="B1277" s="396"/>
      <c r="C1277" s="395"/>
      <c r="D1277" s="390"/>
      <c r="E1277" s="397"/>
      <c r="F1277" s="398"/>
      <c r="G1277" s="399" t="s">
        <v>690</v>
      </c>
      <c r="H1277" s="400">
        <f>SUM(H1274:H1276)</f>
        <v>117.88</v>
      </c>
      <c r="I1277" s="400">
        <f>SUM(I1274:I1276)</f>
        <v>20.6</v>
      </c>
      <c r="J1277" s="157"/>
    </row>
    <row r="1278" spans="1:10" x14ac:dyDescent="0.25">
      <c r="B1278" s="401"/>
      <c r="C1278" s="401"/>
      <c r="D1278" s="483"/>
      <c r="E1278" s="402"/>
      <c r="F1278" s="642" t="s">
        <v>791</v>
      </c>
      <c r="G1278" s="642"/>
      <c r="H1278" s="642">
        <f>H1277+I1277</f>
        <v>138.47999999999999</v>
      </c>
      <c r="I1278" s="642"/>
      <c r="J1278" s="157"/>
    </row>
    <row r="1279" spans="1:10" x14ac:dyDescent="0.25">
      <c r="B1279" s="411"/>
      <c r="C1279" s="411"/>
      <c r="D1279" s="485"/>
      <c r="E1279" s="412"/>
      <c r="F1279" s="413"/>
      <c r="G1279" s="414"/>
      <c r="H1279" s="414"/>
      <c r="I1279" s="414"/>
      <c r="J1279" s="157"/>
    </row>
    <row r="1280" spans="1:10" s="155" customFormat="1" ht="41.25" customHeight="1" x14ac:dyDescent="0.25">
      <c r="A1280" s="11"/>
      <c r="B1280" s="315" t="s">
        <v>742</v>
      </c>
      <c r="C1280" s="618" t="str">
        <f>ORÇAMENTO!C440</f>
        <v>ENSAIO DE ESTANQUEIDADE</v>
      </c>
      <c r="D1280" s="618"/>
      <c r="E1280" s="618"/>
      <c r="F1280" s="618"/>
      <c r="G1280" s="618"/>
      <c r="H1280" s="618"/>
      <c r="I1280" s="618"/>
      <c r="J1280" s="22"/>
    </row>
    <row r="1281" spans="1:10" x14ac:dyDescent="0.25">
      <c r="B1281" s="643" t="s">
        <v>84</v>
      </c>
      <c r="C1281" s="643" t="s">
        <v>85</v>
      </c>
      <c r="D1281" s="643" t="s">
        <v>31</v>
      </c>
      <c r="E1281" s="646" t="s">
        <v>86</v>
      </c>
      <c r="F1281" s="648" t="s">
        <v>87</v>
      </c>
      <c r="G1281" s="649"/>
      <c r="H1281" s="648" t="s">
        <v>789</v>
      </c>
      <c r="I1281" s="649"/>
      <c r="J1281" s="157"/>
    </row>
    <row r="1282" spans="1:10" x14ac:dyDescent="0.25">
      <c r="B1282" s="643"/>
      <c r="C1282" s="644"/>
      <c r="D1282" s="645"/>
      <c r="E1282" s="647"/>
      <c r="F1282" s="387" t="s">
        <v>788</v>
      </c>
      <c r="G1282" s="387" t="s">
        <v>687</v>
      </c>
      <c r="H1282" s="387" t="s">
        <v>788</v>
      </c>
      <c r="I1282" s="387" t="s">
        <v>687</v>
      </c>
      <c r="J1282" s="157"/>
    </row>
    <row r="1283" spans="1:10" x14ac:dyDescent="0.25">
      <c r="B1283" s="596" t="s">
        <v>1940</v>
      </c>
      <c r="C1283" s="394" t="s">
        <v>762</v>
      </c>
      <c r="D1283" s="390" t="s">
        <v>41</v>
      </c>
      <c r="E1283" s="397">
        <v>0.23231135195500441</v>
      </c>
      <c r="F1283" s="392">
        <v>22</v>
      </c>
      <c r="G1283" s="392"/>
      <c r="H1283" s="392">
        <f>F1283*E1283</f>
        <v>5.110849743010097</v>
      </c>
      <c r="I1283" s="392">
        <v>0</v>
      </c>
      <c r="J1283" s="157"/>
    </row>
    <row r="1284" spans="1:10" x14ac:dyDescent="0.25">
      <c r="B1284" s="596" t="s">
        <v>794</v>
      </c>
      <c r="C1284" s="405" t="s">
        <v>763</v>
      </c>
      <c r="D1284" s="390" t="s">
        <v>91</v>
      </c>
      <c r="E1284" s="397">
        <v>3</v>
      </c>
      <c r="F1284" s="392"/>
      <c r="G1284" s="393">
        <v>19.59</v>
      </c>
      <c r="H1284" s="392">
        <v>0</v>
      </c>
      <c r="I1284" s="392">
        <f>G1284*E1284</f>
        <v>58.769999999999996</v>
      </c>
      <c r="J1284" s="157"/>
    </row>
    <row r="1285" spans="1:10" x14ac:dyDescent="0.25">
      <c r="B1285" s="598" t="s">
        <v>795</v>
      </c>
      <c r="C1285" s="395" t="s">
        <v>761</v>
      </c>
      <c r="D1285" s="390" t="s">
        <v>244</v>
      </c>
      <c r="E1285" s="397">
        <v>1.2999999999999999E-2</v>
      </c>
      <c r="F1285" s="392">
        <v>15.82</v>
      </c>
      <c r="G1285" s="392"/>
      <c r="H1285" s="392">
        <f>F1285*E1285</f>
        <v>0.20565999999999998</v>
      </c>
      <c r="I1285" s="392">
        <v>0</v>
      </c>
      <c r="J1285" s="157"/>
    </row>
    <row r="1286" spans="1:10" x14ac:dyDescent="0.25">
      <c r="B1286" s="596" t="s">
        <v>105</v>
      </c>
      <c r="C1286" s="394" t="s">
        <v>106</v>
      </c>
      <c r="D1286" s="390" t="s">
        <v>91</v>
      </c>
      <c r="E1286" s="397">
        <v>3</v>
      </c>
      <c r="F1286" s="392"/>
      <c r="G1286" s="392">
        <v>22.36</v>
      </c>
      <c r="H1286" s="392">
        <v>0</v>
      </c>
      <c r="I1286" s="392">
        <f>G1286*E1286</f>
        <v>67.08</v>
      </c>
      <c r="J1286" s="157"/>
    </row>
    <row r="1287" spans="1:10" x14ac:dyDescent="0.25">
      <c r="B1287" s="395"/>
      <c r="C1287" s="395"/>
      <c r="D1287" s="390"/>
      <c r="E1287" s="397"/>
      <c r="F1287" s="395"/>
      <c r="G1287" s="399" t="s">
        <v>690</v>
      </c>
      <c r="H1287" s="400">
        <f>SUM(H1283:H1286)</f>
        <v>5.3165097430100969</v>
      </c>
      <c r="I1287" s="400">
        <f>SUM(I1283:I1286)</f>
        <v>125.85</v>
      </c>
      <c r="J1287" s="157"/>
    </row>
    <row r="1288" spans="1:10" x14ac:dyDescent="0.25">
      <c r="B1288" s="401"/>
      <c r="C1288" s="401"/>
      <c r="D1288" s="483"/>
      <c r="E1288" s="402"/>
      <c r="F1288" s="642" t="s">
        <v>791</v>
      </c>
      <c r="G1288" s="642"/>
      <c r="H1288" s="642">
        <f>H1287+I1287</f>
        <v>131.1665097430101</v>
      </c>
      <c r="I1288" s="642"/>
      <c r="J1288" s="157"/>
    </row>
    <row r="1289" spans="1:10" x14ac:dyDescent="0.25">
      <c r="B1289" s="411"/>
      <c r="C1289" s="411"/>
      <c r="D1289" s="485"/>
      <c r="E1289" s="412"/>
      <c r="F1289" s="413"/>
      <c r="G1289" s="414"/>
      <c r="H1289" s="414"/>
      <c r="I1289" s="414"/>
      <c r="J1289" s="157"/>
    </row>
    <row r="1290" spans="1:10" s="155" customFormat="1" ht="41.25" customHeight="1" x14ac:dyDescent="0.25">
      <c r="A1290" s="11"/>
      <c r="B1290" s="315" t="s">
        <v>743</v>
      </c>
      <c r="C1290" s="618" t="str">
        <f>ORÇAMENTO!C442</f>
        <v>UNIÃO DE AÇO GALVANIZADO COM ASSENTO CÔNICO ½" – FORNECIMENTO E INSTALAÇÃO</v>
      </c>
      <c r="D1290" s="618"/>
      <c r="E1290" s="618"/>
      <c r="F1290" s="618"/>
      <c r="G1290" s="618"/>
      <c r="H1290" s="618"/>
      <c r="I1290" s="618"/>
      <c r="J1290" s="22"/>
    </row>
    <row r="1291" spans="1:10" x14ac:dyDescent="0.25">
      <c r="B1291" s="643" t="s">
        <v>84</v>
      </c>
      <c r="C1291" s="643" t="s">
        <v>85</v>
      </c>
      <c r="D1291" s="643" t="s">
        <v>31</v>
      </c>
      <c r="E1291" s="646" t="s">
        <v>86</v>
      </c>
      <c r="F1291" s="648" t="s">
        <v>87</v>
      </c>
      <c r="G1291" s="649"/>
      <c r="H1291" s="648" t="s">
        <v>789</v>
      </c>
      <c r="I1291" s="649"/>
      <c r="J1291" s="157"/>
    </row>
    <row r="1292" spans="1:10" x14ac:dyDescent="0.25">
      <c r="B1292" s="643"/>
      <c r="C1292" s="644"/>
      <c r="D1292" s="645"/>
      <c r="E1292" s="647"/>
      <c r="F1292" s="387" t="s">
        <v>788</v>
      </c>
      <c r="G1292" s="387" t="s">
        <v>687</v>
      </c>
      <c r="H1292" s="387" t="s">
        <v>788</v>
      </c>
      <c r="I1292" s="387" t="s">
        <v>687</v>
      </c>
      <c r="J1292" s="157"/>
    </row>
    <row r="1293" spans="1:10" x14ac:dyDescent="0.25">
      <c r="B1293" s="597" t="s">
        <v>93</v>
      </c>
      <c r="C1293" s="389" t="s">
        <v>94</v>
      </c>
      <c r="D1293" s="390" t="s">
        <v>91</v>
      </c>
      <c r="E1293" s="391">
        <v>0.35</v>
      </c>
      <c r="F1293" s="392"/>
      <c r="G1293" s="393">
        <v>18.84</v>
      </c>
      <c r="H1293" s="392">
        <v>0</v>
      </c>
      <c r="I1293" s="392">
        <f>G1293*E1293</f>
        <v>6.5939999999999994</v>
      </c>
      <c r="J1293" s="157"/>
    </row>
    <row r="1294" spans="1:10" x14ac:dyDescent="0.25">
      <c r="B1294" s="597" t="s">
        <v>105</v>
      </c>
      <c r="C1294" s="394" t="s">
        <v>106</v>
      </c>
      <c r="D1294" s="390" t="s">
        <v>91</v>
      </c>
      <c r="E1294" s="391">
        <v>0.35</v>
      </c>
      <c r="F1294" s="392"/>
      <c r="G1294" s="392">
        <v>22.36</v>
      </c>
      <c r="H1294" s="392">
        <v>0</v>
      </c>
      <c r="I1294" s="392">
        <f>G1294*E1294</f>
        <v>7.8259999999999996</v>
      </c>
      <c r="J1294" s="157"/>
    </row>
    <row r="1295" spans="1:10" x14ac:dyDescent="0.25">
      <c r="B1295" s="598" t="s">
        <v>795</v>
      </c>
      <c r="C1295" s="395" t="s">
        <v>761</v>
      </c>
      <c r="D1295" s="390" t="s">
        <v>244</v>
      </c>
      <c r="E1295" s="391">
        <v>1.2999999999999999E-2</v>
      </c>
      <c r="F1295" s="392">
        <v>15.82</v>
      </c>
      <c r="G1295" s="392"/>
      <c r="H1295" s="392">
        <f>F1295*E1295</f>
        <v>0.20565999999999998</v>
      </c>
      <c r="I1295" s="392">
        <v>0</v>
      </c>
      <c r="J1295" s="157"/>
    </row>
    <row r="1296" spans="1:10" x14ac:dyDescent="0.25">
      <c r="B1296" s="597" t="s">
        <v>796</v>
      </c>
      <c r="C1296" s="389" t="s">
        <v>733</v>
      </c>
      <c r="D1296" s="390" t="s">
        <v>244</v>
      </c>
      <c r="E1296" s="391">
        <v>1</v>
      </c>
      <c r="F1296" s="392">
        <v>41.07</v>
      </c>
      <c r="G1296" s="392">
        <v>0</v>
      </c>
      <c r="H1296" s="392">
        <f>F1296*E1296</f>
        <v>41.07</v>
      </c>
      <c r="I1296" s="392">
        <v>0</v>
      </c>
      <c r="J1296" s="157"/>
    </row>
    <row r="1297" spans="1:10" x14ac:dyDescent="0.25">
      <c r="B1297" s="396"/>
      <c r="C1297" s="395"/>
      <c r="D1297" s="390"/>
      <c r="E1297" s="397"/>
      <c r="F1297" s="398"/>
      <c r="G1297" s="399" t="s">
        <v>690</v>
      </c>
      <c r="H1297" s="400">
        <f>SUM(H1293:H1296)</f>
        <v>41.275660000000002</v>
      </c>
      <c r="I1297" s="400">
        <f>SUM(I1293:I1296)</f>
        <v>14.419999999999998</v>
      </c>
      <c r="J1297" s="157"/>
    </row>
    <row r="1298" spans="1:10" x14ac:dyDescent="0.25">
      <c r="B1298" s="401"/>
      <c r="C1298" s="401"/>
      <c r="D1298" s="483"/>
      <c r="E1298" s="402"/>
      <c r="F1298" s="642" t="s">
        <v>791</v>
      </c>
      <c r="G1298" s="642"/>
      <c r="H1298" s="642">
        <f>H1297+I1297</f>
        <v>55.695660000000004</v>
      </c>
      <c r="I1298" s="642"/>
      <c r="J1298" s="157"/>
    </row>
    <row r="1299" spans="1:10" x14ac:dyDescent="0.25">
      <c r="B1299" s="411"/>
      <c r="C1299" s="411"/>
      <c r="D1299" s="485"/>
      <c r="E1299" s="412"/>
      <c r="F1299" s="413"/>
      <c r="G1299" s="414"/>
      <c r="H1299" s="414"/>
      <c r="I1299" s="414"/>
      <c r="J1299" s="157"/>
    </row>
    <row r="1300" spans="1:10" s="155" customFormat="1" ht="41.25" customHeight="1" x14ac:dyDescent="0.25">
      <c r="A1300" s="11"/>
      <c r="B1300" s="315" t="s">
        <v>744</v>
      </c>
      <c r="C1300" s="618" t="str">
        <f>ORÇAMENTO!C443</f>
        <v>CAIXA COM REGULADOR 2º ESTÁGIO - FORNECIMENTO E INSTALAÇÃO</v>
      </c>
      <c r="D1300" s="618"/>
      <c r="E1300" s="618"/>
      <c r="F1300" s="618"/>
      <c r="G1300" s="618"/>
      <c r="H1300" s="618"/>
      <c r="I1300" s="618"/>
      <c r="J1300" s="22"/>
    </row>
    <row r="1301" spans="1:10" x14ac:dyDescent="0.25">
      <c r="B1301" s="643" t="s">
        <v>84</v>
      </c>
      <c r="C1301" s="643" t="s">
        <v>85</v>
      </c>
      <c r="D1301" s="643" t="s">
        <v>31</v>
      </c>
      <c r="E1301" s="646" t="s">
        <v>86</v>
      </c>
      <c r="F1301" s="648" t="s">
        <v>87</v>
      </c>
      <c r="G1301" s="649"/>
      <c r="H1301" s="648" t="s">
        <v>789</v>
      </c>
      <c r="I1301" s="649"/>
      <c r="J1301" s="157"/>
    </row>
    <row r="1302" spans="1:10" x14ac:dyDescent="0.25">
      <c r="B1302" s="643"/>
      <c r="C1302" s="644"/>
      <c r="D1302" s="645"/>
      <c r="E1302" s="647"/>
      <c r="F1302" s="387" t="s">
        <v>788</v>
      </c>
      <c r="G1302" s="387" t="s">
        <v>687</v>
      </c>
      <c r="H1302" s="387" t="s">
        <v>788</v>
      </c>
      <c r="I1302" s="387" t="s">
        <v>687</v>
      </c>
      <c r="J1302" s="157"/>
    </row>
    <row r="1303" spans="1:10" x14ac:dyDescent="0.25">
      <c r="B1303" s="597" t="s">
        <v>93</v>
      </c>
      <c r="C1303" s="389" t="s">
        <v>94</v>
      </c>
      <c r="D1303" s="390" t="s">
        <v>91</v>
      </c>
      <c r="E1303" s="391">
        <v>0.5</v>
      </c>
      <c r="F1303" s="392"/>
      <c r="G1303" s="393">
        <v>18.84</v>
      </c>
      <c r="H1303" s="392">
        <v>0</v>
      </c>
      <c r="I1303" s="392">
        <f>G1303*E1303</f>
        <v>9.42</v>
      </c>
      <c r="J1303" s="157"/>
    </row>
    <row r="1304" spans="1:10" x14ac:dyDescent="0.25">
      <c r="B1304" s="597" t="s">
        <v>105</v>
      </c>
      <c r="C1304" s="394" t="s">
        <v>106</v>
      </c>
      <c r="D1304" s="390" t="s">
        <v>91</v>
      </c>
      <c r="E1304" s="391">
        <v>0.5</v>
      </c>
      <c r="F1304" s="392"/>
      <c r="G1304" s="392">
        <v>22.36</v>
      </c>
      <c r="H1304" s="392">
        <v>0</v>
      </c>
      <c r="I1304" s="392">
        <f>G1304*E1304</f>
        <v>11.18</v>
      </c>
      <c r="J1304" s="157"/>
    </row>
    <row r="1305" spans="1:10" x14ac:dyDescent="0.25">
      <c r="B1305" s="597" t="s">
        <v>1941</v>
      </c>
      <c r="C1305" s="389" t="s">
        <v>760</v>
      </c>
      <c r="D1305" s="390" t="s">
        <v>244</v>
      </c>
      <c r="E1305" s="391">
        <v>1</v>
      </c>
      <c r="F1305" s="392">
        <v>351.79</v>
      </c>
      <c r="G1305" s="392"/>
      <c r="H1305" s="392">
        <f>F1305*E1305</f>
        <v>351.79</v>
      </c>
      <c r="I1305" s="392">
        <v>0</v>
      </c>
      <c r="J1305" s="157"/>
    </row>
    <row r="1306" spans="1:10" x14ac:dyDescent="0.25">
      <c r="B1306" s="396"/>
      <c r="C1306" s="395"/>
      <c r="D1306" s="390"/>
      <c r="E1306" s="397"/>
      <c r="F1306" s="398"/>
      <c r="G1306" s="399" t="s">
        <v>690</v>
      </c>
      <c r="H1306" s="400">
        <f>SUM(H1303:H1305)</f>
        <v>351.79</v>
      </c>
      <c r="I1306" s="400">
        <f>SUM(I1303:I1305)</f>
        <v>20.6</v>
      </c>
      <c r="J1306" s="157"/>
    </row>
    <row r="1307" spans="1:10" x14ac:dyDescent="0.25">
      <c r="B1307" s="401"/>
      <c r="C1307" s="401"/>
      <c r="D1307" s="483"/>
      <c r="E1307" s="402"/>
      <c r="F1307" s="642" t="s">
        <v>791</v>
      </c>
      <c r="G1307" s="642"/>
      <c r="H1307" s="642">
        <f>H1306+I1306</f>
        <v>372.39000000000004</v>
      </c>
      <c r="I1307" s="642"/>
      <c r="J1307" s="157"/>
    </row>
    <row r="1308" spans="1:10" x14ac:dyDescent="0.25">
      <c r="B1308" s="411"/>
      <c r="C1308" s="411"/>
      <c r="D1308" s="485"/>
      <c r="E1308" s="412"/>
      <c r="F1308" s="413"/>
      <c r="G1308" s="414"/>
      <c r="H1308" s="414"/>
      <c r="I1308" s="414"/>
      <c r="J1308" s="157"/>
    </row>
    <row r="1309" spans="1:10" s="155" customFormat="1" ht="41.25" customHeight="1" x14ac:dyDescent="0.25">
      <c r="A1309" s="11"/>
      <c r="B1309" s="315" t="s">
        <v>745</v>
      </c>
      <c r="C1309" s="618" t="str">
        <f>ORÇAMENTO!C444</f>
        <v>MEDIDOR DE GÁS. VAZÃO MÁXIMA 1,4 M³/H. MODELO LAO G1 OU EQUIVALENTE TÉCNICO - FORNECIMENTO E INSTALAÇÃO</v>
      </c>
      <c r="D1309" s="618"/>
      <c r="E1309" s="618"/>
      <c r="F1309" s="618"/>
      <c r="G1309" s="618"/>
      <c r="H1309" s="618"/>
      <c r="I1309" s="618"/>
      <c r="J1309" s="22"/>
    </row>
    <row r="1310" spans="1:10" x14ac:dyDescent="0.25">
      <c r="B1310" s="643" t="s">
        <v>84</v>
      </c>
      <c r="C1310" s="643" t="s">
        <v>85</v>
      </c>
      <c r="D1310" s="643" t="s">
        <v>31</v>
      </c>
      <c r="E1310" s="646" t="s">
        <v>86</v>
      </c>
      <c r="F1310" s="648" t="s">
        <v>87</v>
      </c>
      <c r="G1310" s="649"/>
      <c r="H1310" s="648" t="s">
        <v>789</v>
      </c>
      <c r="I1310" s="649"/>
      <c r="J1310" s="157"/>
    </row>
    <row r="1311" spans="1:10" x14ac:dyDescent="0.25">
      <c r="B1311" s="643"/>
      <c r="C1311" s="644"/>
      <c r="D1311" s="645"/>
      <c r="E1311" s="647"/>
      <c r="F1311" s="387" t="s">
        <v>788</v>
      </c>
      <c r="G1311" s="387" t="s">
        <v>687</v>
      </c>
      <c r="H1311" s="387" t="s">
        <v>788</v>
      </c>
      <c r="I1311" s="387" t="s">
        <v>687</v>
      </c>
      <c r="J1311" s="157"/>
    </row>
    <row r="1312" spans="1:10" x14ac:dyDescent="0.25">
      <c r="B1312" s="596" t="s">
        <v>105</v>
      </c>
      <c r="C1312" s="394" t="s">
        <v>106</v>
      </c>
      <c r="D1312" s="388" t="s">
        <v>91</v>
      </c>
      <c r="E1312" s="391">
        <v>0.2</v>
      </c>
      <c r="F1312" s="392"/>
      <c r="G1312" s="392">
        <v>22.36</v>
      </c>
      <c r="H1312" s="392">
        <v>0</v>
      </c>
      <c r="I1312" s="392">
        <f>G1312*E1312</f>
        <v>4.4720000000000004</v>
      </c>
      <c r="J1312" s="157"/>
    </row>
    <row r="1313" spans="2:10" x14ac:dyDescent="0.25">
      <c r="B1313" s="597" t="s">
        <v>1942</v>
      </c>
      <c r="C1313" s="389" t="s">
        <v>759</v>
      </c>
      <c r="D1313" s="390" t="s">
        <v>244</v>
      </c>
      <c r="E1313" s="391">
        <v>1</v>
      </c>
      <c r="F1313" s="392">
        <v>371.78</v>
      </c>
      <c r="G1313" s="392"/>
      <c r="H1313" s="392">
        <f>F1313*E1313</f>
        <v>371.78</v>
      </c>
      <c r="I1313" s="392">
        <v>0</v>
      </c>
      <c r="J1313" s="157"/>
    </row>
    <row r="1314" spans="2:10" x14ac:dyDescent="0.25">
      <c r="B1314" s="396"/>
      <c r="C1314" s="395"/>
      <c r="D1314" s="390"/>
      <c r="E1314" s="397"/>
      <c r="F1314" s="398"/>
      <c r="G1314" s="399" t="s">
        <v>690</v>
      </c>
      <c r="H1314" s="400">
        <f>SUM(H1312:H1313)</f>
        <v>371.78</v>
      </c>
      <c r="I1314" s="400">
        <f>SUM(I1312:I1313)</f>
        <v>4.4720000000000004</v>
      </c>
      <c r="J1314" s="157"/>
    </row>
    <row r="1315" spans="2:10" x14ac:dyDescent="0.25">
      <c r="B1315" s="401"/>
      <c r="C1315" s="401"/>
      <c r="D1315" s="483"/>
      <c r="E1315" s="402"/>
      <c r="F1315" s="642" t="s">
        <v>791</v>
      </c>
      <c r="G1315" s="642"/>
      <c r="H1315" s="417">
        <f>H1314+I1314</f>
        <v>376.25199999999995</v>
      </c>
      <c r="I1315" s="417"/>
      <c r="J1315" s="157"/>
    </row>
    <row r="1316" spans="2:10" x14ac:dyDescent="0.25">
      <c r="J1316" s="157"/>
    </row>
    <row r="1318" spans="2:10" s="156" customFormat="1" x14ac:dyDescent="0.25">
      <c r="B1318" s="629" t="s">
        <v>1153</v>
      </c>
      <c r="C1318" s="629"/>
      <c r="D1318" s="629"/>
      <c r="E1318" s="629"/>
      <c r="F1318" s="629"/>
      <c r="G1318" s="629"/>
      <c r="H1318" s="629"/>
      <c r="I1318" s="629"/>
      <c r="J1318" s="157"/>
    </row>
    <row r="1319" spans="2:10" s="156" customFormat="1" x14ac:dyDescent="0.25">
      <c r="B1319" s="249"/>
      <c r="C1319" s="249"/>
      <c r="D1319" s="473"/>
      <c r="E1319" s="386"/>
      <c r="F1319" s="249"/>
      <c r="G1319" s="249"/>
      <c r="H1319" s="35"/>
      <c r="I1319" s="35"/>
      <c r="J1319" s="157"/>
    </row>
    <row r="1320" spans="2:10" s="156" customFormat="1" ht="41.25" customHeight="1" x14ac:dyDescent="0.25">
      <c r="B1320" s="315" t="s">
        <v>709</v>
      </c>
      <c r="C1320" s="618" t="str">
        <f>ORÇAMENTO!C447</f>
        <v>AC01 - CONDICIONADOR DE AR DO TIPO SPLIT CONVENCIONAL "HI-WALL", CONJUNTO COM UNIDADE EVAPORADORA + UNIDADE CONDENSADORA, QUENTE E FRIO, CAPACIDADE: 24.000 BTU/H - 2 TR, CICLO REVERSO, GÁS R410A, ENCE CLASSE A OU SUPERIOR, MARCA LG OU EQUIVALENTE TÉCNICO - FORNECIMENTO E INSTALAÇÃO</v>
      </c>
      <c r="D1320" s="618"/>
      <c r="E1320" s="618"/>
      <c r="F1320" s="618"/>
      <c r="G1320" s="618"/>
      <c r="H1320" s="618"/>
      <c r="I1320" s="618"/>
      <c r="J1320" s="157"/>
    </row>
    <row r="1321" spans="2:10" s="156" customFormat="1" x14ac:dyDescent="0.25">
      <c r="B1321" s="643" t="s">
        <v>84</v>
      </c>
      <c r="C1321" s="643" t="s">
        <v>85</v>
      </c>
      <c r="D1321" s="643" t="s">
        <v>31</v>
      </c>
      <c r="E1321" s="646" t="s">
        <v>86</v>
      </c>
      <c r="F1321" s="648" t="s">
        <v>87</v>
      </c>
      <c r="G1321" s="649"/>
      <c r="H1321" s="648" t="s">
        <v>789</v>
      </c>
      <c r="I1321" s="649"/>
      <c r="J1321" s="157"/>
    </row>
    <row r="1322" spans="2:10" s="156" customFormat="1" x14ac:dyDescent="0.25">
      <c r="B1322" s="643"/>
      <c r="C1322" s="644"/>
      <c r="D1322" s="645"/>
      <c r="E1322" s="647"/>
      <c r="F1322" s="387" t="s">
        <v>788</v>
      </c>
      <c r="G1322" s="387" t="s">
        <v>687</v>
      </c>
      <c r="H1322" s="387" t="s">
        <v>788</v>
      </c>
      <c r="I1322" s="387" t="s">
        <v>687</v>
      </c>
      <c r="J1322" s="157"/>
    </row>
    <row r="1323" spans="2:10" s="156" customFormat="1" ht="63" x14ac:dyDescent="0.25">
      <c r="B1323" s="595" t="s">
        <v>1956</v>
      </c>
      <c r="C1323" s="419" t="s">
        <v>1955</v>
      </c>
      <c r="D1323" s="418" t="s">
        <v>31</v>
      </c>
      <c r="E1323" s="420">
        <v>1</v>
      </c>
      <c r="F1323" s="517">
        <v>3846.72</v>
      </c>
      <c r="G1323" s="421"/>
      <c r="H1323" s="421">
        <f>F1323*E1323</f>
        <v>3846.72</v>
      </c>
      <c r="I1323" s="421">
        <v>0</v>
      </c>
      <c r="J1323" s="157"/>
    </row>
    <row r="1324" spans="2:10" s="156" customFormat="1" x14ac:dyDescent="0.25">
      <c r="B1324" s="574" t="s">
        <v>809</v>
      </c>
      <c r="C1324" s="422" t="s">
        <v>688</v>
      </c>
      <c r="D1324" s="418" t="s">
        <v>91</v>
      </c>
      <c r="E1324" s="420">
        <v>1</v>
      </c>
      <c r="F1324" s="421"/>
      <c r="G1324" s="421">
        <v>28.75</v>
      </c>
      <c r="H1324" s="421">
        <v>0</v>
      </c>
      <c r="I1324" s="421">
        <f>G1324*E1324</f>
        <v>28.75</v>
      </c>
      <c r="J1324" s="157"/>
    </row>
    <row r="1325" spans="2:10" s="156" customFormat="1" x14ac:dyDescent="0.25">
      <c r="B1325" s="574" t="s">
        <v>93</v>
      </c>
      <c r="C1325" s="422" t="s">
        <v>689</v>
      </c>
      <c r="D1325" s="418" t="s">
        <v>91</v>
      </c>
      <c r="E1325" s="420">
        <v>1</v>
      </c>
      <c r="F1325" s="421"/>
      <c r="G1325" s="421">
        <v>18.84</v>
      </c>
      <c r="H1325" s="421">
        <v>0</v>
      </c>
      <c r="I1325" s="421">
        <f>G1325*E1325</f>
        <v>18.84</v>
      </c>
      <c r="J1325" s="157"/>
    </row>
    <row r="1326" spans="2:10" s="156" customFormat="1" x14ac:dyDescent="0.25">
      <c r="B1326" s="418"/>
      <c r="C1326" s="422"/>
      <c r="D1326" s="418"/>
      <c r="E1326" s="420"/>
      <c r="F1326" s="422"/>
      <c r="G1326" s="423" t="s">
        <v>790</v>
      </c>
      <c r="H1326" s="424">
        <f>SUM(H1323:H1325)</f>
        <v>3846.72</v>
      </c>
      <c r="I1326" s="424">
        <f>SUM(I1323:I1325)</f>
        <v>47.59</v>
      </c>
      <c r="J1326" s="157"/>
    </row>
    <row r="1327" spans="2:10" s="156" customFormat="1" x14ac:dyDescent="0.25">
      <c r="B1327" s="425"/>
      <c r="C1327" s="426"/>
      <c r="D1327" s="425"/>
      <c r="E1327" s="427"/>
      <c r="F1327" s="648" t="s">
        <v>1623</v>
      </c>
      <c r="G1327" s="649"/>
      <c r="H1327" s="428">
        <f>H1326+I1326</f>
        <v>3894.31</v>
      </c>
      <c r="I1327" s="428"/>
      <c r="J1327" s="157"/>
    </row>
    <row r="1328" spans="2:10" s="156" customFormat="1" x14ac:dyDescent="0.25">
      <c r="B1328" s="429"/>
      <c r="C1328" s="430"/>
      <c r="D1328" s="429"/>
      <c r="E1328" s="431"/>
      <c r="F1328" s="432"/>
      <c r="G1328" s="432"/>
      <c r="H1328" s="433"/>
      <c r="I1328" s="433"/>
      <c r="J1328" s="157"/>
    </row>
    <row r="1329" spans="2:10" s="156" customFormat="1" ht="43.5" customHeight="1" x14ac:dyDescent="0.25">
      <c r="B1329" s="315" t="s">
        <v>686</v>
      </c>
      <c r="C1329" s="618" t="str">
        <f>ORÇAMENTO!C448</f>
        <v>AC02 - CONDICIONADOR DE AR DO TIPO SPLIT CONVENCIONAL "HI-WALL", CONJUNTO COM UNIDADE EVAPORADORA + UNIDADE CONDENSADORA, QUENTE E FRIO, CAPACIDADE: 18.000 BTU/H - 1,5 TR, CICLO REVERSO, GÁS R410A, ENCE CLASSE A, MARCA LG OU EQUIVALENTE TÉCNICO - FORNECIMENTO E INSTALAÇÃO</v>
      </c>
      <c r="D1329" s="618"/>
      <c r="E1329" s="618"/>
      <c r="F1329" s="618"/>
      <c r="G1329" s="618"/>
      <c r="H1329" s="618"/>
      <c r="I1329" s="618"/>
      <c r="J1329" s="157"/>
    </row>
    <row r="1330" spans="2:10" s="156" customFormat="1" x14ac:dyDescent="0.25">
      <c r="B1330" s="643" t="s">
        <v>84</v>
      </c>
      <c r="C1330" s="643" t="s">
        <v>85</v>
      </c>
      <c r="D1330" s="643" t="s">
        <v>31</v>
      </c>
      <c r="E1330" s="646" t="s">
        <v>86</v>
      </c>
      <c r="F1330" s="648" t="s">
        <v>87</v>
      </c>
      <c r="G1330" s="649"/>
      <c r="H1330" s="648" t="s">
        <v>789</v>
      </c>
      <c r="I1330" s="649"/>
      <c r="J1330" s="157"/>
    </row>
    <row r="1331" spans="2:10" s="156" customFormat="1" x14ac:dyDescent="0.25">
      <c r="B1331" s="643"/>
      <c r="C1331" s="644"/>
      <c r="D1331" s="645"/>
      <c r="E1331" s="647"/>
      <c r="F1331" s="387" t="s">
        <v>788</v>
      </c>
      <c r="G1331" s="387" t="s">
        <v>687</v>
      </c>
      <c r="H1331" s="387" t="s">
        <v>788</v>
      </c>
      <c r="I1331" s="387" t="s">
        <v>687</v>
      </c>
      <c r="J1331" s="157"/>
    </row>
    <row r="1332" spans="2:10" s="156" customFormat="1" ht="63" x14ac:dyDescent="0.25">
      <c r="B1332" s="595" t="s">
        <v>1957</v>
      </c>
      <c r="C1332" s="419" t="s">
        <v>1958</v>
      </c>
      <c r="D1332" s="418" t="s">
        <v>31</v>
      </c>
      <c r="E1332" s="420">
        <v>1</v>
      </c>
      <c r="F1332" s="421">
        <v>2909</v>
      </c>
      <c r="G1332" s="421"/>
      <c r="H1332" s="421">
        <f>F1332*E1332</f>
        <v>2909</v>
      </c>
      <c r="I1332" s="421">
        <v>0</v>
      </c>
      <c r="J1332" s="157"/>
    </row>
    <row r="1333" spans="2:10" s="156" customFormat="1" x14ac:dyDescent="0.25">
      <c r="B1333" s="574" t="s">
        <v>809</v>
      </c>
      <c r="C1333" s="422" t="s">
        <v>688</v>
      </c>
      <c r="D1333" s="418" t="s">
        <v>91</v>
      </c>
      <c r="E1333" s="420">
        <v>1</v>
      </c>
      <c r="F1333" s="421"/>
      <c r="G1333" s="421">
        <v>28.75</v>
      </c>
      <c r="H1333" s="421">
        <v>0</v>
      </c>
      <c r="I1333" s="421">
        <f>G1333*E1333</f>
        <v>28.75</v>
      </c>
      <c r="J1333" s="157"/>
    </row>
    <row r="1334" spans="2:10" s="156" customFormat="1" x14ac:dyDescent="0.25">
      <c r="B1334" s="574" t="s">
        <v>93</v>
      </c>
      <c r="C1334" s="422" t="s">
        <v>689</v>
      </c>
      <c r="D1334" s="418" t="s">
        <v>91</v>
      </c>
      <c r="E1334" s="420">
        <v>1</v>
      </c>
      <c r="F1334" s="421"/>
      <c r="G1334" s="421">
        <v>18.84</v>
      </c>
      <c r="H1334" s="421">
        <v>0</v>
      </c>
      <c r="I1334" s="421">
        <f>G1334*E1334</f>
        <v>18.84</v>
      </c>
      <c r="J1334" s="157"/>
    </row>
    <row r="1335" spans="2:10" s="156" customFormat="1" x14ac:dyDescent="0.25">
      <c r="B1335" s="418"/>
      <c r="C1335" s="422"/>
      <c r="D1335" s="418"/>
      <c r="E1335" s="420"/>
      <c r="F1335" s="422"/>
      <c r="G1335" s="423" t="s">
        <v>790</v>
      </c>
      <c r="H1335" s="424">
        <f>SUM(H1332:H1334)</f>
        <v>2909</v>
      </c>
      <c r="I1335" s="424">
        <f>SUM(I1332:I1334)</f>
        <v>47.59</v>
      </c>
      <c r="J1335" s="157"/>
    </row>
    <row r="1336" spans="2:10" s="156" customFormat="1" x14ac:dyDescent="0.25">
      <c r="B1336" s="425"/>
      <c r="C1336" s="426"/>
      <c r="D1336" s="425"/>
      <c r="E1336" s="427"/>
      <c r="F1336" s="648" t="s">
        <v>1623</v>
      </c>
      <c r="G1336" s="649"/>
      <c r="H1336" s="428">
        <f>H1335+I1335</f>
        <v>2956.59</v>
      </c>
      <c r="I1336" s="428"/>
      <c r="J1336" s="162"/>
    </row>
    <row r="1337" spans="2:10" s="156" customFormat="1" x14ac:dyDescent="0.25">
      <c r="B1337" s="429"/>
      <c r="C1337" s="430"/>
      <c r="D1337" s="429"/>
      <c r="E1337" s="431"/>
      <c r="F1337" s="432"/>
      <c r="G1337" s="432"/>
      <c r="H1337" s="433"/>
      <c r="I1337" s="433"/>
      <c r="J1337" s="157"/>
    </row>
    <row r="1338" spans="2:10" s="156" customFormat="1" ht="36.75" customHeight="1" x14ac:dyDescent="0.25">
      <c r="B1338" s="315" t="s">
        <v>691</v>
      </c>
      <c r="C1338" s="618" t="str">
        <f>ORÇAMENTO!C449</f>
        <v>AC03 - CONDICIONADOR DE AR DO TIPO SPLIT CONVENCIONAL "HI-WALL", CONJUNTO COM UNIDADE EVAPORADORA + UNIDADE CONDENSADORA, QUENTE E FRIO, CAPACIDADE: 12.000 BTU/H - 1 TR, CICLO REVERSO, GÁS R410A, ENCE CLASSE A, MARCA LG OU EQUIVALENTE TÉCNICO - FORNECIMENTO E INSTALAÇÃO.</v>
      </c>
      <c r="D1338" s="618"/>
      <c r="E1338" s="618"/>
      <c r="F1338" s="618"/>
      <c r="G1338" s="618"/>
      <c r="H1338" s="618"/>
      <c r="I1338" s="618"/>
      <c r="J1338" s="157"/>
    </row>
    <row r="1339" spans="2:10" s="156" customFormat="1" x14ac:dyDescent="0.25">
      <c r="B1339" s="643" t="s">
        <v>84</v>
      </c>
      <c r="C1339" s="643" t="s">
        <v>85</v>
      </c>
      <c r="D1339" s="643" t="s">
        <v>31</v>
      </c>
      <c r="E1339" s="646" t="s">
        <v>86</v>
      </c>
      <c r="F1339" s="648" t="s">
        <v>87</v>
      </c>
      <c r="G1339" s="649"/>
      <c r="H1339" s="648" t="s">
        <v>789</v>
      </c>
      <c r="I1339" s="649"/>
      <c r="J1339" s="157"/>
    </row>
    <row r="1340" spans="2:10" s="156" customFormat="1" x14ac:dyDescent="0.25">
      <c r="B1340" s="643"/>
      <c r="C1340" s="644"/>
      <c r="D1340" s="645"/>
      <c r="E1340" s="647"/>
      <c r="F1340" s="387" t="s">
        <v>788</v>
      </c>
      <c r="G1340" s="387" t="s">
        <v>687</v>
      </c>
      <c r="H1340" s="387" t="s">
        <v>788</v>
      </c>
      <c r="I1340" s="387" t="s">
        <v>687</v>
      </c>
      <c r="J1340" s="157"/>
    </row>
    <row r="1341" spans="2:10" s="156" customFormat="1" ht="63" x14ac:dyDescent="0.25">
      <c r="B1341" s="595" t="s">
        <v>1959</v>
      </c>
      <c r="C1341" s="419" t="s">
        <v>1960</v>
      </c>
      <c r="D1341" s="418" t="s">
        <v>31</v>
      </c>
      <c r="E1341" s="420">
        <v>1</v>
      </c>
      <c r="F1341" s="421">
        <v>1961.16</v>
      </c>
      <c r="G1341" s="421"/>
      <c r="H1341" s="421">
        <f>F1341*E1341</f>
        <v>1961.16</v>
      </c>
      <c r="I1341" s="421">
        <v>0</v>
      </c>
      <c r="J1341" s="157"/>
    </row>
    <row r="1342" spans="2:10" s="156" customFormat="1" x14ac:dyDescent="0.25">
      <c r="B1342" s="574" t="s">
        <v>809</v>
      </c>
      <c r="C1342" s="422" t="s">
        <v>688</v>
      </c>
      <c r="D1342" s="418" t="s">
        <v>91</v>
      </c>
      <c r="E1342" s="420">
        <v>1</v>
      </c>
      <c r="F1342" s="421"/>
      <c r="G1342" s="421">
        <v>28.75</v>
      </c>
      <c r="H1342" s="421">
        <v>0</v>
      </c>
      <c r="I1342" s="421">
        <f>G1342*E1342</f>
        <v>28.75</v>
      </c>
      <c r="J1342" s="157"/>
    </row>
    <row r="1343" spans="2:10" s="156" customFormat="1" x14ac:dyDescent="0.25">
      <c r="B1343" s="574" t="s">
        <v>93</v>
      </c>
      <c r="C1343" s="422" t="s">
        <v>689</v>
      </c>
      <c r="D1343" s="418" t="s">
        <v>91</v>
      </c>
      <c r="E1343" s="420">
        <v>1</v>
      </c>
      <c r="F1343" s="421"/>
      <c r="G1343" s="421">
        <v>18.84</v>
      </c>
      <c r="H1343" s="421">
        <v>0</v>
      </c>
      <c r="I1343" s="421">
        <f>G1343*E1343</f>
        <v>18.84</v>
      </c>
      <c r="J1343" s="157"/>
    </row>
    <row r="1344" spans="2:10" s="156" customFormat="1" x14ac:dyDescent="0.25">
      <c r="B1344" s="418"/>
      <c r="C1344" s="422"/>
      <c r="D1344" s="418"/>
      <c r="E1344" s="420"/>
      <c r="F1344" s="422"/>
      <c r="G1344" s="423" t="s">
        <v>790</v>
      </c>
      <c r="H1344" s="424">
        <f>SUM(H1341:H1343)</f>
        <v>1961.16</v>
      </c>
      <c r="I1344" s="424">
        <f>SUM(I1341:I1343)</f>
        <v>47.59</v>
      </c>
      <c r="J1344" s="157"/>
    </row>
    <row r="1345" spans="2:10" s="156" customFormat="1" x14ac:dyDescent="0.25">
      <c r="B1345" s="425"/>
      <c r="C1345" s="426"/>
      <c r="D1345" s="425"/>
      <c r="E1345" s="427"/>
      <c r="F1345" s="648" t="s">
        <v>1623</v>
      </c>
      <c r="G1345" s="649"/>
      <c r="H1345" s="428">
        <f>H1344+I1344</f>
        <v>2008.75</v>
      </c>
      <c r="I1345" s="428"/>
      <c r="J1345" s="157"/>
    </row>
    <row r="1346" spans="2:10" s="156" customFormat="1" x14ac:dyDescent="0.25">
      <c r="B1346" s="429"/>
      <c r="C1346" s="430"/>
      <c r="D1346" s="429"/>
      <c r="E1346" s="431"/>
      <c r="F1346" s="432"/>
      <c r="G1346" s="432"/>
      <c r="H1346" s="433"/>
      <c r="I1346" s="433"/>
      <c r="J1346" s="157"/>
    </row>
    <row r="1347" spans="2:10" s="156" customFormat="1" ht="35.25" customHeight="1" x14ac:dyDescent="0.25">
      <c r="B1347" s="315" t="s">
        <v>692</v>
      </c>
      <c r="C1347" s="618" t="str">
        <f>ORÇAMENTO!C451</f>
        <v xml:space="preserve">INTERLIGAÇÃO DAS UNIDADES  CONDENSADORAS A EVAPORADORAS HI WALL, INCLUSIVE TUBULAÇÃO DE COBRE, ISOLAMENTO, CONEXÕES, FIXAÇÕES P/ CONDICIONADORES DE AR SPLIT SYSTEM ATÉ 12000 BTU - FORNECIMENTO E INSTALAÇÃO </v>
      </c>
      <c r="D1347" s="618"/>
      <c r="E1347" s="618"/>
      <c r="F1347" s="618"/>
      <c r="G1347" s="618"/>
      <c r="H1347" s="618"/>
      <c r="I1347" s="618"/>
      <c r="J1347" s="157"/>
    </row>
    <row r="1348" spans="2:10" s="156" customFormat="1" x14ac:dyDescent="0.25">
      <c r="B1348" s="643" t="s">
        <v>84</v>
      </c>
      <c r="C1348" s="643" t="s">
        <v>85</v>
      </c>
      <c r="D1348" s="643" t="s">
        <v>31</v>
      </c>
      <c r="E1348" s="646" t="s">
        <v>86</v>
      </c>
      <c r="F1348" s="648" t="s">
        <v>87</v>
      </c>
      <c r="G1348" s="649"/>
      <c r="H1348" s="648" t="s">
        <v>789</v>
      </c>
      <c r="I1348" s="649"/>
      <c r="J1348" s="157"/>
    </row>
    <row r="1349" spans="2:10" s="156" customFormat="1" x14ac:dyDescent="0.25">
      <c r="B1349" s="643"/>
      <c r="C1349" s="644"/>
      <c r="D1349" s="645"/>
      <c r="E1349" s="647"/>
      <c r="F1349" s="387" t="s">
        <v>788</v>
      </c>
      <c r="G1349" s="387" t="s">
        <v>687</v>
      </c>
      <c r="H1349" s="387" t="s">
        <v>788</v>
      </c>
      <c r="I1349" s="387" t="s">
        <v>687</v>
      </c>
      <c r="J1349" s="157"/>
    </row>
    <row r="1350" spans="2:10" s="156" customFormat="1" x14ac:dyDescent="0.25">
      <c r="B1350" s="574" t="s">
        <v>799</v>
      </c>
      <c r="C1350" s="422" t="s">
        <v>694</v>
      </c>
      <c r="D1350" s="418" t="s">
        <v>91</v>
      </c>
      <c r="E1350" s="420">
        <v>1</v>
      </c>
      <c r="F1350" s="421"/>
      <c r="G1350" s="421">
        <v>23.23</v>
      </c>
      <c r="H1350" s="421">
        <v>0</v>
      </c>
      <c r="I1350" s="421">
        <f>G1350*E1350</f>
        <v>23.23</v>
      </c>
      <c r="J1350" s="157"/>
    </row>
    <row r="1351" spans="2:10" s="156" customFormat="1" x14ac:dyDescent="0.25">
      <c r="B1351" s="574" t="s">
        <v>93</v>
      </c>
      <c r="C1351" s="422" t="s">
        <v>689</v>
      </c>
      <c r="D1351" s="418" t="s">
        <v>91</v>
      </c>
      <c r="E1351" s="420">
        <v>2</v>
      </c>
      <c r="F1351" s="421"/>
      <c r="G1351" s="421">
        <v>18.84</v>
      </c>
      <c r="H1351" s="421">
        <v>0</v>
      </c>
      <c r="I1351" s="421">
        <f>G1351*E1351</f>
        <v>37.68</v>
      </c>
      <c r="J1351" s="157"/>
    </row>
    <row r="1352" spans="2:10" s="156" customFormat="1" x14ac:dyDescent="0.25">
      <c r="B1352" s="574" t="s">
        <v>105</v>
      </c>
      <c r="C1352" s="422" t="s">
        <v>696</v>
      </c>
      <c r="D1352" s="418" t="s">
        <v>91</v>
      </c>
      <c r="E1352" s="420">
        <v>1</v>
      </c>
      <c r="F1352" s="421"/>
      <c r="G1352" s="421">
        <v>22.36</v>
      </c>
      <c r="H1352" s="421">
        <v>0</v>
      </c>
      <c r="I1352" s="421">
        <f>G1352*E1352</f>
        <v>22.36</v>
      </c>
      <c r="J1352" s="157"/>
    </row>
    <row r="1353" spans="2:10" s="19" customFormat="1" x14ac:dyDescent="0.25">
      <c r="B1353" s="574" t="s">
        <v>800</v>
      </c>
      <c r="C1353" s="516" t="s">
        <v>773</v>
      </c>
      <c r="D1353" s="512" t="s">
        <v>73</v>
      </c>
      <c r="E1353" s="514">
        <v>0.73</v>
      </c>
      <c r="F1353" s="515">
        <v>1</v>
      </c>
      <c r="G1353" s="515"/>
      <c r="H1353" s="515">
        <f t="shared" ref="H1353:H1365" si="118">F1353*E1353</f>
        <v>0.73</v>
      </c>
      <c r="I1353" s="515">
        <v>0</v>
      </c>
      <c r="J1353" s="450"/>
    </row>
    <row r="1354" spans="2:10" s="156" customFormat="1" x14ac:dyDescent="0.25">
      <c r="B1354" s="574" t="s">
        <v>801</v>
      </c>
      <c r="C1354" s="422" t="s">
        <v>774</v>
      </c>
      <c r="D1354" s="418" t="s">
        <v>73</v>
      </c>
      <c r="E1354" s="420">
        <v>1.05</v>
      </c>
      <c r="F1354" s="421">
        <v>22.3</v>
      </c>
      <c r="G1354" s="421"/>
      <c r="H1354" s="421">
        <f t="shared" si="118"/>
        <v>23.415000000000003</v>
      </c>
      <c r="I1354" s="421">
        <v>0</v>
      </c>
      <c r="J1354" s="157"/>
    </row>
    <row r="1355" spans="2:10" s="156" customFormat="1" x14ac:dyDescent="0.25">
      <c r="B1355" s="574" t="s">
        <v>808</v>
      </c>
      <c r="C1355" s="422" t="s">
        <v>785</v>
      </c>
      <c r="D1355" s="418" t="s">
        <v>73</v>
      </c>
      <c r="E1355" s="420">
        <v>1.05</v>
      </c>
      <c r="F1355" s="421">
        <v>34.31</v>
      </c>
      <c r="G1355" s="421"/>
      <c r="H1355" s="421">
        <f t="shared" si="118"/>
        <v>36.025500000000001</v>
      </c>
      <c r="I1355" s="421">
        <v>0</v>
      </c>
      <c r="J1355" s="157"/>
    </row>
    <row r="1356" spans="2:10" s="19" customFormat="1" x14ac:dyDescent="0.25">
      <c r="B1356" s="574" t="s">
        <v>1947</v>
      </c>
      <c r="C1356" s="513" t="s">
        <v>1946</v>
      </c>
      <c r="D1356" s="512" t="s">
        <v>73</v>
      </c>
      <c r="E1356" s="514">
        <v>32</v>
      </c>
      <c r="F1356" s="515">
        <v>0.33</v>
      </c>
      <c r="G1356" s="515"/>
      <c r="H1356" s="515">
        <f t="shared" si="118"/>
        <v>10.56</v>
      </c>
      <c r="I1356" s="515">
        <v>0</v>
      </c>
      <c r="J1356" s="450"/>
    </row>
    <row r="1357" spans="2:10" s="19" customFormat="1" x14ac:dyDescent="0.25">
      <c r="B1357" s="574" t="s">
        <v>1954</v>
      </c>
      <c r="C1357" s="513" t="s">
        <v>776</v>
      </c>
      <c r="D1357" s="512" t="s">
        <v>73</v>
      </c>
      <c r="E1357" s="514">
        <v>0.5</v>
      </c>
      <c r="F1357" s="515">
        <v>7.09</v>
      </c>
      <c r="G1357" s="515"/>
      <c r="H1357" s="515">
        <f t="shared" si="118"/>
        <v>3.5449999999999999</v>
      </c>
      <c r="I1357" s="515">
        <v>0</v>
      </c>
      <c r="J1357" s="450"/>
    </row>
    <row r="1358" spans="2:10" s="156" customFormat="1" x14ac:dyDescent="0.25">
      <c r="B1358" s="574" t="s">
        <v>803</v>
      </c>
      <c r="C1358" s="422" t="s">
        <v>777</v>
      </c>
      <c r="D1358" s="418" t="s">
        <v>31</v>
      </c>
      <c r="E1358" s="420">
        <v>2</v>
      </c>
      <c r="F1358" s="421">
        <v>0.33</v>
      </c>
      <c r="G1358" s="421"/>
      <c r="H1358" s="421">
        <f t="shared" si="118"/>
        <v>0.66</v>
      </c>
      <c r="I1358" s="421">
        <v>0</v>
      </c>
      <c r="J1358" s="157"/>
    </row>
    <row r="1359" spans="2:10" s="156" customFormat="1" x14ac:dyDescent="0.25">
      <c r="B1359" s="574" t="s">
        <v>1948</v>
      </c>
      <c r="C1359" s="422" t="s">
        <v>778</v>
      </c>
      <c r="D1359" s="418" t="s">
        <v>73</v>
      </c>
      <c r="E1359" s="420">
        <v>3.15</v>
      </c>
      <c r="F1359" s="421">
        <v>9.9</v>
      </c>
      <c r="G1359" s="421"/>
      <c r="H1359" s="421">
        <f t="shared" si="118"/>
        <v>31.184999999999999</v>
      </c>
      <c r="I1359" s="421">
        <v>0</v>
      </c>
      <c r="J1359" s="157"/>
    </row>
    <row r="1360" spans="2:10" s="156" customFormat="1" x14ac:dyDescent="0.25">
      <c r="B1360" s="574" t="s">
        <v>1949</v>
      </c>
      <c r="C1360" s="419" t="s">
        <v>779</v>
      </c>
      <c r="D1360" s="418" t="s">
        <v>31</v>
      </c>
      <c r="E1360" s="420">
        <v>2</v>
      </c>
      <c r="F1360" s="421">
        <v>0.05</v>
      </c>
      <c r="G1360" s="421"/>
      <c r="H1360" s="421">
        <f t="shared" si="118"/>
        <v>0.1</v>
      </c>
      <c r="I1360" s="421">
        <v>0</v>
      </c>
      <c r="J1360" s="157"/>
    </row>
    <row r="1361" spans="2:10" s="156" customFormat="1" x14ac:dyDescent="0.25">
      <c r="B1361" s="574" t="s">
        <v>1950</v>
      </c>
      <c r="C1361" s="422" t="s">
        <v>780</v>
      </c>
      <c r="D1361" s="418" t="s">
        <v>73</v>
      </c>
      <c r="E1361" s="420">
        <v>2.1</v>
      </c>
      <c r="F1361" s="421">
        <v>2.27</v>
      </c>
      <c r="G1361" s="421"/>
      <c r="H1361" s="421">
        <f t="shared" si="118"/>
        <v>4.7670000000000003</v>
      </c>
      <c r="I1361" s="421">
        <v>0</v>
      </c>
      <c r="J1361" s="157"/>
    </row>
    <row r="1362" spans="2:10" s="19" customFormat="1" x14ac:dyDescent="0.25">
      <c r="B1362" s="574" t="s">
        <v>804</v>
      </c>
      <c r="C1362" s="513" t="s">
        <v>781</v>
      </c>
      <c r="D1362" s="512" t="s">
        <v>73</v>
      </c>
      <c r="E1362" s="514">
        <v>0.1</v>
      </c>
      <c r="F1362" s="515">
        <v>96.44</v>
      </c>
      <c r="G1362" s="515"/>
      <c r="H1362" s="515">
        <f t="shared" si="118"/>
        <v>9.6440000000000001</v>
      </c>
      <c r="I1362" s="515">
        <v>0</v>
      </c>
      <c r="J1362" s="450"/>
    </row>
    <row r="1363" spans="2:10" s="156" customFormat="1" x14ac:dyDescent="0.25">
      <c r="B1363" s="574" t="s">
        <v>1951</v>
      </c>
      <c r="C1363" s="422" t="s">
        <v>782</v>
      </c>
      <c r="D1363" s="418" t="s">
        <v>31</v>
      </c>
      <c r="E1363" s="420">
        <v>2</v>
      </c>
      <c r="F1363" s="421">
        <v>0.72</v>
      </c>
      <c r="G1363" s="421"/>
      <c r="H1363" s="421">
        <f t="shared" si="118"/>
        <v>1.44</v>
      </c>
      <c r="I1363" s="421">
        <v>0</v>
      </c>
      <c r="J1363" s="157"/>
    </row>
    <row r="1364" spans="2:10" s="156" customFormat="1" x14ac:dyDescent="0.25">
      <c r="B1364" s="574" t="s">
        <v>1952</v>
      </c>
      <c r="C1364" s="434" t="s">
        <v>786</v>
      </c>
      <c r="D1364" s="418" t="s">
        <v>42</v>
      </c>
      <c r="E1364" s="420">
        <v>0.02</v>
      </c>
      <c r="F1364" s="421">
        <v>42.18</v>
      </c>
      <c r="G1364" s="421"/>
      <c r="H1364" s="421">
        <f t="shared" si="118"/>
        <v>0.84360000000000002</v>
      </c>
      <c r="I1364" s="421">
        <v>0</v>
      </c>
      <c r="J1364" s="157"/>
    </row>
    <row r="1365" spans="2:10" s="156" customFormat="1" x14ac:dyDescent="0.25">
      <c r="B1365" s="574" t="s">
        <v>1953</v>
      </c>
      <c r="C1365" s="434" t="s">
        <v>762</v>
      </c>
      <c r="D1365" s="418" t="s">
        <v>41</v>
      </c>
      <c r="E1365" s="420">
        <v>6.3338434887187211E-4</v>
      </c>
      <c r="F1365" s="421">
        <v>22</v>
      </c>
      <c r="G1365" s="421"/>
      <c r="H1365" s="421">
        <f t="shared" si="118"/>
        <v>1.3934455675181187E-2</v>
      </c>
      <c r="I1365" s="421">
        <v>0</v>
      </c>
      <c r="J1365" s="157"/>
    </row>
    <row r="1366" spans="2:10" s="156" customFormat="1" x14ac:dyDescent="0.25">
      <c r="B1366" s="418"/>
      <c r="C1366" s="422"/>
      <c r="D1366" s="418"/>
      <c r="E1366" s="420"/>
      <c r="F1366" s="422"/>
      <c r="G1366" s="423" t="s">
        <v>790</v>
      </c>
      <c r="H1366" s="424">
        <f>SUM(H1350:H1365)</f>
        <v>122.92903445567518</v>
      </c>
      <c r="I1366" s="424">
        <f>SUM(I1350:I1365)</f>
        <v>83.27</v>
      </c>
      <c r="J1366" s="157"/>
    </row>
    <row r="1367" spans="2:10" s="156" customFormat="1" x14ac:dyDescent="0.25">
      <c r="B1367" s="425"/>
      <c r="C1367" s="426"/>
      <c r="D1367" s="425"/>
      <c r="E1367" s="427"/>
      <c r="F1367" s="648" t="s">
        <v>155</v>
      </c>
      <c r="G1367" s="649"/>
      <c r="H1367" s="428">
        <f>H1366+I1366</f>
        <v>206.19903445567519</v>
      </c>
      <c r="I1367" s="428"/>
      <c r="J1367" s="157"/>
    </row>
    <row r="1368" spans="2:10" s="156" customFormat="1" x14ac:dyDescent="0.25">
      <c r="B1368" s="429"/>
      <c r="C1368" s="430"/>
      <c r="D1368" s="429"/>
      <c r="E1368" s="431"/>
      <c r="F1368" s="435"/>
      <c r="G1368" s="436"/>
      <c r="H1368" s="436"/>
      <c r="I1368" s="436"/>
      <c r="J1368" s="157"/>
    </row>
    <row r="1369" spans="2:10" s="156" customFormat="1" ht="42" customHeight="1" x14ac:dyDescent="0.25">
      <c r="B1369" s="315" t="s">
        <v>693</v>
      </c>
      <c r="C1369" s="618" t="str">
        <f>ORÇAMENTO!C452</f>
        <v>INTERLIGAÇÃO DAS UNIDADES  CONDENSADORAS A EVAPORADORAS HI WALL, INCLUSIVE TUBULAÇÃO DE COBRE, ISOLAMENTO, CONEXÕES, FIXAÇÕES P/ CONDICIONADORES DE AR SPLIT SYSTEM ATÉ 18000 BTU - FORNECIMENTO E INSTALAÇÃO</v>
      </c>
      <c r="D1369" s="618"/>
      <c r="E1369" s="618"/>
      <c r="F1369" s="618"/>
      <c r="G1369" s="618"/>
      <c r="H1369" s="618"/>
      <c r="I1369" s="618"/>
      <c r="J1369" s="157"/>
    </row>
    <row r="1370" spans="2:10" s="156" customFormat="1" x14ac:dyDescent="0.25">
      <c r="B1370" s="643" t="s">
        <v>84</v>
      </c>
      <c r="C1370" s="643" t="s">
        <v>85</v>
      </c>
      <c r="D1370" s="643" t="s">
        <v>31</v>
      </c>
      <c r="E1370" s="646" t="s">
        <v>86</v>
      </c>
      <c r="F1370" s="648" t="s">
        <v>87</v>
      </c>
      <c r="G1370" s="649"/>
      <c r="H1370" s="648" t="s">
        <v>789</v>
      </c>
      <c r="I1370" s="649"/>
      <c r="J1370" s="157"/>
    </row>
    <row r="1371" spans="2:10" s="156" customFormat="1" x14ac:dyDescent="0.25">
      <c r="B1371" s="643"/>
      <c r="C1371" s="644"/>
      <c r="D1371" s="645"/>
      <c r="E1371" s="647"/>
      <c r="F1371" s="387" t="s">
        <v>788</v>
      </c>
      <c r="G1371" s="387" t="s">
        <v>687</v>
      </c>
      <c r="H1371" s="387" t="s">
        <v>788</v>
      </c>
      <c r="I1371" s="387" t="s">
        <v>687</v>
      </c>
      <c r="J1371" s="157"/>
    </row>
    <row r="1372" spans="2:10" s="156" customFormat="1" x14ac:dyDescent="0.25">
      <c r="B1372" s="574" t="s">
        <v>799</v>
      </c>
      <c r="C1372" s="422" t="s">
        <v>694</v>
      </c>
      <c r="D1372" s="418" t="s">
        <v>91</v>
      </c>
      <c r="E1372" s="420">
        <v>1</v>
      </c>
      <c r="F1372" s="421"/>
      <c r="G1372" s="421">
        <v>23.23</v>
      </c>
      <c r="H1372" s="421">
        <v>0</v>
      </c>
      <c r="I1372" s="421">
        <f>G1372*E1372</f>
        <v>23.23</v>
      </c>
      <c r="J1372" s="157"/>
    </row>
    <row r="1373" spans="2:10" s="156" customFormat="1" x14ac:dyDescent="0.25">
      <c r="B1373" s="574" t="s">
        <v>93</v>
      </c>
      <c r="C1373" s="422" t="s">
        <v>689</v>
      </c>
      <c r="D1373" s="418" t="s">
        <v>91</v>
      </c>
      <c r="E1373" s="420">
        <v>2</v>
      </c>
      <c r="F1373" s="421"/>
      <c r="G1373" s="421">
        <v>18.84</v>
      </c>
      <c r="H1373" s="421">
        <v>0</v>
      </c>
      <c r="I1373" s="421">
        <f>G1373*E1373</f>
        <v>37.68</v>
      </c>
      <c r="J1373" s="157"/>
    </row>
    <row r="1374" spans="2:10" s="156" customFormat="1" x14ac:dyDescent="0.25">
      <c r="B1374" s="574" t="s">
        <v>105</v>
      </c>
      <c r="C1374" s="422" t="s">
        <v>696</v>
      </c>
      <c r="D1374" s="418" t="s">
        <v>91</v>
      </c>
      <c r="E1374" s="420">
        <v>1</v>
      </c>
      <c r="F1374" s="421"/>
      <c r="G1374" s="421">
        <v>22.36</v>
      </c>
      <c r="H1374" s="421">
        <v>0</v>
      </c>
      <c r="I1374" s="421">
        <f>G1374*E1374</f>
        <v>22.36</v>
      </c>
      <c r="J1374" s="157"/>
    </row>
    <row r="1375" spans="2:10" s="156" customFormat="1" x14ac:dyDescent="0.25">
      <c r="B1375" s="574" t="s">
        <v>800</v>
      </c>
      <c r="C1375" s="434" t="s">
        <v>773</v>
      </c>
      <c r="D1375" s="418" t="s">
        <v>73</v>
      </c>
      <c r="E1375" s="420">
        <v>0.73</v>
      </c>
      <c r="F1375" s="421">
        <v>0.73</v>
      </c>
      <c r="G1375" s="421"/>
      <c r="H1375" s="421">
        <f>F1375*E1375</f>
        <v>0.53289999999999993</v>
      </c>
      <c r="I1375" s="421">
        <v>0</v>
      </c>
      <c r="J1375" s="157"/>
    </row>
    <row r="1376" spans="2:10" s="156" customFormat="1" x14ac:dyDescent="0.25">
      <c r="B1376" s="574" t="s">
        <v>801</v>
      </c>
      <c r="C1376" s="422" t="s">
        <v>774</v>
      </c>
      <c r="D1376" s="418" t="s">
        <v>73</v>
      </c>
      <c r="E1376" s="420">
        <v>1.05</v>
      </c>
      <c r="F1376" s="421">
        <v>22.3</v>
      </c>
      <c r="G1376" s="421"/>
      <c r="H1376" s="421">
        <f t="shared" ref="H1376:H1387" si="119">F1376*E1376</f>
        <v>23.415000000000003</v>
      </c>
      <c r="I1376" s="421">
        <v>0</v>
      </c>
      <c r="J1376" s="157"/>
    </row>
    <row r="1377" spans="2:10" s="156" customFormat="1" x14ac:dyDescent="0.25">
      <c r="B1377" s="574" t="s">
        <v>807</v>
      </c>
      <c r="C1377" s="422" t="s">
        <v>784</v>
      </c>
      <c r="D1377" s="418" t="s">
        <v>73</v>
      </c>
      <c r="E1377" s="420">
        <v>1.05</v>
      </c>
      <c r="F1377" s="421">
        <v>46.53</v>
      </c>
      <c r="G1377" s="421"/>
      <c r="H1377" s="421">
        <f t="shared" si="119"/>
        <v>48.856500000000004</v>
      </c>
      <c r="I1377" s="421">
        <v>0</v>
      </c>
      <c r="J1377" s="157"/>
    </row>
    <row r="1378" spans="2:10" s="156" customFormat="1" x14ac:dyDescent="0.25">
      <c r="B1378" s="574" t="s">
        <v>1947</v>
      </c>
      <c r="C1378" s="422" t="s">
        <v>1946</v>
      </c>
      <c r="D1378" s="418" t="s">
        <v>73</v>
      </c>
      <c r="E1378" s="420">
        <v>32</v>
      </c>
      <c r="F1378" s="421">
        <v>0.33</v>
      </c>
      <c r="G1378" s="421"/>
      <c r="H1378" s="421">
        <f t="shared" si="119"/>
        <v>10.56</v>
      </c>
      <c r="I1378" s="421">
        <v>0</v>
      </c>
      <c r="J1378" s="157"/>
    </row>
    <row r="1379" spans="2:10" s="156" customFormat="1" x14ac:dyDescent="0.25">
      <c r="B1379" s="574" t="s">
        <v>1954</v>
      </c>
      <c r="C1379" s="422" t="s">
        <v>776</v>
      </c>
      <c r="D1379" s="418" t="s">
        <v>73</v>
      </c>
      <c r="E1379" s="420">
        <v>0.5</v>
      </c>
      <c r="F1379" s="421">
        <v>7.09</v>
      </c>
      <c r="G1379" s="421"/>
      <c r="H1379" s="421">
        <f t="shared" si="119"/>
        <v>3.5449999999999999</v>
      </c>
      <c r="I1379" s="421">
        <v>0</v>
      </c>
      <c r="J1379" s="157"/>
    </row>
    <row r="1380" spans="2:10" s="156" customFormat="1" x14ac:dyDescent="0.25">
      <c r="B1380" s="574" t="s">
        <v>803</v>
      </c>
      <c r="C1380" s="422" t="s">
        <v>777</v>
      </c>
      <c r="D1380" s="418" t="s">
        <v>31</v>
      </c>
      <c r="E1380" s="420">
        <v>2</v>
      </c>
      <c r="F1380" s="421">
        <v>0.33</v>
      </c>
      <c r="G1380" s="421"/>
      <c r="H1380" s="421">
        <f t="shared" si="119"/>
        <v>0.66</v>
      </c>
      <c r="I1380" s="421">
        <v>0</v>
      </c>
      <c r="J1380" s="157"/>
    </row>
    <row r="1381" spans="2:10" s="156" customFormat="1" x14ac:dyDescent="0.25">
      <c r="B1381" s="574" t="s">
        <v>697</v>
      </c>
      <c r="C1381" s="422" t="s">
        <v>778</v>
      </c>
      <c r="D1381" s="418" t="s">
        <v>73</v>
      </c>
      <c r="E1381" s="420">
        <v>3.15</v>
      </c>
      <c r="F1381" s="421">
        <v>9.9</v>
      </c>
      <c r="G1381" s="421"/>
      <c r="H1381" s="421">
        <f t="shared" si="119"/>
        <v>31.184999999999999</v>
      </c>
      <c r="I1381" s="421">
        <v>0</v>
      </c>
      <c r="J1381" s="157"/>
    </row>
    <row r="1382" spans="2:10" s="156" customFormat="1" x14ac:dyDescent="0.25">
      <c r="B1382" s="574" t="s">
        <v>698</v>
      </c>
      <c r="C1382" s="419" t="s">
        <v>779</v>
      </c>
      <c r="D1382" s="418" t="s">
        <v>31</v>
      </c>
      <c r="E1382" s="420">
        <v>2</v>
      </c>
      <c r="F1382" s="421">
        <v>0.05</v>
      </c>
      <c r="G1382" s="421"/>
      <c r="H1382" s="421">
        <f t="shared" si="119"/>
        <v>0.1</v>
      </c>
      <c r="I1382" s="421">
        <v>0</v>
      </c>
      <c r="J1382" s="157"/>
    </row>
    <row r="1383" spans="2:10" s="156" customFormat="1" x14ac:dyDescent="0.25">
      <c r="B1383" s="574" t="s">
        <v>699</v>
      </c>
      <c r="C1383" s="422" t="s">
        <v>780</v>
      </c>
      <c r="D1383" s="418" t="s">
        <v>73</v>
      </c>
      <c r="E1383" s="420">
        <v>2.1</v>
      </c>
      <c r="F1383" s="421">
        <v>2.27</v>
      </c>
      <c r="G1383" s="421"/>
      <c r="H1383" s="421">
        <f t="shared" si="119"/>
        <v>4.7670000000000003</v>
      </c>
      <c r="I1383" s="421">
        <v>0</v>
      </c>
      <c r="J1383" s="157"/>
    </row>
    <row r="1384" spans="2:10" s="156" customFormat="1" x14ac:dyDescent="0.25">
      <c r="B1384" s="574" t="s">
        <v>804</v>
      </c>
      <c r="C1384" s="422" t="s">
        <v>781</v>
      </c>
      <c r="D1384" s="418" t="s">
        <v>73</v>
      </c>
      <c r="E1384" s="420">
        <v>0.1</v>
      </c>
      <c r="F1384" s="421">
        <v>96.44</v>
      </c>
      <c r="G1384" s="421"/>
      <c r="H1384" s="421">
        <f t="shared" si="119"/>
        <v>9.6440000000000001</v>
      </c>
      <c r="I1384" s="421">
        <v>0</v>
      </c>
      <c r="J1384" s="157"/>
    </row>
    <row r="1385" spans="2:10" s="156" customFormat="1" x14ac:dyDescent="0.25">
      <c r="B1385" s="574" t="s">
        <v>700</v>
      </c>
      <c r="C1385" s="422" t="s">
        <v>782</v>
      </c>
      <c r="D1385" s="418" t="s">
        <v>31</v>
      </c>
      <c r="E1385" s="420">
        <v>2</v>
      </c>
      <c r="F1385" s="421">
        <v>0.72</v>
      </c>
      <c r="G1385" s="421"/>
      <c r="H1385" s="421">
        <f t="shared" si="119"/>
        <v>1.44</v>
      </c>
      <c r="I1385" s="421">
        <v>0</v>
      </c>
      <c r="J1385" s="157"/>
    </row>
    <row r="1386" spans="2:10" s="156" customFormat="1" x14ac:dyDescent="0.25">
      <c r="B1386" s="574" t="s">
        <v>701</v>
      </c>
      <c r="C1386" s="434" t="s">
        <v>783</v>
      </c>
      <c r="D1386" s="418" t="s">
        <v>42</v>
      </c>
      <c r="E1386" s="420">
        <v>0.02</v>
      </c>
      <c r="F1386" s="421">
        <v>42.18</v>
      </c>
      <c r="G1386" s="421"/>
      <c r="H1386" s="421">
        <f t="shared" si="119"/>
        <v>0.84360000000000002</v>
      </c>
      <c r="I1386" s="421">
        <v>0</v>
      </c>
      <c r="J1386" s="157"/>
    </row>
    <row r="1387" spans="2:10" s="156" customFormat="1" x14ac:dyDescent="0.25">
      <c r="B1387" s="574" t="s">
        <v>702</v>
      </c>
      <c r="C1387" s="434" t="s">
        <v>762</v>
      </c>
      <c r="D1387" s="418" t="s">
        <v>41</v>
      </c>
      <c r="E1387" s="420">
        <v>6.3338434887187211E-4</v>
      </c>
      <c r="F1387" s="421">
        <v>22</v>
      </c>
      <c r="G1387" s="421"/>
      <c r="H1387" s="421">
        <f t="shared" si="119"/>
        <v>1.3934455675181187E-2</v>
      </c>
      <c r="I1387" s="421">
        <v>0</v>
      </c>
      <c r="J1387" s="157"/>
    </row>
    <row r="1388" spans="2:10" s="156" customFormat="1" x14ac:dyDescent="0.25">
      <c r="B1388" s="418"/>
      <c r="C1388" s="422"/>
      <c r="D1388" s="418"/>
      <c r="E1388" s="420"/>
      <c r="F1388" s="422"/>
      <c r="G1388" s="423" t="s">
        <v>790</v>
      </c>
      <c r="H1388" s="424">
        <f>SUM(H1372:H1387)</f>
        <v>135.56293445567519</v>
      </c>
      <c r="I1388" s="424">
        <f>SUM(I1372:I1387)</f>
        <v>83.27</v>
      </c>
      <c r="J1388" s="157"/>
    </row>
    <row r="1389" spans="2:10" s="156" customFormat="1" x14ac:dyDescent="0.25">
      <c r="B1389" s="425"/>
      <c r="C1389" s="426"/>
      <c r="D1389" s="425"/>
      <c r="E1389" s="427"/>
      <c r="F1389" s="648" t="s">
        <v>155</v>
      </c>
      <c r="G1389" s="649"/>
      <c r="H1389" s="428">
        <f>H1388+I1388</f>
        <v>218.83293445567517</v>
      </c>
      <c r="I1389" s="428"/>
      <c r="J1389" s="157"/>
    </row>
    <row r="1390" spans="2:10" s="156" customFormat="1" x14ac:dyDescent="0.25">
      <c r="B1390" s="429"/>
      <c r="C1390" s="430"/>
      <c r="D1390" s="429"/>
      <c r="E1390" s="431"/>
      <c r="F1390" s="435"/>
      <c r="G1390" s="436"/>
      <c r="H1390" s="436"/>
      <c r="I1390" s="436"/>
      <c r="J1390" s="157"/>
    </row>
    <row r="1391" spans="2:10" s="156" customFormat="1" ht="45" customHeight="1" x14ac:dyDescent="0.25">
      <c r="B1391" s="315" t="s">
        <v>703</v>
      </c>
      <c r="C1391" s="618" t="str">
        <f>ORÇAMENTO!C453</f>
        <v>INTERLIGAÇÃO DAS UNIDADES  CONDENSADORAS A EVAPORADORAS HI WALL, INCLUSIVE TUBULAÇÃO DE COBRE, ISOLAMENTO, CONEXÕES, FIXAÇÕES P/ CONDICIONADORES DE AR SPLIT SYSTEM ATÉ 24000 BTU - FORNECIMENTO E INSTALAÇÃO</v>
      </c>
      <c r="D1391" s="618"/>
      <c r="E1391" s="618"/>
      <c r="F1391" s="618"/>
      <c r="G1391" s="618"/>
      <c r="H1391" s="618"/>
      <c r="I1391" s="618"/>
      <c r="J1391" s="157"/>
    </row>
    <row r="1392" spans="2:10" s="156" customFormat="1" x14ac:dyDescent="0.25">
      <c r="B1392" s="643" t="s">
        <v>84</v>
      </c>
      <c r="C1392" s="643" t="s">
        <v>85</v>
      </c>
      <c r="D1392" s="643" t="s">
        <v>31</v>
      </c>
      <c r="E1392" s="646" t="s">
        <v>86</v>
      </c>
      <c r="F1392" s="648" t="s">
        <v>87</v>
      </c>
      <c r="G1392" s="649"/>
      <c r="H1392" s="648" t="s">
        <v>789</v>
      </c>
      <c r="I1392" s="649"/>
      <c r="J1392" s="157"/>
    </row>
    <row r="1393" spans="2:10" s="156" customFormat="1" x14ac:dyDescent="0.25">
      <c r="B1393" s="643"/>
      <c r="C1393" s="644"/>
      <c r="D1393" s="645"/>
      <c r="E1393" s="647"/>
      <c r="F1393" s="387" t="s">
        <v>788</v>
      </c>
      <c r="G1393" s="387" t="s">
        <v>687</v>
      </c>
      <c r="H1393" s="387" t="s">
        <v>788</v>
      </c>
      <c r="I1393" s="387" t="s">
        <v>687</v>
      </c>
      <c r="J1393" s="157"/>
    </row>
    <row r="1394" spans="2:10" s="156" customFormat="1" x14ac:dyDescent="0.25">
      <c r="B1394" s="574" t="s">
        <v>799</v>
      </c>
      <c r="C1394" s="422" t="s">
        <v>694</v>
      </c>
      <c r="D1394" s="418" t="s">
        <v>91</v>
      </c>
      <c r="E1394" s="420">
        <v>1</v>
      </c>
      <c r="F1394" s="421"/>
      <c r="G1394" s="421">
        <v>23.23</v>
      </c>
      <c r="H1394" s="421">
        <v>0</v>
      </c>
      <c r="I1394" s="421">
        <f>G1394*E1394</f>
        <v>23.23</v>
      </c>
      <c r="J1394" s="157"/>
    </row>
    <row r="1395" spans="2:10" s="156" customFormat="1" x14ac:dyDescent="0.25">
      <c r="B1395" s="574" t="s">
        <v>93</v>
      </c>
      <c r="C1395" s="422" t="s">
        <v>689</v>
      </c>
      <c r="D1395" s="418" t="s">
        <v>91</v>
      </c>
      <c r="E1395" s="420">
        <v>2</v>
      </c>
      <c r="F1395" s="421"/>
      <c r="G1395" s="421">
        <v>18.84</v>
      </c>
      <c r="H1395" s="421">
        <v>0</v>
      </c>
      <c r="I1395" s="421">
        <f t="shared" ref="I1395:I1409" si="120">G1395*E1395</f>
        <v>37.68</v>
      </c>
      <c r="J1395" s="157"/>
    </row>
    <row r="1396" spans="2:10" s="156" customFormat="1" x14ac:dyDescent="0.25">
      <c r="B1396" s="574" t="s">
        <v>105</v>
      </c>
      <c r="C1396" s="422" t="s">
        <v>696</v>
      </c>
      <c r="D1396" s="418" t="s">
        <v>91</v>
      </c>
      <c r="E1396" s="420">
        <v>1</v>
      </c>
      <c r="F1396" s="421"/>
      <c r="G1396" s="421">
        <v>22.36</v>
      </c>
      <c r="H1396" s="421">
        <v>0</v>
      </c>
      <c r="I1396" s="421">
        <f t="shared" si="120"/>
        <v>22.36</v>
      </c>
      <c r="J1396" s="157"/>
    </row>
    <row r="1397" spans="2:10" s="156" customFormat="1" x14ac:dyDescent="0.25">
      <c r="B1397" s="574" t="s">
        <v>800</v>
      </c>
      <c r="C1397" s="434" t="s">
        <v>773</v>
      </c>
      <c r="D1397" s="418" t="s">
        <v>73</v>
      </c>
      <c r="E1397" s="420">
        <v>0.73</v>
      </c>
      <c r="F1397" s="421">
        <v>0.73</v>
      </c>
      <c r="G1397" s="421"/>
      <c r="H1397" s="421">
        <f>F1397*E1397</f>
        <v>0.53289999999999993</v>
      </c>
      <c r="I1397" s="421">
        <f t="shared" si="120"/>
        <v>0</v>
      </c>
      <c r="J1397" s="157"/>
    </row>
    <row r="1398" spans="2:10" s="156" customFormat="1" x14ac:dyDescent="0.25">
      <c r="B1398" s="574" t="s">
        <v>801</v>
      </c>
      <c r="C1398" s="422" t="s">
        <v>774</v>
      </c>
      <c r="D1398" s="418" t="s">
        <v>73</v>
      </c>
      <c r="E1398" s="420">
        <v>1.05</v>
      </c>
      <c r="F1398" s="421">
        <v>22.3</v>
      </c>
      <c r="G1398" s="421"/>
      <c r="H1398" s="421">
        <f t="shared" ref="H1398:H1409" si="121">F1398*E1398</f>
        <v>23.415000000000003</v>
      </c>
      <c r="I1398" s="421">
        <f t="shared" si="120"/>
        <v>0</v>
      </c>
      <c r="J1398" s="157"/>
    </row>
    <row r="1399" spans="2:10" s="156" customFormat="1" x14ac:dyDescent="0.25">
      <c r="B1399" s="574" t="s">
        <v>802</v>
      </c>
      <c r="C1399" s="422" t="s">
        <v>775</v>
      </c>
      <c r="D1399" s="418" t="s">
        <v>73</v>
      </c>
      <c r="E1399" s="420">
        <v>1.05</v>
      </c>
      <c r="F1399" s="421">
        <v>57.88</v>
      </c>
      <c r="G1399" s="421"/>
      <c r="H1399" s="421">
        <f t="shared" si="121"/>
        <v>60.774000000000008</v>
      </c>
      <c r="I1399" s="421">
        <f t="shared" si="120"/>
        <v>0</v>
      </c>
      <c r="J1399" s="157"/>
    </row>
    <row r="1400" spans="2:10" s="156" customFormat="1" x14ac:dyDescent="0.25">
      <c r="B1400" s="574" t="s">
        <v>1947</v>
      </c>
      <c r="C1400" s="422" t="s">
        <v>1946</v>
      </c>
      <c r="D1400" s="418" t="s">
        <v>73</v>
      </c>
      <c r="E1400" s="420">
        <v>32</v>
      </c>
      <c r="F1400" s="421">
        <v>0.33</v>
      </c>
      <c r="G1400" s="421"/>
      <c r="H1400" s="421">
        <f t="shared" si="121"/>
        <v>10.56</v>
      </c>
      <c r="I1400" s="421">
        <f t="shared" si="120"/>
        <v>0</v>
      </c>
      <c r="J1400" s="157"/>
    </row>
    <row r="1401" spans="2:10" s="156" customFormat="1" x14ac:dyDescent="0.25">
      <c r="B1401" s="574" t="s">
        <v>1954</v>
      </c>
      <c r="C1401" s="422" t="s">
        <v>776</v>
      </c>
      <c r="D1401" s="418" t="s">
        <v>73</v>
      </c>
      <c r="E1401" s="420">
        <v>0.5</v>
      </c>
      <c r="F1401" s="421">
        <v>7.09</v>
      </c>
      <c r="G1401" s="421"/>
      <c r="H1401" s="421">
        <f t="shared" si="121"/>
        <v>3.5449999999999999</v>
      </c>
      <c r="I1401" s="421">
        <f t="shared" si="120"/>
        <v>0</v>
      </c>
      <c r="J1401" s="157"/>
    </row>
    <row r="1402" spans="2:10" s="156" customFormat="1" x14ac:dyDescent="0.25">
      <c r="B1402" s="574" t="s">
        <v>803</v>
      </c>
      <c r="C1402" s="422" t="s">
        <v>777</v>
      </c>
      <c r="D1402" s="418" t="s">
        <v>31</v>
      </c>
      <c r="E1402" s="420">
        <v>2</v>
      </c>
      <c r="F1402" s="421">
        <v>0.33</v>
      </c>
      <c r="G1402" s="421"/>
      <c r="H1402" s="421">
        <f t="shared" si="121"/>
        <v>0.66</v>
      </c>
      <c r="I1402" s="421">
        <f t="shared" si="120"/>
        <v>0</v>
      </c>
      <c r="J1402" s="157"/>
    </row>
    <row r="1403" spans="2:10" s="156" customFormat="1" x14ac:dyDescent="0.25">
      <c r="B1403" s="574" t="s">
        <v>697</v>
      </c>
      <c r="C1403" s="422" t="s">
        <v>778</v>
      </c>
      <c r="D1403" s="418" t="s">
        <v>73</v>
      </c>
      <c r="E1403" s="420">
        <v>3.15</v>
      </c>
      <c r="F1403" s="421">
        <v>9.9</v>
      </c>
      <c r="G1403" s="421"/>
      <c r="H1403" s="421">
        <f t="shared" si="121"/>
        <v>31.184999999999999</v>
      </c>
      <c r="I1403" s="421">
        <f t="shared" si="120"/>
        <v>0</v>
      </c>
      <c r="J1403" s="157"/>
    </row>
    <row r="1404" spans="2:10" s="156" customFormat="1" x14ac:dyDescent="0.25">
      <c r="B1404" s="574" t="s">
        <v>698</v>
      </c>
      <c r="C1404" s="419" t="s">
        <v>779</v>
      </c>
      <c r="D1404" s="418" t="s">
        <v>31</v>
      </c>
      <c r="E1404" s="420">
        <v>2</v>
      </c>
      <c r="F1404" s="421">
        <v>0.05</v>
      </c>
      <c r="G1404" s="421"/>
      <c r="H1404" s="421">
        <f t="shared" si="121"/>
        <v>0.1</v>
      </c>
      <c r="I1404" s="421">
        <f t="shared" si="120"/>
        <v>0</v>
      </c>
      <c r="J1404" s="157"/>
    </row>
    <row r="1405" spans="2:10" s="156" customFormat="1" x14ac:dyDescent="0.25">
      <c r="B1405" s="574" t="s">
        <v>699</v>
      </c>
      <c r="C1405" s="422" t="s">
        <v>780</v>
      </c>
      <c r="D1405" s="418" t="s">
        <v>73</v>
      </c>
      <c r="E1405" s="420">
        <v>2.1</v>
      </c>
      <c r="F1405" s="421">
        <v>2.27</v>
      </c>
      <c r="G1405" s="421"/>
      <c r="H1405" s="421">
        <f t="shared" si="121"/>
        <v>4.7670000000000003</v>
      </c>
      <c r="I1405" s="421">
        <f t="shared" si="120"/>
        <v>0</v>
      </c>
      <c r="J1405" s="157"/>
    </row>
    <row r="1406" spans="2:10" s="156" customFormat="1" x14ac:dyDescent="0.25">
      <c r="B1406" s="574" t="s">
        <v>804</v>
      </c>
      <c r="C1406" s="422" t="s">
        <v>781</v>
      </c>
      <c r="D1406" s="418" t="s">
        <v>73</v>
      </c>
      <c r="E1406" s="420">
        <v>0.1</v>
      </c>
      <c r="F1406" s="421">
        <v>96.44</v>
      </c>
      <c r="G1406" s="421"/>
      <c r="H1406" s="421">
        <f t="shared" si="121"/>
        <v>9.6440000000000001</v>
      </c>
      <c r="I1406" s="421">
        <f t="shared" si="120"/>
        <v>0</v>
      </c>
      <c r="J1406" s="157"/>
    </row>
    <row r="1407" spans="2:10" s="156" customFormat="1" x14ac:dyDescent="0.25">
      <c r="B1407" s="574" t="s">
        <v>700</v>
      </c>
      <c r="C1407" s="422" t="s">
        <v>782</v>
      </c>
      <c r="D1407" s="418" t="s">
        <v>31</v>
      </c>
      <c r="E1407" s="420">
        <v>2</v>
      </c>
      <c r="F1407" s="421">
        <v>0.72</v>
      </c>
      <c r="G1407" s="421"/>
      <c r="H1407" s="421">
        <f t="shared" si="121"/>
        <v>1.44</v>
      </c>
      <c r="I1407" s="421">
        <f t="shared" si="120"/>
        <v>0</v>
      </c>
      <c r="J1407" s="157"/>
    </row>
    <row r="1408" spans="2:10" s="156" customFormat="1" x14ac:dyDescent="0.25">
      <c r="B1408" s="574" t="s">
        <v>701</v>
      </c>
      <c r="C1408" s="434" t="s">
        <v>783</v>
      </c>
      <c r="D1408" s="418" t="s">
        <v>42</v>
      </c>
      <c r="E1408" s="420">
        <v>0.02</v>
      </c>
      <c r="F1408" s="421">
        <v>42.18</v>
      </c>
      <c r="G1408" s="421"/>
      <c r="H1408" s="421">
        <f t="shared" si="121"/>
        <v>0.84360000000000002</v>
      </c>
      <c r="I1408" s="421">
        <f t="shared" si="120"/>
        <v>0</v>
      </c>
      <c r="J1408" s="157"/>
    </row>
    <row r="1409" spans="2:10" s="156" customFormat="1" x14ac:dyDescent="0.25">
      <c r="B1409" s="574" t="s">
        <v>702</v>
      </c>
      <c r="C1409" s="434" t="s">
        <v>762</v>
      </c>
      <c r="D1409" s="418" t="s">
        <v>41</v>
      </c>
      <c r="E1409" s="420">
        <v>6.3338434887187211E-4</v>
      </c>
      <c r="F1409" s="421">
        <v>22</v>
      </c>
      <c r="G1409" s="421"/>
      <c r="H1409" s="421">
        <f t="shared" si="121"/>
        <v>1.3934455675181187E-2</v>
      </c>
      <c r="I1409" s="421">
        <f t="shared" si="120"/>
        <v>0</v>
      </c>
      <c r="J1409" s="157"/>
    </row>
    <row r="1410" spans="2:10" s="156" customFormat="1" x14ac:dyDescent="0.25">
      <c r="B1410" s="418"/>
      <c r="C1410" s="422"/>
      <c r="D1410" s="418"/>
      <c r="E1410" s="420"/>
      <c r="F1410" s="422"/>
      <c r="G1410" s="423" t="s">
        <v>790</v>
      </c>
      <c r="H1410" s="424">
        <f>SUM(H1394:H1409)</f>
        <v>147.48043445567518</v>
      </c>
      <c r="I1410" s="424">
        <f>SUM(I1394:I1409)</f>
        <v>83.27</v>
      </c>
      <c r="J1410" s="157"/>
    </row>
    <row r="1411" spans="2:10" s="156" customFormat="1" x14ac:dyDescent="0.25">
      <c r="B1411" s="425"/>
      <c r="C1411" s="426"/>
      <c r="D1411" s="425"/>
      <c r="E1411" s="427"/>
      <c r="F1411" s="648" t="s">
        <v>155</v>
      </c>
      <c r="G1411" s="649"/>
      <c r="H1411" s="428">
        <f>H1410+I1410</f>
        <v>230.75043445567519</v>
      </c>
      <c r="I1411" s="428"/>
      <c r="J1411" s="157"/>
    </row>
    <row r="1412" spans="2:10" s="156" customFormat="1" x14ac:dyDescent="0.25">
      <c r="B1412" s="429"/>
      <c r="C1412" s="430"/>
      <c r="D1412" s="429"/>
      <c r="E1412" s="431"/>
      <c r="F1412" s="432"/>
      <c r="G1412" s="432"/>
      <c r="H1412" s="433"/>
      <c r="I1412" s="433"/>
      <c r="J1412" s="157"/>
    </row>
    <row r="1413" spans="2:10" s="156" customFormat="1" ht="35.25" customHeight="1" x14ac:dyDescent="0.25">
      <c r="B1413" s="315" t="s">
        <v>704</v>
      </c>
      <c r="C1413" s="618" t="str">
        <f>ORÇAMENTO!C454</f>
        <v>SUPORTE METÁLICO PARA UNIDADE EXTERNA - FORNECIMENTO E INSTALAÇÃO</v>
      </c>
      <c r="D1413" s="618"/>
      <c r="E1413" s="618"/>
      <c r="F1413" s="618"/>
      <c r="G1413" s="618"/>
      <c r="H1413" s="618"/>
      <c r="I1413" s="618"/>
      <c r="J1413" s="157"/>
    </row>
    <row r="1414" spans="2:10" s="156" customFormat="1" x14ac:dyDescent="0.25">
      <c r="B1414" s="643" t="s">
        <v>84</v>
      </c>
      <c r="C1414" s="643" t="s">
        <v>85</v>
      </c>
      <c r="D1414" s="643" t="s">
        <v>31</v>
      </c>
      <c r="E1414" s="646" t="s">
        <v>86</v>
      </c>
      <c r="F1414" s="648" t="s">
        <v>87</v>
      </c>
      <c r="G1414" s="649"/>
      <c r="H1414" s="648" t="s">
        <v>789</v>
      </c>
      <c r="I1414" s="649"/>
      <c r="J1414" s="157"/>
    </row>
    <row r="1415" spans="2:10" s="156" customFormat="1" x14ac:dyDescent="0.25">
      <c r="B1415" s="643"/>
      <c r="C1415" s="644"/>
      <c r="D1415" s="645"/>
      <c r="E1415" s="647"/>
      <c r="F1415" s="387" t="s">
        <v>788</v>
      </c>
      <c r="G1415" s="387" t="s">
        <v>687</v>
      </c>
      <c r="H1415" s="387" t="s">
        <v>788</v>
      </c>
      <c r="I1415" s="387" t="s">
        <v>687</v>
      </c>
      <c r="J1415" s="157"/>
    </row>
    <row r="1416" spans="2:10" s="156" customFormat="1" x14ac:dyDescent="0.25">
      <c r="B1416" s="574" t="s">
        <v>2014</v>
      </c>
      <c r="C1416" s="422" t="s">
        <v>771</v>
      </c>
      <c r="D1416" s="418" t="s">
        <v>31</v>
      </c>
      <c r="E1416" s="420">
        <v>1</v>
      </c>
      <c r="F1416" s="421">
        <v>72.72</v>
      </c>
      <c r="G1416" s="421"/>
      <c r="H1416" s="421">
        <f>F1416*E1416</f>
        <v>72.72</v>
      </c>
      <c r="I1416" s="421">
        <v>0</v>
      </c>
      <c r="J1416" s="157"/>
    </row>
    <row r="1417" spans="2:10" s="156" customFormat="1" x14ac:dyDescent="0.25">
      <c r="B1417" s="574" t="s">
        <v>805</v>
      </c>
      <c r="C1417" s="422" t="s">
        <v>772</v>
      </c>
      <c r="D1417" s="418" t="s">
        <v>91</v>
      </c>
      <c r="E1417" s="420">
        <v>1</v>
      </c>
      <c r="F1417" s="421"/>
      <c r="G1417" s="421">
        <v>23.7</v>
      </c>
      <c r="H1417" s="421">
        <v>0</v>
      </c>
      <c r="I1417" s="421">
        <f>G1417*E1417</f>
        <v>23.7</v>
      </c>
      <c r="J1417" s="157"/>
    </row>
    <row r="1418" spans="2:10" s="156" customFormat="1" x14ac:dyDescent="0.25">
      <c r="B1418" s="418"/>
      <c r="C1418" s="422"/>
      <c r="D1418" s="418"/>
      <c r="E1418" s="420"/>
      <c r="F1418" s="437"/>
      <c r="G1418" s="423" t="s">
        <v>790</v>
      </c>
      <c r="H1418" s="424">
        <f>SUM(H1416:H1417)</f>
        <v>72.72</v>
      </c>
      <c r="I1418" s="424">
        <f>SUM(I1416:I1417)</f>
        <v>23.7</v>
      </c>
      <c r="J1418" s="157"/>
    </row>
    <row r="1419" spans="2:10" s="156" customFormat="1" x14ac:dyDescent="0.25">
      <c r="B1419" s="425"/>
      <c r="C1419" s="426"/>
      <c r="D1419" s="425"/>
      <c r="E1419" s="427"/>
      <c r="F1419" s="648" t="s">
        <v>155</v>
      </c>
      <c r="G1419" s="649"/>
      <c r="H1419" s="428">
        <f>H1418+I1418</f>
        <v>96.42</v>
      </c>
      <c r="I1419" s="428"/>
      <c r="J1419" s="157"/>
    </row>
    <row r="1420" spans="2:10" s="156" customFormat="1" x14ac:dyDescent="0.25">
      <c r="B1420" s="429"/>
      <c r="C1420" s="430"/>
      <c r="D1420" s="429"/>
      <c r="E1420" s="431"/>
      <c r="F1420" s="430"/>
      <c r="G1420" s="430"/>
      <c r="H1420" s="430"/>
      <c r="I1420" s="430"/>
      <c r="J1420" s="157"/>
    </row>
    <row r="1421" spans="2:10" s="156" customFormat="1" ht="45.75" customHeight="1" x14ac:dyDescent="0.25">
      <c r="B1421" s="315" t="s">
        <v>710</v>
      </c>
      <c r="C1421" s="618" t="str">
        <f>ORÇAMENTO!C456</f>
        <v>COIFA EM AÇO INOX ESCOVADO AISI 304, TIPO ENCOSTADA, COM FILTROS INERCIAS, DESCARGA VERTICAL SUPERIOR COM DIAM=30CM, EXAUSTOR COM MOTOR, DUTO, CHAPEU CHINES, FILTRO, DIMENSÕES: LARG=2800 X PROF=800 X ALT=600MM - FORNECIMENTO E INSTALAÇÃO</v>
      </c>
      <c r="D1421" s="618"/>
      <c r="E1421" s="618"/>
      <c r="F1421" s="618"/>
      <c r="G1421" s="618"/>
      <c r="H1421" s="618"/>
      <c r="I1421" s="618"/>
      <c r="J1421" s="157"/>
    </row>
    <row r="1422" spans="2:10" s="156" customFormat="1" x14ac:dyDescent="0.25">
      <c r="B1422" s="643" t="s">
        <v>84</v>
      </c>
      <c r="C1422" s="643" t="s">
        <v>85</v>
      </c>
      <c r="D1422" s="643" t="s">
        <v>31</v>
      </c>
      <c r="E1422" s="646" t="s">
        <v>86</v>
      </c>
      <c r="F1422" s="648" t="s">
        <v>87</v>
      </c>
      <c r="G1422" s="649"/>
      <c r="H1422" s="648" t="s">
        <v>789</v>
      </c>
      <c r="I1422" s="649"/>
      <c r="J1422" s="157"/>
    </row>
    <row r="1423" spans="2:10" s="156" customFormat="1" x14ac:dyDescent="0.25">
      <c r="B1423" s="643"/>
      <c r="C1423" s="644"/>
      <c r="D1423" s="645"/>
      <c r="E1423" s="647"/>
      <c r="F1423" s="387" t="s">
        <v>788</v>
      </c>
      <c r="G1423" s="387" t="s">
        <v>687</v>
      </c>
      <c r="H1423" s="387" t="s">
        <v>788</v>
      </c>
      <c r="I1423" s="387" t="s">
        <v>687</v>
      </c>
      <c r="J1423" s="157"/>
    </row>
    <row r="1424" spans="2:10" s="156" customFormat="1" ht="47.25" x14ac:dyDescent="0.25">
      <c r="B1424" s="574" t="s">
        <v>136</v>
      </c>
      <c r="C1424" s="542" t="s">
        <v>903</v>
      </c>
      <c r="D1424" s="418" t="s">
        <v>31</v>
      </c>
      <c r="E1424" s="420">
        <v>1</v>
      </c>
      <c r="F1424" s="421">
        <v>14902.4</v>
      </c>
      <c r="G1424" s="421"/>
      <c r="H1424" s="421">
        <f>F1424*E1424</f>
        <v>14902.4</v>
      </c>
      <c r="I1424" s="421">
        <f>G1424*E1424</f>
        <v>0</v>
      </c>
      <c r="J1424" s="157"/>
    </row>
    <row r="1425" spans="2:10" s="156" customFormat="1" x14ac:dyDescent="0.25">
      <c r="B1425" s="574" t="s">
        <v>806</v>
      </c>
      <c r="C1425" s="422" t="s">
        <v>768</v>
      </c>
      <c r="D1425" s="418" t="s">
        <v>91</v>
      </c>
      <c r="E1425" s="420">
        <v>54</v>
      </c>
      <c r="F1425" s="421"/>
      <c r="G1425" s="438">
        <v>23.7</v>
      </c>
      <c r="H1425" s="421">
        <f t="shared" ref="H1425:H1427" si="122">F1425*E1425</f>
        <v>0</v>
      </c>
      <c r="I1425" s="421">
        <f t="shared" ref="I1425:I1427" si="123">G1425*E1425</f>
        <v>1279.8</v>
      </c>
      <c r="J1425" s="157"/>
    </row>
    <row r="1426" spans="2:10" s="156" customFormat="1" x14ac:dyDescent="0.25">
      <c r="B1426" s="574" t="s">
        <v>93</v>
      </c>
      <c r="C1426" s="422" t="s">
        <v>769</v>
      </c>
      <c r="D1426" s="418" t="s">
        <v>91</v>
      </c>
      <c r="E1426" s="420">
        <v>34</v>
      </c>
      <c r="F1426" s="421"/>
      <c r="G1426" s="518">
        <v>18.84</v>
      </c>
      <c r="H1426" s="421">
        <f t="shared" si="122"/>
        <v>0</v>
      </c>
      <c r="I1426" s="421">
        <f t="shared" si="123"/>
        <v>640.55999999999995</v>
      </c>
      <c r="J1426" s="157"/>
    </row>
    <row r="1427" spans="2:10" s="156" customFormat="1" x14ac:dyDescent="0.25">
      <c r="B1427" s="574" t="s">
        <v>805</v>
      </c>
      <c r="C1427" s="422" t="s">
        <v>770</v>
      </c>
      <c r="D1427" s="418" t="s">
        <v>91</v>
      </c>
      <c r="E1427" s="420">
        <v>1</v>
      </c>
      <c r="F1427" s="421"/>
      <c r="G1427" s="438">
        <v>23.21</v>
      </c>
      <c r="H1427" s="421">
        <f t="shared" si="122"/>
        <v>0</v>
      </c>
      <c r="I1427" s="421">
        <f t="shared" si="123"/>
        <v>23.21</v>
      </c>
      <c r="J1427" s="157"/>
    </row>
    <row r="1428" spans="2:10" s="156" customFormat="1" x14ac:dyDescent="0.25">
      <c r="B1428" s="418"/>
      <c r="C1428" s="422"/>
      <c r="D1428" s="418" t="s">
        <v>787</v>
      </c>
      <c r="E1428" s="420"/>
      <c r="F1428" s="437"/>
      <c r="G1428" s="423" t="s">
        <v>790</v>
      </c>
      <c r="H1428" s="424">
        <f>SUM(H1424:H1427)</f>
        <v>14902.4</v>
      </c>
      <c r="I1428" s="424">
        <f>SUM(I1424:I1427)</f>
        <v>1943.57</v>
      </c>
      <c r="J1428" s="157"/>
    </row>
    <row r="1429" spans="2:10" s="156" customFormat="1" x14ac:dyDescent="0.25">
      <c r="B1429" s="425"/>
      <c r="C1429" s="426"/>
      <c r="D1429" s="425"/>
      <c r="E1429" s="427"/>
      <c r="F1429" s="648" t="s">
        <v>155</v>
      </c>
      <c r="G1429" s="649"/>
      <c r="H1429" s="428">
        <f>H1428+I1428</f>
        <v>16845.97</v>
      </c>
      <c r="I1429" s="428"/>
      <c r="J1429" s="157"/>
    </row>
    <row r="1430" spans="2:10" s="156" customFormat="1" x14ac:dyDescent="0.25">
      <c r="B1430" s="249"/>
      <c r="C1430" s="249"/>
      <c r="D1430" s="473"/>
      <c r="E1430" s="386"/>
      <c r="F1430" s="249"/>
      <c r="G1430" s="249"/>
      <c r="H1430" s="35"/>
      <c r="I1430" s="35"/>
      <c r="J1430" s="157"/>
    </row>
    <row r="1431" spans="2:10" x14ac:dyDescent="0.25">
      <c r="B1431" s="226" t="s">
        <v>196</v>
      </c>
      <c r="C1431" s="227"/>
      <c r="D1431" s="472"/>
      <c r="E1431" s="228"/>
      <c r="F1431" s="286"/>
      <c r="G1431" s="287"/>
    </row>
    <row r="1432" spans="2:10" x14ac:dyDescent="0.25">
      <c r="B1432" s="47"/>
      <c r="C1432" s="47"/>
      <c r="D1432" s="310"/>
      <c r="E1432" s="255"/>
      <c r="F1432" s="256"/>
      <c r="G1432" s="251"/>
    </row>
    <row r="1433" spans="2:10" ht="43.5" customHeight="1" x14ac:dyDescent="0.25">
      <c r="B1433" s="235" t="s">
        <v>49</v>
      </c>
      <c r="C1433" s="622" t="str">
        <f>ORÇAMENTO!C462</f>
        <v>BEBEDOURO DE PRESSÃO ACESSÍVEL SUSPENSO EM INOX ESCOVADO, MARCA ACQUA PCD, COM SISTEMA BRAILLE QUE IDENTIFICA BOTÕES, FORNECE PAGUA NAS TEMPERATURAS GELADA E AMBIENTTE, 220 V</v>
      </c>
      <c r="D1433" s="622"/>
      <c r="E1433" s="622"/>
      <c r="F1433" s="622"/>
      <c r="G1433" s="622"/>
    </row>
    <row r="1434" spans="2:10" x14ac:dyDescent="0.25">
      <c r="B1434" s="113" t="s">
        <v>84</v>
      </c>
      <c r="C1434" s="236" t="s">
        <v>85</v>
      </c>
      <c r="D1434" s="113" t="s">
        <v>31</v>
      </c>
      <c r="E1434" s="237" t="s">
        <v>86</v>
      </c>
      <c r="F1434" s="238" t="s">
        <v>87</v>
      </c>
      <c r="G1434" s="239" t="s">
        <v>88</v>
      </c>
    </row>
    <row r="1435" spans="2:10" ht="31.5" x14ac:dyDescent="0.25">
      <c r="B1435" s="583" t="s">
        <v>136</v>
      </c>
      <c r="C1435" s="307" t="s">
        <v>181</v>
      </c>
      <c r="D1435" s="306" t="s">
        <v>50</v>
      </c>
      <c r="E1435" s="308">
        <v>1</v>
      </c>
      <c r="F1435" s="242">
        <v>2627.33</v>
      </c>
      <c r="G1435" s="309">
        <f>E1435*F1435</f>
        <v>2627.33</v>
      </c>
    </row>
    <row r="1436" spans="2:10" x14ac:dyDescent="0.25">
      <c r="B1436" s="585" t="s">
        <v>93</v>
      </c>
      <c r="C1436" s="253" t="s">
        <v>94</v>
      </c>
      <c r="D1436" s="306" t="s">
        <v>91</v>
      </c>
      <c r="E1436" s="308">
        <v>1</v>
      </c>
      <c r="F1436" s="242">
        <v>18.84</v>
      </c>
      <c r="G1436" s="309">
        <f>E1436*F1436</f>
        <v>18.84</v>
      </c>
    </row>
    <row r="1437" spans="2:10" x14ac:dyDescent="0.25">
      <c r="B1437" s="623" t="s">
        <v>34</v>
      </c>
      <c r="C1437" s="623"/>
      <c r="D1437" s="623"/>
      <c r="E1437" s="623"/>
      <c r="F1437" s="623"/>
      <c r="G1437" s="245">
        <f>SUM(G1435:G1436)</f>
        <v>2646.17</v>
      </c>
    </row>
    <row r="1438" spans="2:10" x14ac:dyDescent="0.25">
      <c r="B1438" s="47"/>
      <c r="C1438" s="47"/>
      <c r="D1438" s="310"/>
      <c r="E1438" s="255"/>
      <c r="F1438" s="256"/>
      <c r="G1438" s="251"/>
    </row>
    <row r="1439" spans="2:10" x14ac:dyDescent="0.25">
      <c r="B1439" s="47"/>
      <c r="C1439" s="47"/>
      <c r="D1439" s="310"/>
      <c r="E1439" s="255"/>
      <c r="F1439" s="256"/>
      <c r="G1439" s="251"/>
    </row>
    <row r="1440" spans="2:10" ht="30.75" customHeight="1" x14ac:dyDescent="0.25">
      <c r="B1440" s="235" t="s">
        <v>100</v>
      </c>
      <c r="C1440" s="622" t="str">
        <f>ORÇAMENTO!C463</f>
        <v>PLACA TÁTIL BRAILLE/RELEVO ACRÍLICO 30 X 20 CM - FORNECIMENTO E INSTALAÇÃO</v>
      </c>
      <c r="D1440" s="622"/>
      <c r="E1440" s="622"/>
      <c r="F1440" s="622"/>
      <c r="G1440" s="622"/>
    </row>
    <row r="1441" spans="2:7" x14ac:dyDescent="0.25">
      <c r="B1441" s="113" t="s">
        <v>84</v>
      </c>
      <c r="C1441" s="236" t="s">
        <v>85</v>
      </c>
      <c r="D1441" s="113" t="s">
        <v>31</v>
      </c>
      <c r="E1441" s="237" t="s">
        <v>86</v>
      </c>
      <c r="F1441" s="238" t="s">
        <v>87</v>
      </c>
      <c r="G1441" s="239" t="s">
        <v>88</v>
      </c>
    </row>
    <row r="1442" spans="2:7" x14ac:dyDescent="0.25">
      <c r="B1442" s="583" t="s">
        <v>136</v>
      </c>
      <c r="C1442" s="439" t="s">
        <v>209</v>
      </c>
      <c r="D1442" s="306" t="s">
        <v>50</v>
      </c>
      <c r="E1442" s="308">
        <v>1</v>
      </c>
      <c r="F1442" s="440">
        <v>199.9</v>
      </c>
      <c r="G1442" s="309">
        <f>E1442*F1442</f>
        <v>199.9</v>
      </c>
    </row>
    <row r="1443" spans="2:7" x14ac:dyDescent="0.25">
      <c r="B1443" s="585" t="s">
        <v>93</v>
      </c>
      <c r="C1443" s="253" t="s">
        <v>94</v>
      </c>
      <c r="D1443" s="306" t="s">
        <v>91</v>
      </c>
      <c r="E1443" s="308">
        <v>0.2</v>
      </c>
      <c r="F1443" s="242">
        <v>18.84</v>
      </c>
      <c r="G1443" s="309">
        <f>E1443*F1443</f>
        <v>3.7680000000000002</v>
      </c>
    </row>
    <row r="1444" spans="2:7" x14ac:dyDescent="0.25">
      <c r="B1444" s="623" t="s">
        <v>34</v>
      </c>
      <c r="C1444" s="623"/>
      <c r="D1444" s="623"/>
      <c r="E1444" s="623"/>
      <c r="F1444" s="623"/>
      <c r="G1444" s="245">
        <f>SUM(G1442:G1443)</f>
        <v>203.66800000000001</v>
      </c>
    </row>
    <row r="1445" spans="2:7" x14ac:dyDescent="0.25">
      <c r="B1445" s="47"/>
      <c r="C1445" s="47"/>
      <c r="D1445" s="310"/>
      <c r="E1445" s="255"/>
      <c r="F1445" s="256"/>
      <c r="G1445" s="251"/>
    </row>
    <row r="1446" spans="2:7" ht="38.25" customHeight="1" x14ac:dyDescent="0.25">
      <c r="B1446" s="235" t="s">
        <v>120</v>
      </c>
      <c r="C1446" s="622" t="str">
        <f>ORÇAMENTO!C464</f>
        <v>PLACA DE SINALIZAÇÃO VISUAL NAS PORTAS DAS SALAS E DOS SANITÁRIOS 20 X 20 CM, EM PVC 2MM - FORNECIMENTO E INSTALAÇÃO</v>
      </c>
      <c r="D1446" s="622"/>
      <c r="E1446" s="622"/>
      <c r="F1446" s="622"/>
      <c r="G1446" s="622"/>
    </row>
    <row r="1447" spans="2:7" x14ac:dyDescent="0.25">
      <c r="B1447" s="113" t="s">
        <v>84</v>
      </c>
      <c r="C1447" s="236" t="s">
        <v>85</v>
      </c>
      <c r="D1447" s="113" t="s">
        <v>31</v>
      </c>
      <c r="E1447" s="237" t="s">
        <v>86</v>
      </c>
      <c r="F1447" s="238" t="s">
        <v>87</v>
      </c>
      <c r="G1447" s="239" t="s">
        <v>88</v>
      </c>
    </row>
    <row r="1448" spans="2:7" ht="31.5" x14ac:dyDescent="0.25">
      <c r="B1448" s="583" t="s">
        <v>107</v>
      </c>
      <c r="C1448" s="439" t="s">
        <v>201</v>
      </c>
      <c r="D1448" s="306" t="s">
        <v>50</v>
      </c>
      <c r="E1448" s="308">
        <v>1</v>
      </c>
      <c r="F1448" s="440">
        <v>21.08</v>
      </c>
      <c r="G1448" s="309">
        <f>E1448*F1448</f>
        <v>21.08</v>
      </c>
    </row>
    <row r="1449" spans="2:7" ht="31.5" x14ac:dyDescent="0.25">
      <c r="B1449" s="583" t="s">
        <v>108</v>
      </c>
      <c r="C1449" s="439" t="s">
        <v>109</v>
      </c>
      <c r="D1449" s="306" t="s">
        <v>73</v>
      </c>
      <c r="E1449" s="308">
        <v>4</v>
      </c>
      <c r="F1449" s="440">
        <v>0.21</v>
      </c>
      <c r="G1449" s="309">
        <f t="shared" ref="G1449:G1451" si="124">E1449*F1449</f>
        <v>0.84</v>
      </c>
    </row>
    <row r="1450" spans="2:7" x14ac:dyDescent="0.25">
      <c r="B1450" s="583" t="s">
        <v>110</v>
      </c>
      <c r="C1450" s="439" t="s">
        <v>111</v>
      </c>
      <c r="D1450" s="306" t="s">
        <v>50</v>
      </c>
      <c r="E1450" s="308">
        <v>4</v>
      </c>
      <c r="F1450" s="440">
        <v>0.17</v>
      </c>
      <c r="G1450" s="309">
        <f t="shared" si="124"/>
        <v>0.68</v>
      </c>
    </row>
    <row r="1451" spans="2:7" x14ac:dyDescent="0.25">
      <c r="B1451" s="585" t="s">
        <v>93</v>
      </c>
      <c r="C1451" s="253" t="s">
        <v>94</v>
      </c>
      <c r="D1451" s="306" t="s">
        <v>91</v>
      </c>
      <c r="E1451" s="308">
        <v>0.2</v>
      </c>
      <c r="F1451" s="242">
        <v>18.84</v>
      </c>
      <c r="G1451" s="309">
        <f t="shared" si="124"/>
        <v>3.7680000000000002</v>
      </c>
    </row>
    <row r="1452" spans="2:7" x14ac:dyDescent="0.25">
      <c r="B1452" s="623" t="s">
        <v>34</v>
      </c>
      <c r="C1452" s="623"/>
      <c r="D1452" s="623"/>
      <c r="E1452" s="623"/>
      <c r="F1452" s="623"/>
      <c r="G1452" s="245">
        <f>SUM(G1448:G1451)</f>
        <v>26.367999999999999</v>
      </c>
    </row>
  </sheetData>
  <mergeCells count="380">
    <mergeCell ref="C461:G461"/>
    <mergeCell ref="B468:F468"/>
    <mergeCell ref="C356:G356"/>
    <mergeCell ref="B362:F362"/>
    <mergeCell ref="C386:G386"/>
    <mergeCell ref="B390:F390"/>
    <mergeCell ref="C392:G392"/>
    <mergeCell ref="B396:F396"/>
    <mergeCell ref="C398:G398"/>
    <mergeCell ref="B402:F402"/>
    <mergeCell ref="C406:G406"/>
    <mergeCell ref="C374:G374"/>
    <mergeCell ref="B378:F378"/>
    <mergeCell ref="C380:G380"/>
    <mergeCell ref="B384:F384"/>
    <mergeCell ref="C366:G366"/>
    <mergeCell ref="B372:F372"/>
    <mergeCell ref="C424:G424"/>
    <mergeCell ref="B429:F429"/>
    <mergeCell ref="C442:G442"/>
    <mergeCell ref="B449:F449"/>
    <mergeCell ref="B459:F459"/>
    <mergeCell ref="B1392:B1393"/>
    <mergeCell ref="C1392:C1393"/>
    <mergeCell ref="D1392:D1393"/>
    <mergeCell ref="E1392:E1393"/>
    <mergeCell ref="C300:G300"/>
    <mergeCell ref="C322:G322"/>
    <mergeCell ref="C312:G312"/>
    <mergeCell ref="C208:G208"/>
    <mergeCell ref="C166:G166"/>
    <mergeCell ref="C198:G198"/>
    <mergeCell ref="C178:G178"/>
    <mergeCell ref="C188:G188"/>
    <mergeCell ref="C256:G256"/>
    <mergeCell ref="C290:G290"/>
    <mergeCell ref="C279:G279"/>
    <mergeCell ref="B1370:B1371"/>
    <mergeCell ref="C1370:C1371"/>
    <mergeCell ref="D1370:D1371"/>
    <mergeCell ref="C268:G268"/>
    <mergeCell ref="C243:G243"/>
    <mergeCell ref="C230:G230"/>
    <mergeCell ref="B412:F412"/>
    <mergeCell ref="C414:G414"/>
    <mergeCell ref="B420:F420"/>
    <mergeCell ref="F1321:G1321"/>
    <mergeCell ref="H1321:I1321"/>
    <mergeCell ref="F1345:G1345"/>
    <mergeCell ref="C1347:I1347"/>
    <mergeCell ref="B1348:B1349"/>
    <mergeCell ref="C1348:C1349"/>
    <mergeCell ref="D1348:D1349"/>
    <mergeCell ref="E1348:E1349"/>
    <mergeCell ref="F1348:G1348"/>
    <mergeCell ref="F1336:G1336"/>
    <mergeCell ref="C1338:I1338"/>
    <mergeCell ref="B1339:B1340"/>
    <mergeCell ref="C1339:C1340"/>
    <mergeCell ref="D1339:D1340"/>
    <mergeCell ref="E1339:E1340"/>
    <mergeCell ref="F1339:G1339"/>
    <mergeCell ref="B1330:B1331"/>
    <mergeCell ref="C1330:C1331"/>
    <mergeCell ref="D1330:D1331"/>
    <mergeCell ref="E1330:E1331"/>
    <mergeCell ref="F1330:G1330"/>
    <mergeCell ref="B1422:B1423"/>
    <mergeCell ref="C1422:C1423"/>
    <mergeCell ref="D1422:D1423"/>
    <mergeCell ref="E1422:E1423"/>
    <mergeCell ref="F1422:G1422"/>
    <mergeCell ref="C1413:I1413"/>
    <mergeCell ref="B1414:B1415"/>
    <mergeCell ref="C1414:C1415"/>
    <mergeCell ref="D1414:D1415"/>
    <mergeCell ref="E1414:E1415"/>
    <mergeCell ref="F1414:G1414"/>
    <mergeCell ref="H1414:I1414"/>
    <mergeCell ref="C1320:I1320"/>
    <mergeCell ref="B1321:B1322"/>
    <mergeCell ref="C1321:C1322"/>
    <mergeCell ref="D1321:D1322"/>
    <mergeCell ref="E1321:E1322"/>
    <mergeCell ref="F1429:G1429"/>
    <mergeCell ref="H1422:I1422"/>
    <mergeCell ref="F1411:G1411"/>
    <mergeCell ref="H1392:I1392"/>
    <mergeCell ref="H1370:I1370"/>
    <mergeCell ref="H1348:I1348"/>
    <mergeCell ref="H1339:I1339"/>
    <mergeCell ref="H1330:I1330"/>
    <mergeCell ref="C1329:I1329"/>
    <mergeCell ref="F1392:G1392"/>
    <mergeCell ref="F1367:G1367"/>
    <mergeCell ref="C1369:I1369"/>
    <mergeCell ref="F1419:G1419"/>
    <mergeCell ref="C1421:I1421"/>
    <mergeCell ref="F1389:G1389"/>
    <mergeCell ref="C1391:I1391"/>
    <mergeCell ref="F1327:G1327"/>
    <mergeCell ref="E1370:E1371"/>
    <mergeCell ref="F1370:G1370"/>
    <mergeCell ref="C981:G981"/>
    <mergeCell ref="B986:F986"/>
    <mergeCell ref="C1043:G1043"/>
    <mergeCell ref="C974:G974"/>
    <mergeCell ref="B979:F979"/>
    <mergeCell ref="C1006:G1006"/>
    <mergeCell ref="B1014:F1014"/>
    <mergeCell ref="C988:G988"/>
    <mergeCell ref="B994:F994"/>
    <mergeCell ref="B1032:F1032"/>
    <mergeCell ref="C1025:G1025"/>
    <mergeCell ref="C1016:G1016"/>
    <mergeCell ref="C996:G996"/>
    <mergeCell ref="B1142:F1142"/>
    <mergeCell ref="C1162:G1162"/>
    <mergeCell ref="B1168:F1168"/>
    <mergeCell ref="B1095:F1095"/>
    <mergeCell ref="B1104:F1104"/>
    <mergeCell ref="C1097:G1097"/>
    <mergeCell ref="C1122:G1122"/>
    <mergeCell ref="B1127:F1127"/>
    <mergeCell ref="B1120:F1120"/>
    <mergeCell ref="C1106:G1106"/>
    <mergeCell ref="B1113:F1113"/>
    <mergeCell ref="C1115:G1115"/>
    <mergeCell ref="C1153:G1153"/>
    <mergeCell ref="B1160:F1160"/>
    <mergeCell ref="B2:G2"/>
    <mergeCell ref="C30:G30"/>
    <mergeCell ref="B36:F36"/>
    <mergeCell ref="C18:G18"/>
    <mergeCell ref="B26:F26"/>
    <mergeCell ref="C334:G334"/>
    <mergeCell ref="B342:F342"/>
    <mergeCell ref="C344:G344"/>
    <mergeCell ref="B354:F354"/>
    <mergeCell ref="B37:F37"/>
    <mergeCell ref="C86:G86"/>
    <mergeCell ref="C41:G41"/>
    <mergeCell ref="C54:G54"/>
    <mergeCell ref="B52:F52"/>
    <mergeCell ref="C69:G69"/>
    <mergeCell ref="C123:G123"/>
    <mergeCell ref="C113:G113"/>
    <mergeCell ref="C219:G219"/>
    <mergeCell ref="C136:G136"/>
    <mergeCell ref="C156:G156"/>
    <mergeCell ref="C146:G146"/>
    <mergeCell ref="C1446:G1446"/>
    <mergeCell ref="C1433:G1433"/>
    <mergeCell ref="B1437:F1437"/>
    <mergeCell ref="C930:G930"/>
    <mergeCell ref="C565:G565"/>
    <mergeCell ref="B531:F531"/>
    <mergeCell ref="B577:F577"/>
    <mergeCell ref="C572:G572"/>
    <mergeCell ref="B570:F570"/>
    <mergeCell ref="C550:G550"/>
    <mergeCell ref="C913:G913"/>
    <mergeCell ref="B919:F919"/>
    <mergeCell ref="C948:G948"/>
    <mergeCell ref="B954:F954"/>
    <mergeCell ref="B944:F944"/>
    <mergeCell ref="B936:F936"/>
    <mergeCell ref="B1078:F1078"/>
    <mergeCell ref="C1059:G1059"/>
    <mergeCell ref="B1065:F1065"/>
    <mergeCell ref="C1051:G1051"/>
    <mergeCell ref="B1057:F1057"/>
    <mergeCell ref="B1004:F1004"/>
    <mergeCell ref="C559:G559"/>
    <mergeCell ref="B563:F563"/>
    <mergeCell ref="C541:G541"/>
    <mergeCell ref="B548:F548"/>
    <mergeCell ref="B557:F557"/>
    <mergeCell ref="C905:G905"/>
    <mergeCell ref="B1452:F1452"/>
    <mergeCell ref="C1440:G1440"/>
    <mergeCell ref="B1444:F1444"/>
    <mergeCell ref="B1041:F1041"/>
    <mergeCell ref="C1034:G1034"/>
    <mergeCell ref="B1023:F1023"/>
    <mergeCell ref="C1067:G1067"/>
    <mergeCell ref="B1049:F1049"/>
    <mergeCell ref="C1088:G1088"/>
    <mergeCell ref="C1080:G1080"/>
    <mergeCell ref="B1086:F1086"/>
    <mergeCell ref="C1144:G1144"/>
    <mergeCell ref="B1151:F1151"/>
    <mergeCell ref="C1129:G1129"/>
    <mergeCell ref="B1135:F1135"/>
    <mergeCell ref="C1137:G1137"/>
    <mergeCell ref="B970:F970"/>
    <mergeCell ref="C964:G964"/>
    <mergeCell ref="B926:F926"/>
    <mergeCell ref="C938:G938"/>
    <mergeCell ref="B539:F539"/>
    <mergeCell ref="C533:G533"/>
    <mergeCell ref="C524:G524"/>
    <mergeCell ref="C482:G482"/>
    <mergeCell ref="B494:F494"/>
    <mergeCell ref="C496:G496"/>
    <mergeCell ref="B508:F508"/>
    <mergeCell ref="C510:G510"/>
    <mergeCell ref="B522:F522"/>
    <mergeCell ref="B1281:B1282"/>
    <mergeCell ref="C1281:C1282"/>
    <mergeCell ref="D1281:D1282"/>
    <mergeCell ref="E1281:E1282"/>
    <mergeCell ref="F1281:G1281"/>
    <mergeCell ref="H1281:I1281"/>
    <mergeCell ref="F1269:G1269"/>
    <mergeCell ref="H1269:I1269"/>
    <mergeCell ref="C1271:I1271"/>
    <mergeCell ref="B1272:B1273"/>
    <mergeCell ref="C1272:C1273"/>
    <mergeCell ref="B1263:B1264"/>
    <mergeCell ref="C1263:C1264"/>
    <mergeCell ref="C1243:I1243"/>
    <mergeCell ref="B1244:B1245"/>
    <mergeCell ref="C1244:C1245"/>
    <mergeCell ref="D1244:D1245"/>
    <mergeCell ref="E1244:E1245"/>
    <mergeCell ref="F1244:G1244"/>
    <mergeCell ref="H1244:I1244"/>
    <mergeCell ref="F1252:G1252"/>
    <mergeCell ref="H1252:I1252"/>
    <mergeCell ref="C1300:I1300"/>
    <mergeCell ref="H1301:I1301"/>
    <mergeCell ref="E1272:E1273"/>
    <mergeCell ref="F1272:G1272"/>
    <mergeCell ref="H1272:I1272"/>
    <mergeCell ref="C1262:I1262"/>
    <mergeCell ref="F1288:G1288"/>
    <mergeCell ref="H1288:I1288"/>
    <mergeCell ref="F1278:G1278"/>
    <mergeCell ref="H1278:I1278"/>
    <mergeCell ref="C1280:I1280"/>
    <mergeCell ref="C1301:C1302"/>
    <mergeCell ref="D1301:D1302"/>
    <mergeCell ref="E1301:E1302"/>
    <mergeCell ref="F1301:G1301"/>
    <mergeCell ref="F1298:G1298"/>
    <mergeCell ref="H1298:I1298"/>
    <mergeCell ref="C1290:I1290"/>
    <mergeCell ref="C1291:C1292"/>
    <mergeCell ref="D1291:D1292"/>
    <mergeCell ref="E1291:E1292"/>
    <mergeCell ref="F1291:G1291"/>
    <mergeCell ref="H1291:I1291"/>
    <mergeCell ref="F1315:G1315"/>
    <mergeCell ref="B1255:B1256"/>
    <mergeCell ref="C1254:I1254"/>
    <mergeCell ref="B1310:B1311"/>
    <mergeCell ref="C1310:C1311"/>
    <mergeCell ref="D1310:D1311"/>
    <mergeCell ref="E1310:E1311"/>
    <mergeCell ref="H1310:I1310"/>
    <mergeCell ref="C1309:I1309"/>
    <mergeCell ref="H1255:I1255"/>
    <mergeCell ref="F1255:G1255"/>
    <mergeCell ref="E1255:E1256"/>
    <mergeCell ref="D1255:D1256"/>
    <mergeCell ref="C1255:C1256"/>
    <mergeCell ref="F1307:G1307"/>
    <mergeCell ref="H1307:I1307"/>
    <mergeCell ref="F1310:G1310"/>
    <mergeCell ref="D1263:D1264"/>
    <mergeCell ref="E1263:E1264"/>
    <mergeCell ref="F1263:G1263"/>
    <mergeCell ref="H1263:I1263"/>
    <mergeCell ref="D1272:D1273"/>
    <mergeCell ref="B1301:B1302"/>
    <mergeCell ref="B1291:B1292"/>
    <mergeCell ref="C1217:G1217"/>
    <mergeCell ref="B1221:F1221"/>
    <mergeCell ref="C1223:G1223"/>
    <mergeCell ref="B1227:F1227"/>
    <mergeCell ref="C1229:G1229"/>
    <mergeCell ref="B1233:F1233"/>
    <mergeCell ref="C1235:G1235"/>
    <mergeCell ref="C1186:G1186"/>
    <mergeCell ref="B1190:F1190"/>
    <mergeCell ref="C1192:G1192"/>
    <mergeCell ref="B1197:F1197"/>
    <mergeCell ref="C1199:G1199"/>
    <mergeCell ref="B1203:F1203"/>
    <mergeCell ref="C1205:G1205"/>
    <mergeCell ref="B1209:F1209"/>
    <mergeCell ref="C583:G583"/>
    <mergeCell ref="C589:G589"/>
    <mergeCell ref="C597:G597"/>
    <mergeCell ref="C606:G606"/>
    <mergeCell ref="C616:G616"/>
    <mergeCell ref="C626:G626"/>
    <mergeCell ref="C637:G637"/>
    <mergeCell ref="C1211:G1211"/>
    <mergeCell ref="B1215:F1215"/>
    <mergeCell ref="C956:G956"/>
    <mergeCell ref="B962:F962"/>
    <mergeCell ref="C665:G665"/>
    <mergeCell ref="C676:G676"/>
    <mergeCell ref="C684:G684"/>
    <mergeCell ref="C691:G691"/>
    <mergeCell ref="C701:G701"/>
    <mergeCell ref="C709:G709"/>
    <mergeCell ref="C717:G717"/>
    <mergeCell ref="C725:G725"/>
    <mergeCell ref="B733:G733"/>
    <mergeCell ref="C858:G858"/>
    <mergeCell ref="C848:G848"/>
    <mergeCell ref="B674:F674"/>
    <mergeCell ref="B682:F682"/>
    <mergeCell ref="C754:G754"/>
    <mergeCell ref="C770:G770"/>
    <mergeCell ref="C830:G830"/>
    <mergeCell ref="C789:G789"/>
    <mergeCell ref="B911:F911"/>
    <mergeCell ref="B723:F723"/>
    <mergeCell ref="B731:F731"/>
    <mergeCell ref="B742:F742"/>
    <mergeCell ref="B876:F876"/>
    <mergeCell ref="B886:F886"/>
    <mergeCell ref="B893:F893"/>
    <mergeCell ref="B901:F901"/>
    <mergeCell ref="C895:G895"/>
    <mergeCell ref="B903:G903"/>
    <mergeCell ref="C744:G744"/>
    <mergeCell ref="C808:G808"/>
    <mergeCell ref="B689:F689"/>
    <mergeCell ref="B699:F699"/>
    <mergeCell ref="C451:G451"/>
    <mergeCell ref="B581:G581"/>
    <mergeCell ref="B1318:I1318"/>
    <mergeCell ref="B1241:I1241"/>
    <mergeCell ref="B752:F752"/>
    <mergeCell ref="B768:F768"/>
    <mergeCell ref="B787:F787"/>
    <mergeCell ref="B806:F806"/>
    <mergeCell ref="B828:F828"/>
    <mergeCell ref="B837:F837"/>
    <mergeCell ref="B846:F846"/>
    <mergeCell ref="B854:F854"/>
    <mergeCell ref="B866:F866"/>
    <mergeCell ref="B856:G856"/>
    <mergeCell ref="B928:G928"/>
    <mergeCell ref="B946:G946"/>
    <mergeCell ref="C839:G839"/>
    <mergeCell ref="C868:G868"/>
    <mergeCell ref="C878:G878"/>
    <mergeCell ref="C888:G888"/>
    <mergeCell ref="C921:G921"/>
    <mergeCell ref="B1239:F1239"/>
    <mergeCell ref="C1170:G1170"/>
    <mergeCell ref="B1175:F1175"/>
    <mergeCell ref="C1177:G1177"/>
    <mergeCell ref="B1182:F1182"/>
    <mergeCell ref="C472:G472"/>
    <mergeCell ref="B478:F478"/>
    <mergeCell ref="C6:G6"/>
    <mergeCell ref="B15:F15"/>
    <mergeCell ref="C645:G645"/>
    <mergeCell ref="C653:G653"/>
    <mergeCell ref="C431:G431"/>
    <mergeCell ref="B438:F438"/>
    <mergeCell ref="C735:G735"/>
    <mergeCell ref="B587:F587"/>
    <mergeCell ref="B595:F595"/>
    <mergeCell ref="B604:F604"/>
    <mergeCell ref="B614:F614"/>
    <mergeCell ref="B624:F624"/>
    <mergeCell ref="B635:F635"/>
    <mergeCell ref="B643:F643"/>
    <mergeCell ref="B651:F651"/>
    <mergeCell ref="B663:F663"/>
    <mergeCell ref="B707:F707"/>
    <mergeCell ref="B715:F715"/>
  </mergeCells>
  <conditionalFormatting sqref="C907">
    <cfRule type="expression" dxfId="111" priority="285" stopIfTrue="1">
      <formula>AND(#REF!&lt;&gt;"COMPOSICAO",#REF!&lt;&gt;"INSUMO",#REF!&lt;&gt;"")</formula>
    </cfRule>
    <cfRule type="expression" dxfId="110" priority="286" stopIfTrue="1">
      <formula>AND(OR(#REF!="COMPOSICAO",#REF!="INSUMO",#REF!&lt;&gt;""),#REF!&lt;&gt;"")</formula>
    </cfRule>
  </conditionalFormatting>
  <conditionalFormatting sqref="B347:E351 B353:E353">
    <cfRule type="expression" dxfId="109" priority="255" stopIfTrue="1">
      <formula>AND($A347&lt;&gt;"COMPOSICAO",$A347&lt;&gt;"INSUMO",$A347&lt;&gt;"")</formula>
    </cfRule>
    <cfRule type="expression" dxfId="108" priority="256" stopIfTrue="1">
      <formula>AND(OR($A347="COMPOSICAO",$A347="INSUMO",$A347&lt;&gt;""),$A347&lt;&gt;"")</formula>
    </cfRule>
  </conditionalFormatting>
  <conditionalFormatting sqref="B925:C925">
    <cfRule type="expression" dxfId="107" priority="251" stopIfTrue="1">
      <formula>AND(#REF!&lt;&gt;"COMPOSICAO",#REF!&lt;&gt;"INSUMO",#REF!&lt;&gt;"")</formula>
    </cfRule>
    <cfRule type="expression" dxfId="106" priority="252" stopIfTrue="1">
      <formula>AND(OR(#REF!="COMPOSICAO",#REF!="INSUMO",#REF!&lt;&gt;""),#REF!&lt;&gt;"")</formula>
    </cfRule>
  </conditionalFormatting>
  <conditionalFormatting sqref="D925:E925">
    <cfRule type="expression" dxfId="105" priority="249" stopIfTrue="1">
      <formula>AND(#REF!&lt;&gt;"COMPOSICAO",#REF!&lt;&gt;"INSUMO",#REF!&lt;&gt;"")</formula>
    </cfRule>
    <cfRule type="expression" dxfId="104" priority="250" stopIfTrue="1">
      <formula>AND(OR(#REF!="COMPOSICAO",#REF!="INSUMO",#REF!&lt;&gt;""),#REF!&lt;&gt;"")</formula>
    </cfRule>
  </conditionalFormatting>
  <conditionalFormatting sqref="B538:E538">
    <cfRule type="expression" dxfId="103" priority="237" stopIfTrue="1">
      <formula>AND(#REF!&lt;&gt;"COMPOSICAO",#REF!&lt;&gt;"INSUMO",#REF!&lt;&gt;"")</formula>
    </cfRule>
    <cfRule type="expression" dxfId="102" priority="238" stopIfTrue="1">
      <formula>AND(OR(#REF!="COMPOSICAO",#REF!="INSUMO",#REF!&lt;&gt;""),#REF!&lt;&gt;"")</formula>
    </cfRule>
  </conditionalFormatting>
  <conditionalFormatting sqref="B1451:C1451">
    <cfRule type="expression" dxfId="101" priority="227" stopIfTrue="1">
      <formula>AND(#REF!&lt;&gt;"COMPOSICAO",#REF!&lt;&gt;"INSUMO",#REF!&lt;&gt;"")</formula>
    </cfRule>
    <cfRule type="expression" dxfId="100" priority="228" stopIfTrue="1">
      <formula>AND(OR(#REF!="COMPOSICAO",#REF!="INSUMO",#REF!&lt;&gt;""),#REF!&lt;&gt;"")</formula>
    </cfRule>
  </conditionalFormatting>
  <conditionalFormatting sqref="B1443:C1443">
    <cfRule type="expression" dxfId="99" priority="225" stopIfTrue="1">
      <formula>AND(#REF!&lt;&gt;"COMPOSICAO",#REF!&lt;&gt;"INSUMO",#REF!&lt;&gt;"")</formula>
    </cfRule>
    <cfRule type="expression" dxfId="98" priority="226" stopIfTrue="1">
      <formula>AND(OR(#REF!="COMPOSICAO",#REF!="INSUMO",#REF!&lt;&gt;""),#REF!&lt;&gt;"")</formula>
    </cfRule>
  </conditionalFormatting>
  <conditionalFormatting sqref="B1436:C1436">
    <cfRule type="expression" dxfId="97" priority="221" stopIfTrue="1">
      <formula>AND(#REF!&lt;&gt;"COMPOSICAO",#REF!&lt;&gt;"INSUMO",#REF!&lt;&gt;"")</formula>
    </cfRule>
    <cfRule type="expression" dxfId="96" priority="222" stopIfTrue="1">
      <formula>AND(OR(#REF!="COMPOSICAO",#REF!="INSUMO",#REF!&lt;&gt;""),#REF!&lt;&gt;"")</formula>
    </cfRule>
  </conditionalFormatting>
  <conditionalFormatting sqref="B940">
    <cfRule type="expression" dxfId="95" priority="171" stopIfTrue="1">
      <formula>AND(#REF!&lt;&gt;"COMPOSICAO",#REF!&lt;&gt;"INSUMO",#REF!&lt;&gt;"")</formula>
    </cfRule>
    <cfRule type="expression" dxfId="94" priority="172" stopIfTrue="1">
      <formula>AND(OR(#REF!="COMPOSICAO",#REF!="INSUMO",#REF!&lt;&gt;""),#REF!&lt;&gt;"")</formula>
    </cfRule>
  </conditionalFormatting>
  <conditionalFormatting sqref="B346:C346 E346">
    <cfRule type="expression" dxfId="93" priority="117" stopIfTrue="1">
      <formula>AND($A346&lt;&gt;"COMPOSICAO",$A346&lt;&gt;"INSUMO",$A346&lt;&gt;"")</formula>
    </cfRule>
    <cfRule type="expression" dxfId="92" priority="118" stopIfTrue="1">
      <formula>AND(OR($A346="COMPOSICAO",$A346="INSUMO",$A346&lt;&gt;""),$A346&lt;&gt;"")</formula>
    </cfRule>
  </conditionalFormatting>
  <conditionalFormatting sqref="B537:E537">
    <cfRule type="expression" dxfId="91" priority="331" stopIfTrue="1">
      <formula>AND(#REF!&lt;&gt;"COMPOSICAO",#REF!&lt;&gt;"INSUMO",#REF!&lt;&gt;"")</formula>
    </cfRule>
    <cfRule type="expression" dxfId="90" priority="332" stopIfTrue="1">
      <formula>AND(OR(#REF!="COMPOSICAO",#REF!="INSUMO",#REF!&lt;&gt;""),#REF!&lt;&gt;"")</formula>
    </cfRule>
  </conditionalFormatting>
  <conditionalFormatting sqref="D346">
    <cfRule type="expression" dxfId="89" priority="115" stopIfTrue="1">
      <formula>AND($A346&lt;&gt;"COMPOSICAO",$A346&lt;&gt;"INSUMO",$A346&lt;&gt;"")</formula>
    </cfRule>
    <cfRule type="expression" dxfId="88" priority="116" stopIfTrue="1">
      <formula>AND(OR($A346="COMPOSICAO",$A346="INSUMO",$A346&lt;&gt;""),$A346&lt;&gt;"")</formula>
    </cfRule>
  </conditionalFormatting>
  <conditionalFormatting sqref="B337:E341">
    <cfRule type="expression" dxfId="87" priority="107" stopIfTrue="1">
      <formula>AND($A337&lt;&gt;"COMPOSICAO",$A337&lt;&gt;"INSUMO",$A337&lt;&gt;"")</formula>
    </cfRule>
    <cfRule type="expression" dxfId="86" priority="108" stopIfTrue="1">
      <formula>AND(OR($A337="COMPOSICAO",$A337="INSUMO",$A337&lt;&gt;""),$A337&lt;&gt;"")</formula>
    </cfRule>
  </conditionalFormatting>
  <conditionalFormatting sqref="B352:E352">
    <cfRule type="expression" dxfId="85" priority="105" stopIfTrue="1">
      <formula>AND($A352&lt;&gt;"COMPOSICAO",$A352&lt;&gt;"INSUMO",$A352&lt;&gt;"")</formula>
    </cfRule>
    <cfRule type="expression" dxfId="84" priority="106" stopIfTrue="1">
      <formula>AND(OR($A352="COMPOSICAO",$A352="INSUMO",$A352&lt;&gt;""),$A352&lt;&gt;"")</formula>
    </cfRule>
  </conditionalFormatting>
  <conditionalFormatting sqref="D491">
    <cfRule type="expression" dxfId="83" priority="87" stopIfTrue="1">
      <formula>AND(#REF!&lt;&gt;"COMPOSICAO",#REF!&lt;&gt;"INSUMO",#REF!&lt;&gt;"")</formula>
    </cfRule>
    <cfRule type="expression" dxfId="82" priority="88" stopIfTrue="1">
      <formula>AND(OR(#REF!="COMPOSICAO",#REF!="INSUMO",#REF!&lt;&gt;""),#REF!&lt;&gt;"")</formula>
    </cfRule>
  </conditionalFormatting>
  <conditionalFormatting sqref="B555:E555">
    <cfRule type="expression" dxfId="81" priority="75" stopIfTrue="1">
      <formula>AND(#REF!&lt;&gt;"COMPOSICAO",#REF!&lt;&gt;"INSUMO",#REF!&lt;&gt;"")</formula>
    </cfRule>
    <cfRule type="expression" dxfId="80" priority="76" stopIfTrue="1">
      <formula>AND(OR(#REF!="COMPOSICAO",#REF!="INSUMO",#REF!&lt;&gt;""),#REF!&lt;&gt;"")</formula>
    </cfRule>
  </conditionalFormatting>
  <conditionalFormatting sqref="B554:E554">
    <cfRule type="expression" dxfId="79" priority="77" stopIfTrue="1">
      <formula>AND(#REF!&lt;&gt;"COMPOSICAO",#REF!&lt;&gt;"INSUMO",#REF!&lt;&gt;"")</formula>
    </cfRule>
    <cfRule type="expression" dxfId="78" priority="78" stopIfTrue="1">
      <formula>AND(OR(#REF!="COMPOSICAO",#REF!="INSUMO",#REF!&lt;&gt;""),#REF!&lt;&gt;"")</formula>
    </cfRule>
  </conditionalFormatting>
  <conditionalFormatting sqref="B546:E546">
    <cfRule type="expression" dxfId="77" priority="79" stopIfTrue="1">
      <formula>AND(#REF!&lt;&gt;"COMPOSICAO",#REF!&lt;&gt;"INSUMO",#REF!&lt;&gt;"")</formula>
    </cfRule>
    <cfRule type="expression" dxfId="76" priority="80" stopIfTrue="1">
      <formula>AND(OR(#REF!="COMPOSICAO",#REF!="INSUMO",#REF!&lt;&gt;""),#REF!&lt;&gt;"")</formula>
    </cfRule>
  </conditionalFormatting>
  <conditionalFormatting sqref="B545:E545">
    <cfRule type="expression" dxfId="75" priority="81" stopIfTrue="1">
      <formula>AND(#REF!&lt;&gt;"COMPOSICAO",#REF!&lt;&gt;"INSUMO",#REF!&lt;&gt;"")</formula>
    </cfRule>
    <cfRule type="expression" dxfId="74" priority="82" stopIfTrue="1">
      <formula>AND(OR(#REF!="COMPOSICAO",#REF!="INSUMO",#REF!&lt;&gt;""),#REF!&lt;&gt;"")</formula>
    </cfRule>
  </conditionalFormatting>
  <conditionalFormatting sqref="B447:E447">
    <cfRule type="expression" dxfId="73" priority="71" stopIfTrue="1">
      <formula>AND(#REF!&lt;&gt;"COMPOSICAO",#REF!&lt;&gt;"INSUMO",#REF!&lt;&gt;"")</formula>
    </cfRule>
    <cfRule type="expression" dxfId="72" priority="72" stopIfTrue="1">
      <formula>AND(OR(#REF!="COMPOSICAO",#REF!="INSUMO",#REF!&lt;&gt;""),#REF!&lt;&gt;"")</formula>
    </cfRule>
  </conditionalFormatting>
  <conditionalFormatting sqref="B446:E446">
    <cfRule type="expression" dxfId="71" priority="73" stopIfTrue="1">
      <formula>AND(#REF!&lt;&gt;"COMPOSICAO",#REF!&lt;&gt;"INSUMO",#REF!&lt;&gt;"")</formula>
    </cfRule>
    <cfRule type="expression" dxfId="70" priority="74" stopIfTrue="1">
      <formula>AND(OR(#REF!="COMPOSICAO",#REF!="INSUMO",#REF!&lt;&gt;""),#REF!&lt;&gt;"")</formula>
    </cfRule>
  </conditionalFormatting>
  <conditionalFormatting sqref="D909:E909">
    <cfRule type="expression" dxfId="69" priority="69" stopIfTrue="1">
      <formula>AND($A909&lt;&gt;"COMPOSICAO",$A909&lt;&gt;"INSUMO",$A909&lt;&gt;"")</formula>
    </cfRule>
    <cfRule type="expression" dxfId="68" priority="70" stopIfTrue="1">
      <formula>AND(OR($A909="COMPOSICAO",$A909="INSUMO",$A909&lt;&gt;""),$A909&lt;&gt;"")</formula>
    </cfRule>
  </conditionalFormatting>
  <conditionalFormatting sqref="B909:C909">
    <cfRule type="expression" dxfId="67" priority="67" stopIfTrue="1">
      <formula>AND($A909&lt;&gt;"COMPOSICAO",$A909&lt;&gt;"INSUMO",$A909&lt;&gt;"")</formula>
    </cfRule>
    <cfRule type="expression" dxfId="66" priority="68" stopIfTrue="1">
      <formula>AND(OR($A909="COMPOSICAO",$A909="INSUMO",$A909&lt;&gt;""),$A909&lt;&gt;"")</formula>
    </cfRule>
  </conditionalFormatting>
  <conditionalFormatting sqref="C915:C916">
    <cfRule type="expression" dxfId="65" priority="65" stopIfTrue="1">
      <formula>AND(#REF!&lt;&gt;"COMPOSICAO",#REF!&lt;&gt;"INSUMO",#REF!&lt;&gt;"")</formula>
    </cfRule>
    <cfRule type="expression" dxfId="64" priority="66" stopIfTrue="1">
      <formula>AND(OR(#REF!="COMPOSICAO",#REF!="INSUMO",#REF!&lt;&gt;""),#REF!&lt;&gt;"")</formula>
    </cfRule>
  </conditionalFormatting>
  <conditionalFormatting sqref="D917:E917">
    <cfRule type="expression" dxfId="63" priority="57" stopIfTrue="1">
      <formula>AND($A934&lt;&gt;"COMPOSICAO",$A934&lt;&gt;"INSUMO",$A934&lt;&gt;"")</formula>
    </cfRule>
    <cfRule type="expression" dxfId="62" priority="58" stopIfTrue="1">
      <formula>AND(OR($A934="COMPOSICAO",$A934="INSUMO",$A934&lt;&gt;""),$A934&lt;&gt;"")</formula>
    </cfRule>
  </conditionalFormatting>
  <conditionalFormatting sqref="C908">
    <cfRule type="expression" dxfId="61" priority="59" stopIfTrue="1">
      <formula>AND(#REF!&lt;&gt;"COMPOSICAO",#REF!&lt;&gt;"INSUMO",#REF!&lt;&gt;"")</formula>
    </cfRule>
    <cfRule type="expression" dxfId="60" priority="60" stopIfTrue="1">
      <formula>AND(OR(#REF!="COMPOSICAO",#REF!="INSUMO",#REF!&lt;&gt;""),#REF!&lt;&gt;"")</formula>
    </cfRule>
  </conditionalFormatting>
  <conditionalFormatting sqref="B917:C917">
    <cfRule type="expression" dxfId="59" priority="55" stopIfTrue="1">
      <formula>AND($A934&lt;&gt;"COMPOSICAO",$A934&lt;&gt;"INSUMO",$A934&lt;&gt;"")</formula>
    </cfRule>
    <cfRule type="expression" dxfId="58" priority="56" stopIfTrue="1">
      <formula>AND(OR($A934="COMPOSICAO",$A934="INSUMO",$A934&lt;&gt;""),$A934&lt;&gt;"")</formula>
    </cfRule>
  </conditionalFormatting>
  <conditionalFormatting sqref="B923:E923">
    <cfRule type="expression" dxfId="57" priority="341" stopIfTrue="1">
      <formula>AND(#REF!&lt;&gt;"COMPOSICAO",#REF!&lt;&gt;"INSUMO",#REF!&lt;&gt;"")</formula>
    </cfRule>
    <cfRule type="expression" dxfId="56" priority="342" stopIfTrue="1">
      <formula>AND(OR(#REF!="COMPOSICAO",#REF!="INSUMO",#REF!&lt;&gt;""),#REF!&lt;&gt;"")</formula>
    </cfRule>
  </conditionalFormatting>
  <conditionalFormatting sqref="C933">
    <cfRule type="expression" dxfId="55" priority="53" stopIfTrue="1">
      <formula>AND(#REF!&lt;&gt;"COMPOSICAO",#REF!&lt;&gt;"INSUMO",#REF!&lt;&gt;"")</formula>
    </cfRule>
    <cfRule type="expression" dxfId="54" priority="54" stopIfTrue="1">
      <formula>AND(OR(#REF!="COMPOSICAO",#REF!="INSUMO",#REF!&lt;&gt;""),#REF!&lt;&gt;"")</formula>
    </cfRule>
  </conditionalFormatting>
  <conditionalFormatting sqref="C950">
    <cfRule type="expression" dxfId="53" priority="51" stopIfTrue="1">
      <formula>AND(#REF!&lt;&gt;"COMPOSICAO",#REF!&lt;&gt;"INSUMO",#REF!&lt;&gt;"")</formula>
    </cfRule>
    <cfRule type="expression" dxfId="52" priority="52" stopIfTrue="1">
      <formula>AND(OR(#REF!="COMPOSICAO",#REF!="INSUMO",#REF!&lt;&gt;""),#REF!&lt;&gt;"")</formula>
    </cfRule>
  </conditionalFormatting>
  <conditionalFormatting sqref="D952:E952">
    <cfRule type="expression" dxfId="51" priority="49" stopIfTrue="1">
      <formula>AND($A952&lt;&gt;"COMPOSICAO",$A952&lt;&gt;"INSUMO",$A952&lt;&gt;"")</formula>
    </cfRule>
    <cfRule type="expression" dxfId="50" priority="50" stopIfTrue="1">
      <formula>AND(OR($A952="COMPOSICAO",$A952="INSUMO",$A952&lt;&gt;""),$A952&lt;&gt;"")</formula>
    </cfRule>
  </conditionalFormatting>
  <conditionalFormatting sqref="B952:C952">
    <cfRule type="expression" dxfId="49" priority="47" stopIfTrue="1">
      <formula>AND($A952&lt;&gt;"COMPOSICAO",$A952&lt;&gt;"INSUMO",$A952&lt;&gt;"")</formula>
    </cfRule>
    <cfRule type="expression" dxfId="48" priority="48" stopIfTrue="1">
      <formula>AND(OR($A952="COMPOSICAO",$A952="INSUMO",$A952&lt;&gt;""),$A952&lt;&gt;"")</formula>
    </cfRule>
  </conditionalFormatting>
  <conditionalFormatting sqref="C951">
    <cfRule type="expression" dxfId="47" priority="45" stopIfTrue="1">
      <formula>AND(#REF!&lt;&gt;"COMPOSICAO",#REF!&lt;&gt;"INSUMO",#REF!&lt;&gt;"")</formula>
    </cfRule>
    <cfRule type="expression" dxfId="46" priority="46" stopIfTrue="1">
      <formula>AND(OR(#REF!="COMPOSICAO",#REF!="INSUMO",#REF!&lt;&gt;""),#REF!&lt;&gt;"")</formula>
    </cfRule>
  </conditionalFormatting>
  <conditionalFormatting sqref="B958:E958">
    <cfRule type="expression" dxfId="45" priority="37" stopIfTrue="1">
      <formula>AND(#REF!&lt;&gt;"COMPOSICAO",#REF!&lt;&gt;"INSUMO",#REF!&lt;&gt;"")</formula>
    </cfRule>
    <cfRule type="expression" dxfId="44" priority="38" stopIfTrue="1">
      <formula>AND(OR(#REF!="COMPOSICAO",#REF!="INSUMO",#REF!&lt;&gt;""),#REF!&lt;&gt;"")</formula>
    </cfRule>
  </conditionalFormatting>
  <conditionalFormatting sqref="B961 D961:E961">
    <cfRule type="expression" dxfId="43" priority="39" stopIfTrue="1">
      <formula>AND(#REF!&lt;&gt;"COMPOSICAO",#REF!&lt;&gt;"INSUMO",#REF!&lt;&gt;"")</formula>
    </cfRule>
    <cfRule type="expression" dxfId="42" priority="40" stopIfTrue="1">
      <formula>AND(OR(#REF!="COMPOSICAO",#REF!="INSUMO",#REF!&lt;&gt;""),#REF!&lt;&gt;"")</formula>
    </cfRule>
  </conditionalFormatting>
  <conditionalFormatting sqref="C961">
    <cfRule type="expression" dxfId="41" priority="35" stopIfTrue="1">
      <formula>AND(#REF!&lt;&gt;"COMPOSICAO",#REF!&lt;&gt;"INSUMO",#REF!&lt;&gt;"")</formula>
    </cfRule>
    <cfRule type="expression" dxfId="40" priority="36" stopIfTrue="1">
      <formula>AND(OR(#REF!="COMPOSICAO",#REF!="INSUMO",#REF!&lt;&gt;""),#REF!&lt;&gt;"")</formula>
    </cfRule>
  </conditionalFormatting>
  <conditionalFormatting sqref="B959:E959">
    <cfRule type="expression" dxfId="39" priority="41" stopIfTrue="1">
      <formula>AND(#REF!&lt;&gt;"COMPOSICAO",#REF!&lt;&gt;"INSUMO",#REF!&lt;&gt;"")</formula>
    </cfRule>
    <cfRule type="expression" dxfId="38" priority="42" stopIfTrue="1">
      <formula>AND(OR(#REF!="COMPOSICAO",#REF!="INSUMO",#REF!&lt;&gt;""),#REF!&lt;&gt;"")</formula>
    </cfRule>
  </conditionalFormatting>
  <conditionalFormatting sqref="B960:E960">
    <cfRule type="expression" dxfId="37" priority="43" stopIfTrue="1">
      <formula>AND($A954&lt;&gt;"COMPOSICAO",$A954&lt;&gt;"INSUMO",$A954&lt;&gt;"")</formula>
    </cfRule>
    <cfRule type="expression" dxfId="36" priority="44" stopIfTrue="1">
      <formula>AND(OR($A954="COMPOSICAO",$A954="INSUMO",$A954&lt;&gt;""),$A954&lt;&gt;"")</formula>
    </cfRule>
  </conditionalFormatting>
  <conditionalFormatting sqref="C966">
    <cfRule type="expression" dxfId="35" priority="33" stopIfTrue="1">
      <formula>AND(#REF!&lt;&gt;"COMPOSICAO",#REF!&lt;&gt;"INSUMO",#REF!&lt;&gt;"")</formula>
    </cfRule>
    <cfRule type="expression" dxfId="34" priority="34" stopIfTrue="1">
      <formula>AND(OR(#REF!="COMPOSICAO",#REF!="INSUMO",#REF!&lt;&gt;""),#REF!&lt;&gt;"")</formula>
    </cfRule>
  </conditionalFormatting>
  <conditionalFormatting sqref="D968:E968">
    <cfRule type="expression" dxfId="33" priority="31" stopIfTrue="1">
      <formula>AND($A968&lt;&gt;"COMPOSICAO",$A968&lt;&gt;"INSUMO",$A968&lt;&gt;"")</formula>
    </cfRule>
    <cfRule type="expression" dxfId="32" priority="32" stopIfTrue="1">
      <formula>AND(OR($A968="COMPOSICAO",$A968="INSUMO",$A968&lt;&gt;""),$A968&lt;&gt;"")</formula>
    </cfRule>
  </conditionalFormatting>
  <conditionalFormatting sqref="B968:C968">
    <cfRule type="expression" dxfId="31" priority="29" stopIfTrue="1">
      <formula>AND($A968&lt;&gt;"COMPOSICAO",$A968&lt;&gt;"INSUMO",$A968&lt;&gt;"")</formula>
    </cfRule>
    <cfRule type="expression" dxfId="30" priority="30" stopIfTrue="1">
      <formula>AND(OR($A968="COMPOSICAO",$A968="INSUMO",$A968&lt;&gt;""),$A968&lt;&gt;"")</formula>
    </cfRule>
  </conditionalFormatting>
  <conditionalFormatting sqref="C967">
    <cfRule type="expression" dxfId="29" priority="27" stopIfTrue="1">
      <formula>AND(#REF!&lt;&gt;"COMPOSICAO",#REF!&lt;&gt;"INSUMO",#REF!&lt;&gt;"")</formula>
    </cfRule>
    <cfRule type="expression" dxfId="28" priority="28" stopIfTrue="1">
      <formula>AND(OR(#REF!="COMPOSICAO",#REF!="INSUMO",#REF!&lt;&gt;""),#REF!&lt;&gt;"")</formula>
    </cfRule>
  </conditionalFormatting>
  <conditionalFormatting sqref="D969:E969">
    <cfRule type="expression" dxfId="27" priority="25" stopIfTrue="1">
      <formula>AND($A969&lt;&gt;"COMPOSICAO",$A969&lt;&gt;"INSUMO",$A969&lt;&gt;"")</formula>
    </cfRule>
    <cfRule type="expression" dxfId="26" priority="26" stopIfTrue="1">
      <formula>AND(OR($A969="COMPOSICAO",$A969="INSUMO",$A969&lt;&gt;""),$A969&lt;&gt;"")</formula>
    </cfRule>
  </conditionalFormatting>
  <conditionalFormatting sqref="B336:E336">
    <cfRule type="expression" dxfId="25" priority="23" stopIfTrue="1">
      <formula>AND($A336&lt;&gt;"COMPOSICAO",$A336&lt;&gt;"INSUMO",$A336&lt;&gt;"")</formula>
    </cfRule>
    <cfRule type="expression" dxfId="24" priority="24" stopIfTrue="1">
      <formula>AND(OR($A336="COMPOSICAO",$A336="INSUMO",$A336&lt;&gt;""),$A336&lt;&gt;"")</formula>
    </cfRule>
  </conditionalFormatting>
  <conditionalFormatting sqref="B941:E943 C940:E940 B932:E932 B934:E935">
    <cfRule type="expression" dxfId="23" priority="343" stopIfTrue="1">
      <formula>AND(#REF!&lt;&gt;"COMPOSICAO",#REF!&lt;&gt;"INSUMO",#REF!&lt;&gt;"")</formula>
    </cfRule>
    <cfRule type="expression" dxfId="22" priority="344" stopIfTrue="1">
      <formula>AND(OR(#REF!="COMPOSICAO",#REF!="INSUMO",#REF!&lt;&gt;""),#REF!&lt;&gt;"")</formula>
    </cfRule>
  </conditionalFormatting>
  <conditionalFormatting sqref="B924:E924">
    <cfRule type="expression" dxfId="21" priority="345" stopIfTrue="1">
      <formula>AND(#REF!&lt;&gt;"COMPOSICAO",#REF!&lt;&gt;"INSUMO",#REF!&lt;&gt;"")</formula>
    </cfRule>
    <cfRule type="expression" dxfId="20" priority="346" stopIfTrue="1">
      <formula>AND(OR(#REF!="COMPOSICAO",#REF!="INSUMO",#REF!&lt;&gt;""),#REF!&lt;&gt;"")</formula>
    </cfRule>
  </conditionalFormatting>
  <conditionalFormatting sqref="B359:E360">
    <cfRule type="expression" dxfId="19" priority="21" stopIfTrue="1">
      <formula>AND($A359&lt;&gt;"COMPOSICAO",$A359&lt;&gt;"INSUMO",$A359&lt;&gt;"")</formula>
    </cfRule>
    <cfRule type="expression" dxfId="18" priority="22" stopIfTrue="1">
      <formula>AND(OR($A359="COMPOSICAO",$A359="INSUMO",$A359&lt;&gt;""),$A359&lt;&gt;"")</formula>
    </cfRule>
  </conditionalFormatting>
  <conditionalFormatting sqref="B358 E358">
    <cfRule type="expression" dxfId="17" priority="19" stopIfTrue="1">
      <formula>AND($A358&lt;&gt;"COMPOSICAO",$A358&lt;&gt;"INSUMO",$A358&lt;&gt;"")</formula>
    </cfRule>
    <cfRule type="expression" dxfId="16" priority="20" stopIfTrue="1">
      <formula>AND(OR($A358="COMPOSICAO",$A358="INSUMO",$A358&lt;&gt;""),$A358&lt;&gt;"")</formula>
    </cfRule>
  </conditionalFormatting>
  <conditionalFormatting sqref="D358">
    <cfRule type="expression" dxfId="15" priority="17" stopIfTrue="1">
      <formula>AND($A358&lt;&gt;"COMPOSICAO",$A358&lt;&gt;"INSUMO",$A358&lt;&gt;"")</formula>
    </cfRule>
    <cfRule type="expression" dxfId="14" priority="18" stopIfTrue="1">
      <formula>AND(OR($A358="COMPOSICAO",$A358="INSUMO",$A358&lt;&gt;""),$A358&lt;&gt;"")</formula>
    </cfRule>
  </conditionalFormatting>
  <conditionalFormatting sqref="B361:E361">
    <cfRule type="expression" dxfId="13" priority="15" stopIfTrue="1">
      <formula>AND($A361&lt;&gt;"COMPOSICAO",$A361&lt;&gt;"INSUMO",$A361&lt;&gt;"")</formula>
    </cfRule>
    <cfRule type="expression" dxfId="12" priority="16" stopIfTrue="1">
      <formula>AND(OR($A361="COMPOSICAO",$A361="INSUMO",$A361&lt;&gt;""),$A361&lt;&gt;"")</formula>
    </cfRule>
  </conditionalFormatting>
  <conditionalFormatting sqref="C358">
    <cfRule type="expression" dxfId="11" priority="13" stopIfTrue="1">
      <formula>AND($A358&lt;&gt;"COMPOSICAO",$A358&lt;&gt;"INSUMO",$A358&lt;&gt;"")</formula>
    </cfRule>
    <cfRule type="expression" dxfId="10" priority="14" stopIfTrue="1">
      <formula>AND(OR($A358="COMPOSICAO",$A358="INSUMO",$A358&lt;&gt;""),$A358&lt;&gt;"")</formula>
    </cfRule>
  </conditionalFormatting>
  <conditionalFormatting sqref="B457 D457:E457">
    <cfRule type="expression" dxfId="9" priority="9" stopIfTrue="1">
      <formula>AND(#REF!&lt;&gt;"COMPOSICAO",#REF!&lt;&gt;"INSUMO",#REF!&lt;&gt;"")</formula>
    </cfRule>
    <cfRule type="expression" dxfId="8" priority="10" stopIfTrue="1">
      <formula>AND(OR(#REF!="COMPOSICAO",#REF!="INSUMO",#REF!&lt;&gt;""),#REF!&lt;&gt;"")</formula>
    </cfRule>
  </conditionalFormatting>
  <conditionalFormatting sqref="B455:B456 D455:E456">
    <cfRule type="expression" dxfId="7" priority="11" stopIfTrue="1">
      <formula>AND(#REF!&lt;&gt;"COMPOSICAO",#REF!&lt;&gt;"INSUMO",#REF!&lt;&gt;"")</formula>
    </cfRule>
    <cfRule type="expression" dxfId="6" priority="12" stopIfTrue="1">
      <formula>AND(OR(#REF!="COMPOSICAO",#REF!="INSUMO",#REF!&lt;&gt;""),#REF!&lt;&gt;"")</formula>
    </cfRule>
  </conditionalFormatting>
  <conditionalFormatting sqref="B476:B477 D476:E477">
    <cfRule type="expression" dxfId="5" priority="7" stopIfTrue="1">
      <formula>AND(#REF!&lt;&gt;"COMPOSICAO",#REF!&lt;&gt;"INSUMO",#REF!&lt;&gt;"")</formula>
    </cfRule>
    <cfRule type="expression" dxfId="4" priority="8" stopIfTrue="1">
      <formula>AND(OR(#REF!="COMPOSICAO",#REF!="INSUMO",#REF!&lt;&gt;""),#REF!&lt;&gt;"")</formula>
    </cfRule>
  </conditionalFormatting>
  <conditionalFormatting sqref="B466:E466">
    <cfRule type="expression" dxfId="3" priority="1" stopIfTrue="1">
      <formula>AND(#REF!&lt;&gt;"COMPOSICAO",#REF!&lt;&gt;"INSUMO",#REF!&lt;&gt;"")</formula>
    </cfRule>
    <cfRule type="expression" dxfId="2" priority="2" stopIfTrue="1">
      <formula>AND(OR(#REF!="COMPOSICAO",#REF!="INSUMO",#REF!&lt;&gt;""),#REF!&lt;&gt;"")</formula>
    </cfRule>
  </conditionalFormatting>
  <conditionalFormatting sqref="B465:E465">
    <cfRule type="expression" dxfId="1" priority="3" stopIfTrue="1">
      <formula>AND(#REF!&lt;&gt;"COMPOSICAO",#REF!&lt;&gt;"INSUMO",#REF!&lt;&gt;"")</formula>
    </cfRule>
    <cfRule type="expression" dxfId="0" priority="4" stopIfTrue="1">
      <formula>AND(OR(#REF!="COMPOSICAO",#REF!="INSUMO",#REF!&lt;&gt;""),#REF!&lt;&gt;"")</formula>
    </cfRule>
  </conditionalFormatting>
  <pageMargins left="0.78740157480314965" right="0.51181102362204722" top="0.78740157480314965" bottom="0.78740157480314965" header="0.31496062992125984" footer="0.31496062992125984"/>
  <pageSetup paperSize="9" scale="4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60"/>
  <sheetViews>
    <sheetView view="pageBreakPreview" topLeftCell="B13" zoomScale="60" zoomScaleNormal="90" workbookViewId="0">
      <selection activeCell="M53" sqref="M53"/>
    </sheetView>
  </sheetViews>
  <sheetFormatPr defaultRowHeight="15.75" x14ac:dyDescent="0.25"/>
  <cols>
    <col min="1" max="1" width="9.28515625" style="24" bestFit="1" customWidth="1"/>
    <col min="2" max="2" width="39.28515625" style="24" customWidth="1"/>
    <col min="3" max="3" width="25.28515625" style="24" customWidth="1"/>
    <col min="4" max="4" width="22.7109375" style="24" customWidth="1"/>
    <col min="5" max="5" width="22.85546875" style="24" customWidth="1"/>
    <col min="6" max="6" width="21.7109375" style="24" customWidth="1"/>
    <col min="7" max="7" width="22.42578125" style="24" customWidth="1"/>
    <col min="8" max="8" width="21.7109375" style="24" customWidth="1"/>
    <col min="9" max="9" width="22.5703125" style="24" customWidth="1"/>
    <col min="10" max="10" width="21.42578125" style="24" customWidth="1"/>
    <col min="11" max="11" width="21.5703125" style="24" customWidth="1"/>
    <col min="12" max="12" width="23.85546875" style="24" customWidth="1"/>
    <col min="13" max="13" width="22.42578125" style="24" customWidth="1"/>
    <col min="14" max="14" width="23.140625" style="24" customWidth="1"/>
    <col min="15" max="15" width="22.140625" style="24" customWidth="1"/>
    <col min="16" max="16" width="20.7109375" style="24" customWidth="1"/>
    <col min="17" max="17" width="20.42578125" style="24" customWidth="1"/>
    <col min="18" max="18" width="21.140625" style="24" customWidth="1"/>
    <col min="19" max="19" width="23.5703125" style="24" customWidth="1"/>
  </cols>
  <sheetData>
    <row r="1" spans="1:26" s="32" customFormat="1" x14ac:dyDescent="0.25">
      <c r="A1" s="36" t="s">
        <v>199</v>
      </c>
      <c r="B1" s="24"/>
      <c r="C1" s="24"/>
      <c r="D1" s="24"/>
      <c r="E1" s="24"/>
      <c r="F1" s="24"/>
      <c r="G1" s="24"/>
      <c r="H1" s="24"/>
      <c r="I1" s="24"/>
      <c r="J1" s="24"/>
      <c r="K1" s="24"/>
      <c r="L1" s="24"/>
      <c r="M1" s="24"/>
      <c r="N1" s="24"/>
      <c r="O1" s="24"/>
      <c r="P1" s="24"/>
      <c r="Q1" s="24"/>
      <c r="R1" s="24"/>
      <c r="S1" s="24"/>
    </row>
    <row r="2" spans="1:26" s="32" customFormat="1" x14ac:dyDescent="0.25">
      <c r="A2" s="91" t="s">
        <v>24</v>
      </c>
      <c r="B2" s="24"/>
      <c r="C2" s="24"/>
      <c r="D2" s="24"/>
      <c r="E2" s="24"/>
      <c r="F2" s="24"/>
      <c r="G2" s="24"/>
      <c r="H2" s="24"/>
      <c r="I2" s="24"/>
      <c r="J2" s="24"/>
      <c r="K2" s="24"/>
      <c r="L2" s="24"/>
      <c r="M2" s="24"/>
      <c r="N2" s="24"/>
      <c r="O2" s="24"/>
      <c r="P2" s="24"/>
      <c r="Q2" s="24"/>
      <c r="R2" s="24"/>
      <c r="S2" s="24"/>
    </row>
    <row r="3" spans="1:26" ht="16.5" x14ac:dyDescent="0.3">
      <c r="A3" s="115" t="s">
        <v>350</v>
      </c>
      <c r="B3" s="60"/>
      <c r="C3" s="61"/>
      <c r="D3" s="62"/>
      <c r="E3" s="63"/>
      <c r="F3" s="63"/>
      <c r="G3" s="63"/>
      <c r="H3" s="63"/>
      <c r="I3" s="63"/>
      <c r="J3" s="63"/>
      <c r="K3" s="63"/>
      <c r="L3" s="63"/>
      <c r="M3" s="63"/>
      <c r="N3" s="63"/>
      <c r="O3" s="63"/>
      <c r="P3" s="63"/>
      <c r="Q3" s="63"/>
      <c r="R3" s="63"/>
      <c r="T3" s="14"/>
    </row>
    <row r="4" spans="1:26" x14ac:dyDescent="0.25">
      <c r="A4" s="47" t="s">
        <v>349</v>
      </c>
      <c r="B4" s="60"/>
      <c r="C4" s="61"/>
      <c r="D4" s="62"/>
      <c r="E4" s="63"/>
      <c r="F4" s="63"/>
      <c r="G4" s="63"/>
      <c r="H4" s="63"/>
      <c r="I4" s="63"/>
      <c r="J4" s="63"/>
      <c r="K4" s="63"/>
      <c r="L4" s="63"/>
      <c r="M4" s="63"/>
      <c r="N4" s="63"/>
      <c r="O4" s="63"/>
      <c r="P4" s="63"/>
      <c r="Q4" s="63"/>
      <c r="R4" s="63"/>
      <c r="T4" s="12"/>
    </row>
    <row r="5" spans="1:26" s="32" customFormat="1" x14ac:dyDescent="0.25">
      <c r="A5" s="47"/>
      <c r="B5" s="60"/>
      <c r="C5" s="61"/>
      <c r="D5" s="62"/>
      <c r="E5" s="63"/>
      <c r="F5" s="63"/>
      <c r="G5" s="64"/>
      <c r="H5" s="63"/>
      <c r="I5" s="63"/>
      <c r="J5" s="63"/>
      <c r="K5" s="63"/>
      <c r="L5" s="63"/>
      <c r="M5" s="63"/>
      <c r="N5" s="63"/>
      <c r="O5" s="63"/>
      <c r="P5" s="63"/>
      <c r="Q5" s="63"/>
      <c r="R5" s="63"/>
      <c r="S5" s="24"/>
    </row>
    <row r="6" spans="1:26" x14ac:dyDescent="0.25">
      <c r="A6" s="672" t="s">
        <v>113</v>
      </c>
      <c r="B6" s="672"/>
      <c r="C6" s="672"/>
      <c r="D6" s="672"/>
      <c r="E6" s="672"/>
      <c r="F6" s="65"/>
      <c r="G6" s="65"/>
      <c r="H6" s="65"/>
      <c r="I6" s="65"/>
      <c r="J6" s="65"/>
      <c r="K6" s="65"/>
      <c r="L6" s="65"/>
      <c r="M6" s="65"/>
      <c r="N6" s="65"/>
      <c r="O6" s="65"/>
      <c r="P6" s="65"/>
      <c r="Q6" s="65"/>
      <c r="R6" s="65"/>
      <c r="T6" s="12"/>
    </row>
    <row r="7" spans="1:26" ht="16.5" thickBot="1" x14ac:dyDescent="0.3">
      <c r="A7" s="92"/>
      <c r="B7" s="66"/>
      <c r="C7" s="67"/>
      <c r="D7" s="65"/>
      <c r="E7" s="65"/>
      <c r="F7" s="65"/>
      <c r="G7" s="65"/>
      <c r="H7" s="65"/>
      <c r="I7" s="65"/>
      <c r="J7" s="65"/>
      <c r="K7" s="65"/>
      <c r="L7" s="65"/>
      <c r="M7" s="65"/>
      <c r="N7" s="65"/>
      <c r="O7" s="65"/>
      <c r="P7" s="65"/>
      <c r="Q7" s="65"/>
      <c r="R7" s="65"/>
      <c r="T7" s="12"/>
    </row>
    <row r="8" spans="1:26" ht="15" customHeight="1" x14ac:dyDescent="0.25">
      <c r="A8" s="673" t="s">
        <v>29</v>
      </c>
      <c r="B8" s="675" t="s">
        <v>114</v>
      </c>
      <c r="C8" s="677" t="s">
        <v>115</v>
      </c>
      <c r="D8" s="679" t="s">
        <v>222</v>
      </c>
      <c r="E8" s="679" t="s">
        <v>223</v>
      </c>
      <c r="F8" s="679" t="s">
        <v>224</v>
      </c>
      <c r="G8" s="679" t="s">
        <v>236</v>
      </c>
      <c r="H8" s="679" t="s">
        <v>225</v>
      </c>
      <c r="I8" s="679" t="s">
        <v>226</v>
      </c>
      <c r="J8" s="679" t="s">
        <v>227</v>
      </c>
      <c r="K8" s="679" t="s">
        <v>228</v>
      </c>
      <c r="L8" s="679" t="s">
        <v>229</v>
      </c>
      <c r="M8" s="679" t="s">
        <v>230</v>
      </c>
      <c r="N8" s="679" t="s">
        <v>231</v>
      </c>
      <c r="O8" s="679" t="s">
        <v>232</v>
      </c>
      <c r="P8" s="679" t="s">
        <v>233</v>
      </c>
      <c r="Q8" s="679" t="s">
        <v>234</v>
      </c>
      <c r="R8" s="679" t="s">
        <v>235</v>
      </c>
      <c r="S8" s="679" t="s">
        <v>34</v>
      </c>
      <c r="T8" s="12"/>
    </row>
    <row r="9" spans="1:26" ht="15" customHeight="1" x14ac:dyDescent="0.25">
      <c r="A9" s="674"/>
      <c r="B9" s="676"/>
      <c r="C9" s="678"/>
      <c r="D9" s="680"/>
      <c r="E9" s="680"/>
      <c r="F9" s="680"/>
      <c r="G9" s="680"/>
      <c r="H9" s="680"/>
      <c r="I9" s="680"/>
      <c r="J9" s="680"/>
      <c r="K9" s="680"/>
      <c r="L9" s="680"/>
      <c r="M9" s="680"/>
      <c r="N9" s="680"/>
      <c r="O9" s="680"/>
      <c r="P9" s="680"/>
      <c r="Q9" s="680"/>
      <c r="R9" s="680"/>
      <c r="S9" s="680"/>
      <c r="T9" s="12"/>
    </row>
    <row r="10" spans="1:26" ht="15" customHeight="1" x14ac:dyDescent="0.25">
      <c r="A10" s="674"/>
      <c r="B10" s="676"/>
      <c r="C10" s="678"/>
      <c r="D10" s="680"/>
      <c r="E10" s="680"/>
      <c r="F10" s="680"/>
      <c r="G10" s="680"/>
      <c r="H10" s="680"/>
      <c r="I10" s="680"/>
      <c r="J10" s="680"/>
      <c r="K10" s="680"/>
      <c r="L10" s="680"/>
      <c r="M10" s="680"/>
      <c r="N10" s="680"/>
      <c r="O10" s="680"/>
      <c r="P10" s="680"/>
      <c r="Q10" s="680"/>
      <c r="R10" s="680"/>
      <c r="S10" s="680"/>
      <c r="T10" s="12"/>
    </row>
    <row r="11" spans="1:26" s="96" customFormat="1" x14ac:dyDescent="0.25">
      <c r="A11" s="668">
        <v>1</v>
      </c>
      <c r="B11" s="669" t="str">
        <f>ORÇAMENTO!C12</f>
        <v>SERVIÇOS PRELIMINARES E TÉCNICOS</v>
      </c>
      <c r="C11" s="93">
        <f>ORÇAMENTO!H12</f>
        <v>0</v>
      </c>
      <c r="D11" s="94">
        <f t="shared" ref="D11:R11" si="0">D12*$C$11</f>
        <v>0</v>
      </c>
      <c r="E11" s="94">
        <f t="shared" si="0"/>
        <v>0</v>
      </c>
      <c r="F11" s="95">
        <f t="shared" si="0"/>
        <v>0</v>
      </c>
      <c r="G11" s="94">
        <f t="shared" si="0"/>
        <v>0</v>
      </c>
      <c r="H11" s="94">
        <f t="shared" si="0"/>
        <v>0</v>
      </c>
      <c r="I11" s="94">
        <f t="shared" si="0"/>
        <v>0</v>
      </c>
      <c r="J11" s="94">
        <f t="shared" si="0"/>
        <v>0</v>
      </c>
      <c r="K11" s="94">
        <f t="shared" si="0"/>
        <v>0</v>
      </c>
      <c r="L11" s="94">
        <f t="shared" si="0"/>
        <v>0</v>
      </c>
      <c r="M11" s="94">
        <f t="shared" si="0"/>
        <v>0</v>
      </c>
      <c r="N11" s="94">
        <f t="shared" si="0"/>
        <v>0</v>
      </c>
      <c r="O11" s="94">
        <f t="shared" si="0"/>
        <v>0</v>
      </c>
      <c r="P11" s="94">
        <f t="shared" si="0"/>
        <v>0</v>
      </c>
      <c r="Q11" s="94">
        <f t="shared" si="0"/>
        <v>0</v>
      </c>
      <c r="R11" s="94">
        <f t="shared" si="0"/>
        <v>0</v>
      </c>
      <c r="S11" s="95">
        <f t="shared" ref="S11:S48" si="1">D11+E11+F11+G11+H11+I11+J11+K11+L11+M11+N11+O11+P11+Q11+R11</f>
        <v>0</v>
      </c>
    </row>
    <row r="12" spans="1:26" s="96" customFormat="1" x14ac:dyDescent="0.25">
      <c r="A12" s="668"/>
      <c r="B12" s="669"/>
      <c r="C12" s="97" t="e">
        <f>C11/$C$49</f>
        <v>#DIV/0!</v>
      </c>
      <c r="D12" s="98">
        <v>0.85</v>
      </c>
      <c r="E12" s="99">
        <v>0.15</v>
      </c>
      <c r="F12" s="99"/>
      <c r="G12" s="99"/>
      <c r="H12" s="99"/>
      <c r="I12" s="99"/>
      <c r="J12" s="99"/>
      <c r="K12" s="99"/>
      <c r="L12" s="99"/>
      <c r="M12" s="99"/>
      <c r="N12" s="99"/>
      <c r="O12" s="99"/>
      <c r="P12" s="99"/>
      <c r="Q12" s="99"/>
      <c r="R12" s="99"/>
      <c r="S12" s="100">
        <f t="shared" si="1"/>
        <v>1</v>
      </c>
    </row>
    <row r="13" spans="1:26" ht="16.5" x14ac:dyDescent="0.3">
      <c r="A13" s="666">
        <v>2</v>
      </c>
      <c r="B13" s="667" t="str">
        <f>ORÇAMENTO!C20</f>
        <v>GERENCIAMENTO DE OBRAS</v>
      </c>
      <c r="C13" s="68">
        <f>ORÇAMENTO!H20</f>
        <v>0</v>
      </c>
      <c r="D13" s="69">
        <f t="shared" ref="D13:R13" si="2">D14*$C13</f>
        <v>0</v>
      </c>
      <c r="E13" s="69">
        <f t="shared" si="2"/>
        <v>0</v>
      </c>
      <c r="F13" s="70">
        <f t="shared" si="2"/>
        <v>0</v>
      </c>
      <c r="G13" s="69">
        <f t="shared" si="2"/>
        <v>0</v>
      </c>
      <c r="H13" s="69">
        <f t="shared" si="2"/>
        <v>0</v>
      </c>
      <c r="I13" s="69">
        <f t="shared" si="2"/>
        <v>0</v>
      </c>
      <c r="J13" s="69">
        <f t="shared" si="2"/>
        <v>0</v>
      </c>
      <c r="K13" s="69">
        <f t="shared" si="2"/>
        <v>0</v>
      </c>
      <c r="L13" s="69">
        <f t="shared" si="2"/>
        <v>0</v>
      </c>
      <c r="M13" s="69">
        <f t="shared" si="2"/>
        <v>0</v>
      </c>
      <c r="N13" s="69">
        <f t="shared" si="2"/>
        <v>0</v>
      </c>
      <c r="O13" s="69">
        <f t="shared" si="2"/>
        <v>0</v>
      </c>
      <c r="P13" s="69">
        <f t="shared" si="2"/>
        <v>0</v>
      </c>
      <c r="Q13" s="69">
        <f t="shared" si="2"/>
        <v>0</v>
      </c>
      <c r="R13" s="69">
        <f t="shared" si="2"/>
        <v>0</v>
      </c>
      <c r="S13" s="73">
        <f t="shared" si="1"/>
        <v>0</v>
      </c>
      <c r="T13" s="16"/>
      <c r="Z13" t="s">
        <v>221</v>
      </c>
    </row>
    <row r="14" spans="1:26" x14ac:dyDescent="0.25">
      <c r="A14" s="666"/>
      <c r="B14" s="667"/>
      <c r="C14" s="74" t="e">
        <f>C13/$C$49</f>
        <v>#DIV/0!</v>
      </c>
      <c r="D14" s="71">
        <f>3.60771950809077%</f>
        <v>3.6077195080907697E-2</v>
      </c>
      <c r="E14" s="75">
        <f>4.16933828460485%</f>
        <v>4.1693382846048496E-2</v>
      </c>
      <c r="F14" s="75">
        <f>5.99383077806602%</f>
        <v>5.9938307780660199E-2</v>
      </c>
      <c r="G14" s="75">
        <v>7.5619310377195242E-2</v>
      </c>
      <c r="H14" s="75">
        <v>7.7753664808237796E-2</v>
      </c>
      <c r="I14" s="75">
        <v>8.380431756148618E-2</v>
      </c>
      <c r="J14" s="75">
        <v>8.5458085145711654E-2</v>
      </c>
      <c r="K14" s="75">
        <v>9.0590596488581518E-2</v>
      </c>
      <c r="L14" s="75">
        <v>8.7469110083736978E-2</v>
      </c>
      <c r="M14" s="75">
        <v>8.7407477665544062E-2</v>
      </c>
      <c r="N14" s="75">
        <v>7.2040828981016852E-2</v>
      </c>
      <c r="O14" s="75">
        <v>6.0033144605207645E-2</v>
      </c>
      <c r="P14" s="75">
        <v>5.4116386600958334E-2</v>
      </c>
      <c r="Q14" s="75">
        <v>5.2468785360429475E-2</v>
      </c>
      <c r="R14" s="75">
        <f>2.71591438213843%+0.00837026279289388</f>
        <v>3.5529406614278183E-2</v>
      </c>
      <c r="S14" s="72">
        <f t="shared" si="1"/>
        <v>1</v>
      </c>
      <c r="T14" s="12"/>
    </row>
    <row r="15" spans="1:26" s="96" customFormat="1" x14ac:dyDescent="0.25">
      <c r="A15" s="668">
        <v>3</v>
      </c>
      <c r="B15" s="669" t="str">
        <f>ORÇAMENTO!C22</f>
        <v>MOVIMENTO DE TERRA</v>
      </c>
      <c r="C15" s="93">
        <f>ORÇAMENTO!H22</f>
        <v>0</v>
      </c>
      <c r="D15" s="94">
        <f t="shared" ref="D15:R15" si="3">D16*$C15</f>
        <v>0</v>
      </c>
      <c r="E15" s="94">
        <f t="shared" si="3"/>
        <v>0</v>
      </c>
      <c r="F15" s="95">
        <f t="shared" si="3"/>
        <v>0</v>
      </c>
      <c r="G15" s="94">
        <f t="shared" si="3"/>
        <v>0</v>
      </c>
      <c r="H15" s="94">
        <f t="shared" si="3"/>
        <v>0</v>
      </c>
      <c r="I15" s="94">
        <f t="shared" si="3"/>
        <v>0</v>
      </c>
      <c r="J15" s="94">
        <f t="shared" si="3"/>
        <v>0</v>
      </c>
      <c r="K15" s="94">
        <f t="shared" si="3"/>
        <v>0</v>
      </c>
      <c r="L15" s="94">
        <f t="shared" si="3"/>
        <v>0</v>
      </c>
      <c r="M15" s="94">
        <f t="shared" si="3"/>
        <v>0</v>
      </c>
      <c r="N15" s="94">
        <f t="shared" si="3"/>
        <v>0</v>
      </c>
      <c r="O15" s="94">
        <f t="shared" si="3"/>
        <v>0</v>
      </c>
      <c r="P15" s="94">
        <f t="shared" si="3"/>
        <v>0</v>
      </c>
      <c r="Q15" s="94">
        <f t="shared" si="3"/>
        <v>0</v>
      </c>
      <c r="R15" s="94">
        <f t="shared" si="3"/>
        <v>0</v>
      </c>
      <c r="S15" s="95">
        <f t="shared" si="1"/>
        <v>0</v>
      </c>
    </row>
    <row r="16" spans="1:26" s="96" customFormat="1" x14ac:dyDescent="0.25">
      <c r="A16" s="668"/>
      <c r="B16" s="669"/>
      <c r="C16" s="97" t="e">
        <f>C15/$C$49</f>
        <v>#DIV/0!</v>
      </c>
      <c r="D16" s="98">
        <v>0.8</v>
      </c>
      <c r="E16" s="99">
        <v>0.2</v>
      </c>
      <c r="F16" s="99"/>
      <c r="G16" s="99"/>
      <c r="H16" s="99"/>
      <c r="I16" s="99"/>
      <c r="J16" s="99"/>
      <c r="K16" s="99"/>
      <c r="L16" s="99"/>
      <c r="M16" s="99"/>
      <c r="N16" s="99"/>
      <c r="O16" s="99"/>
      <c r="P16" s="99"/>
      <c r="Q16" s="99"/>
      <c r="R16" s="99"/>
      <c r="S16" s="100">
        <f t="shared" si="1"/>
        <v>1</v>
      </c>
    </row>
    <row r="17" spans="1:20" ht="16.5" x14ac:dyDescent="0.3">
      <c r="A17" s="666">
        <v>4</v>
      </c>
      <c r="B17" s="667" t="str">
        <f>ORÇAMENTO!C27</f>
        <v>INFRAESTRUTURA</v>
      </c>
      <c r="C17" s="68">
        <f>ORÇAMENTO!H27</f>
        <v>0</v>
      </c>
      <c r="D17" s="69">
        <f t="shared" ref="D17:R17" si="4">D18*$C17</f>
        <v>0</v>
      </c>
      <c r="E17" s="69">
        <f t="shared" si="4"/>
        <v>0</v>
      </c>
      <c r="F17" s="70">
        <f t="shared" si="4"/>
        <v>0</v>
      </c>
      <c r="G17" s="69">
        <f t="shared" si="4"/>
        <v>0</v>
      </c>
      <c r="H17" s="69">
        <f t="shared" si="4"/>
        <v>0</v>
      </c>
      <c r="I17" s="69">
        <f t="shared" si="4"/>
        <v>0</v>
      </c>
      <c r="J17" s="69">
        <f t="shared" si="4"/>
        <v>0</v>
      </c>
      <c r="K17" s="69">
        <f t="shared" si="4"/>
        <v>0</v>
      </c>
      <c r="L17" s="69">
        <f t="shared" si="4"/>
        <v>0</v>
      </c>
      <c r="M17" s="69">
        <f t="shared" si="4"/>
        <v>0</v>
      </c>
      <c r="N17" s="69">
        <f t="shared" si="4"/>
        <v>0</v>
      </c>
      <c r="O17" s="69">
        <f t="shared" si="4"/>
        <v>0</v>
      </c>
      <c r="P17" s="69">
        <f t="shared" si="4"/>
        <v>0</v>
      </c>
      <c r="Q17" s="69">
        <f t="shared" si="4"/>
        <v>0</v>
      </c>
      <c r="R17" s="69">
        <f t="shared" si="4"/>
        <v>0</v>
      </c>
      <c r="S17" s="73">
        <f t="shared" si="1"/>
        <v>0</v>
      </c>
      <c r="T17" s="15"/>
    </row>
    <row r="18" spans="1:20" x14ac:dyDescent="0.25">
      <c r="A18" s="666"/>
      <c r="B18" s="667"/>
      <c r="C18" s="74" t="e">
        <f>C17/$C$49</f>
        <v>#DIV/0!</v>
      </c>
      <c r="D18" s="71"/>
      <c r="E18" s="75">
        <v>0.5</v>
      </c>
      <c r="F18" s="75">
        <v>0.35</v>
      </c>
      <c r="G18" s="75">
        <v>0.15</v>
      </c>
      <c r="H18" s="75"/>
      <c r="I18" s="75"/>
      <c r="J18" s="75"/>
      <c r="K18" s="75"/>
      <c r="L18" s="75"/>
      <c r="M18" s="75"/>
      <c r="N18" s="75"/>
      <c r="O18" s="75"/>
      <c r="P18" s="75"/>
      <c r="Q18" s="75"/>
      <c r="R18" s="75"/>
      <c r="S18" s="72">
        <f t="shared" si="1"/>
        <v>1</v>
      </c>
      <c r="T18" s="12"/>
    </row>
    <row r="19" spans="1:20" s="96" customFormat="1" x14ac:dyDescent="0.25">
      <c r="A19" s="668">
        <v>5</v>
      </c>
      <c r="B19" s="669" t="str">
        <f>ORÇAMENTO!C35</f>
        <v>SUPERESTRUTURA</v>
      </c>
      <c r="C19" s="93">
        <f>ORÇAMENTO!H35</f>
        <v>0</v>
      </c>
      <c r="D19" s="94">
        <f t="shared" ref="D19:R19" si="5">D20*$C19</f>
        <v>0</v>
      </c>
      <c r="E19" s="94">
        <f t="shared" si="5"/>
        <v>0</v>
      </c>
      <c r="F19" s="95">
        <f t="shared" si="5"/>
        <v>0</v>
      </c>
      <c r="G19" s="94">
        <f t="shared" si="5"/>
        <v>0</v>
      </c>
      <c r="H19" s="94">
        <f t="shared" si="5"/>
        <v>0</v>
      </c>
      <c r="I19" s="94">
        <f t="shared" si="5"/>
        <v>0</v>
      </c>
      <c r="J19" s="94">
        <f t="shared" si="5"/>
        <v>0</v>
      </c>
      <c r="K19" s="94">
        <f t="shared" si="5"/>
        <v>0</v>
      </c>
      <c r="L19" s="94">
        <f t="shared" si="5"/>
        <v>0</v>
      </c>
      <c r="M19" s="94">
        <f t="shared" si="5"/>
        <v>0</v>
      </c>
      <c r="N19" s="94">
        <f t="shared" si="5"/>
        <v>0</v>
      </c>
      <c r="O19" s="94">
        <f t="shared" si="5"/>
        <v>0</v>
      </c>
      <c r="P19" s="94">
        <f t="shared" si="5"/>
        <v>0</v>
      </c>
      <c r="Q19" s="94">
        <f t="shared" si="5"/>
        <v>0</v>
      </c>
      <c r="R19" s="94">
        <f t="shared" si="5"/>
        <v>0</v>
      </c>
      <c r="S19" s="95">
        <f t="shared" si="1"/>
        <v>0</v>
      </c>
    </row>
    <row r="20" spans="1:20" s="96" customFormat="1" x14ac:dyDescent="0.25">
      <c r="A20" s="668"/>
      <c r="B20" s="669"/>
      <c r="C20" s="97" t="e">
        <f>C19/$C$49</f>
        <v>#DIV/0!</v>
      </c>
      <c r="D20" s="98"/>
      <c r="E20" s="99"/>
      <c r="F20" s="99">
        <v>0.2</v>
      </c>
      <c r="G20" s="99">
        <v>0.3</v>
      </c>
      <c r="H20" s="99">
        <v>0.25</v>
      </c>
      <c r="I20" s="99">
        <v>0.05</v>
      </c>
      <c r="J20" s="99">
        <v>0.05</v>
      </c>
      <c r="K20" s="99">
        <v>0.05</v>
      </c>
      <c r="L20" s="99">
        <v>0.05</v>
      </c>
      <c r="M20" s="99">
        <v>0.05</v>
      </c>
      <c r="N20" s="99"/>
      <c r="O20" s="99"/>
      <c r="P20" s="99"/>
      <c r="Q20" s="99"/>
      <c r="R20" s="99"/>
      <c r="S20" s="100">
        <f t="shared" si="1"/>
        <v>1.0000000000000002</v>
      </c>
    </row>
    <row r="21" spans="1:20" x14ac:dyDescent="0.25">
      <c r="A21" s="666">
        <v>6</v>
      </c>
      <c r="B21" s="667" t="str">
        <f>ORÇAMENTO!C56</f>
        <v>IMPERMEABILIZAÇÃO</v>
      </c>
      <c r="C21" s="68">
        <f>ORÇAMENTO!H56</f>
        <v>0</v>
      </c>
      <c r="D21" s="69">
        <f t="shared" ref="D21:R21" si="6">D22*$C21</f>
        <v>0</v>
      </c>
      <c r="E21" s="69">
        <f t="shared" si="6"/>
        <v>0</v>
      </c>
      <c r="F21" s="70">
        <f t="shared" si="6"/>
        <v>0</v>
      </c>
      <c r="G21" s="69">
        <f t="shared" si="6"/>
        <v>0</v>
      </c>
      <c r="H21" s="69">
        <f t="shared" si="6"/>
        <v>0</v>
      </c>
      <c r="I21" s="69">
        <f t="shared" si="6"/>
        <v>0</v>
      </c>
      <c r="J21" s="69">
        <f t="shared" si="6"/>
        <v>0</v>
      </c>
      <c r="K21" s="69">
        <f t="shared" si="6"/>
        <v>0</v>
      </c>
      <c r="L21" s="69">
        <f t="shared" si="6"/>
        <v>0</v>
      </c>
      <c r="M21" s="69">
        <f t="shared" si="6"/>
        <v>0</v>
      </c>
      <c r="N21" s="69">
        <f t="shared" si="6"/>
        <v>0</v>
      </c>
      <c r="O21" s="69">
        <f t="shared" si="6"/>
        <v>0</v>
      </c>
      <c r="P21" s="69">
        <f t="shared" si="6"/>
        <v>0</v>
      </c>
      <c r="Q21" s="69">
        <f t="shared" si="6"/>
        <v>0</v>
      </c>
      <c r="R21" s="69">
        <f t="shared" si="6"/>
        <v>0</v>
      </c>
      <c r="S21" s="73">
        <f t="shared" si="1"/>
        <v>0</v>
      </c>
      <c r="T21" s="12"/>
    </row>
    <row r="22" spans="1:20" x14ac:dyDescent="0.25">
      <c r="A22" s="666"/>
      <c r="B22" s="667"/>
      <c r="C22" s="74" t="e">
        <f>C21/$C$49</f>
        <v>#DIV/0!</v>
      </c>
      <c r="D22" s="71"/>
      <c r="E22" s="75">
        <v>0.1</v>
      </c>
      <c r="F22" s="75">
        <v>0.1</v>
      </c>
      <c r="G22" s="75"/>
      <c r="H22" s="75"/>
      <c r="I22" s="75"/>
      <c r="J22" s="75">
        <v>0.1</v>
      </c>
      <c r="K22" s="75">
        <v>0.05</v>
      </c>
      <c r="L22" s="75">
        <v>0.3</v>
      </c>
      <c r="M22" s="75">
        <v>0.2</v>
      </c>
      <c r="N22" s="75">
        <v>0.15</v>
      </c>
      <c r="O22" s="75"/>
      <c r="P22" s="75"/>
      <c r="Q22" s="75"/>
      <c r="R22" s="75"/>
      <c r="S22" s="72">
        <f t="shared" si="1"/>
        <v>1</v>
      </c>
      <c r="T22" s="12"/>
    </row>
    <row r="23" spans="1:20" s="96" customFormat="1" x14ac:dyDescent="0.25">
      <c r="A23" s="668">
        <v>7</v>
      </c>
      <c r="B23" s="669" t="str">
        <f>ORÇAMENTO!C60</f>
        <v>ALVENARIAS</v>
      </c>
      <c r="C23" s="93">
        <f>ORÇAMENTO!H60</f>
        <v>0</v>
      </c>
      <c r="D23" s="94">
        <f t="shared" ref="D23:R23" si="7">D24*$C23</f>
        <v>0</v>
      </c>
      <c r="E23" s="94">
        <f t="shared" si="7"/>
        <v>0</v>
      </c>
      <c r="F23" s="95">
        <f t="shared" si="7"/>
        <v>0</v>
      </c>
      <c r="G23" s="94">
        <f t="shared" si="7"/>
        <v>0</v>
      </c>
      <c r="H23" s="94">
        <f t="shared" si="7"/>
        <v>0</v>
      </c>
      <c r="I23" s="94">
        <f t="shared" si="7"/>
        <v>0</v>
      </c>
      <c r="J23" s="94">
        <f t="shared" si="7"/>
        <v>0</v>
      </c>
      <c r="K23" s="94">
        <f t="shared" si="7"/>
        <v>0</v>
      </c>
      <c r="L23" s="94">
        <f t="shared" si="7"/>
        <v>0</v>
      </c>
      <c r="M23" s="94">
        <f t="shared" si="7"/>
        <v>0</v>
      </c>
      <c r="N23" s="94">
        <f t="shared" si="7"/>
        <v>0</v>
      </c>
      <c r="O23" s="94">
        <f t="shared" si="7"/>
        <v>0</v>
      </c>
      <c r="P23" s="94">
        <f t="shared" si="7"/>
        <v>0</v>
      </c>
      <c r="Q23" s="94">
        <f t="shared" si="7"/>
        <v>0</v>
      </c>
      <c r="R23" s="94">
        <f t="shared" si="7"/>
        <v>0</v>
      </c>
      <c r="S23" s="95">
        <f t="shared" si="1"/>
        <v>0</v>
      </c>
    </row>
    <row r="24" spans="1:20" s="96" customFormat="1" x14ac:dyDescent="0.25">
      <c r="A24" s="668"/>
      <c r="B24" s="669"/>
      <c r="C24" s="97" t="e">
        <f>C23/$C$49</f>
        <v>#DIV/0!</v>
      </c>
      <c r="D24" s="98"/>
      <c r="E24" s="99"/>
      <c r="F24" s="99"/>
      <c r="G24" s="99">
        <v>0.1</v>
      </c>
      <c r="H24" s="99">
        <v>0.3</v>
      </c>
      <c r="I24" s="99">
        <v>0.2</v>
      </c>
      <c r="J24" s="99">
        <v>0.1</v>
      </c>
      <c r="K24" s="99">
        <v>0.05</v>
      </c>
      <c r="L24" s="99">
        <v>0.05</v>
      </c>
      <c r="M24" s="99">
        <v>0.05</v>
      </c>
      <c r="N24" s="99"/>
      <c r="O24" s="99">
        <v>0.05</v>
      </c>
      <c r="P24" s="99">
        <v>0.05</v>
      </c>
      <c r="Q24" s="99">
        <v>0.05</v>
      </c>
      <c r="R24" s="99"/>
      <c r="S24" s="100">
        <f t="shared" si="1"/>
        <v>1.0000000000000002</v>
      </c>
    </row>
    <row r="25" spans="1:20" x14ac:dyDescent="0.25">
      <c r="A25" s="666">
        <v>8</v>
      </c>
      <c r="B25" s="667" t="str">
        <f>ORÇAMENTO!C67</f>
        <v>ESQUADRIAS</v>
      </c>
      <c r="C25" s="68">
        <f>ORÇAMENTO!H67</f>
        <v>0</v>
      </c>
      <c r="D25" s="69">
        <f t="shared" ref="D25:R25" si="8">D26*$C25</f>
        <v>0</v>
      </c>
      <c r="E25" s="69">
        <f t="shared" si="8"/>
        <v>0</v>
      </c>
      <c r="F25" s="70">
        <f t="shared" si="8"/>
        <v>0</v>
      </c>
      <c r="G25" s="69">
        <f t="shared" si="8"/>
        <v>0</v>
      </c>
      <c r="H25" s="69">
        <f t="shared" si="8"/>
        <v>0</v>
      </c>
      <c r="I25" s="69">
        <f t="shared" si="8"/>
        <v>0</v>
      </c>
      <c r="J25" s="69">
        <f t="shared" si="8"/>
        <v>0</v>
      </c>
      <c r="K25" s="69">
        <f t="shared" si="8"/>
        <v>0</v>
      </c>
      <c r="L25" s="69">
        <f t="shared" si="8"/>
        <v>0</v>
      </c>
      <c r="M25" s="69">
        <f t="shared" si="8"/>
        <v>0</v>
      </c>
      <c r="N25" s="69">
        <f t="shared" si="8"/>
        <v>0</v>
      </c>
      <c r="O25" s="69">
        <f t="shared" si="8"/>
        <v>0</v>
      </c>
      <c r="P25" s="69">
        <f t="shared" si="8"/>
        <v>0</v>
      </c>
      <c r="Q25" s="69">
        <f t="shared" si="8"/>
        <v>0</v>
      </c>
      <c r="R25" s="69">
        <f t="shared" si="8"/>
        <v>0</v>
      </c>
      <c r="S25" s="73">
        <f t="shared" si="1"/>
        <v>0</v>
      </c>
      <c r="T25" s="12"/>
    </row>
    <row r="26" spans="1:20" x14ac:dyDescent="0.25">
      <c r="A26" s="666"/>
      <c r="B26" s="667"/>
      <c r="C26" s="74" t="e">
        <f>C25/$C$49</f>
        <v>#DIV/0!</v>
      </c>
      <c r="D26" s="71"/>
      <c r="E26" s="75"/>
      <c r="F26" s="75"/>
      <c r="G26" s="75"/>
      <c r="H26" s="75"/>
      <c r="I26" s="75">
        <v>0.05</v>
      </c>
      <c r="J26" s="75">
        <v>0.15</v>
      </c>
      <c r="K26" s="75">
        <v>0.2</v>
      </c>
      <c r="L26" s="75">
        <v>0.2</v>
      </c>
      <c r="M26" s="75">
        <v>0.2</v>
      </c>
      <c r="N26" s="75">
        <v>0.2</v>
      </c>
      <c r="O26" s="75"/>
      <c r="P26" s="75"/>
      <c r="Q26" s="75"/>
      <c r="R26" s="75"/>
      <c r="S26" s="72">
        <f t="shared" si="1"/>
        <v>1</v>
      </c>
      <c r="T26" s="12"/>
    </row>
    <row r="27" spans="1:20" s="96" customFormat="1" x14ac:dyDescent="0.25">
      <c r="A27" s="668">
        <v>9</v>
      </c>
      <c r="B27" s="669" t="str">
        <f>ORÇAMENTO!C105</f>
        <v>VIDROS</v>
      </c>
      <c r="C27" s="93">
        <f>ORÇAMENTO!H105</f>
        <v>0</v>
      </c>
      <c r="D27" s="94">
        <f t="shared" ref="D27:R27" si="9">D28*$C27</f>
        <v>0</v>
      </c>
      <c r="E27" s="94">
        <f t="shared" si="9"/>
        <v>0</v>
      </c>
      <c r="F27" s="95">
        <f t="shared" si="9"/>
        <v>0</v>
      </c>
      <c r="G27" s="94">
        <f t="shared" si="9"/>
        <v>0</v>
      </c>
      <c r="H27" s="94">
        <f t="shared" si="9"/>
        <v>0</v>
      </c>
      <c r="I27" s="94">
        <f t="shared" si="9"/>
        <v>0</v>
      </c>
      <c r="J27" s="94">
        <f t="shared" si="9"/>
        <v>0</v>
      </c>
      <c r="K27" s="94">
        <f t="shared" si="9"/>
        <v>0</v>
      </c>
      <c r="L27" s="94">
        <f t="shared" si="9"/>
        <v>0</v>
      </c>
      <c r="M27" s="94">
        <f t="shared" si="9"/>
        <v>0</v>
      </c>
      <c r="N27" s="94">
        <f t="shared" si="9"/>
        <v>0</v>
      </c>
      <c r="O27" s="94">
        <f t="shared" si="9"/>
        <v>0</v>
      </c>
      <c r="P27" s="94">
        <f t="shared" si="9"/>
        <v>0</v>
      </c>
      <c r="Q27" s="94">
        <f t="shared" si="9"/>
        <v>0</v>
      </c>
      <c r="R27" s="94">
        <f t="shared" si="9"/>
        <v>0</v>
      </c>
      <c r="S27" s="95">
        <f t="shared" si="1"/>
        <v>0</v>
      </c>
    </row>
    <row r="28" spans="1:20" s="96" customFormat="1" x14ac:dyDescent="0.25">
      <c r="A28" s="668"/>
      <c r="B28" s="669"/>
      <c r="C28" s="97" t="e">
        <f>C27/$C$49</f>
        <v>#DIV/0!</v>
      </c>
      <c r="D28" s="98"/>
      <c r="E28" s="99"/>
      <c r="F28" s="99"/>
      <c r="G28" s="99"/>
      <c r="H28" s="99"/>
      <c r="I28" s="99"/>
      <c r="J28" s="99"/>
      <c r="K28" s="99">
        <v>0.05</v>
      </c>
      <c r="L28" s="99">
        <v>0.05</v>
      </c>
      <c r="M28" s="99">
        <v>0.1</v>
      </c>
      <c r="N28" s="99">
        <v>0.5</v>
      </c>
      <c r="O28" s="99">
        <v>0.2</v>
      </c>
      <c r="P28" s="99">
        <v>0.1</v>
      </c>
      <c r="Q28" s="99"/>
      <c r="R28" s="99"/>
      <c r="S28" s="100">
        <f t="shared" si="1"/>
        <v>0.99999999999999989</v>
      </c>
    </row>
    <row r="29" spans="1:20" x14ac:dyDescent="0.25">
      <c r="A29" s="666">
        <v>10</v>
      </c>
      <c r="B29" s="667" t="str">
        <f>ORÇAMENTO!C133</f>
        <v>COBERTURAS</v>
      </c>
      <c r="C29" s="68">
        <f>ORÇAMENTO!H133</f>
        <v>0</v>
      </c>
      <c r="D29" s="69">
        <f t="shared" ref="D29:R29" si="10">D30*$C29</f>
        <v>0</v>
      </c>
      <c r="E29" s="69">
        <f t="shared" si="10"/>
        <v>0</v>
      </c>
      <c r="F29" s="70">
        <f t="shared" si="10"/>
        <v>0</v>
      </c>
      <c r="G29" s="69">
        <f t="shared" si="10"/>
        <v>0</v>
      </c>
      <c r="H29" s="69">
        <f t="shared" si="10"/>
        <v>0</v>
      </c>
      <c r="I29" s="69">
        <f t="shared" si="10"/>
        <v>0</v>
      </c>
      <c r="J29" s="69">
        <f t="shared" si="10"/>
        <v>0</v>
      </c>
      <c r="K29" s="69">
        <f t="shared" si="10"/>
        <v>0</v>
      </c>
      <c r="L29" s="69">
        <f t="shared" si="10"/>
        <v>0</v>
      </c>
      <c r="M29" s="69">
        <f t="shared" si="10"/>
        <v>0</v>
      </c>
      <c r="N29" s="69">
        <f t="shared" si="10"/>
        <v>0</v>
      </c>
      <c r="O29" s="69">
        <f t="shared" si="10"/>
        <v>0</v>
      </c>
      <c r="P29" s="69">
        <f t="shared" si="10"/>
        <v>0</v>
      </c>
      <c r="Q29" s="69">
        <f t="shared" si="10"/>
        <v>0</v>
      </c>
      <c r="R29" s="69">
        <f t="shared" si="10"/>
        <v>0</v>
      </c>
      <c r="S29" s="73">
        <f t="shared" si="1"/>
        <v>0</v>
      </c>
      <c r="T29" s="12"/>
    </row>
    <row r="30" spans="1:20" x14ac:dyDescent="0.25">
      <c r="A30" s="666"/>
      <c r="B30" s="667"/>
      <c r="C30" s="74" t="e">
        <f>C29/$C$49</f>
        <v>#DIV/0!</v>
      </c>
      <c r="D30" s="71"/>
      <c r="E30" s="75"/>
      <c r="F30" s="75"/>
      <c r="G30" s="75"/>
      <c r="H30" s="75">
        <v>0.1</v>
      </c>
      <c r="I30" s="75">
        <v>0.25</v>
      </c>
      <c r="J30" s="75">
        <v>0.25</v>
      </c>
      <c r="K30" s="75">
        <v>0.3</v>
      </c>
      <c r="L30" s="75">
        <v>0.05</v>
      </c>
      <c r="M30" s="75"/>
      <c r="N30" s="75"/>
      <c r="O30" s="75"/>
      <c r="P30" s="75">
        <v>0.05</v>
      </c>
      <c r="Q30" s="75"/>
      <c r="R30" s="75"/>
      <c r="S30" s="72">
        <f t="shared" si="1"/>
        <v>1</v>
      </c>
      <c r="T30" s="12"/>
    </row>
    <row r="31" spans="1:20" s="96" customFormat="1" x14ac:dyDescent="0.25">
      <c r="A31" s="668">
        <v>11</v>
      </c>
      <c r="B31" s="669" t="str">
        <f>ORÇAMENTO!C142</f>
        <v>REVESTIMENTOS</v>
      </c>
      <c r="C31" s="93">
        <f>ORÇAMENTO!H142</f>
        <v>0</v>
      </c>
      <c r="D31" s="94">
        <f t="shared" ref="D31:R31" si="11">D32*$C31</f>
        <v>0</v>
      </c>
      <c r="E31" s="94">
        <f t="shared" si="11"/>
        <v>0</v>
      </c>
      <c r="F31" s="95">
        <f t="shared" si="11"/>
        <v>0</v>
      </c>
      <c r="G31" s="94">
        <f t="shared" si="11"/>
        <v>0</v>
      </c>
      <c r="H31" s="94">
        <f t="shared" si="11"/>
        <v>0</v>
      </c>
      <c r="I31" s="94">
        <f t="shared" si="11"/>
        <v>0</v>
      </c>
      <c r="J31" s="94">
        <f t="shared" si="11"/>
        <v>0</v>
      </c>
      <c r="K31" s="94">
        <f t="shared" si="11"/>
        <v>0</v>
      </c>
      <c r="L31" s="94">
        <f t="shared" si="11"/>
        <v>0</v>
      </c>
      <c r="M31" s="94">
        <f t="shared" si="11"/>
        <v>0</v>
      </c>
      <c r="N31" s="94">
        <f t="shared" si="11"/>
        <v>0</v>
      </c>
      <c r="O31" s="94">
        <f t="shared" si="11"/>
        <v>0</v>
      </c>
      <c r="P31" s="94">
        <f t="shared" si="11"/>
        <v>0</v>
      </c>
      <c r="Q31" s="94">
        <f t="shared" si="11"/>
        <v>0</v>
      </c>
      <c r="R31" s="94">
        <f t="shared" si="11"/>
        <v>0</v>
      </c>
      <c r="S31" s="95">
        <f t="shared" si="1"/>
        <v>0</v>
      </c>
    </row>
    <row r="32" spans="1:20" s="96" customFormat="1" x14ac:dyDescent="0.25">
      <c r="A32" s="668"/>
      <c r="B32" s="669"/>
      <c r="C32" s="97" t="e">
        <f>C31/$C$49</f>
        <v>#DIV/0!</v>
      </c>
      <c r="D32" s="98"/>
      <c r="E32" s="99"/>
      <c r="F32" s="99"/>
      <c r="G32" s="99"/>
      <c r="H32" s="99"/>
      <c r="I32" s="99">
        <v>0.05</v>
      </c>
      <c r="J32" s="99">
        <v>0.15</v>
      </c>
      <c r="K32" s="99">
        <v>0.1</v>
      </c>
      <c r="L32" s="99">
        <v>0.1</v>
      </c>
      <c r="M32" s="99">
        <v>0.1</v>
      </c>
      <c r="N32" s="99">
        <v>0.15</v>
      </c>
      <c r="O32" s="99">
        <v>0.15</v>
      </c>
      <c r="P32" s="99">
        <v>0.1</v>
      </c>
      <c r="Q32" s="99">
        <v>0.1</v>
      </c>
      <c r="R32" s="99"/>
      <c r="S32" s="100">
        <f t="shared" si="1"/>
        <v>1</v>
      </c>
    </row>
    <row r="33" spans="1:20" s="19" customFormat="1" x14ac:dyDescent="0.25">
      <c r="A33" s="666">
        <v>12</v>
      </c>
      <c r="B33" s="667" t="str">
        <f>ORÇAMENTO!C162</f>
        <v>PINTURAS</v>
      </c>
      <c r="C33" s="68">
        <f>ORÇAMENTO!H162</f>
        <v>0</v>
      </c>
      <c r="D33" s="69">
        <f t="shared" ref="D33:R33" si="12">D34*$C33</f>
        <v>0</v>
      </c>
      <c r="E33" s="69">
        <f t="shared" si="12"/>
        <v>0</v>
      </c>
      <c r="F33" s="73">
        <f t="shared" si="12"/>
        <v>0</v>
      </c>
      <c r="G33" s="69">
        <f t="shared" si="12"/>
        <v>0</v>
      </c>
      <c r="H33" s="69">
        <f t="shared" si="12"/>
        <v>0</v>
      </c>
      <c r="I33" s="69">
        <f t="shared" si="12"/>
        <v>0</v>
      </c>
      <c r="J33" s="69">
        <f t="shared" si="12"/>
        <v>0</v>
      </c>
      <c r="K33" s="69">
        <f t="shared" si="12"/>
        <v>0</v>
      </c>
      <c r="L33" s="69">
        <f t="shared" si="12"/>
        <v>0</v>
      </c>
      <c r="M33" s="69">
        <f t="shared" si="12"/>
        <v>0</v>
      </c>
      <c r="N33" s="69">
        <f t="shared" si="12"/>
        <v>0</v>
      </c>
      <c r="O33" s="69">
        <f t="shared" si="12"/>
        <v>0</v>
      </c>
      <c r="P33" s="69">
        <f t="shared" si="12"/>
        <v>0</v>
      </c>
      <c r="Q33" s="69">
        <f t="shared" si="12"/>
        <v>0</v>
      </c>
      <c r="R33" s="69">
        <f t="shared" si="12"/>
        <v>0</v>
      </c>
      <c r="S33" s="73">
        <f t="shared" si="1"/>
        <v>0</v>
      </c>
    </row>
    <row r="34" spans="1:20" s="19" customFormat="1" x14ac:dyDescent="0.25">
      <c r="A34" s="666"/>
      <c r="B34" s="667"/>
      <c r="C34" s="74" t="e">
        <f>C33/$C$49</f>
        <v>#DIV/0!</v>
      </c>
      <c r="D34" s="71"/>
      <c r="E34" s="75"/>
      <c r="F34" s="75"/>
      <c r="G34" s="75"/>
      <c r="H34" s="75"/>
      <c r="I34" s="75"/>
      <c r="J34" s="75"/>
      <c r="K34" s="75"/>
      <c r="L34" s="75"/>
      <c r="M34" s="75"/>
      <c r="N34" s="75">
        <v>0.1</v>
      </c>
      <c r="O34" s="75">
        <v>0.2</v>
      </c>
      <c r="P34" s="75">
        <v>0.2</v>
      </c>
      <c r="Q34" s="75">
        <v>0.25</v>
      </c>
      <c r="R34" s="75">
        <v>0.25</v>
      </c>
      <c r="S34" s="72">
        <f t="shared" si="1"/>
        <v>1</v>
      </c>
    </row>
    <row r="35" spans="1:20" s="96" customFormat="1" x14ac:dyDescent="0.25">
      <c r="A35" s="668">
        <v>13</v>
      </c>
      <c r="B35" s="669" t="str">
        <f>ORÇAMENTO!C182</f>
        <v xml:space="preserve">PISO </v>
      </c>
      <c r="C35" s="93">
        <f>ORÇAMENTO!H182</f>
        <v>0</v>
      </c>
      <c r="D35" s="94">
        <f t="shared" ref="D35:R35" si="13">D36*$C35</f>
        <v>0</v>
      </c>
      <c r="E35" s="94">
        <f t="shared" si="13"/>
        <v>0</v>
      </c>
      <c r="F35" s="95">
        <f t="shared" si="13"/>
        <v>0</v>
      </c>
      <c r="G35" s="94">
        <f t="shared" si="13"/>
        <v>0</v>
      </c>
      <c r="H35" s="94">
        <f t="shared" si="13"/>
        <v>0</v>
      </c>
      <c r="I35" s="94">
        <f t="shared" si="13"/>
        <v>0</v>
      </c>
      <c r="J35" s="94">
        <f t="shared" si="13"/>
        <v>0</v>
      </c>
      <c r="K35" s="94">
        <f t="shared" si="13"/>
        <v>0</v>
      </c>
      <c r="L35" s="94">
        <f t="shared" si="13"/>
        <v>0</v>
      </c>
      <c r="M35" s="94">
        <f t="shared" si="13"/>
        <v>0</v>
      </c>
      <c r="N35" s="94">
        <f t="shared" si="13"/>
        <v>0</v>
      </c>
      <c r="O35" s="94">
        <f t="shared" si="13"/>
        <v>0</v>
      </c>
      <c r="P35" s="94">
        <f t="shared" si="13"/>
        <v>0</v>
      </c>
      <c r="Q35" s="94">
        <f t="shared" si="13"/>
        <v>0</v>
      </c>
      <c r="R35" s="94">
        <f t="shared" si="13"/>
        <v>0</v>
      </c>
      <c r="S35" s="95">
        <f t="shared" si="1"/>
        <v>0</v>
      </c>
    </row>
    <row r="36" spans="1:20" s="96" customFormat="1" x14ac:dyDescent="0.25">
      <c r="A36" s="668"/>
      <c r="B36" s="669"/>
      <c r="C36" s="97" t="e">
        <f>C35/$C$49</f>
        <v>#DIV/0!</v>
      </c>
      <c r="D36" s="98"/>
      <c r="E36" s="99"/>
      <c r="F36" s="99">
        <v>0.1</v>
      </c>
      <c r="G36" s="99">
        <v>0.1</v>
      </c>
      <c r="H36" s="99">
        <v>0.1</v>
      </c>
      <c r="I36" s="99">
        <v>0.1</v>
      </c>
      <c r="J36" s="99">
        <v>0.05</v>
      </c>
      <c r="K36" s="99">
        <v>0.05</v>
      </c>
      <c r="L36" s="99">
        <v>0.1</v>
      </c>
      <c r="M36" s="99">
        <v>0.1</v>
      </c>
      <c r="N36" s="99">
        <v>0.1</v>
      </c>
      <c r="O36" s="99">
        <v>0.15</v>
      </c>
      <c r="P36" s="99">
        <v>0.05</v>
      </c>
      <c r="Q36" s="99"/>
      <c r="R36" s="99"/>
      <c r="S36" s="100">
        <f t="shared" si="1"/>
        <v>1</v>
      </c>
    </row>
    <row r="37" spans="1:20" s="19" customFormat="1" x14ac:dyDescent="0.25">
      <c r="A37" s="666">
        <v>14</v>
      </c>
      <c r="B37" s="667" t="str">
        <f>ORÇAMENTO!C212</f>
        <v>INSTALAÇÕES HIDROSSANITÁRIAS</v>
      </c>
      <c r="C37" s="68">
        <f>ORÇAMENTO!H212</f>
        <v>0</v>
      </c>
      <c r="D37" s="69">
        <f t="shared" ref="D37:R37" si="14">D38*$C37</f>
        <v>0</v>
      </c>
      <c r="E37" s="69">
        <f t="shared" si="14"/>
        <v>0</v>
      </c>
      <c r="F37" s="73">
        <f t="shared" si="14"/>
        <v>0</v>
      </c>
      <c r="G37" s="69">
        <f t="shared" si="14"/>
        <v>0</v>
      </c>
      <c r="H37" s="69">
        <f t="shared" si="14"/>
        <v>0</v>
      </c>
      <c r="I37" s="69">
        <f t="shared" si="14"/>
        <v>0</v>
      </c>
      <c r="J37" s="69">
        <f t="shared" si="14"/>
        <v>0</v>
      </c>
      <c r="K37" s="69">
        <f t="shared" si="14"/>
        <v>0</v>
      </c>
      <c r="L37" s="69">
        <f t="shared" si="14"/>
        <v>0</v>
      </c>
      <c r="M37" s="69">
        <f t="shared" si="14"/>
        <v>0</v>
      </c>
      <c r="N37" s="69">
        <f t="shared" si="14"/>
        <v>0</v>
      </c>
      <c r="O37" s="69">
        <f t="shared" si="14"/>
        <v>0</v>
      </c>
      <c r="P37" s="69">
        <f t="shared" si="14"/>
        <v>0</v>
      </c>
      <c r="Q37" s="69">
        <f t="shared" si="14"/>
        <v>0</v>
      </c>
      <c r="R37" s="69">
        <f t="shared" si="14"/>
        <v>0</v>
      </c>
      <c r="S37" s="73">
        <f t="shared" si="1"/>
        <v>0</v>
      </c>
    </row>
    <row r="38" spans="1:20" s="19" customFormat="1" x14ac:dyDescent="0.25">
      <c r="A38" s="666"/>
      <c r="B38" s="667"/>
      <c r="C38" s="74" t="e">
        <f>C37/$C$49</f>
        <v>#DIV/0!</v>
      </c>
      <c r="D38" s="71"/>
      <c r="E38" s="75"/>
      <c r="F38" s="75">
        <v>0.02</v>
      </c>
      <c r="G38" s="75">
        <v>0.03</v>
      </c>
      <c r="H38" s="75">
        <v>0.05</v>
      </c>
      <c r="I38" s="75">
        <v>0.15</v>
      </c>
      <c r="J38" s="75">
        <v>0.1</v>
      </c>
      <c r="K38" s="75">
        <v>0.15</v>
      </c>
      <c r="L38" s="75">
        <v>0.15</v>
      </c>
      <c r="M38" s="75">
        <v>0.15</v>
      </c>
      <c r="N38" s="75">
        <v>0.05</v>
      </c>
      <c r="O38" s="75">
        <v>0.05</v>
      </c>
      <c r="P38" s="75">
        <v>0.05</v>
      </c>
      <c r="Q38" s="75">
        <v>0.05</v>
      </c>
      <c r="R38" s="75"/>
      <c r="S38" s="72">
        <f t="shared" si="1"/>
        <v>1.0000000000000002</v>
      </c>
    </row>
    <row r="39" spans="1:20" s="96" customFormat="1" x14ac:dyDescent="0.25">
      <c r="A39" s="668">
        <v>15</v>
      </c>
      <c r="B39" s="669" t="str">
        <f>ORÇAMENTO!C299</f>
        <v>INSTALAÇÕES ELÉTRICAS</v>
      </c>
      <c r="C39" s="93">
        <f>ORÇAMENTO!H299</f>
        <v>0</v>
      </c>
      <c r="D39" s="94">
        <f t="shared" ref="D39:R39" si="15">D40*$C39</f>
        <v>0</v>
      </c>
      <c r="E39" s="94">
        <f t="shared" si="15"/>
        <v>0</v>
      </c>
      <c r="F39" s="95">
        <f t="shared" si="15"/>
        <v>0</v>
      </c>
      <c r="G39" s="94">
        <f t="shared" si="15"/>
        <v>0</v>
      </c>
      <c r="H39" s="94">
        <f t="shared" si="15"/>
        <v>0</v>
      </c>
      <c r="I39" s="94">
        <f t="shared" si="15"/>
        <v>0</v>
      </c>
      <c r="J39" s="94">
        <f t="shared" si="15"/>
        <v>0</v>
      </c>
      <c r="K39" s="94">
        <f t="shared" si="15"/>
        <v>0</v>
      </c>
      <c r="L39" s="94">
        <f t="shared" si="15"/>
        <v>0</v>
      </c>
      <c r="M39" s="94">
        <f t="shared" si="15"/>
        <v>0</v>
      </c>
      <c r="N39" s="94">
        <f t="shared" si="15"/>
        <v>0</v>
      </c>
      <c r="O39" s="94">
        <f t="shared" si="15"/>
        <v>0</v>
      </c>
      <c r="P39" s="94">
        <f t="shared" si="15"/>
        <v>0</v>
      </c>
      <c r="Q39" s="94">
        <f t="shared" si="15"/>
        <v>0</v>
      </c>
      <c r="R39" s="94">
        <f t="shared" si="15"/>
        <v>0</v>
      </c>
      <c r="S39" s="95">
        <f t="shared" si="1"/>
        <v>0</v>
      </c>
    </row>
    <row r="40" spans="1:20" s="96" customFormat="1" x14ac:dyDescent="0.25">
      <c r="A40" s="668"/>
      <c r="B40" s="669"/>
      <c r="C40" s="97" t="e">
        <f>C39/$C$49</f>
        <v>#DIV/0!</v>
      </c>
      <c r="D40" s="98"/>
      <c r="E40" s="99"/>
      <c r="F40" s="99"/>
      <c r="G40" s="99">
        <v>0.05</v>
      </c>
      <c r="H40" s="99">
        <v>0.05</v>
      </c>
      <c r="I40" s="99">
        <v>0.05</v>
      </c>
      <c r="J40" s="99">
        <v>0.15</v>
      </c>
      <c r="K40" s="99">
        <v>0.1</v>
      </c>
      <c r="L40" s="99">
        <v>0.15</v>
      </c>
      <c r="M40" s="99">
        <v>0.15</v>
      </c>
      <c r="N40" s="99">
        <v>0.1</v>
      </c>
      <c r="O40" s="99">
        <v>0.05</v>
      </c>
      <c r="P40" s="99">
        <v>0.05</v>
      </c>
      <c r="Q40" s="99">
        <v>0.05</v>
      </c>
      <c r="R40" s="99">
        <v>0.05</v>
      </c>
      <c r="S40" s="100">
        <f t="shared" si="1"/>
        <v>1.0000000000000002</v>
      </c>
    </row>
    <row r="41" spans="1:20" x14ac:dyDescent="0.25">
      <c r="A41" s="666">
        <v>16</v>
      </c>
      <c r="B41" s="667" t="str">
        <f>ORÇAMENTO!C417</f>
        <v>INSTALAÇÕES DE COMBATE A INCÊNDIO</v>
      </c>
      <c r="C41" s="68">
        <f>ORÇAMENTO!H417</f>
        <v>0</v>
      </c>
      <c r="D41" s="69">
        <f t="shared" ref="D41:R41" si="16">D42*$C41</f>
        <v>0</v>
      </c>
      <c r="E41" s="69">
        <f t="shared" si="16"/>
        <v>0</v>
      </c>
      <c r="F41" s="70">
        <f t="shared" si="16"/>
        <v>0</v>
      </c>
      <c r="G41" s="69">
        <f t="shared" si="16"/>
        <v>0</v>
      </c>
      <c r="H41" s="69">
        <f t="shared" si="16"/>
        <v>0</v>
      </c>
      <c r="I41" s="69">
        <f t="shared" si="16"/>
        <v>0</v>
      </c>
      <c r="J41" s="69">
        <f t="shared" si="16"/>
        <v>0</v>
      </c>
      <c r="K41" s="69">
        <f t="shared" si="16"/>
        <v>0</v>
      </c>
      <c r="L41" s="69">
        <f t="shared" si="16"/>
        <v>0</v>
      </c>
      <c r="M41" s="69">
        <f t="shared" si="16"/>
        <v>0</v>
      </c>
      <c r="N41" s="69">
        <f t="shared" si="16"/>
        <v>0</v>
      </c>
      <c r="O41" s="69">
        <f t="shared" si="16"/>
        <v>0</v>
      </c>
      <c r="P41" s="69">
        <f t="shared" si="16"/>
        <v>0</v>
      </c>
      <c r="Q41" s="69">
        <f t="shared" si="16"/>
        <v>0</v>
      </c>
      <c r="R41" s="69">
        <f t="shared" si="16"/>
        <v>0</v>
      </c>
      <c r="S41" s="73">
        <f t="shared" si="1"/>
        <v>0</v>
      </c>
      <c r="T41" s="12"/>
    </row>
    <row r="42" spans="1:20" x14ac:dyDescent="0.25">
      <c r="A42" s="666"/>
      <c r="B42" s="667"/>
      <c r="C42" s="74" t="e">
        <f>C41/$C$49</f>
        <v>#DIV/0!</v>
      </c>
      <c r="D42" s="71"/>
      <c r="E42" s="75"/>
      <c r="F42" s="75"/>
      <c r="G42" s="75"/>
      <c r="H42" s="75"/>
      <c r="I42" s="75"/>
      <c r="J42" s="75"/>
      <c r="K42" s="75"/>
      <c r="L42" s="75"/>
      <c r="M42" s="75"/>
      <c r="N42" s="75"/>
      <c r="O42" s="75"/>
      <c r="P42" s="75">
        <v>0.2</v>
      </c>
      <c r="Q42" s="75">
        <v>0.3</v>
      </c>
      <c r="R42" s="75">
        <v>0.5</v>
      </c>
      <c r="S42" s="72">
        <f t="shared" si="1"/>
        <v>1</v>
      </c>
      <c r="T42" s="12"/>
    </row>
    <row r="43" spans="1:20" s="96" customFormat="1" x14ac:dyDescent="0.25">
      <c r="A43" s="668">
        <v>17</v>
      </c>
      <c r="B43" s="669" t="str">
        <f>ORÇAMENTO!C428</f>
        <v>INSTALAÇÕES ESPECIAIS - GLP</v>
      </c>
      <c r="C43" s="93">
        <f>ORÇAMENTO!H428</f>
        <v>0</v>
      </c>
      <c r="D43" s="94">
        <f t="shared" ref="D43:R43" si="17">D44*$C43</f>
        <v>0</v>
      </c>
      <c r="E43" s="94">
        <f t="shared" si="17"/>
        <v>0</v>
      </c>
      <c r="F43" s="95">
        <f t="shared" si="17"/>
        <v>0</v>
      </c>
      <c r="G43" s="94">
        <f t="shared" si="17"/>
        <v>0</v>
      </c>
      <c r="H43" s="94">
        <f t="shared" si="17"/>
        <v>0</v>
      </c>
      <c r="I43" s="94">
        <f t="shared" si="17"/>
        <v>0</v>
      </c>
      <c r="J43" s="94">
        <f t="shared" si="17"/>
        <v>0</v>
      </c>
      <c r="K43" s="94">
        <f t="shared" si="17"/>
        <v>0</v>
      </c>
      <c r="L43" s="94">
        <f t="shared" si="17"/>
        <v>0</v>
      </c>
      <c r="M43" s="94">
        <f t="shared" si="17"/>
        <v>0</v>
      </c>
      <c r="N43" s="94">
        <f t="shared" si="17"/>
        <v>0</v>
      </c>
      <c r="O43" s="94">
        <f t="shared" si="17"/>
        <v>0</v>
      </c>
      <c r="P43" s="94">
        <f t="shared" si="17"/>
        <v>0</v>
      </c>
      <c r="Q43" s="94">
        <f t="shared" si="17"/>
        <v>0</v>
      </c>
      <c r="R43" s="94">
        <f t="shared" si="17"/>
        <v>0</v>
      </c>
      <c r="S43" s="95">
        <f t="shared" si="1"/>
        <v>0</v>
      </c>
    </row>
    <row r="44" spans="1:20" s="96" customFormat="1" x14ac:dyDescent="0.25">
      <c r="A44" s="668"/>
      <c r="B44" s="669"/>
      <c r="C44" s="97" t="e">
        <f>C43/$C$49</f>
        <v>#DIV/0!</v>
      </c>
      <c r="D44" s="98"/>
      <c r="E44" s="99"/>
      <c r="F44" s="99"/>
      <c r="G44" s="99"/>
      <c r="H44" s="99"/>
      <c r="I44" s="99"/>
      <c r="J44" s="99"/>
      <c r="K44" s="99"/>
      <c r="L44" s="99"/>
      <c r="M44" s="99"/>
      <c r="N44" s="99"/>
      <c r="O44" s="99"/>
      <c r="P44" s="99">
        <v>0.4</v>
      </c>
      <c r="Q44" s="99">
        <v>0.4</v>
      </c>
      <c r="R44" s="99">
        <v>0.2</v>
      </c>
      <c r="S44" s="100">
        <f t="shared" si="1"/>
        <v>1</v>
      </c>
    </row>
    <row r="45" spans="1:20" s="32" customFormat="1" x14ac:dyDescent="0.25">
      <c r="A45" s="666">
        <v>18</v>
      </c>
      <c r="B45" s="667" t="str">
        <f>ORÇAMENTO!C445</f>
        <v>INSTALAÇÕES DE AR CONDICIONADO</v>
      </c>
      <c r="C45" s="68">
        <f>ORÇAMENTO!H445</f>
        <v>0</v>
      </c>
      <c r="D45" s="69">
        <f t="shared" ref="D45:R45" si="18">D46*$C45</f>
        <v>0</v>
      </c>
      <c r="E45" s="69">
        <f t="shared" si="18"/>
        <v>0</v>
      </c>
      <c r="F45" s="70">
        <f t="shared" si="18"/>
        <v>0</v>
      </c>
      <c r="G45" s="69">
        <f t="shared" si="18"/>
        <v>0</v>
      </c>
      <c r="H45" s="69">
        <f t="shared" si="18"/>
        <v>0</v>
      </c>
      <c r="I45" s="69">
        <f t="shared" si="18"/>
        <v>0</v>
      </c>
      <c r="J45" s="69">
        <f t="shared" si="18"/>
        <v>0</v>
      </c>
      <c r="K45" s="69">
        <f t="shared" si="18"/>
        <v>0</v>
      </c>
      <c r="L45" s="69">
        <f t="shared" si="18"/>
        <v>0</v>
      </c>
      <c r="M45" s="69">
        <f t="shared" si="18"/>
        <v>0</v>
      </c>
      <c r="N45" s="69">
        <f t="shared" si="18"/>
        <v>0</v>
      </c>
      <c r="O45" s="69">
        <f t="shared" si="18"/>
        <v>0</v>
      </c>
      <c r="P45" s="69">
        <f t="shared" si="18"/>
        <v>0</v>
      </c>
      <c r="Q45" s="69">
        <f t="shared" si="18"/>
        <v>0</v>
      </c>
      <c r="R45" s="69">
        <f t="shared" si="18"/>
        <v>0</v>
      </c>
      <c r="S45" s="73">
        <f t="shared" si="1"/>
        <v>0</v>
      </c>
    </row>
    <row r="46" spans="1:20" s="32" customFormat="1" x14ac:dyDescent="0.25">
      <c r="A46" s="666"/>
      <c r="B46" s="667"/>
      <c r="C46" s="74" t="e">
        <f>C45/$C$49</f>
        <v>#DIV/0!</v>
      </c>
      <c r="D46" s="71"/>
      <c r="E46" s="75"/>
      <c r="F46" s="75"/>
      <c r="G46" s="75"/>
      <c r="H46" s="75"/>
      <c r="I46" s="75"/>
      <c r="J46" s="75"/>
      <c r="K46" s="75"/>
      <c r="L46" s="75"/>
      <c r="M46" s="75">
        <v>0.1</v>
      </c>
      <c r="N46" s="75">
        <v>0.2</v>
      </c>
      <c r="O46" s="75">
        <v>0.2</v>
      </c>
      <c r="P46" s="75">
        <v>0.3</v>
      </c>
      <c r="Q46" s="75">
        <v>0.1</v>
      </c>
      <c r="R46" s="75">
        <v>0.1</v>
      </c>
      <c r="S46" s="72">
        <f t="shared" si="1"/>
        <v>1</v>
      </c>
    </row>
    <row r="47" spans="1:20" s="96" customFormat="1" x14ac:dyDescent="0.25">
      <c r="A47" s="668">
        <v>19</v>
      </c>
      <c r="B47" s="669" t="str">
        <f>ORÇAMENTO!C457</f>
        <v>SERVIÇOS COMPLEMENTARES</v>
      </c>
      <c r="C47" s="93">
        <f>ORÇAMENTO!H457</f>
        <v>0</v>
      </c>
      <c r="D47" s="94">
        <f t="shared" ref="D47:R47" si="19">D48*$C47</f>
        <v>0</v>
      </c>
      <c r="E47" s="94">
        <f t="shared" si="19"/>
        <v>0</v>
      </c>
      <c r="F47" s="95">
        <f t="shared" si="19"/>
        <v>0</v>
      </c>
      <c r="G47" s="94">
        <f t="shared" si="19"/>
        <v>0</v>
      </c>
      <c r="H47" s="94">
        <f t="shared" si="19"/>
        <v>0</v>
      </c>
      <c r="I47" s="94">
        <f t="shared" si="19"/>
        <v>0</v>
      </c>
      <c r="J47" s="94">
        <f t="shared" si="19"/>
        <v>0</v>
      </c>
      <c r="K47" s="94">
        <f t="shared" si="19"/>
        <v>0</v>
      </c>
      <c r="L47" s="94">
        <f t="shared" si="19"/>
        <v>0</v>
      </c>
      <c r="M47" s="94">
        <f t="shared" si="19"/>
        <v>0</v>
      </c>
      <c r="N47" s="94">
        <f t="shared" si="19"/>
        <v>0</v>
      </c>
      <c r="O47" s="94">
        <f t="shared" si="19"/>
        <v>0</v>
      </c>
      <c r="P47" s="94">
        <f t="shared" si="19"/>
        <v>0</v>
      </c>
      <c r="Q47" s="94">
        <f t="shared" si="19"/>
        <v>0</v>
      </c>
      <c r="R47" s="94">
        <f t="shared" si="19"/>
        <v>0</v>
      </c>
      <c r="S47" s="95">
        <f t="shared" si="1"/>
        <v>0</v>
      </c>
    </row>
    <row r="48" spans="1:20" s="96" customFormat="1" ht="16.5" thickBot="1" x14ac:dyDescent="0.3">
      <c r="A48" s="668"/>
      <c r="B48" s="669"/>
      <c r="C48" s="97" t="e">
        <f>C47/$C$49</f>
        <v>#DIV/0!</v>
      </c>
      <c r="D48" s="98"/>
      <c r="E48" s="99"/>
      <c r="F48" s="99"/>
      <c r="G48" s="99"/>
      <c r="H48" s="99"/>
      <c r="I48" s="99"/>
      <c r="J48" s="99"/>
      <c r="K48" s="99"/>
      <c r="L48" s="99"/>
      <c r="M48" s="99"/>
      <c r="N48" s="99"/>
      <c r="O48" s="99"/>
      <c r="P48" s="99">
        <v>0.1</v>
      </c>
      <c r="Q48" s="99">
        <v>0.45</v>
      </c>
      <c r="R48" s="99">
        <v>0.45</v>
      </c>
      <c r="S48" s="100">
        <f t="shared" si="1"/>
        <v>1</v>
      </c>
    </row>
    <row r="49" spans="1:21" ht="16.5" x14ac:dyDescent="0.3">
      <c r="A49" s="670" t="s">
        <v>34</v>
      </c>
      <c r="B49" s="671"/>
      <c r="C49" s="76">
        <f t="shared" ref="C49:S49" si="20">C11+C13+C15+C17+C19+C21+C23+C25+C27+C29+C31+C33+C35+C37+C39+C41+C43+C45+C47</f>
        <v>0</v>
      </c>
      <c r="D49" s="77">
        <f t="shared" si="20"/>
        <v>0</v>
      </c>
      <c r="E49" s="77">
        <f t="shared" si="20"/>
        <v>0</v>
      </c>
      <c r="F49" s="77">
        <f t="shared" si="20"/>
        <v>0</v>
      </c>
      <c r="G49" s="77">
        <f t="shared" si="20"/>
        <v>0</v>
      </c>
      <c r="H49" s="77">
        <f t="shared" si="20"/>
        <v>0</v>
      </c>
      <c r="I49" s="77">
        <f t="shared" si="20"/>
        <v>0</v>
      </c>
      <c r="J49" s="77">
        <f t="shared" si="20"/>
        <v>0</v>
      </c>
      <c r="K49" s="77">
        <f t="shared" si="20"/>
        <v>0</v>
      </c>
      <c r="L49" s="77">
        <f t="shared" si="20"/>
        <v>0</v>
      </c>
      <c r="M49" s="77">
        <f t="shared" si="20"/>
        <v>0</v>
      </c>
      <c r="N49" s="77">
        <f t="shared" si="20"/>
        <v>0</v>
      </c>
      <c r="O49" s="77">
        <f t="shared" si="20"/>
        <v>0</v>
      </c>
      <c r="P49" s="77">
        <f t="shared" si="20"/>
        <v>0</v>
      </c>
      <c r="Q49" s="77">
        <f t="shared" si="20"/>
        <v>0</v>
      </c>
      <c r="R49" s="77">
        <f t="shared" si="20"/>
        <v>0</v>
      </c>
      <c r="S49" s="77">
        <f t="shared" si="20"/>
        <v>0</v>
      </c>
      <c r="T49" s="16"/>
    </row>
    <row r="50" spans="1:21" ht="16.5" thickBot="1" x14ac:dyDescent="0.3">
      <c r="A50" s="664" t="s">
        <v>116</v>
      </c>
      <c r="B50" s="665"/>
      <c r="C50" s="78" t="e">
        <f>C12+C14+C16+C18+C20+C22+C24+C26+C28+C30+C32+C34+C36+C38+C40+C42+C44+C46+C48</f>
        <v>#DIV/0!</v>
      </c>
      <c r="D50" s="79" t="e">
        <f t="shared" ref="D50:R50" si="21">D49/$C$49</f>
        <v>#DIV/0!</v>
      </c>
      <c r="E50" s="79" t="e">
        <f t="shared" si="21"/>
        <v>#DIV/0!</v>
      </c>
      <c r="F50" s="79" t="e">
        <f t="shared" si="21"/>
        <v>#DIV/0!</v>
      </c>
      <c r="G50" s="79" t="e">
        <f t="shared" si="21"/>
        <v>#DIV/0!</v>
      </c>
      <c r="H50" s="79" t="e">
        <f t="shared" si="21"/>
        <v>#DIV/0!</v>
      </c>
      <c r="I50" s="79" t="e">
        <f t="shared" si="21"/>
        <v>#DIV/0!</v>
      </c>
      <c r="J50" s="79" t="e">
        <f t="shared" si="21"/>
        <v>#DIV/0!</v>
      </c>
      <c r="K50" s="79" t="e">
        <f t="shared" si="21"/>
        <v>#DIV/0!</v>
      </c>
      <c r="L50" s="79" t="e">
        <f t="shared" si="21"/>
        <v>#DIV/0!</v>
      </c>
      <c r="M50" s="79" t="e">
        <f t="shared" si="21"/>
        <v>#DIV/0!</v>
      </c>
      <c r="N50" s="79" t="e">
        <f t="shared" si="21"/>
        <v>#DIV/0!</v>
      </c>
      <c r="O50" s="79" t="e">
        <f t="shared" si="21"/>
        <v>#DIV/0!</v>
      </c>
      <c r="P50" s="79" t="e">
        <f t="shared" si="21"/>
        <v>#DIV/0!</v>
      </c>
      <c r="Q50" s="79" t="e">
        <f t="shared" si="21"/>
        <v>#DIV/0!</v>
      </c>
      <c r="R50" s="79" t="e">
        <f t="shared" si="21"/>
        <v>#DIV/0!</v>
      </c>
      <c r="S50" s="79" t="e">
        <f>S49/C49</f>
        <v>#DIV/0!</v>
      </c>
      <c r="T50" s="12"/>
    </row>
    <row r="51" spans="1:21" x14ac:dyDescent="0.25">
      <c r="A51" s="80"/>
      <c r="B51" s="80"/>
      <c r="C51" s="81"/>
      <c r="D51" s="82"/>
      <c r="E51" s="82"/>
      <c r="F51" s="82"/>
      <c r="G51" s="82"/>
      <c r="H51" s="82"/>
      <c r="I51" s="82"/>
      <c r="J51" s="82"/>
      <c r="K51" s="82"/>
      <c r="L51" s="82"/>
      <c r="M51" s="82"/>
      <c r="N51" s="82"/>
      <c r="O51" s="82"/>
      <c r="P51" s="82"/>
      <c r="Q51" s="82"/>
      <c r="R51" s="82"/>
      <c r="T51" s="12"/>
      <c r="U51" s="12"/>
    </row>
    <row r="52" spans="1:21" x14ac:dyDescent="0.25">
      <c r="A52" s="83"/>
      <c r="B52" s="84"/>
      <c r="C52" s="63"/>
      <c r="D52" s="85"/>
      <c r="E52" s="63"/>
      <c r="F52" s="63"/>
      <c r="G52" s="63"/>
      <c r="H52" s="63"/>
      <c r="I52" s="63"/>
      <c r="J52" s="63"/>
      <c r="K52" s="86"/>
      <c r="L52" s="63"/>
      <c r="M52" s="684" t="s">
        <v>2057</v>
      </c>
      <c r="N52" s="684"/>
      <c r="O52" s="684"/>
      <c r="P52" s="684"/>
      <c r="Q52" s="684"/>
      <c r="R52" s="684"/>
      <c r="T52" s="12"/>
      <c r="U52" s="12"/>
    </row>
    <row r="53" spans="1:21" x14ac:dyDescent="0.25">
      <c r="A53" s="83"/>
      <c r="B53" s="87"/>
      <c r="C53" s="88"/>
      <c r="D53" s="88"/>
      <c r="E53" s="88"/>
      <c r="F53" s="88"/>
      <c r="G53" s="88"/>
      <c r="H53" s="88"/>
      <c r="I53" s="88"/>
      <c r="J53" s="88"/>
      <c r="K53" s="88"/>
      <c r="L53" s="88"/>
      <c r="M53" s="88"/>
      <c r="N53" s="88"/>
      <c r="O53" s="88"/>
      <c r="P53" s="88"/>
      <c r="Q53" s="88"/>
      <c r="R53" s="88"/>
      <c r="S53" s="88"/>
      <c r="T53" s="12"/>
      <c r="U53" s="12"/>
    </row>
    <row r="54" spans="1:21" x14ac:dyDescent="0.25">
      <c r="B54" s="87"/>
      <c r="D54" s="63"/>
      <c r="S54" s="101"/>
      <c r="T54" s="12"/>
      <c r="U54" s="12"/>
    </row>
    <row r="55" spans="1:21" s="156" customFormat="1" x14ac:dyDescent="0.25">
      <c r="A55" s="24"/>
      <c r="B55" s="87"/>
      <c r="C55" s="24"/>
      <c r="D55" s="63"/>
      <c r="E55" s="24"/>
      <c r="F55" s="24"/>
      <c r="G55" s="24"/>
      <c r="H55" s="24"/>
      <c r="I55" s="24"/>
      <c r="J55" s="24"/>
      <c r="K55" s="24"/>
      <c r="L55" s="24"/>
      <c r="M55" s="24"/>
      <c r="N55" s="24"/>
      <c r="O55" s="24"/>
      <c r="P55" s="24"/>
      <c r="Q55" s="24"/>
      <c r="R55" s="24"/>
      <c r="S55" s="101"/>
    </row>
    <row r="56" spans="1:21" x14ac:dyDescent="0.25">
      <c r="B56" s="87"/>
      <c r="D56" s="88"/>
      <c r="M56" s="89"/>
      <c r="N56" s="27"/>
      <c r="O56" s="90"/>
      <c r="P56" s="90"/>
      <c r="Q56" s="90"/>
      <c r="R56" s="90"/>
      <c r="S56" s="88"/>
      <c r="T56" s="13"/>
      <c r="U56" s="13"/>
    </row>
    <row r="57" spans="1:21" x14ac:dyDescent="0.25">
      <c r="B57" s="87"/>
      <c r="M57" s="681" t="s">
        <v>112</v>
      </c>
      <c r="N57" s="681"/>
      <c r="O57" s="681"/>
      <c r="P57" s="681"/>
      <c r="Q57" s="681"/>
      <c r="R57" s="681"/>
      <c r="S57" s="681"/>
      <c r="T57" s="681"/>
      <c r="U57" s="681"/>
    </row>
    <row r="58" spans="1:21" x14ac:dyDescent="0.25">
      <c r="D58" s="88"/>
      <c r="M58" s="682" t="s">
        <v>2055</v>
      </c>
      <c r="N58" s="682"/>
      <c r="O58" s="682"/>
      <c r="P58" s="682"/>
      <c r="Q58" s="682"/>
      <c r="R58" s="682"/>
      <c r="S58" s="682"/>
      <c r="T58" s="682"/>
      <c r="U58" s="682"/>
    </row>
    <row r="59" spans="1:21" x14ac:dyDescent="0.25">
      <c r="M59" s="682"/>
      <c r="N59" s="682"/>
      <c r="O59" s="682"/>
      <c r="P59" s="682"/>
      <c r="Q59" s="682"/>
      <c r="R59" s="682"/>
      <c r="S59" s="682"/>
      <c r="T59" s="682"/>
      <c r="U59" s="682"/>
    </row>
    <row r="60" spans="1:21" x14ac:dyDescent="0.25">
      <c r="M60" s="683"/>
      <c r="N60" s="683"/>
      <c r="O60" s="683"/>
      <c r="P60" s="683"/>
      <c r="Q60" s="683"/>
      <c r="R60" s="683"/>
      <c r="S60" s="683"/>
      <c r="T60" s="683"/>
      <c r="U60" s="683"/>
    </row>
  </sheetData>
  <mergeCells count="65">
    <mergeCell ref="M58:U58"/>
    <mergeCell ref="M59:U59"/>
    <mergeCell ref="M60:U60"/>
    <mergeCell ref="N8:N10"/>
    <mergeCell ref="M8:M10"/>
    <mergeCell ref="O8:O10"/>
    <mergeCell ref="S8:S10"/>
    <mergeCell ref="R8:R10"/>
    <mergeCell ref="M52:R52"/>
    <mergeCell ref="K8:K10"/>
    <mergeCell ref="L8:L10"/>
    <mergeCell ref="P8:P10"/>
    <mergeCell ref="Q8:Q10"/>
    <mergeCell ref="M57:U57"/>
    <mergeCell ref="F8:F10"/>
    <mergeCell ref="G8:G10"/>
    <mergeCell ref="H8:H10"/>
    <mergeCell ref="I8:I10"/>
    <mergeCell ref="J8:J10"/>
    <mergeCell ref="A6:E6"/>
    <mergeCell ref="A8:A10"/>
    <mergeCell ref="B8:B10"/>
    <mergeCell ref="C8:C10"/>
    <mergeCell ref="D8:D10"/>
    <mergeCell ref="E8:E10"/>
    <mergeCell ref="A11:A12"/>
    <mergeCell ref="B11:B12"/>
    <mergeCell ref="A13:A14"/>
    <mergeCell ref="B13:B14"/>
    <mergeCell ref="A15:A16"/>
    <mergeCell ref="B15:B16"/>
    <mergeCell ref="A17:A18"/>
    <mergeCell ref="B17:B18"/>
    <mergeCell ref="A19:A20"/>
    <mergeCell ref="B19:B20"/>
    <mergeCell ref="A21:A22"/>
    <mergeCell ref="B21:B22"/>
    <mergeCell ref="A23:A24"/>
    <mergeCell ref="B23:B24"/>
    <mergeCell ref="A25:A26"/>
    <mergeCell ref="B25:B26"/>
    <mergeCell ref="A27:A28"/>
    <mergeCell ref="B27:B28"/>
    <mergeCell ref="A29:A30"/>
    <mergeCell ref="B29:B30"/>
    <mergeCell ref="A31:A32"/>
    <mergeCell ref="B31:B32"/>
    <mergeCell ref="A33:A34"/>
    <mergeCell ref="B33:B34"/>
    <mergeCell ref="A35:A36"/>
    <mergeCell ref="B35:B36"/>
    <mergeCell ref="A37:A38"/>
    <mergeCell ref="B37:B38"/>
    <mergeCell ref="A39:A40"/>
    <mergeCell ref="B39:B40"/>
    <mergeCell ref="A50:B50"/>
    <mergeCell ref="A41:A42"/>
    <mergeCell ref="B41:B42"/>
    <mergeCell ref="A47:A48"/>
    <mergeCell ref="B47:B48"/>
    <mergeCell ref="A49:B49"/>
    <mergeCell ref="A43:A44"/>
    <mergeCell ref="B43:B44"/>
    <mergeCell ref="A45:A46"/>
    <mergeCell ref="B45:B46"/>
  </mergeCells>
  <pageMargins left="0.9055118110236221" right="0.51181102362204722" top="0.78740157480314965" bottom="0.39370078740157483" header="0.31496062992125984" footer="0.31496062992125984"/>
  <pageSetup paperSize="9" scale="2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45"/>
  <sheetViews>
    <sheetView view="pageBreakPreview" zoomScale="60" zoomScaleNormal="100" workbookViewId="0">
      <selection activeCell="A36" sqref="A36"/>
    </sheetView>
  </sheetViews>
  <sheetFormatPr defaultRowHeight="16.5" x14ac:dyDescent="0.3"/>
  <cols>
    <col min="1" max="1" width="17.85546875" style="14" customWidth="1"/>
    <col min="2" max="2" width="54.28515625" style="14" customWidth="1"/>
    <col min="3" max="3" width="33.42578125" style="14" customWidth="1"/>
    <col min="4" max="4" width="17.42578125" style="24" customWidth="1"/>
    <col min="5" max="5" width="22.7109375" style="191" customWidth="1"/>
    <col min="7" max="7" width="10.5703125" style="193" bestFit="1" customWidth="1"/>
    <col min="8" max="8" width="19.140625" customWidth="1"/>
    <col min="9" max="9" width="15.7109375" style="196" customWidth="1"/>
  </cols>
  <sheetData>
    <row r="2" spans="1:9" x14ac:dyDescent="0.3">
      <c r="C2" s="16"/>
    </row>
    <row r="4" spans="1:9" x14ac:dyDescent="0.3">
      <c r="A4" s="176" t="s">
        <v>199</v>
      </c>
      <c r="C4" s="16"/>
    </row>
    <row r="5" spans="1:9" s="34" customFormat="1" x14ac:dyDescent="0.3">
      <c r="A5" s="112" t="s">
        <v>24</v>
      </c>
      <c r="B5" s="112"/>
      <c r="C5" s="158"/>
      <c r="D5" s="35"/>
      <c r="E5" s="192"/>
      <c r="G5" s="194"/>
      <c r="I5" s="197"/>
    </row>
    <row r="6" spans="1:9" s="155" customFormat="1" x14ac:dyDescent="0.3">
      <c r="A6" s="112"/>
      <c r="B6" s="112"/>
      <c r="C6" s="158"/>
      <c r="D6" s="35"/>
      <c r="E6" s="192"/>
      <c r="G6" s="194"/>
      <c r="I6" s="197"/>
    </row>
    <row r="7" spans="1:9" x14ac:dyDescent="0.3">
      <c r="A7" s="177" t="s">
        <v>350</v>
      </c>
      <c r="C7" s="16"/>
    </row>
    <row r="8" spans="1:9" s="34" customFormat="1" x14ac:dyDescent="0.3">
      <c r="A8" s="178" t="s">
        <v>349</v>
      </c>
      <c r="B8" s="112"/>
      <c r="C8" s="158"/>
      <c r="D8" s="35"/>
      <c r="E8" s="192"/>
      <c r="G8" s="194"/>
      <c r="I8" s="197"/>
    </row>
    <row r="9" spans="1:9" x14ac:dyDescent="0.3">
      <c r="A9" s="179"/>
      <c r="C9" s="16"/>
    </row>
    <row r="10" spans="1:9" ht="17.25" thickBot="1" x14ac:dyDescent="0.35">
      <c r="A10" s="179"/>
      <c r="C10" s="16"/>
    </row>
    <row r="11" spans="1:9" x14ac:dyDescent="0.3">
      <c r="A11" s="685" t="s">
        <v>117</v>
      </c>
      <c r="B11" s="686"/>
      <c r="C11" s="687"/>
    </row>
    <row r="12" spans="1:9" x14ac:dyDescent="0.3">
      <c r="A12" s="180" t="s">
        <v>29</v>
      </c>
      <c r="B12" s="181" t="s">
        <v>118</v>
      </c>
      <c r="C12" s="182" t="s">
        <v>34</v>
      </c>
    </row>
    <row r="13" spans="1:9" s="155" customFormat="1" x14ac:dyDescent="0.3">
      <c r="A13" s="183">
        <v>1</v>
      </c>
      <c r="B13" s="184" t="str">
        <f>ORÇAMENTO!C12</f>
        <v>SERVIÇOS PRELIMINARES E TÉCNICOS</v>
      </c>
      <c r="C13" s="185">
        <f>ORÇAMENTO!H12</f>
        <v>0</v>
      </c>
      <c r="D13" s="35"/>
      <c r="E13" s="199"/>
      <c r="G13" s="194"/>
      <c r="H13" s="195"/>
      <c r="I13" s="197"/>
    </row>
    <row r="14" spans="1:9" s="155" customFormat="1" x14ac:dyDescent="0.3">
      <c r="A14" s="183">
        <v>2</v>
      </c>
      <c r="B14" s="184" t="str">
        <f>ORÇAMENTO!C20</f>
        <v>GERENCIAMENTO DE OBRAS</v>
      </c>
      <c r="C14" s="185">
        <f>ORÇAMENTO!H20</f>
        <v>0</v>
      </c>
      <c r="D14" s="35"/>
      <c r="E14" s="199"/>
      <c r="G14" s="194"/>
      <c r="H14" s="195"/>
      <c r="I14" s="197"/>
    </row>
    <row r="15" spans="1:9" s="155" customFormat="1" x14ac:dyDescent="0.3">
      <c r="A15" s="183">
        <v>3</v>
      </c>
      <c r="B15" s="184" t="str">
        <f>ORÇAMENTO!C22</f>
        <v>MOVIMENTO DE TERRA</v>
      </c>
      <c r="C15" s="185">
        <f>ORÇAMENTO!H22</f>
        <v>0</v>
      </c>
      <c r="D15" s="35"/>
      <c r="E15" s="199"/>
      <c r="G15" s="194"/>
      <c r="H15" s="195"/>
      <c r="I15" s="197"/>
    </row>
    <row r="16" spans="1:9" s="155" customFormat="1" x14ac:dyDescent="0.3">
      <c r="A16" s="183">
        <v>4</v>
      </c>
      <c r="B16" s="184" t="str">
        <f>ORÇAMENTO!C27</f>
        <v>INFRAESTRUTURA</v>
      </c>
      <c r="C16" s="185">
        <f>ORÇAMENTO!H27</f>
        <v>0</v>
      </c>
      <c r="D16" s="35"/>
      <c r="E16" s="199"/>
      <c r="G16" s="194"/>
      <c r="H16" s="195"/>
      <c r="I16" s="197"/>
    </row>
    <row r="17" spans="1:9" s="155" customFormat="1" x14ac:dyDescent="0.3">
      <c r="A17" s="183">
        <v>5</v>
      </c>
      <c r="B17" s="184" t="str">
        <f>ORÇAMENTO!C35</f>
        <v>SUPERESTRUTURA</v>
      </c>
      <c r="C17" s="185">
        <f>ORÇAMENTO!H35</f>
        <v>0</v>
      </c>
      <c r="D17" s="35"/>
      <c r="E17" s="199"/>
      <c r="G17" s="194"/>
      <c r="H17" s="195"/>
      <c r="I17" s="197"/>
    </row>
    <row r="18" spans="1:9" s="155" customFormat="1" x14ac:dyDescent="0.3">
      <c r="A18" s="183">
        <v>6</v>
      </c>
      <c r="B18" s="184" t="str">
        <f>ORÇAMENTO!C56</f>
        <v>IMPERMEABILIZAÇÃO</v>
      </c>
      <c r="C18" s="185">
        <f>ORÇAMENTO!H56</f>
        <v>0</v>
      </c>
      <c r="D18" s="35"/>
      <c r="E18" s="199"/>
      <c r="G18" s="194"/>
      <c r="H18" s="195"/>
      <c r="I18" s="197"/>
    </row>
    <row r="19" spans="1:9" s="155" customFormat="1" x14ac:dyDescent="0.3">
      <c r="A19" s="183">
        <v>7</v>
      </c>
      <c r="B19" s="184" t="str">
        <f>ORÇAMENTO!C60</f>
        <v>ALVENARIAS</v>
      </c>
      <c r="C19" s="185">
        <f>ORÇAMENTO!H60</f>
        <v>0</v>
      </c>
      <c r="D19" s="35"/>
      <c r="E19" s="199"/>
      <c r="G19" s="194"/>
      <c r="H19" s="195"/>
      <c r="I19" s="197"/>
    </row>
    <row r="20" spans="1:9" s="155" customFormat="1" x14ac:dyDescent="0.3">
      <c r="A20" s="183">
        <v>8</v>
      </c>
      <c r="B20" s="184" t="str">
        <f>ORÇAMENTO!C67</f>
        <v>ESQUADRIAS</v>
      </c>
      <c r="C20" s="185">
        <f>ORÇAMENTO!H67</f>
        <v>0</v>
      </c>
      <c r="D20" s="35"/>
      <c r="E20" s="199"/>
      <c r="G20" s="194"/>
      <c r="H20" s="195"/>
      <c r="I20" s="197"/>
    </row>
    <row r="21" spans="1:9" s="155" customFormat="1" x14ac:dyDescent="0.3">
      <c r="A21" s="183">
        <v>9</v>
      </c>
      <c r="B21" s="184" t="str">
        <f>ORÇAMENTO!C105</f>
        <v>VIDROS</v>
      </c>
      <c r="C21" s="185">
        <f>ORÇAMENTO!H105</f>
        <v>0</v>
      </c>
      <c r="D21" s="35"/>
      <c r="E21" s="199"/>
      <c r="G21" s="194"/>
      <c r="H21" s="195"/>
      <c r="I21" s="197"/>
    </row>
    <row r="22" spans="1:9" s="155" customFormat="1" x14ac:dyDescent="0.3">
      <c r="A22" s="183">
        <v>10</v>
      </c>
      <c r="B22" s="184" t="str">
        <f>ORÇAMENTO!C133</f>
        <v>COBERTURAS</v>
      </c>
      <c r="C22" s="185">
        <f>ORÇAMENTO!H133</f>
        <v>0</v>
      </c>
      <c r="D22" s="35"/>
      <c r="E22" s="199"/>
      <c r="G22" s="194"/>
      <c r="H22" s="195"/>
      <c r="I22" s="197"/>
    </row>
    <row r="23" spans="1:9" s="155" customFormat="1" x14ac:dyDescent="0.3">
      <c r="A23" s="183">
        <v>11</v>
      </c>
      <c r="B23" s="184" t="str">
        <f>ORÇAMENTO!C142</f>
        <v>REVESTIMENTOS</v>
      </c>
      <c r="C23" s="185">
        <f>ORÇAMENTO!H142</f>
        <v>0</v>
      </c>
      <c r="D23" s="35"/>
      <c r="E23" s="199"/>
      <c r="G23" s="194"/>
      <c r="H23" s="195"/>
      <c r="I23" s="197"/>
    </row>
    <row r="24" spans="1:9" s="155" customFormat="1" x14ac:dyDescent="0.3">
      <c r="A24" s="183">
        <v>12</v>
      </c>
      <c r="B24" s="184" t="str">
        <f>ORÇAMENTO!C162</f>
        <v>PINTURAS</v>
      </c>
      <c r="C24" s="185">
        <f>ORÇAMENTO!H162</f>
        <v>0</v>
      </c>
      <c r="D24" s="35"/>
      <c r="E24" s="199"/>
      <c r="G24" s="194"/>
      <c r="H24" s="195"/>
      <c r="I24" s="197"/>
    </row>
    <row r="25" spans="1:9" s="155" customFormat="1" x14ac:dyDescent="0.3">
      <c r="A25" s="183">
        <v>13</v>
      </c>
      <c r="B25" s="184" t="str">
        <f>ORÇAMENTO!C182</f>
        <v xml:space="preserve">PISO </v>
      </c>
      <c r="C25" s="185">
        <f>ORÇAMENTO!H182</f>
        <v>0</v>
      </c>
      <c r="D25" s="35"/>
      <c r="E25" s="199"/>
      <c r="G25" s="194"/>
      <c r="H25" s="195"/>
      <c r="I25" s="197"/>
    </row>
    <row r="26" spans="1:9" s="155" customFormat="1" x14ac:dyDescent="0.3">
      <c r="A26" s="183">
        <v>14</v>
      </c>
      <c r="B26" s="184" t="str">
        <f>ORÇAMENTO!C212</f>
        <v>INSTALAÇÕES HIDROSSANITÁRIAS</v>
      </c>
      <c r="C26" s="185">
        <f>ORÇAMENTO!H212</f>
        <v>0</v>
      </c>
      <c r="D26" s="35"/>
      <c r="E26" s="199"/>
      <c r="G26" s="194"/>
      <c r="H26" s="195"/>
      <c r="I26" s="197"/>
    </row>
    <row r="27" spans="1:9" s="155" customFormat="1" x14ac:dyDescent="0.3">
      <c r="A27" s="183">
        <v>15</v>
      </c>
      <c r="B27" s="186" t="str">
        <f>ORÇAMENTO!C299</f>
        <v>INSTALAÇÕES ELÉTRICAS</v>
      </c>
      <c r="C27" s="185">
        <f>ORÇAMENTO!H299</f>
        <v>0</v>
      </c>
      <c r="D27" s="35"/>
      <c r="E27" s="199"/>
      <c r="G27" s="194"/>
      <c r="H27" s="195"/>
      <c r="I27" s="197"/>
    </row>
    <row r="28" spans="1:9" s="155" customFormat="1" x14ac:dyDescent="0.3">
      <c r="A28" s="183">
        <v>16</v>
      </c>
      <c r="B28" s="184" t="str">
        <f>ORÇAMENTO!C417</f>
        <v>INSTALAÇÕES DE COMBATE A INCÊNDIO</v>
      </c>
      <c r="C28" s="185">
        <f>ORÇAMENTO!H417</f>
        <v>0</v>
      </c>
      <c r="D28" s="35"/>
      <c r="E28" s="199"/>
      <c r="G28" s="194"/>
      <c r="H28" s="195"/>
      <c r="I28" s="197"/>
    </row>
    <row r="29" spans="1:9" s="155" customFormat="1" x14ac:dyDescent="0.3">
      <c r="A29" s="183">
        <v>17</v>
      </c>
      <c r="B29" s="184" t="str">
        <f>ORÇAMENTO!C428</f>
        <v>INSTALAÇÕES ESPECIAIS - GLP</v>
      </c>
      <c r="C29" s="185">
        <f>ORÇAMENTO!H428</f>
        <v>0</v>
      </c>
      <c r="D29" s="35"/>
      <c r="E29" s="199"/>
      <c r="G29" s="194"/>
      <c r="H29" s="195"/>
      <c r="I29" s="197"/>
    </row>
    <row r="30" spans="1:9" s="155" customFormat="1" x14ac:dyDescent="0.3">
      <c r="A30" s="183">
        <v>18</v>
      </c>
      <c r="B30" s="184" t="s">
        <v>80</v>
      </c>
      <c r="C30" s="185">
        <f>ORÇAMENTO!H445</f>
        <v>0</v>
      </c>
      <c r="D30" s="35"/>
      <c r="E30" s="199"/>
      <c r="G30" s="194"/>
      <c r="H30" s="195"/>
      <c r="I30" s="197"/>
    </row>
    <row r="31" spans="1:9" s="155" customFormat="1" x14ac:dyDescent="0.3">
      <c r="A31" s="183">
        <v>19</v>
      </c>
      <c r="B31" s="184" t="str">
        <f>ORÇAMENTO!C457</f>
        <v>SERVIÇOS COMPLEMENTARES</v>
      </c>
      <c r="C31" s="185">
        <f>ORÇAMENTO!H457</f>
        <v>0</v>
      </c>
      <c r="D31" s="35"/>
      <c r="E31" s="199"/>
      <c r="G31" s="194"/>
      <c r="H31" s="195"/>
      <c r="I31" s="197"/>
    </row>
    <row r="32" spans="1:9" s="155" customFormat="1" ht="17.25" thickBot="1" x14ac:dyDescent="0.35">
      <c r="A32" s="689" t="s">
        <v>34</v>
      </c>
      <c r="B32" s="690"/>
      <c r="C32" s="187">
        <f>SUM(C13:C31)</f>
        <v>0</v>
      </c>
      <c r="D32" s="35"/>
      <c r="E32" s="199"/>
      <c r="G32" s="194"/>
      <c r="H32" s="195"/>
      <c r="I32" s="197"/>
    </row>
    <row r="35" spans="1:9" s="34" customFormat="1" x14ac:dyDescent="0.3">
      <c r="A35" s="188" t="s">
        <v>2058</v>
      </c>
      <c r="B35" s="189"/>
      <c r="C35" s="112"/>
      <c r="D35" s="35"/>
      <c r="E35" s="192"/>
      <c r="G35" s="194"/>
      <c r="I35" s="197"/>
    </row>
    <row r="36" spans="1:9" x14ac:dyDescent="0.3">
      <c r="A36" s="188"/>
      <c r="B36" s="189"/>
      <c r="C36" s="16"/>
    </row>
    <row r="37" spans="1:9" x14ac:dyDescent="0.3">
      <c r="A37" s="188"/>
      <c r="B37" s="189"/>
      <c r="C37" s="16"/>
    </row>
    <row r="38" spans="1:9" x14ac:dyDescent="0.3">
      <c r="A38" s="189"/>
      <c r="B38" s="189"/>
    </row>
    <row r="39" spans="1:9" x14ac:dyDescent="0.25">
      <c r="A39" s="688" t="s">
        <v>112</v>
      </c>
      <c r="B39" s="688"/>
      <c r="C39" s="688"/>
      <c r="D39" s="29"/>
    </row>
    <row r="40" spans="1:9" x14ac:dyDescent="0.25">
      <c r="A40" s="688" t="s">
        <v>2055</v>
      </c>
      <c r="B40" s="688"/>
      <c r="C40" s="688"/>
      <c r="D40" s="27"/>
    </row>
    <row r="41" spans="1:9" x14ac:dyDescent="0.25">
      <c r="A41" s="688"/>
      <c r="B41" s="688"/>
      <c r="C41" s="688"/>
      <c r="D41" s="27"/>
    </row>
    <row r="42" spans="1:9" x14ac:dyDescent="0.25">
      <c r="A42" s="688"/>
      <c r="B42" s="688"/>
      <c r="C42" s="688"/>
      <c r="D42" s="27"/>
    </row>
    <row r="44" spans="1:9" x14ac:dyDescent="0.3">
      <c r="C44" s="190"/>
      <c r="D44" s="30"/>
    </row>
    <row r="45" spans="1:9" x14ac:dyDescent="0.3">
      <c r="C45" s="190" t="s">
        <v>119</v>
      </c>
      <c r="D45" s="30"/>
    </row>
  </sheetData>
  <mergeCells count="6">
    <mergeCell ref="A11:C11"/>
    <mergeCell ref="A39:C39"/>
    <mergeCell ref="A40:C40"/>
    <mergeCell ref="A41:C41"/>
    <mergeCell ref="A42:C42"/>
    <mergeCell ref="A32:B32"/>
  </mergeCells>
  <pageMargins left="0.511811024" right="0.511811024" top="0.78740157499999996" bottom="0.78740157499999996" header="0.31496062000000002" footer="0.31496062000000002"/>
  <pageSetup paperSize="9" scale="8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5"/>
  <sheetViews>
    <sheetView view="pageBreakPreview" topLeftCell="A25" zoomScale="90" zoomScaleNormal="100" zoomScaleSheetLayoutView="90" workbookViewId="0">
      <selection activeCell="B16" sqref="B16"/>
    </sheetView>
  </sheetViews>
  <sheetFormatPr defaultRowHeight="15.75" x14ac:dyDescent="0.25"/>
  <cols>
    <col min="1" max="1" width="9.140625" style="24"/>
    <col min="2" max="2" width="52.140625" style="24" customWidth="1"/>
    <col min="3" max="3" width="16" style="24" customWidth="1"/>
    <col min="4" max="5" width="9.140625" style="24"/>
  </cols>
  <sheetData>
    <row r="1" spans="1:6" s="118" customFormat="1" x14ac:dyDescent="0.25">
      <c r="A1" s="36" t="s">
        <v>199</v>
      </c>
      <c r="B1" s="24"/>
      <c r="C1" s="24"/>
      <c r="D1" s="24"/>
      <c r="E1" s="24"/>
    </row>
    <row r="2" spans="1:6" x14ac:dyDescent="0.25">
      <c r="A2" s="36" t="s">
        <v>24</v>
      </c>
    </row>
    <row r="3" spans="1:6" x14ac:dyDescent="0.25">
      <c r="A3" s="26"/>
      <c r="F3" s="118"/>
    </row>
    <row r="4" spans="1:6" x14ac:dyDescent="0.25">
      <c r="A4" s="115" t="s">
        <v>350</v>
      </c>
      <c r="B4" s="123"/>
      <c r="C4" s="123"/>
      <c r="D4" s="123"/>
      <c r="E4" s="124"/>
      <c r="F4" s="122"/>
    </row>
    <row r="5" spans="1:6" x14ac:dyDescent="0.25">
      <c r="A5" s="47" t="s">
        <v>349</v>
      </c>
      <c r="B5" s="123"/>
      <c r="C5" s="123"/>
      <c r="D5" s="123"/>
      <c r="E5" s="124"/>
      <c r="F5" s="122"/>
    </row>
    <row r="6" spans="1:6" x14ac:dyDescent="0.25">
      <c r="A6" s="123"/>
      <c r="B6" s="123"/>
      <c r="C6" s="123"/>
      <c r="D6" s="123"/>
      <c r="E6" s="124"/>
      <c r="F6" s="122"/>
    </row>
    <row r="7" spans="1:6" ht="15" x14ac:dyDescent="0.25">
      <c r="A7" s="691" t="s">
        <v>0</v>
      </c>
      <c r="B7" s="691"/>
      <c r="C7" s="691"/>
      <c r="D7" s="691"/>
      <c r="E7" s="691"/>
      <c r="F7" s="691"/>
    </row>
    <row r="8" spans="1:6" x14ac:dyDescent="0.25">
      <c r="A8" s="125"/>
      <c r="B8" s="125"/>
      <c r="C8" s="125"/>
      <c r="D8" s="125"/>
      <c r="E8" s="124"/>
      <c r="F8" s="122"/>
    </row>
    <row r="9" spans="1:6" x14ac:dyDescent="0.25">
      <c r="A9" s="125"/>
      <c r="B9" s="125"/>
      <c r="C9" s="125"/>
      <c r="D9" s="125"/>
      <c r="E9" s="124"/>
      <c r="F9" s="122"/>
    </row>
    <row r="10" spans="1:6" x14ac:dyDescent="0.25">
      <c r="A10" s="126"/>
      <c r="B10" s="127"/>
      <c r="C10" s="126"/>
      <c r="D10" s="127"/>
      <c r="E10" s="128"/>
      <c r="F10" s="3"/>
    </row>
    <row r="11" spans="1:6" x14ac:dyDescent="0.25">
      <c r="A11" s="126"/>
      <c r="B11" s="127"/>
      <c r="C11" s="126"/>
      <c r="D11" s="127"/>
      <c r="E11" s="128"/>
      <c r="F11" s="3"/>
    </row>
    <row r="12" spans="1:6" ht="30.75" customHeight="1" x14ac:dyDescent="0.25">
      <c r="A12" s="692" t="s">
        <v>1</v>
      </c>
      <c r="B12" s="692"/>
      <c r="C12" s="692"/>
      <c r="D12" s="692"/>
      <c r="E12" s="120"/>
      <c r="F12" s="120"/>
    </row>
    <row r="13" spans="1:6" x14ac:dyDescent="0.25">
      <c r="A13" s="127"/>
      <c r="B13" s="127"/>
      <c r="C13" s="126"/>
      <c r="D13" s="126"/>
      <c r="E13" s="128"/>
      <c r="F13" s="3"/>
    </row>
    <row r="14" spans="1:6" ht="29.25" customHeight="1" x14ac:dyDescent="0.25">
      <c r="A14" s="693" t="s">
        <v>447</v>
      </c>
      <c r="B14" s="693"/>
      <c r="C14" s="693"/>
      <c r="D14" s="693"/>
      <c r="E14" s="154"/>
      <c r="F14" s="118"/>
    </row>
    <row r="15" spans="1:6" ht="15" customHeight="1" x14ac:dyDescent="0.25">
      <c r="A15" s="154"/>
      <c r="B15" s="154"/>
      <c r="C15" s="154"/>
      <c r="D15" s="154"/>
      <c r="E15" s="154"/>
      <c r="F15" s="118"/>
    </row>
    <row r="16" spans="1:6" x14ac:dyDescent="0.25">
      <c r="A16" s="129" t="s">
        <v>2</v>
      </c>
      <c r="B16" s="130" t="s">
        <v>3</v>
      </c>
      <c r="C16" s="131">
        <v>0.04</v>
      </c>
      <c r="D16" s="127"/>
      <c r="F16" s="118"/>
    </row>
    <row r="17" spans="1:6" x14ac:dyDescent="0.25">
      <c r="A17" s="132" t="s">
        <v>4</v>
      </c>
      <c r="B17" s="133" t="s">
        <v>5</v>
      </c>
      <c r="C17" s="134">
        <v>4.0000000000000001E-3</v>
      </c>
      <c r="D17" s="127"/>
      <c r="F17" s="118"/>
    </row>
    <row r="18" spans="1:6" x14ac:dyDescent="0.25">
      <c r="A18" s="132" t="s">
        <v>6</v>
      </c>
      <c r="B18" s="133" t="s">
        <v>445</v>
      </c>
      <c r="C18" s="134">
        <v>1.2699999999999999E-2</v>
      </c>
      <c r="D18" s="127"/>
      <c r="F18" s="118"/>
    </row>
    <row r="19" spans="1:6" x14ac:dyDescent="0.25">
      <c r="A19" s="132" t="s">
        <v>7</v>
      </c>
      <c r="B19" s="133" t="s">
        <v>8</v>
      </c>
      <c r="C19" s="134">
        <v>4.0000000000000001E-3</v>
      </c>
      <c r="D19" s="127"/>
      <c r="F19" s="118"/>
    </row>
    <row r="20" spans="1:6" x14ac:dyDescent="0.25">
      <c r="A20" s="132" t="s">
        <v>9</v>
      </c>
      <c r="B20" s="133" t="s">
        <v>10</v>
      </c>
      <c r="C20" s="134">
        <v>1.23E-2</v>
      </c>
      <c r="D20" s="127"/>
      <c r="F20" s="118"/>
    </row>
    <row r="21" spans="1:6" x14ac:dyDescent="0.25">
      <c r="A21" s="132" t="s">
        <v>11</v>
      </c>
      <c r="B21" s="133" t="s">
        <v>12</v>
      </c>
      <c r="C21" s="134">
        <v>7.3999999999999996E-2</v>
      </c>
      <c r="D21" s="127"/>
      <c r="F21" s="118"/>
    </row>
    <row r="22" spans="1:6" x14ac:dyDescent="0.25">
      <c r="A22" s="132" t="s">
        <v>13</v>
      </c>
      <c r="B22" s="133" t="s">
        <v>446</v>
      </c>
      <c r="C22" s="134">
        <f>SUM(C23:C26)</f>
        <v>6.6500000000000004E-2</v>
      </c>
      <c r="D22" s="127"/>
      <c r="F22" s="118"/>
    </row>
    <row r="23" spans="1:6" x14ac:dyDescent="0.25">
      <c r="A23" s="135"/>
      <c r="B23" s="136" t="s">
        <v>14</v>
      </c>
      <c r="C23" s="137">
        <v>6.4999999999999997E-3</v>
      </c>
      <c r="D23" s="127"/>
      <c r="F23" s="118"/>
    </row>
    <row r="24" spans="1:6" x14ac:dyDescent="0.25">
      <c r="A24" s="135"/>
      <c r="B24" s="136" t="s">
        <v>15</v>
      </c>
      <c r="C24" s="137">
        <v>0.03</v>
      </c>
      <c r="D24" s="127"/>
      <c r="F24" s="118"/>
    </row>
    <row r="25" spans="1:6" x14ac:dyDescent="0.25">
      <c r="A25" s="135"/>
      <c r="B25" s="136" t="s">
        <v>16</v>
      </c>
      <c r="C25" s="137"/>
      <c r="D25" s="125"/>
      <c r="F25" s="118"/>
    </row>
    <row r="26" spans="1:6" x14ac:dyDescent="0.25">
      <c r="A26" s="138"/>
      <c r="B26" s="139" t="s">
        <v>17</v>
      </c>
      <c r="C26" s="140">
        <v>0.03</v>
      </c>
      <c r="D26" s="125"/>
      <c r="F26" s="118"/>
    </row>
    <row r="27" spans="1:6" ht="16.5" thickBot="1" x14ac:dyDescent="0.3">
      <c r="A27" s="141"/>
      <c r="B27" s="136"/>
      <c r="C27" s="142"/>
      <c r="D27" s="125"/>
      <c r="F27" s="118"/>
    </row>
    <row r="28" spans="1:6" x14ac:dyDescent="0.25">
      <c r="A28" s="143"/>
      <c r="B28" s="144" t="s">
        <v>18</v>
      </c>
      <c r="C28" s="145"/>
      <c r="D28" s="125"/>
      <c r="F28" s="118"/>
    </row>
    <row r="29" spans="1:6" x14ac:dyDescent="0.25">
      <c r="A29" s="125"/>
      <c r="B29" s="146" t="s">
        <v>19</v>
      </c>
      <c r="C29" s="147">
        <f>ROUND(((((1+(C16+C17+C18+C19))*(1+C20)*(1+C21))/(1-C22))-1),4)</f>
        <v>0.2354</v>
      </c>
      <c r="D29" s="143"/>
      <c r="F29" s="118"/>
    </row>
    <row r="30" spans="1:6" ht="16.5" thickBot="1" x14ac:dyDescent="0.3">
      <c r="A30" s="125"/>
      <c r="B30" s="148" t="s">
        <v>20</v>
      </c>
      <c r="C30" s="149">
        <v>0.23</v>
      </c>
      <c r="D30" s="143"/>
      <c r="F30" s="118"/>
    </row>
    <row r="31" spans="1:6" x14ac:dyDescent="0.25">
      <c r="A31" s="143"/>
      <c r="B31" s="143"/>
      <c r="C31" s="143"/>
      <c r="D31" s="143"/>
      <c r="F31" s="118"/>
    </row>
    <row r="32" spans="1:6" x14ac:dyDescent="0.25">
      <c r="A32" s="126" t="s">
        <v>21</v>
      </c>
      <c r="B32" s="127"/>
      <c r="C32" s="126"/>
      <c r="D32" s="143"/>
      <c r="F32" s="118"/>
    </row>
    <row r="33" spans="1:6" x14ac:dyDescent="0.25">
      <c r="A33" s="150" t="s">
        <v>2</v>
      </c>
      <c r="B33" s="151" t="s">
        <v>3</v>
      </c>
      <c r="C33" s="152">
        <v>5.1999999999999998E-2</v>
      </c>
      <c r="D33" s="143"/>
      <c r="F33" s="118"/>
    </row>
    <row r="34" spans="1:6" x14ac:dyDescent="0.25">
      <c r="A34" s="132" t="s">
        <v>4</v>
      </c>
      <c r="B34" s="133" t="s">
        <v>5</v>
      </c>
      <c r="C34" s="134">
        <v>2.3999999999999998E-3</v>
      </c>
      <c r="D34" s="143"/>
      <c r="F34" s="118"/>
    </row>
    <row r="35" spans="1:6" x14ac:dyDescent="0.25">
      <c r="A35" s="132" t="s">
        <v>6</v>
      </c>
      <c r="B35" s="133" t="s">
        <v>445</v>
      </c>
      <c r="C35" s="134">
        <v>4.3E-3</v>
      </c>
      <c r="D35" s="143"/>
      <c r="F35" s="118"/>
    </row>
    <row r="36" spans="1:6" x14ac:dyDescent="0.25">
      <c r="A36" s="132" t="s">
        <v>7</v>
      </c>
      <c r="B36" s="133" t="s">
        <v>8</v>
      </c>
      <c r="C36" s="134">
        <v>2.0999999999999999E-3</v>
      </c>
      <c r="D36" s="143"/>
      <c r="E36" s="124"/>
      <c r="F36" s="122"/>
    </row>
    <row r="37" spans="1:6" x14ac:dyDescent="0.25">
      <c r="A37" s="132" t="s">
        <v>9</v>
      </c>
      <c r="B37" s="133" t="s">
        <v>10</v>
      </c>
      <c r="C37" s="134">
        <v>0.01</v>
      </c>
      <c r="D37" s="143"/>
      <c r="E37" s="124"/>
      <c r="F37" s="122"/>
    </row>
    <row r="38" spans="1:6" x14ac:dyDescent="0.25">
      <c r="A38" s="132" t="s">
        <v>11</v>
      </c>
      <c r="B38" s="133" t="s">
        <v>12</v>
      </c>
      <c r="C38" s="134">
        <v>4.1000000000000002E-2</v>
      </c>
      <c r="D38" s="143"/>
      <c r="E38" s="124"/>
      <c r="F38" s="122"/>
    </row>
    <row r="39" spans="1:6" x14ac:dyDescent="0.25">
      <c r="A39" s="132" t="s">
        <v>13</v>
      </c>
      <c r="B39" s="133" t="s">
        <v>446</v>
      </c>
      <c r="C39" s="134">
        <f>SUM(C40:C43)</f>
        <v>3.6499999999999998E-2</v>
      </c>
      <c r="D39" s="143"/>
      <c r="E39" s="124"/>
      <c r="F39" s="122"/>
    </row>
    <row r="40" spans="1:6" x14ac:dyDescent="0.25">
      <c r="A40" s="135"/>
      <c r="B40" s="136" t="s">
        <v>14</v>
      </c>
      <c r="C40" s="137">
        <v>6.4999999999999997E-3</v>
      </c>
      <c r="D40" s="143"/>
      <c r="E40" s="124"/>
      <c r="F40" s="122"/>
    </row>
    <row r="41" spans="1:6" x14ac:dyDescent="0.25">
      <c r="A41" s="135"/>
      <c r="B41" s="136" t="s">
        <v>15</v>
      </c>
      <c r="C41" s="137">
        <v>0.03</v>
      </c>
      <c r="D41" s="143"/>
      <c r="E41" s="124"/>
      <c r="F41" s="122"/>
    </row>
    <row r="42" spans="1:6" x14ac:dyDescent="0.25">
      <c r="A42" s="135"/>
      <c r="B42" s="136" t="s">
        <v>16</v>
      </c>
      <c r="C42" s="137"/>
      <c r="D42" s="143"/>
      <c r="E42" s="124"/>
      <c r="F42" s="122"/>
    </row>
    <row r="43" spans="1:6" x14ac:dyDescent="0.25">
      <c r="A43" s="138"/>
      <c r="B43" s="139" t="s">
        <v>17</v>
      </c>
      <c r="C43" s="140"/>
      <c r="D43" s="143"/>
      <c r="E43" s="124"/>
      <c r="F43" s="122"/>
    </row>
    <row r="44" spans="1:6" ht="16.5" thickBot="1" x14ac:dyDescent="0.3">
      <c r="A44" s="141"/>
      <c r="B44" s="136"/>
      <c r="C44" s="142"/>
      <c r="D44" s="143"/>
      <c r="E44" s="124"/>
      <c r="F44" s="122"/>
    </row>
    <row r="45" spans="1:6" x14ac:dyDescent="0.25">
      <c r="A45" s="143"/>
      <c r="B45" s="144" t="s">
        <v>22</v>
      </c>
      <c r="C45" s="145"/>
      <c r="D45" s="143"/>
      <c r="E45" s="124"/>
      <c r="F45" s="122"/>
    </row>
    <row r="46" spans="1:6" x14ac:dyDescent="0.25">
      <c r="A46" s="125"/>
      <c r="B46" s="146" t="s">
        <v>19</v>
      </c>
      <c r="C46" s="147">
        <f>((((1+(C33+C34+C35+C36))*(1+C37)*(1+C38))/(1-C39))-1)</f>
        <v>0.15758767825635678</v>
      </c>
      <c r="D46" s="143"/>
      <c r="E46" s="124"/>
      <c r="F46" s="122"/>
    </row>
    <row r="47" spans="1:6" ht="16.5" thickBot="1" x14ac:dyDescent="0.3">
      <c r="A47" s="125"/>
      <c r="B47" s="148" t="s">
        <v>20</v>
      </c>
      <c r="C47" s="149">
        <v>0.15</v>
      </c>
      <c r="D47" s="143"/>
      <c r="E47" s="124"/>
      <c r="F47" s="4"/>
    </row>
    <row r="48" spans="1:6" x14ac:dyDescent="0.25">
      <c r="A48" s="143"/>
      <c r="B48" s="143"/>
      <c r="C48" s="143"/>
      <c r="D48" s="143"/>
      <c r="E48" s="124"/>
      <c r="F48" s="122"/>
    </row>
    <row r="49" spans="1:6" x14ac:dyDescent="0.25">
      <c r="A49" s="28" t="s">
        <v>2059</v>
      </c>
      <c r="B49" s="121"/>
      <c r="C49" s="35"/>
      <c r="D49" s="143"/>
      <c r="E49" s="124"/>
      <c r="F49" s="122"/>
    </row>
    <row r="50" spans="1:6" x14ac:dyDescent="0.25">
      <c r="A50" s="28"/>
      <c r="B50" s="121"/>
      <c r="C50" s="25"/>
      <c r="D50" s="143"/>
      <c r="E50" s="124"/>
      <c r="F50" s="122"/>
    </row>
    <row r="51" spans="1:6" x14ac:dyDescent="0.25">
      <c r="A51" s="28"/>
      <c r="B51" s="121"/>
      <c r="C51" s="25"/>
      <c r="D51" s="143"/>
      <c r="E51" s="153"/>
      <c r="F51" s="1"/>
    </row>
    <row r="52" spans="1:6" x14ac:dyDescent="0.25">
      <c r="A52" s="683" t="s">
        <v>112</v>
      </c>
      <c r="B52" s="683"/>
      <c r="C52" s="683"/>
      <c r="D52" s="143"/>
      <c r="E52" s="153"/>
      <c r="F52" s="1"/>
    </row>
    <row r="53" spans="1:6" x14ac:dyDescent="0.25">
      <c r="A53" s="683" t="s">
        <v>2055</v>
      </c>
      <c r="B53" s="683"/>
      <c r="C53" s="683"/>
      <c r="F53" s="118"/>
    </row>
    <row r="54" spans="1:6" x14ac:dyDescent="0.25">
      <c r="A54" s="683" t="s">
        <v>2060</v>
      </c>
      <c r="B54" s="683"/>
      <c r="C54" s="683"/>
      <c r="F54" s="118"/>
    </row>
    <row r="55" spans="1:6" x14ac:dyDescent="0.25">
      <c r="A55" s="683"/>
      <c r="B55" s="683"/>
      <c r="C55" s="683"/>
      <c r="F55" s="118"/>
    </row>
  </sheetData>
  <mergeCells count="7">
    <mergeCell ref="A55:C55"/>
    <mergeCell ref="A7:F7"/>
    <mergeCell ref="A52:C52"/>
    <mergeCell ref="A53:C53"/>
    <mergeCell ref="A54:C54"/>
    <mergeCell ref="A12:D12"/>
    <mergeCell ref="A14:D14"/>
  </mergeCells>
  <pageMargins left="0.511811024" right="0.511811024" top="0.78740157499999996" bottom="0.78740157499999996" header="0.31496062000000002" footer="0.31496062000000002"/>
  <pageSetup paperSize="9" scale="82" orientation="portrait" r:id="rId1"/>
  <drawing r:id="rId2"/>
  <legacyDrawing r:id="rId3"/>
  <oleObjects>
    <mc:AlternateContent xmlns:mc="http://schemas.openxmlformats.org/markup-compatibility/2006">
      <mc:Choice Requires="x14">
        <oleObject progId="Word.Document.12" shapeId="7169" r:id="rId4">
          <objectPr defaultSize="0" r:id="rId5">
            <anchor moveWithCells="1">
              <from>
                <xdr:col>0</xdr:col>
                <xdr:colOff>200025</xdr:colOff>
                <xdr:row>7</xdr:row>
                <xdr:rowOff>66675</xdr:rowOff>
              </from>
              <to>
                <xdr:col>3</xdr:col>
                <xdr:colOff>95250</xdr:colOff>
                <xdr:row>10</xdr:row>
                <xdr:rowOff>76200</xdr:rowOff>
              </to>
            </anchor>
          </objectPr>
        </oleObject>
      </mc:Choice>
      <mc:Fallback>
        <oleObject progId="Word.Document.12" shapeId="716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98AC055475F1C48A4AD60EF5B4A8A71" ma:contentTypeVersion="13" ma:contentTypeDescription="Crie um novo documento." ma:contentTypeScope="" ma:versionID="b04ac368d203486867aa832d8cc03e99">
  <xsd:schema xmlns:xsd="http://www.w3.org/2001/XMLSchema" xmlns:xs="http://www.w3.org/2001/XMLSchema" xmlns:p="http://schemas.microsoft.com/office/2006/metadata/properties" xmlns:ns2="78e88269-3fab-46a8-8f3a-6305844d8d4c" xmlns:ns3="b39760f8-22c5-4d65-8184-bfc11f72b2d6" targetNamespace="http://schemas.microsoft.com/office/2006/metadata/properties" ma:root="true" ma:fieldsID="027dcdcafa32151b25c8a4dfd031bd07" ns2:_="" ns3:_="">
    <xsd:import namespace="78e88269-3fab-46a8-8f3a-6305844d8d4c"/>
    <xsd:import namespace="b39760f8-22c5-4d65-8184-bfc11f72b2d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e88269-3fab-46a8-8f3a-6305844d8d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9760f8-22c5-4d65-8184-bfc11f72b2d6" elementFormDefault="qualified">
    <xsd:import namespace="http://schemas.microsoft.com/office/2006/documentManagement/types"/>
    <xsd:import namespace="http://schemas.microsoft.com/office/infopath/2007/PartnerControls"/>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795647-275A-4858-8A6F-BC609CA9EB7C}">
  <ds:schemaRefs>
    <ds:schemaRef ds:uri="http://schemas.microsoft.com/sharepoint/v3/contenttype/forms"/>
  </ds:schemaRefs>
</ds:datastoreItem>
</file>

<file path=customXml/itemProps2.xml><?xml version="1.0" encoding="utf-8"?>
<ds:datastoreItem xmlns:ds="http://schemas.openxmlformats.org/officeDocument/2006/customXml" ds:itemID="{5C880338-E434-4600-A2DD-98FF42E22FCE}">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78e88269-3fab-46a8-8f3a-6305844d8d4c"/>
    <ds:schemaRef ds:uri="b39760f8-22c5-4d65-8184-bfc11f72b2d6"/>
    <ds:schemaRef ds:uri="http://www.w3.org/XML/1998/namespace"/>
    <ds:schemaRef ds:uri="http://purl.org/dc/dcmitype/"/>
  </ds:schemaRefs>
</ds:datastoreItem>
</file>

<file path=customXml/itemProps3.xml><?xml version="1.0" encoding="utf-8"?>
<ds:datastoreItem xmlns:ds="http://schemas.openxmlformats.org/officeDocument/2006/customXml" ds:itemID="{4538B2C6-0FDC-46DB-ACDB-EDEC5C28E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e88269-3fab-46a8-8f3a-6305844d8d4c"/>
    <ds:schemaRef ds:uri="b39760f8-22c5-4d65-8184-bfc11f72b2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6</vt:i4>
      </vt:variant>
    </vt:vector>
  </HeadingPairs>
  <TitlesOfParts>
    <vt:vector size="11" baseType="lpstr">
      <vt:lpstr>ORÇAMENTO</vt:lpstr>
      <vt:lpstr>COMPOSIÇÕES</vt:lpstr>
      <vt:lpstr>CRONOGRAMA</vt:lpstr>
      <vt:lpstr>RESUMO</vt:lpstr>
      <vt:lpstr>BDI</vt:lpstr>
      <vt:lpstr>COMPOSIÇÕES!Area_de_impressao</vt:lpstr>
      <vt:lpstr>CRONOGRAMA!Area_de_impressao</vt:lpstr>
      <vt:lpstr>ORÇAMENTO!Area_de_impressao</vt:lpstr>
      <vt:lpstr>RESUMO!Area_de_impressao</vt:lpstr>
      <vt:lpstr>CRONOGRAMA!Titulos_de_impressao</vt:lpstr>
      <vt:lpstr>ORÇAMENTO!Titulos_de_impressao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dc:creator>
  <cp:lastModifiedBy>Tiago Benetti</cp:lastModifiedBy>
  <cp:lastPrinted>2022-04-26T11:17:00Z</cp:lastPrinted>
  <dcterms:created xsi:type="dcterms:W3CDTF">2017-03-17T11:35:44Z</dcterms:created>
  <dcterms:modified xsi:type="dcterms:W3CDTF">2022-06-15T16:38:43Z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0x010100398AC055475F1C48A4AD60EF5B4A8A71</vt:lpwstr>
  </property>
</Properties>
</file>